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урнирная таблица по Алфавиту" sheetId="1" r:id="rId4"/>
    <sheet state="visible" name="Турнирная таблица" sheetId="2" r:id="rId5"/>
    <sheet state="visible" name="Турнирная таблица по среднему б" sheetId="3" r:id="rId6"/>
    <sheet state="hidden" name="Жеребьевка Все или ничего" sheetId="4" r:id="rId7"/>
    <sheet state="visible" name="Прогноз выхода в финал" sheetId="5" r:id="rId8"/>
    <sheet state="visible" name="Игроки статистика" sheetId="6" r:id="rId9"/>
    <sheet state="visible" name="Все игры" sheetId="7" r:id="rId10"/>
    <sheet state="hidden" name="Всё или ничего. Игроки статисти" sheetId="8" r:id="rId11"/>
    <sheet state="hidden" name="Последний шанс. Игроки статисти" sheetId="9" r:id="rId12"/>
    <sheet state="visible" name="Общая статистика" sheetId="10" r:id="rId13"/>
    <sheet state="hidden" name="Winrate" sheetId="11" r:id="rId14"/>
    <sheet state="hidden" name="Winrate по картам" sheetId="12" r:id="rId15"/>
    <sheet state="hidden" name="Штрафы" sheetId="13" r:id="rId16"/>
    <sheet state="hidden" name="Последний Шанс" sheetId="14" r:id="rId17"/>
    <sheet state="hidden" name="Всё или ничего" sheetId="15" r:id="rId18"/>
    <sheet state="visible" name="1 серия" sheetId="16" r:id="rId19"/>
    <sheet state="visible" name="2 серия" sheetId="17" r:id="rId20"/>
    <sheet state="visible" name="3 серия" sheetId="18" r:id="rId21"/>
    <sheet state="hidden" name="Лист16" sheetId="19" r:id="rId22"/>
    <sheet state="visible" name="4 серия" sheetId="20" r:id="rId23"/>
    <sheet state="visible" name="5 серия" sheetId="21" r:id="rId24"/>
    <sheet state="visible" name="6 серия" sheetId="22" r:id="rId25"/>
    <sheet state="visible" name="7 серия" sheetId="23" r:id="rId26"/>
    <sheet state="visible" name="8 серия" sheetId="24" r:id="rId27"/>
    <sheet state="visible" name="9 серия" sheetId="25" r:id="rId28"/>
    <sheet state="visible" name="10 серия" sheetId="26" r:id="rId29"/>
    <sheet state="visible" name="11 серия" sheetId="27" r:id="rId30"/>
    <sheet state="visible" name="12 серия" sheetId="28" r:id="rId31"/>
    <sheet state="visible" name="13 серия" sheetId="29" r:id="rId32"/>
    <sheet state="visible" name="14 серия" sheetId="30" r:id="rId33"/>
    <sheet state="visible" name="15 серия" sheetId="31" r:id="rId34"/>
    <sheet state="visible" name="16 серия" sheetId="32" r:id="rId35"/>
    <sheet state="visible" name="17 серия" sheetId="33" r:id="rId36"/>
    <sheet state="visible" name="18 серия" sheetId="34" r:id="rId37"/>
    <sheet state="visible" name="19 серия" sheetId="35" r:id="rId38"/>
    <sheet state="visible" name="20 серия" sheetId="36" r:id="rId39"/>
    <sheet state="visible" name="21 серия" sheetId="37" r:id="rId40"/>
    <sheet state="visible" name="22 серия" sheetId="38" r:id="rId41"/>
    <sheet state="visible" name="23 серия" sheetId="39" r:id="rId42"/>
    <sheet state="visible" name="24 серия" sheetId="40" r:id="rId43"/>
    <sheet state="visible" name="25 серия" sheetId="41" r:id="rId44"/>
    <sheet state="visible" name="26 серия" sheetId="42" r:id="rId45"/>
    <sheet state="visible" name="27 серия" sheetId="43" r:id="rId46"/>
    <sheet state="visible" name="28 серия" sheetId="44" r:id="rId47"/>
    <sheet state="visible" name="29 серия" sheetId="45" r:id="rId48"/>
    <sheet state="visible" name="30 серия" sheetId="46" r:id="rId49"/>
    <sheet state="visible" name="31 серия" sheetId="47" r:id="rId50"/>
    <sheet state="visible" name="32 серия" sheetId="48" r:id="rId51"/>
    <sheet state="visible" name="33 серия" sheetId="49" r:id="rId52"/>
    <sheet state="visible" name="34 серия" sheetId="50" r:id="rId53"/>
    <sheet state="visible" name="35 серия" sheetId="51" r:id="rId54"/>
    <sheet state="visible" name="36 серия" sheetId="52" r:id="rId55"/>
    <sheet state="visible" name="37 серия" sheetId="53" r:id="rId56"/>
    <sheet state="visible" name="38 серия" sheetId="54" r:id="rId57"/>
    <sheet state="visible" name="39 серия" sheetId="55" r:id="rId58"/>
    <sheet state="visible" name="40 серия" sheetId="56" r:id="rId59"/>
    <sheet state="visible" name="41 серия" sheetId="57" r:id="rId60"/>
    <sheet state="visible" name="42 серия" sheetId="58" r:id="rId61"/>
    <sheet state="visible" name="43 серия" sheetId="59" r:id="rId62"/>
    <sheet state="visible" name="44 серия" sheetId="60" r:id="rId63"/>
    <sheet state="visible" name="45 серия" sheetId="61" r:id="rId64"/>
    <sheet state="visible" name="46 серия" sheetId="62" r:id="rId65"/>
    <sheet state="visible" name="47 серия" sheetId="63" r:id="rId66"/>
    <sheet state="visible" name="48 серия" sheetId="64" r:id="rId67"/>
    <sheet state="visible" name="49 серия" sheetId="65" r:id="rId68"/>
    <sheet state="visible" name="50 серия" sheetId="66" r:id="rId69"/>
    <sheet state="visible" name="51 серия" sheetId="67" r:id="rId70"/>
    <sheet state="visible" name="52 серия" sheetId="68" r:id="rId71"/>
    <sheet state="visible" name="53 серия" sheetId="69" r:id="rId72"/>
    <sheet state="visible" name="54 серия" sheetId="70" r:id="rId73"/>
    <sheet state="visible" name="55 серия" sheetId="71" r:id="rId74"/>
    <sheet state="visible" name="56 серия" sheetId="72" r:id="rId75"/>
    <sheet state="visible" name="57 серия" sheetId="73" r:id="rId76"/>
    <sheet state="visible" name="58 серия" sheetId="74" r:id="rId77"/>
    <sheet state="visible" name="59 серия" sheetId="75" r:id="rId78"/>
    <sheet state="visible" name="60 серия" sheetId="76" r:id="rId79"/>
  </sheets>
  <definedNames>
    <definedName hidden="1" localSheetId="6" name="_xlnm._FilterDatabase">'Все игры'!$A$1:$G$3141</definedName>
  </definedNames>
  <calcPr/>
</workbook>
</file>

<file path=xl/sharedStrings.xml><?xml version="1.0" encoding="utf-8"?>
<sst xmlns="http://schemas.openxmlformats.org/spreadsheetml/2006/main" count="17157" uniqueCount="423">
  <si>
    <t>Турнирная таблица Лиги "7+3"</t>
  </si>
  <si>
    <t>Место</t>
  </si>
  <si>
    <t>Игрок</t>
  </si>
  <si>
    <t>Количество игр</t>
  </si>
  <si>
    <t>Итоговый балл</t>
  </si>
  <si>
    <t>Средний балл за серию</t>
  </si>
  <si>
    <t>Средний доп балл (баллы от ведущих+ЛХ+Ci)</t>
  </si>
  <si>
    <t>Баллы за победу</t>
  </si>
  <si>
    <t>Баллы от ведущих</t>
  </si>
  <si>
    <t>ЛХ</t>
  </si>
  <si>
    <t>Ci</t>
  </si>
  <si>
    <t>ПУ</t>
  </si>
  <si>
    <t>Количество побед</t>
  </si>
  <si>
    <t>Победы за активные роли (Ш+Д)</t>
  </si>
  <si>
    <t>Проигрыши за активные роли (Ш+Д)</t>
  </si>
  <si>
    <t>ППК</t>
  </si>
  <si>
    <t>Желтая карточка</t>
  </si>
  <si>
    <t>Штрафы по сумме всех карточек</t>
  </si>
  <si>
    <t>Штрафы дисциплинарные, опоздания, др.</t>
  </si>
  <si>
    <t>1 серия</t>
  </si>
  <si>
    <t>2 серия</t>
  </si>
  <si>
    <t>3 серия</t>
  </si>
  <si>
    <t>4 серия</t>
  </si>
  <si>
    <t>5 серия</t>
  </si>
  <si>
    <t>6 серия</t>
  </si>
  <si>
    <t>7 серия</t>
  </si>
  <si>
    <t>8 серия</t>
  </si>
  <si>
    <t>9 серия</t>
  </si>
  <si>
    <t>10 серия</t>
  </si>
  <si>
    <t>11 серия</t>
  </si>
  <si>
    <t>12 серия</t>
  </si>
  <si>
    <t>13 серия</t>
  </si>
  <si>
    <t>14 серия</t>
  </si>
  <si>
    <t>15 серия</t>
  </si>
  <si>
    <t>16 серия</t>
  </si>
  <si>
    <t>17 серия</t>
  </si>
  <si>
    <t>18 серия</t>
  </si>
  <si>
    <t>19 серия</t>
  </si>
  <si>
    <t>20 серия</t>
  </si>
  <si>
    <t>21 серия</t>
  </si>
  <si>
    <t>22 серия</t>
  </si>
  <si>
    <t>23 серия</t>
  </si>
  <si>
    <t>24 серия</t>
  </si>
  <si>
    <t>25 серия</t>
  </si>
  <si>
    <t>26 серия</t>
  </si>
  <si>
    <t>27 серия</t>
  </si>
  <si>
    <t>28 серия</t>
  </si>
  <si>
    <t>29 серия</t>
  </si>
  <si>
    <t>30 серия</t>
  </si>
  <si>
    <t>31 серия</t>
  </si>
  <si>
    <t>32 серия</t>
  </si>
  <si>
    <t>33 серия</t>
  </si>
  <si>
    <t>34 серия</t>
  </si>
  <si>
    <t>35 серия</t>
  </si>
  <si>
    <t>36 серия</t>
  </si>
  <si>
    <t>37 серия</t>
  </si>
  <si>
    <t>38 серия</t>
  </si>
  <si>
    <t>39 серия</t>
  </si>
  <si>
    <t>40 серия</t>
  </si>
  <si>
    <t>41 серия</t>
  </si>
  <si>
    <t>42 серия</t>
  </si>
  <si>
    <t>43 серия</t>
  </si>
  <si>
    <t>44 серия</t>
  </si>
  <si>
    <t>45 серия</t>
  </si>
  <si>
    <t>46 серия</t>
  </si>
  <si>
    <t>47 серия</t>
  </si>
  <si>
    <t>48 серия</t>
  </si>
  <si>
    <t>49 серия</t>
  </si>
  <si>
    <t>50 серия</t>
  </si>
  <si>
    <t>51 серия</t>
  </si>
  <si>
    <t>52 серия</t>
  </si>
  <si>
    <t>53 серия</t>
  </si>
  <si>
    <t>54 серия</t>
  </si>
  <si>
    <t>55 серия</t>
  </si>
  <si>
    <t>56 серия</t>
  </si>
  <si>
    <t>57 серия</t>
  </si>
  <si>
    <t>58 серия</t>
  </si>
  <si>
    <t>59 серия</t>
  </si>
  <si>
    <t>60 серия</t>
  </si>
  <si>
    <t>Авраам</t>
  </si>
  <si>
    <t>Админ</t>
  </si>
  <si>
    <t>Андерсен</t>
  </si>
  <si>
    <t>Артик</t>
  </si>
  <si>
    <t>Астория</t>
  </si>
  <si>
    <t>Аш</t>
  </si>
  <si>
    <t>Бамблби</t>
  </si>
  <si>
    <t>Волга</t>
  </si>
  <si>
    <t>Градиент</t>
  </si>
  <si>
    <t>Дровосек</t>
  </si>
  <si>
    <t>Зверюга</t>
  </si>
  <si>
    <t>Инсомнич</t>
  </si>
  <si>
    <t>Красавчик</t>
  </si>
  <si>
    <t>Крестный отец (BLR)</t>
  </si>
  <si>
    <t>Крёстный Отец (RU)</t>
  </si>
  <si>
    <t>Крот</t>
  </si>
  <si>
    <t>Левша</t>
  </si>
  <si>
    <t>Лисичка</t>
  </si>
  <si>
    <t>Маваши</t>
  </si>
  <si>
    <t>Манекен</t>
  </si>
  <si>
    <t>Марго</t>
  </si>
  <si>
    <t>Ментик</t>
  </si>
  <si>
    <t xml:space="preserve">Мишель </t>
  </si>
  <si>
    <t>Наполеон</t>
  </si>
  <si>
    <t>Панда из Руанды</t>
  </si>
  <si>
    <t xml:space="preserve">Писатель </t>
  </si>
  <si>
    <t xml:space="preserve">Правда </t>
  </si>
  <si>
    <t>Продюсер</t>
  </si>
  <si>
    <t>РФ</t>
  </si>
  <si>
    <t>Старый</t>
  </si>
  <si>
    <t>СЭНСЭЙ</t>
  </si>
  <si>
    <t>Coach</t>
  </si>
  <si>
    <t>Тихий закат</t>
  </si>
  <si>
    <t>Физик</t>
  </si>
  <si>
    <t>Флэш</t>
  </si>
  <si>
    <t>Фокс</t>
  </si>
  <si>
    <t>Шоу Бой</t>
  </si>
  <si>
    <t>Шпиц</t>
  </si>
  <si>
    <t>Юрия</t>
  </si>
  <si>
    <t xml:space="preserve">A1 </t>
  </si>
  <si>
    <t xml:space="preserve">Alice </t>
  </si>
  <si>
    <t>Bublik</t>
  </si>
  <si>
    <t>BWDMoscow</t>
  </si>
  <si>
    <t xml:space="preserve">Castor Troy </t>
  </si>
  <si>
    <t>Cristo</t>
  </si>
  <si>
    <t>Curly</t>
  </si>
  <si>
    <t>GALAY</t>
  </si>
  <si>
    <t>Helga</t>
  </si>
  <si>
    <t xml:space="preserve">Infinity </t>
  </si>
  <si>
    <t>Ketamin</t>
  </si>
  <si>
    <t>Light</t>
  </si>
  <si>
    <t>Morti</t>
  </si>
  <si>
    <t>MSR</t>
  </si>
  <si>
    <t>NLIP</t>
  </si>
  <si>
    <t xml:space="preserve">Rocket woman </t>
  </si>
  <si>
    <t xml:space="preserve">SCHOKK </t>
  </si>
  <si>
    <t>SOVEST</t>
  </si>
  <si>
    <t>Stacy</t>
  </si>
  <si>
    <t>WhoIsWho</t>
  </si>
  <si>
    <t>Young</t>
  </si>
  <si>
    <t>Америка</t>
  </si>
  <si>
    <t>Предварительные проходные баллы для участия в следующем этапе</t>
  </si>
  <si>
    <t>7 место: Cредний балл за серию</t>
  </si>
  <si>
    <t>17 место: Средний балл за серию</t>
  </si>
  <si>
    <t>7 место: Итоговый балл</t>
  </si>
  <si>
    <t>17 место: Итоговый балл</t>
  </si>
  <si>
    <t>Игровой Ник</t>
  </si>
  <si>
    <t>Жеребьевка 
1 этап</t>
  </si>
  <si>
    <t>Жеребьевка
 2 этап</t>
  </si>
  <si>
    <t>Жеребьевка 
3 этап</t>
  </si>
  <si>
    <t>Жеребьевка 
4 этап</t>
  </si>
  <si>
    <t>Жеребьевка
 5 этап</t>
  </si>
  <si>
    <t xml:space="preserve">Есаул </t>
  </si>
  <si>
    <t>Правда</t>
  </si>
  <si>
    <t>Тихий Закат</t>
  </si>
  <si>
    <t>Бестия</t>
  </si>
  <si>
    <t xml:space="preserve">Скарлетт </t>
  </si>
  <si>
    <t>Вертинский</t>
  </si>
  <si>
    <t>Alice</t>
  </si>
  <si>
    <t>Дракарис</t>
  </si>
  <si>
    <t>Злая Киса</t>
  </si>
  <si>
    <t>Lina</t>
  </si>
  <si>
    <t>Сoach</t>
  </si>
  <si>
    <t>Альпачино</t>
  </si>
  <si>
    <t>Infinity</t>
  </si>
  <si>
    <t>A1</t>
  </si>
  <si>
    <t>Shrimps</t>
  </si>
  <si>
    <t>Жнец</t>
  </si>
  <si>
    <t>Тиффани</t>
  </si>
  <si>
    <t>Пчела</t>
  </si>
  <si>
    <t>Galay</t>
  </si>
  <si>
    <t>Лайт</t>
  </si>
  <si>
    <t>Боня</t>
  </si>
  <si>
    <t>Baymax</t>
  </si>
  <si>
    <t xml:space="preserve">SCHOKK
</t>
  </si>
  <si>
    <t xml:space="preserve">Красавчик </t>
  </si>
  <si>
    <t xml:space="preserve">Домовенок </t>
  </si>
  <si>
    <t>Инсайд</t>
  </si>
  <si>
    <t>Cherry pick</t>
  </si>
  <si>
    <t xml:space="preserve">Грибочки </t>
  </si>
  <si>
    <t>Оладушек</t>
  </si>
  <si>
    <t xml:space="preserve">WhoIsWho </t>
  </si>
  <si>
    <t>Jazz</t>
  </si>
  <si>
    <t>Донателло</t>
  </si>
  <si>
    <t>uLTRa</t>
  </si>
  <si>
    <t>Рыжая</t>
  </si>
  <si>
    <t>Финал</t>
  </si>
  <si>
    <t>Последний Шанс</t>
  </si>
  <si>
    <t>Все или ничего. Жеребьевка:</t>
  </si>
  <si>
    <t>1 этап</t>
  </si>
  <si>
    <t>2 этап</t>
  </si>
  <si>
    <t>3 этап</t>
  </si>
  <si>
    <t>4 этап</t>
  </si>
  <si>
    <t>5 этап</t>
  </si>
  <si>
    <t>Не участвуют в жеребьевке:</t>
  </si>
  <si>
    <t>Южная</t>
  </si>
  <si>
    <t>Castor Troy</t>
  </si>
  <si>
    <t>Хрум</t>
  </si>
  <si>
    <t>Гаджет</t>
  </si>
  <si>
    <t>Juventini</t>
  </si>
  <si>
    <t>Битва за Финал (ТОП 7)</t>
  </si>
  <si>
    <t>Битва за Last Chance (ТОП 17)</t>
  </si>
  <si>
    <t>Осталось серий</t>
  </si>
  <si>
    <r>
      <rPr>
        <rFont val="Calibri, Arial"/>
        <b/>
        <color theme="1"/>
        <sz val="11.0"/>
      </rPr>
      <t xml:space="preserve">ТОП 7 
</t>
    </r>
    <r>
      <rPr>
        <rFont val="Calibri, Arial"/>
        <b val="0"/>
        <color theme="1"/>
        <sz val="11.0"/>
      </rPr>
      <t>нужно набрать баллов</t>
    </r>
  </si>
  <si>
    <r>
      <rPr>
        <rFont val="Calibri, Arial"/>
        <b/>
        <color theme="1"/>
        <sz val="11.0"/>
      </rPr>
      <t xml:space="preserve">ТОП7 
</t>
    </r>
    <r>
      <rPr>
        <rFont val="Calibri, Arial"/>
        <b val="0"/>
        <color theme="1"/>
        <sz val="11.0"/>
      </rPr>
      <t xml:space="preserve">ср. за игру
</t>
    </r>
  </si>
  <si>
    <r>
      <rPr>
        <rFont val="Calibri, Arial"/>
        <b/>
        <color theme="1"/>
        <sz val="11.0"/>
      </rPr>
      <t xml:space="preserve">ТОП 17 
</t>
    </r>
    <r>
      <rPr>
        <rFont val="Calibri, Arial"/>
        <b val="0"/>
        <color theme="1"/>
        <sz val="11.0"/>
      </rPr>
      <t>нужно набрать баллов</t>
    </r>
  </si>
  <si>
    <r>
      <rPr>
        <rFont val="Calibri, Arial"/>
        <b/>
        <color theme="1"/>
        <sz val="11.0"/>
      </rPr>
      <t xml:space="preserve">ТОП17     
</t>
    </r>
    <r>
      <rPr>
        <rFont val="Calibri, Arial"/>
        <b val="0"/>
        <color theme="1"/>
        <sz val="11.0"/>
      </rPr>
      <t xml:space="preserve">ср. за игру
</t>
    </r>
  </si>
  <si>
    <t>Max балл за серию</t>
  </si>
  <si>
    <t>Игр</t>
  </si>
  <si>
    <t>ТОП 7 
нужно набрать баллов</t>
  </si>
  <si>
    <t>ТОП 17 
нужно набрать баллов</t>
  </si>
  <si>
    <t>Отыграли все серии</t>
  </si>
  <si>
    <t>Ниже своего max балла за серию</t>
  </si>
  <si>
    <t>Больше 27 баллов</t>
  </si>
  <si>
    <t>Меньше 20 баллов</t>
  </si>
  <si>
    <t>WINRATE ( % побед)</t>
  </si>
  <si>
    <t>Допы (без Ci и ЛХ)</t>
  </si>
  <si>
    <t>Средний доп (без Ci и ЛХ)</t>
  </si>
  <si>
    <t>ЛХ полный</t>
  </si>
  <si>
    <t>ЛХ двойка</t>
  </si>
  <si>
    <t>Killrate</t>
  </si>
  <si>
    <t>Победил в угадайке</t>
  </si>
  <si>
    <t>Проиграл в угадайке</t>
  </si>
  <si>
    <t>Все красные (М+Ш) игр</t>
  </si>
  <si>
    <t>Все черные (Д+М) игр</t>
  </si>
  <si>
    <t>Мафия Побед</t>
  </si>
  <si>
    <t>Мафия Проигрышей</t>
  </si>
  <si>
    <t>Шериф Побед</t>
  </si>
  <si>
    <t>Шериф Проигрышей</t>
  </si>
  <si>
    <t>Дон Побед</t>
  </si>
  <si>
    <t>Дон Проигрышей</t>
  </si>
  <si>
    <t>Мирный Побед</t>
  </si>
  <si>
    <t>Мирный Проигрышей</t>
  </si>
  <si>
    <t>WINRATE общий</t>
  </si>
  <si>
    <t>Все красные (М+Ш) % побед</t>
  </si>
  <si>
    <t>Все черные (Д+М) % побед</t>
  </si>
  <si>
    <t>Мафия: % Побед</t>
  </si>
  <si>
    <t>Шериф: % Побед</t>
  </si>
  <si>
    <t>Дон: % Побед</t>
  </si>
  <si>
    <t>Мирный: % Побед</t>
  </si>
  <si>
    <t>Всего: допы</t>
  </si>
  <si>
    <t>Мафия: допы</t>
  </si>
  <si>
    <t>Шериф: допы</t>
  </si>
  <si>
    <t>Дон: допы</t>
  </si>
  <si>
    <t>Мирный: допы</t>
  </si>
  <si>
    <t>Общий: ср.доп</t>
  </si>
  <si>
    <t>Мафия: ср. доп</t>
  </si>
  <si>
    <t>Шериф: ср.доп</t>
  </si>
  <si>
    <t>Дон: ср.доп</t>
  </si>
  <si>
    <t>Мирный: ср.доп</t>
  </si>
  <si>
    <t>Лучший балл за серию</t>
  </si>
  <si>
    <t>Игра 1</t>
  </si>
  <si>
    <t>ОБЩЕЕ КОЛИЧЕСТВО ИГР</t>
  </si>
  <si>
    <t>ВСЕ ИГРЫ</t>
  </si>
  <si>
    <t>МАКС Значение</t>
  </si>
  <si>
    <t>Все или ничего</t>
  </si>
  <si>
    <t>Роль</t>
  </si>
  <si>
    <t>Инфо</t>
  </si>
  <si>
    <t>Сухая победа города</t>
  </si>
  <si>
    <t>Победа города на круг при шестерых</t>
  </si>
  <si>
    <t>Победа мафии 2в2</t>
  </si>
  <si>
    <t>У/Победа</t>
  </si>
  <si>
    <t>Мирный</t>
  </si>
  <si>
    <t>Победа города на круг при пятерых</t>
  </si>
  <si>
    <t>У/Проигрыш</t>
  </si>
  <si>
    <t>Победа города в угадайке при четверых</t>
  </si>
  <si>
    <t>Дон</t>
  </si>
  <si>
    <t>Ср. балл за серию</t>
  </si>
  <si>
    <t>Победа города в угадайке</t>
  </si>
  <si>
    <t>Победа мафии 3в3</t>
  </si>
  <si>
    <t>Мафия</t>
  </si>
  <si>
    <t>Победа города (ППК)</t>
  </si>
  <si>
    <t>Шериф</t>
  </si>
  <si>
    <t>Победа мафии 1в1</t>
  </si>
  <si>
    <t>Победа мафии 1в1 (ППК)</t>
  </si>
  <si>
    <t>Победа города на круге при восьмерых</t>
  </si>
  <si>
    <t>Победа мафии 2в2 (ППК)</t>
  </si>
  <si>
    <t>Победа мафии 3в3 (ППК)</t>
  </si>
  <si>
    <t>Победа мафии (ППК)</t>
  </si>
  <si>
    <t>Победы красные</t>
  </si>
  <si>
    <t>Победы черные</t>
  </si>
  <si>
    <t>Всего игр</t>
  </si>
  <si>
    <t>Сэнсэй</t>
  </si>
  <si>
    <t xml:space="preserve">                                       </t>
  </si>
  <si>
    <t xml:space="preserve"> </t>
  </si>
  <si>
    <t xml:space="preserve">           </t>
  </si>
  <si>
    <t xml:space="preserve">     </t>
  </si>
  <si>
    <t>Всего сыграно игр</t>
  </si>
  <si>
    <t>Самый высокий балл за серию</t>
  </si>
  <si>
    <t>Штрафы отборочных серий Лиги "7+3"</t>
  </si>
  <si>
    <t>Серия</t>
  </si>
  <si>
    <t>Игра</t>
  </si>
  <si>
    <t>Игровой ник</t>
  </si>
  <si>
    <t>Удаление</t>
  </si>
  <si>
    <t>Красная карточка</t>
  </si>
  <si>
    <t>Опоздание</t>
  </si>
  <si>
    <t>Дисциплинарные</t>
  </si>
  <si>
    <t>я</t>
  </si>
  <si>
    <t>Отборочный турнир "Последний шанс". Лига "7+3" 14.04.2024</t>
  </si>
  <si>
    <t>Сумма баллов</t>
  </si>
  <si>
    <t>Доп. Баллы</t>
  </si>
  <si>
    <t>Игра 2</t>
  </si>
  <si>
    <t>Игра 3</t>
  </si>
  <si>
    <t>Игра 4</t>
  </si>
  <si>
    <t>Игра 5</t>
  </si>
  <si>
    <t>Игра 6</t>
  </si>
  <si>
    <t>Игра 7</t>
  </si>
  <si>
    <t>Игра 8</t>
  </si>
  <si>
    <t>Игра 9</t>
  </si>
  <si>
    <t>Игра 10</t>
  </si>
  <si>
    <t>Доп</t>
  </si>
  <si>
    <t>Штраф</t>
  </si>
  <si>
    <t>Время игры: 75:09 мин.</t>
  </si>
  <si>
    <t>Время игры: 59:46 мин.</t>
  </si>
  <si>
    <t>Время игры: 57:52 мин.</t>
  </si>
  <si>
    <t>Время игры: 49:47 мин.</t>
  </si>
  <si>
    <t>Время игры: 54:56</t>
  </si>
  <si>
    <t>Время игры: 44.12</t>
  </si>
  <si>
    <t>Время игры: 56:08 мин.</t>
  </si>
  <si>
    <t>Время игры: 50:46 мин.</t>
  </si>
  <si>
    <t>Время игры: 63:01 мин.</t>
  </si>
  <si>
    <t>Время игры: 47:20</t>
  </si>
  <si>
    <t>У/Победа - победа игрока в угадайке</t>
  </si>
  <si>
    <t>У/Проигрыш - проигрыш игрока в угадайке</t>
  </si>
  <si>
    <t>Вид штрафа</t>
  </si>
  <si>
    <t>Отборочный турнир "Всё или ничего". Лига "7+3" 21.04.2024</t>
  </si>
  <si>
    <t>Продолжительность игры: 49:12 мин.</t>
  </si>
  <si>
    <t>Продолжительность игры: 60:57 мин.</t>
  </si>
  <si>
    <t>Продолжительность игры: 53:38 мин.</t>
  </si>
  <si>
    <t>Продолжительность игры: 53:00 мин.</t>
  </si>
  <si>
    <t>Продолжительность игры: 68:58 мин.</t>
  </si>
  <si>
    <t>Продолжительность игры: 60:26 мин.</t>
  </si>
  <si>
    <t>Продолжительность игры 43:49 мин.</t>
  </si>
  <si>
    <t>Продолжительность игры: 44:21 мин.</t>
  </si>
  <si>
    <t>Продолжительность игры: 58:37 мин.</t>
  </si>
  <si>
    <t>Продолжительность игры: 43:48 мин.</t>
  </si>
  <si>
    <t>Результаты отборочных серий Лиги "7+3", Серия №1 (18.08.2024)</t>
  </si>
  <si>
    <t>Доп. Баллы (с ЛХ и Ci)</t>
  </si>
  <si>
    <t>Дисциплинарный штраф</t>
  </si>
  <si>
    <t>Продолжительность игры: 50 мин</t>
  </si>
  <si>
    <t>Продолжительность игры: 48 мин</t>
  </si>
  <si>
    <t>Продолжительность игры: 44 мин</t>
  </si>
  <si>
    <t>Продолжительность игры: 51 мин</t>
  </si>
  <si>
    <t>Продолжительность игры: 45 мин</t>
  </si>
  <si>
    <t>Судья</t>
  </si>
  <si>
    <t>Yesterday</t>
  </si>
  <si>
    <t>Линейный</t>
  </si>
  <si>
    <t>BonAqua</t>
  </si>
  <si>
    <t>Штрафной балл</t>
  </si>
  <si>
    <t>Результаты отборочных серий Лиги "7+3", Серия № (19.08.2024)</t>
  </si>
  <si>
    <t xml:space="preserve">Продолжительность игры: </t>
  </si>
  <si>
    <t>Продолжительность игры:</t>
  </si>
  <si>
    <t>Самаритянка</t>
  </si>
  <si>
    <t>Результаты отборочных серий Лиги "7+3", Серия № (21.08.2024)</t>
  </si>
  <si>
    <t>Продолжительность игры:46:00</t>
  </si>
  <si>
    <t>Продолжительность игры: 52</t>
  </si>
  <si>
    <t>Грибочки</t>
  </si>
  <si>
    <t>Результаты отборочных серий Лиги "7+3", Серия № (22.08.2024)</t>
  </si>
  <si>
    <t>Ася</t>
  </si>
  <si>
    <t>Результаты отборочных серий Лиги "7+3", Серия № (24.08.2024)</t>
  </si>
  <si>
    <t>Mary Poppins</t>
  </si>
  <si>
    <t>Пила</t>
  </si>
  <si>
    <t>Результаты отборочных серий Лиги "7+3", Серия № (25.08.2024)</t>
  </si>
  <si>
    <t>Продолжительность игры: 45.00</t>
  </si>
  <si>
    <t>Продолжительность игры: 46:00</t>
  </si>
  <si>
    <t>Продолжительность игры: 40:00</t>
  </si>
  <si>
    <t>Продолжительность игры: 44:00</t>
  </si>
  <si>
    <t>Результаты отборочных серий Лиги "7+3", Серия № (27.08.2024)</t>
  </si>
  <si>
    <t>Результаты отборочных серий Лиги "7+3", Серия № (28.08.2024)</t>
  </si>
  <si>
    <t xml:space="preserve">Инфо б л </t>
  </si>
  <si>
    <t>Продолжительность игры:ч</t>
  </si>
  <si>
    <t>Результаты отборочных серий Лиги "7+3", Серия № (29.08.2024)</t>
  </si>
  <si>
    <t>Продолжительность игры: 42 мин</t>
  </si>
  <si>
    <t>Продолжительность игры: 53 мин</t>
  </si>
  <si>
    <t>Продолжительность игры: 46 мин</t>
  </si>
  <si>
    <t>Результаты отборочных серий Лиги "7+3", Серия № (30.08.2024)</t>
  </si>
  <si>
    <t>Результаты отборочных серий Лиги "7+3", Серия № (31.08.2024)</t>
  </si>
  <si>
    <t>Результаты отборочных серий Лиги "7+3", Серия № (01.09.2024)</t>
  </si>
  <si>
    <t>Результаты отборочных серий Лиги "7+3", Серия № (02.09.2024)</t>
  </si>
  <si>
    <t>Результаты отборочных серий Лиги "7+3", Серия № (03.09.2024)</t>
  </si>
  <si>
    <t>Результаты отборочных серий Лиги "7+3", Серия №15 (04.09.2024)</t>
  </si>
  <si>
    <t xml:space="preserve"> Результаты отборочных серий Лиги "7+3", Серия №16 (05.09.2024)</t>
  </si>
  <si>
    <t>Продолжительность игры: 54 мин</t>
  </si>
  <si>
    <t>Продолжительность игры: 37 мин</t>
  </si>
  <si>
    <t>Продолжительность игры: 52 мин</t>
  </si>
  <si>
    <t>Результаты отборочных серий Лиги "7+3", Серия №17 (06.09.2024)</t>
  </si>
  <si>
    <t>Shaok</t>
  </si>
  <si>
    <t>Результаты отборочных серий Лиги "7+3", Серия №18 (07.09.2024)</t>
  </si>
  <si>
    <t>Результаты отборочных серий Лиги "7+3", Серия №19 (08.09.2024)</t>
  </si>
  <si>
    <t>Результаты отборочных серий Лиги "7+3", Серия №20 (09.09.2024)</t>
  </si>
  <si>
    <t>Продолжительность игры: 47 мин</t>
  </si>
  <si>
    <t>Продолжительность игры: 55 мин</t>
  </si>
  <si>
    <t>Результаты отборочных серий Лиги "7+3", Серия №21 (10.09.2024)</t>
  </si>
  <si>
    <t>-1.0</t>
  </si>
  <si>
    <t>Результаты отборочных серий Лиги "7+3", Серия №23 (11.09.2024)</t>
  </si>
  <si>
    <t>Результаты отборочных серий Лиги "7+3", Серия № (16.09.2024)</t>
  </si>
  <si>
    <t>Продолжительность игры: 57 мин</t>
  </si>
  <si>
    <t>Продолжительность игры: 43 мин</t>
  </si>
  <si>
    <t>Продолжительность игры: 49 мин</t>
  </si>
  <si>
    <t>Продолжительность игры: 33 мин</t>
  </si>
  <si>
    <t>Результаты отборочных серий Лиги "7+3", Серия № (17.09.2024)</t>
  </si>
  <si>
    <t>Результаты отборочных серий Лиги "7+3", Серия № (18.09.2024)</t>
  </si>
  <si>
    <t>Продолжительность игры: 60 мин</t>
  </si>
  <si>
    <t>Продолжительность игры: 41 мин</t>
  </si>
  <si>
    <t>Результаты отборочных серий Лиги "7+3", Серия № (20.09.2024)</t>
  </si>
  <si>
    <t>Результаты отборочных серий Лиги "7+3", Серия № (23.09.2024)</t>
  </si>
  <si>
    <t>Результаты отборочных серий Лиги "7+3", Серия № (24.09.2024)</t>
  </si>
  <si>
    <t>Результаты отборочных серий Лиги "7+3", Серия № (25.09.2024)</t>
  </si>
  <si>
    <t>Результаты отборочных серий Лиги "7+3", Серия № (26.09.2024)</t>
  </si>
  <si>
    <t>Результаты отборочных серий Лиги "7+3", Серия № (27.09.2024)</t>
  </si>
  <si>
    <t>Результаты отборочных серий Лиги "7+3", Серия №33 (30.09.2024)</t>
  </si>
  <si>
    <t>Результаты отборочных серий Лиги "7+3", Серия № (01.10.2024)</t>
  </si>
  <si>
    <t>Опоздал</t>
  </si>
  <si>
    <t>Дисциплинарный</t>
  </si>
  <si>
    <t>Результаты отборочных серий Лиги "7+3", Серия № (02.10.2024)</t>
  </si>
  <si>
    <t>Результаты отборочных серий Лиги "7+3", Серия № (.08.2024)</t>
  </si>
  <si>
    <t>-</t>
  </si>
  <si>
    <t>Результаты отборочных серий Лиги "7+3", Серия № (04.10.2024)</t>
  </si>
  <si>
    <t>Продолжительность игры: 56 мин</t>
  </si>
  <si>
    <t>Продолжительность игры: 58 мин</t>
  </si>
  <si>
    <t>Результаты отборочных серий Лиги "7+3", Серия № (23.10.2024)</t>
  </si>
  <si>
    <t>Результаты отборочных серий Лиги "7+3", Серия № (30.10.2024)</t>
  </si>
  <si>
    <t>Результаты отборочных серий Лиги "7+3", Серия № (10.11.2024)</t>
  </si>
  <si>
    <t>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</si>
</sst>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[$р.-419]#,##0.00"/>
  </numFmts>
  <fonts count="42">
    <font>
      <sz val="10.0"/>
      <color rgb="FF000000"/>
      <name val="Arial"/>
      <scheme val="minor"/>
    </font>
    <font>
      <sz val="11.0"/>
      <color theme="1"/>
      <name val="Arial"/>
    </font>
    <font>
      <b/>
      <sz val="27.0"/>
      <color theme="1"/>
      <name val="&quot;Times New Roman&quot;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b/>
      <sz val="11.0"/>
      <color theme="1"/>
      <name val="Arial"/>
    </font>
    <font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b/>
      <sz val="18.0"/>
      <color theme="1"/>
      <name val="&quot;Times New Roman&quot;"/>
    </font>
    <font>
      <b/>
      <sz val="17.0"/>
      <color theme="1"/>
      <name val="&quot;Times New Roman&quot;"/>
    </font>
    <font>
      <b/>
      <sz val="19.0"/>
      <color theme="1"/>
      <name val="&quot;Times New Roman&quot;"/>
    </font>
    <font>
      <b/>
      <sz val="22.0"/>
      <color theme="1"/>
      <name val="&quot;Times New Roman&quot;"/>
    </font>
    <font>
      <b/>
      <sz val="12.0"/>
      <color theme="1"/>
      <name val="Calibri"/>
    </font>
    <font>
      <b/>
      <sz val="12.0"/>
      <color rgb="FFFFFFFF"/>
      <name val="Calibri"/>
    </font>
    <font>
      <b/>
      <sz val="16.0"/>
      <color theme="1"/>
      <name val="&quot;Times New Roman&quot;"/>
    </font>
    <font>
      <sz val="14.0"/>
      <color theme="1"/>
      <name val="&quot;Times New Roman&quot;"/>
    </font>
    <font>
      <sz val="9.0"/>
      <color rgb="FF000000"/>
      <name val="&quot;Google Sans Mono&quot;"/>
    </font>
    <font>
      <sz val="11.0"/>
      <color rgb="FF1F1F1F"/>
      <name val="&quot;Google Sans&quot;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21.0"/>
      <color rgb="FF1F1F1F"/>
      <name val="&quot;Times New Roman&quot;"/>
    </font>
    <font>
      <b/>
      <sz val="14.0"/>
      <color theme="1"/>
      <name val="&quot;Times New Roman&quot;"/>
    </font>
    <font>
      <b/>
      <sz val="12.0"/>
      <color theme="1"/>
      <name val="&quot;Times New Roman&quot;"/>
    </font>
    <font>
      <sz val="16.0"/>
      <color theme="1"/>
      <name val="&quot;Times New Roman&quot;"/>
    </font>
    <font>
      <sz val="11.0"/>
      <color rgb="FF000000"/>
      <name val="Arial"/>
    </font>
    <font>
      <b/>
      <sz val="11.0"/>
      <color theme="1"/>
      <name val="&quot;Times New Roman&quot;"/>
    </font>
    <font>
      <b/>
      <sz val="11.0"/>
      <color rgb="FFFFFFFF"/>
      <name val="&quot;Times New Roman&quot;"/>
    </font>
    <font>
      <sz val="13.0"/>
      <color theme="1"/>
      <name val="&quot;Times New Roman&quot;"/>
    </font>
    <font>
      <b/>
      <sz val="12.0"/>
      <color rgb="FFFFFFFF"/>
      <name val="Times New Roman"/>
    </font>
    <font>
      <sz val="10.0"/>
      <color rgb="FFFFFFFF"/>
      <name val="Times New Roman"/>
    </font>
    <font>
      <sz val="14.0"/>
      <color theme="1"/>
      <name val="Arial"/>
    </font>
    <font>
      <sz val="12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&quot;Times New Roman&quot;"/>
    </font>
    <font>
      <b/>
      <sz val="10.0"/>
      <color rgb="FFFFFFFF"/>
      <name val="&quot;Times New Roman&quot;"/>
    </font>
    <font>
      <b/>
      <sz val="12.0"/>
      <color theme="1"/>
      <name val="Times New Roman"/>
    </font>
    <font>
      <b/>
      <sz val="11.0"/>
      <color rgb="FFFFFFFF"/>
      <name val="Times New Roman"/>
    </font>
  </fonts>
  <fills count="3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ADB9CA"/>
        <bgColor rgb="FFADB9CA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E9F4E6"/>
        <bgColor rgb="FFE9F4E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EF9F4"/>
        <bgColor rgb="FFEEF9F4"/>
      </patternFill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rgb="FFF1C232"/>
        <bgColor rgb="FFF1C232"/>
      </patternFill>
    </fill>
    <fill>
      <patternFill patternType="solid">
        <fgColor rgb="FFEA4335"/>
        <bgColor rgb="FFEA4335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theme="5"/>
        <bgColor theme="5"/>
      </patternFill>
    </fill>
  </fills>
  <borders count="123">
    <border/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D9D9D9"/>
      </top>
      <bottom style="thin">
        <color rgb="FFD9D9D9"/>
      </bottom>
    </border>
    <border>
      <right style="medium">
        <color rgb="FF000000"/>
      </righ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bottom style="thin">
        <color rgb="FF999999"/>
      </bottom>
    </border>
    <border>
      <left style="medium">
        <color rgb="FF000000"/>
      </left>
      <right style="medium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000000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left style="thin">
        <color rgb="FF000000"/>
      </left>
      <top style="thin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000000"/>
      </right>
    </border>
    <border>
      <top style="thin">
        <color rgb="FFD9D9D9"/>
      </top>
    </border>
    <border>
      <right style="thin">
        <color rgb="FF666666"/>
      </right>
      <top style="medium">
        <color rgb="FF000000"/>
      </top>
      <bottom style="thin">
        <color rgb="FF999999"/>
      </bottom>
    </border>
    <border>
      <left style="thin">
        <color rgb="FF666666"/>
      </left>
      <right style="thin">
        <color rgb="FF999999"/>
      </right>
      <top style="medium">
        <color rgb="FF000000"/>
      </top>
      <bottom style="thin">
        <color rgb="FF999999"/>
      </bottom>
    </border>
    <border>
      <right style="thin">
        <color rgb="FF666666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666666"/>
      </right>
      <top style="thin">
        <color rgb="FF999999"/>
      </top>
      <bottom style="medium">
        <color rgb="FF000000"/>
      </bottom>
    </border>
    <border>
      <left style="thin">
        <color rgb="FF666666"/>
      </left>
      <right style="thin">
        <color rgb="FF999999"/>
      </right>
      <top style="thin">
        <color rgb="FF999999"/>
      </top>
      <bottom style="medium">
        <color rgb="FF000000"/>
      </bottom>
    </border>
    <border>
      <bottom style="thin">
        <color rgb="FFD9D9D9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right style="thin">
        <color rgb="FF999999"/>
      </right>
      <bottom style="medium">
        <color rgb="FF000000"/>
      </bottom>
    </border>
    <border>
      <left style="thin">
        <color rgb="FF999999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medium">
        <color rgb="FF000000"/>
      </bottom>
    </border>
    <border>
      <right style="thin">
        <color rgb="FF999999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medium">
        <color rgb="FF000000"/>
      </left>
      <right style="thin">
        <color rgb="FF999999"/>
      </right>
      <bottom style="thin">
        <color rgb="FF999999"/>
      </bottom>
    </border>
    <border>
      <left style="medium">
        <color rgb="FF000000"/>
      </left>
      <top style="medium">
        <color rgb="FF000000"/>
      </top>
      <bottom style="thin">
        <color rgb="FFD9D9D9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left style="thin">
        <color rgb="FF999999"/>
      </left>
      <right style="medium">
        <color rgb="FF000000"/>
      </right>
      <bottom style="medium">
        <color rgb="FF000000"/>
      </bottom>
    </border>
    <border>
      <right style="thin">
        <color rgb="FFD9D9D9"/>
      </right>
    </border>
    <border>
      <right style="thin">
        <color rgb="FFD9D9D9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2" fontId="2" numFmtId="2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4" fontId="4" numFmtId="0" xfId="0" applyAlignment="1" applyBorder="1" applyFill="1" applyFont="1">
      <alignment horizontal="center" shrinkToFit="0" wrapText="1"/>
    </xf>
    <xf borderId="3" fillId="5" fontId="4" numFmtId="0" xfId="0" applyAlignment="1" applyBorder="1" applyFill="1" applyFont="1">
      <alignment horizontal="center" shrinkToFit="0" wrapText="1"/>
    </xf>
    <xf borderId="3" fillId="6" fontId="4" numFmtId="0" xfId="0" applyAlignment="1" applyBorder="1" applyFill="1" applyFont="1">
      <alignment horizontal="center" shrinkToFit="0" wrapText="1"/>
    </xf>
    <xf borderId="3" fillId="7" fontId="4" numFmtId="0" xfId="0" applyAlignment="1" applyBorder="1" applyFill="1" applyFont="1">
      <alignment horizontal="center" shrinkToFit="0" wrapText="1"/>
    </xf>
    <xf borderId="3" fillId="8" fontId="4" numFmtId="0" xfId="0" applyAlignment="1" applyBorder="1" applyFill="1" applyFont="1">
      <alignment horizontal="center" shrinkToFit="0" wrapText="1"/>
    </xf>
    <xf borderId="3" fillId="8" fontId="4" numFmtId="0" xfId="0" applyAlignment="1" applyBorder="1" applyFont="1">
      <alignment horizontal="center" readingOrder="0" shrinkToFit="0" wrapText="1"/>
    </xf>
    <xf borderId="4" fillId="8" fontId="4" numFmtId="0" xfId="0" applyAlignment="1" applyBorder="1" applyFont="1">
      <alignment horizontal="center" shrinkToFit="0" vertical="bottom" wrapText="1"/>
    </xf>
    <xf borderId="5" fillId="8" fontId="4" numFmtId="0" xfId="0" applyAlignment="1" applyBorder="1" applyFont="1">
      <alignment horizontal="center" shrinkToFit="0" vertical="bottom" wrapText="1"/>
    </xf>
    <xf borderId="5" fillId="9" fontId="4" numFmtId="0" xfId="0" applyAlignment="1" applyBorder="1" applyFill="1" applyFont="1">
      <alignment horizontal="center" readingOrder="0" shrinkToFit="0" wrapText="1"/>
    </xf>
    <xf borderId="6" fillId="9" fontId="4" numFmtId="0" xfId="0" applyAlignment="1" applyBorder="1" applyFont="1">
      <alignment horizontal="center" readingOrder="0" shrinkToFit="0" wrapText="1"/>
    </xf>
    <xf borderId="4" fillId="9" fontId="4" numFmtId="0" xfId="0" applyAlignment="1" applyBorder="1" applyFont="1">
      <alignment horizontal="center" shrinkToFit="0" vertical="bottom" wrapText="1"/>
    </xf>
    <xf borderId="5" fillId="9" fontId="4" numFmtId="0" xfId="0" applyAlignment="1" applyBorder="1" applyFont="1">
      <alignment horizontal="center" readingOrder="0" shrinkToFit="0" vertical="bottom" wrapText="1"/>
    </xf>
    <xf borderId="7" fillId="4" fontId="5" numFmtId="0" xfId="0" applyAlignment="1" applyBorder="1" applyFont="1">
      <alignment horizontal="center" shrinkToFit="0" wrapText="1"/>
    </xf>
    <xf borderId="7" fillId="4" fontId="5" numFmtId="0" xfId="0" applyAlignment="1" applyBorder="1" applyFont="1">
      <alignment horizontal="center" readingOrder="0" shrinkToFit="0" wrapText="1"/>
    </xf>
    <xf borderId="3" fillId="4" fontId="5" numFmtId="0" xfId="0" applyAlignment="1" applyBorder="1" applyFont="1">
      <alignment horizontal="center" readingOrder="0" shrinkToFit="0" wrapText="1"/>
    </xf>
    <xf borderId="3" fillId="4" fontId="5" numFmtId="0" xfId="0" applyAlignment="1" applyBorder="1" applyFont="1">
      <alignment horizontal="center" readingOrder="0" shrinkToFit="0" vertical="bottom" wrapText="1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left" readingOrder="0"/>
    </xf>
    <xf borderId="8" fillId="0" fontId="6" numFmtId="1" xfId="0" applyAlignment="1" applyBorder="1" applyFont="1" applyNumberFormat="1">
      <alignment horizontal="center" readingOrder="0" vertical="bottom"/>
    </xf>
    <xf borderId="8" fillId="0" fontId="6" numFmtId="2" xfId="0" applyAlignment="1" applyBorder="1" applyFont="1" applyNumberFormat="1">
      <alignment horizontal="center" vertical="bottom"/>
    </xf>
    <xf borderId="9" fillId="0" fontId="6" numFmtId="2" xfId="0" applyAlignment="1" applyBorder="1" applyFont="1" applyNumberFormat="1">
      <alignment horizontal="center" vertical="bottom"/>
    </xf>
    <xf borderId="10" fillId="0" fontId="6" numFmtId="2" xfId="0" applyAlignment="1" applyBorder="1" applyFont="1" applyNumberFormat="1">
      <alignment horizontal="center" vertical="bottom"/>
    </xf>
    <xf borderId="10" fillId="0" fontId="6" numFmtId="4" xfId="0" applyAlignment="1" applyBorder="1" applyFont="1" applyNumberFormat="1">
      <alignment horizontal="center"/>
    </xf>
    <xf borderId="11" fillId="0" fontId="6" numFmtId="4" xfId="0" applyAlignment="1" applyBorder="1" applyFont="1" applyNumberFormat="1">
      <alignment horizontal="center"/>
    </xf>
    <xf borderId="12" fillId="0" fontId="6" numFmtId="3" xfId="0" applyAlignment="1" applyBorder="1" applyFont="1" applyNumberFormat="1">
      <alignment horizontal="center" vertical="bottom"/>
    </xf>
    <xf borderId="13" fillId="0" fontId="6" numFmtId="3" xfId="0" applyAlignment="1" applyBorder="1" applyFont="1" applyNumberFormat="1">
      <alignment horizontal="center" vertical="bottom"/>
    </xf>
    <xf borderId="14" fillId="0" fontId="6" numFmtId="3" xfId="0" applyAlignment="1" applyBorder="1" applyFont="1" applyNumberFormat="1">
      <alignment horizontal="center" vertical="bottom"/>
    </xf>
    <xf borderId="8" fillId="0" fontId="6" numFmtId="49" xfId="0" applyAlignment="1" applyBorder="1" applyFont="1" applyNumberFormat="1">
      <alignment horizontal="center"/>
    </xf>
    <xf borderId="8" fillId="0" fontId="6" numFmtId="49" xfId="0" applyAlignment="1" applyBorder="1" applyFont="1" applyNumberFormat="1">
      <alignment horizontal="center" readingOrder="0"/>
    </xf>
    <xf borderId="8" fillId="0" fontId="6" numFmtId="3" xfId="0" applyAlignment="1" applyBorder="1" applyFont="1" applyNumberFormat="1">
      <alignment horizontal="center"/>
    </xf>
    <xf borderId="15" fillId="0" fontId="6" numFmtId="2" xfId="0" applyAlignment="1" applyBorder="1" applyFont="1" applyNumberFormat="1">
      <alignment horizontal="center" vertical="bottom"/>
    </xf>
    <xf borderId="16" fillId="0" fontId="6" numFmtId="2" xfId="0" applyAlignment="1" applyBorder="1" applyFont="1" applyNumberFormat="1">
      <alignment horizontal="center" vertical="bottom"/>
    </xf>
    <xf borderId="10" fillId="0" fontId="3" numFmtId="2" xfId="0" applyAlignment="1" applyBorder="1" applyFont="1" applyNumberFormat="1">
      <alignment vertical="bottom"/>
    </xf>
    <xf borderId="11" fillId="0" fontId="6" numFmtId="2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horizontal="left"/>
    </xf>
    <xf borderId="17" fillId="0" fontId="6" numFmtId="2" xfId="0" applyAlignment="1" applyBorder="1" applyFont="1" applyNumberFormat="1">
      <alignment horizontal="center" vertical="bottom"/>
    </xf>
    <xf borderId="17" fillId="0" fontId="6" numFmtId="4" xfId="0" applyAlignment="1" applyBorder="1" applyFont="1" applyNumberFormat="1">
      <alignment horizontal="center"/>
    </xf>
    <xf borderId="18" fillId="0" fontId="6" numFmtId="4" xfId="0" applyAlignment="1" applyBorder="1" applyFont="1" applyNumberFormat="1">
      <alignment horizontal="center"/>
    </xf>
    <xf borderId="17" fillId="0" fontId="3" numFmtId="2" xfId="0" applyAlignment="1" applyBorder="1" applyFont="1" applyNumberFormat="1">
      <alignment vertical="bottom"/>
    </xf>
    <xf borderId="8" fillId="0" fontId="6" numFmtId="4" xfId="0" applyAlignment="1" applyBorder="1" applyFont="1" applyNumberFormat="1">
      <alignment horizontal="center" readingOrder="0"/>
    </xf>
    <xf borderId="8" fillId="0" fontId="6" numFmtId="3" xfId="0" applyAlignment="1" applyBorder="1" applyFont="1" applyNumberFormat="1">
      <alignment horizontal="center" readingOrder="0"/>
    </xf>
    <xf borderId="8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19" fillId="0" fontId="6" numFmtId="2" xfId="0" applyAlignment="1" applyBorder="1" applyFont="1" applyNumberFormat="1">
      <alignment horizontal="center" vertical="bottom"/>
    </xf>
    <xf borderId="19" fillId="0" fontId="6" numFmtId="4" xfId="0" applyAlignment="1" applyBorder="1" applyFont="1" applyNumberFormat="1">
      <alignment horizontal="center"/>
    </xf>
    <xf borderId="20" fillId="0" fontId="6" numFmtId="4" xfId="0" applyAlignment="1" applyBorder="1" applyFont="1" applyNumberFormat="1">
      <alignment horizontal="center"/>
    </xf>
    <xf borderId="3" fillId="0" fontId="6" numFmtId="49" xfId="0" applyAlignment="1" applyBorder="1" applyFont="1" applyNumberFormat="1">
      <alignment horizontal="center"/>
    </xf>
    <xf borderId="3" fillId="0" fontId="6" numFmtId="3" xfId="0" applyAlignment="1" applyBorder="1" applyFont="1" applyNumberFormat="1">
      <alignment horizontal="center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21" fillId="2" fontId="1" numFmtId="0" xfId="0" applyAlignment="1" applyBorder="1" applyFont="1">
      <alignment vertical="bottom"/>
    </xf>
    <xf borderId="22" fillId="2" fontId="2" numFmtId="0" xfId="0" applyAlignment="1" applyBorder="1" applyFont="1">
      <alignment horizontal="center" vertical="bottom"/>
    </xf>
    <xf borderId="23" fillId="2" fontId="1" numFmtId="0" xfId="0" applyAlignment="1" applyBorder="1" applyFont="1">
      <alignment vertical="bottom"/>
    </xf>
    <xf borderId="24" fillId="2" fontId="2" numFmtId="0" xfId="0" applyAlignment="1" applyBorder="1" applyFont="1">
      <alignment horizontal="center" vertical="bottom"/>
    </xf>
    <xf borderId="23" fillId="2" fontId="2" numFmtId="0" xfId="0" applyAlignment="1" applyBorder="1" applyFont="1">
      <alignment horizontal="center" vertical="bottom"/>
    </xf>
    <xf borderId="25" fillId="2" fontId="2" numFmtId="0" xfId="0" applyAlignment="1" applyBorder="1" applyFont="1">
      <alignment horizontal="center" vertical="bottom"/>
    </xf>
    <xf borderId="24" fillId="2" fontId="1" numFmtId="0" xfId="0" applyAlignment="1" applyBorder="1" applyFont="1">
      <alignment vertical="bottom"/>
    </xf>
    <xf borderId="26" fillId="10" fontId="7" numFmtId="0" xfId="0" applyAlignment="1" applyBorder="1" applyFill="1" applyFont="1">
      <alignment readingOrder="0" shrinkToFit="0" vertical="bottom" wrapText="0"/>
    </xf>
    <xf borderId="27" fillId="10" fontId="7" numFmtId="0" xfId="0" applyAlignment="1" applyBorder="1" applyFont="1">
      <alignment readingOrder="0" shrinkToFit="0" vertical="bottom" wrapText="0"/>
    </xf>
    <xf borderId="5" fillId="10" fontId="7" numFmtId="0" xfId="0" applyAlignment="1" applyBorder="1" applyFont="1">
      <alignment readingOrder="0" shrinkToFit="0" vertical="bottom" wrapText="0"/>
    </xf>
    <xf borderId="22" fillId="2" fontId="1" numFmtId="0" xfId="0" applyAlignment="1" applyBorder="1" applyFont="1">
      <alignment vertical="bottom"/>
    </xf>
    <xf borderId="28" fillId="10" fontId="7" numFmtId="0" xfId="0" applyAlignment="1" applyBorder="1" applyFont="1">
      <alignment readingOrder="0" shrinkToFit="0" vertical="bottom" wrapText="1"/>
    </xf>
    <xf borderId="0" fillId="11" fontId="7" numFmtId="2" xfId="0" applyAlignment="1" applyFill="1" applyFont="1" applyNumberFormat="1">
      <alignment horizontal="right" vertical="bottom"/>
    </xf>
    <xf borderId="2" fillId="10" fontId="3" numFmtId="0" xfId="0" applyAlignment="1" applyBorder="1" applyFont="1">
      <alignment vertical="bottom"/>
    </xf>
    <xf borderId="2" fillId="12" fontId="7" numFmtId="2" xfId="0" applyAlignment="1" applyBorder="1" applyFill="1" applyFont="1" applyNumberFormat="1">
      <alignment horizontal="right" vertical="bottom"/>
    </xf>
    <xf borderId="29" fillId="2" fontId="2" numFmtId="0" xfId="0" applyAlignment="1" applyBorder="1" applyFont="1">
      <alignment horizontal="center" vertical="bottom"/>
    </xf>
    <xf borderId="30" fillId="10" fontId="7" numFmtId="0" xfId="0" applyAlignment="1" applyBorder="1" applyFont="1">
      <alignment readingOrder="0" shrinkToFit="0" vertical="bottom" wrapText="0"/>
    </xf>
    <xf borderId="1" fillId="10" fontId="3" numFmtId="0" xfId="0" applyAlignment="1" applyBorder="1" applyFont="1">
      <alignment vertical="bottom"/>
    </xf>
    <xf borderId="1" fillId="11" fontId="7" numFmtId="2" xfId="0" applyAlignment="1" applyBorder="1" applyFont="1" applyNumberFormat="1">
      <alignment horizontal="right" vertical="bottom"/>
    </xf>
    <xf borderId="3" fillId="10" fontId="3" numFmtId="0" xfId="0" applyAlignment="1" applyBorder="1" applyFont="1">
      <alignment vertical="bottom"/>
    </xf>
    <xf borderId="1" fillId="10" fontId="7" numFmtId="0" xfId="0" applyAlignment="1" applyBorder="1" applyFont="1">
      <alignment readingOrder="0" shrinkToFit="0" vertical="bottom" wrapText="0"/>
    </xf>
    <xf borderId="1" fillId="0" fontId="8" numFmtId="0" xfId="0" applyBorder="1" applyFont="1"/>
    <xf borderId="3" fillId="12" fontId="7" numFmtId="2" xfId="0" applyAlignment="1" applyBorder="1" applyFont="1" applyNumberFormat="1">
      <alignment horizontal="right" vertical="bottom"/>
    </xf>
    <xf borderId="29" fillId="2" fontId="1" numFmtId="0" xfId="0" applyAlignment="1" applyBorder="1" applyFont="1">
      <alignment vertical="bottom"/>
    </xf>
    <xf borderId="31" fillId="2" fontId="1" numFmtId="0" xfId="0" applyAlignment="1" applyBorder="1" applyFont="1">
      <alignment vertical="bottom"/>
    </xf>
    <xf borderId="32" fillId="2" fontId="1" numFmtId="0" xfId="0" applyAlignment="1" applyBorder="1" applyFont="1">
      <alignment vertical="bottom"/>
    </xf>
    <xf borderId="7" fillId="7" fontId="4" numFmtId="0" xfId="0" applyAlignment="1" applyBorder="1" applyFont="1">
      <alignment horizontal="center" shrinkToFit="0" wrapText="1"/>
    </xf>
    <xf borderId="33" fillId="7" fontId="4" numFmtId="0" xfId="0" applyAlignment="1" applyBorder="1" applyFont="1">
      <alignment horizontal="center" shrinkToFit="0" wrapText="1"/>
    </xf>
    <xf borderId="34" fillId="8" fontId="4" numFmtId="0" xfId="0" applyAlignment="1" applyBorder="1" applyFont="1">
      <alignment horizontal="center" shrinkToFit="0" wrapText="1"/>
    </xf>
    <xf borderId="33" fillId="8" fontId="4" numFmtId="0" xfId="0" applyAlignment="1" applyBorder="1" applyFont="1">
      <alignment horizontal="center" shrinkToFit="0" wrapText="1"/>
    </xf>
    <xf borderId="7" fillId="13" fontId="4" numFmtId="0" xfId="0" applyAlignment="1" applyBorder="1" applyFill="1" applyFont="1">
      <alignment horizontal="center" readingOrder="0" shrinkToFit="0" wrapText="1"/>
    </xf>
    <xf borderId="35" fillId="13" fontId="4" numFmtId="0" xfId="0" applyAlignment="1" applyBorder="1" applyFont="1">
      <alignment horizontal="center" shrinkToFit="0" vertical="bottom" wrapText="1"/>
    </xf>
    <xf borderId="36" fillId="13" fontId="4" numFmtId="0" xfId="0" applyAlignment="1" applyBorder="1" applyFont="1">
      <alignment horizontal="center" shrinkToFit="0" vertical="bottom" wrapText="1"/>
    </xf>
    <xf borderId="4" fillId="9" fontId="4" numFmtId="0" xfId="0" applyAlignment="1" applyBorder="1" applyFont="1">
      <alignment horizontal="center" readingOrder="0" shrinkToFit="0" wrapText="1"/>
    </xf>
    <xf borderId="37" fillId="2" fontId="1" numFmtId="0" xfId="0" applyAlignment="1" applyBorder="1" applyFont="1">
      <alignment vertical="bottom"/>
    </xf>
    <xf borderId="38" fillId="11" fontId="4" numFmtId="0" xfId="0" applyAlignment="1" applyBorder="1" applyFont="1">
      <alignment horizontal="center" readingOrder="0"/>
    </xf>
    <xf borderId="39" fillId="0" fontId="4" numFmtId="0" xfId="0" applyAlignment="1" applyBorder="1" applyFont="1">
      <alignment horizontal="center"/>
    </xf>
    <xf borderId="40" fillId="0" fontId="6" numFmtId="1" xfId="0" applyAlignment="1" applyBorder="1" applyFont="1" applyNumberFormat="1">
      <alignment horizontal="center" vertical="bottom"/>
    </xf>
    <xf borderId="41" fillId="0" fontId="6" numFmtId="2" xfId="0" applyAlignment="1" applyBorder="1" applyFont="1" applyNumberFormat="1">
      <alignment horizontal="center" vertical="bottom"/>
    </xf>
    <xf borderId="42" fillId="0" fontId="6" numFmtId="2" xfId="0" applyAlignment="1" applyBorder="1" applyFont="1" applyNumberFormat="1">
      <alignment horizontal="center" vertical="bottom"/>
    </xf>
    <xf borderId="43" fillId="0" fontId="6" numFmtId="2" xfId="0" applyAlignment="1" applyBorder="1" applyFont="1" applyNumberFormat="1">
      <alignment horizontal="center" vertical="bottom"/>
    </xf>
    <xf borderId="44" fillId="0" fontId="6" numFmtId="2" xfId="0" applyAlignment="1" applyBorder="1" applyFont="1" applyNumberFormat="1">
      <alignment horizontal="center" vertical="bottom"/>
    </xf>
    <xf borderId="44" fillId="0" fontId="6" numFmtId="4" xfId="0" applyAlignment="1" applyBorder="1" applyFont="1" applyNumberFormat="1">
      <alignment horizontal="center"/>
    </xf>
    <xf borderId="43" fillId="0" fontId="6" numFmtId="4" xfId="0" applyAlignment="1" applyBorder="1" applyFont="1" applyNumberFormat="1">
      <alignment horizontal="center"/>
    </xf>
    <xf borderId="42" fillId="0" fontId="7" numFmtId="3" xfId="0" applyAlignment="1" applyBorder="1" applyFont="1" applyNumberFormat="1">
      <alignment horizontal="center" vertical="bottom"/>
    </xf>
    <xf borderId="44" fillId="0" fontId="7" numFmtId="3" xfId="0" applyAlignment="1" applyBorder="1" applyFont="1" applyNumberFormat="1">
      <alignment horizontal="center" vertical="bottom"/>
    </xf>
    <xf borderId="43" fillId="0" fontId="7" numFmtId="3" xfId="0" applyAlignment="1" applyBorder="1" applyFont="1" applyNumberFormat="1">
      <alignment horizontal="center" vertical="bottom"/>
    </xf>
    <xf borderId="42" fillId="0" fontId="7" numFmtId="49" xfId="0" applyAlignment="1" applyBorder="1" applyFont="1" applyNumberFormat="1">
      <alignment horizontal="center" vertical="bottom"/>
    </xf>
    <xf borderId="45" fillId="0" fontId="7" numFmtId="49" xfId="0" applyAlignment="1" applyBorder="1" applyFont="1" applyNumberFormat="1">
      <alignment horizontal="center" vertical="bottom"/>
    </xf>
    <xf borderId="46" fillId="0" fontId="7" numFmtId="2" xfId="0" applyAlignment="1" applyBorder="1" applyFont="1" applyNumberFormat="1">
      <alignment horizontal="center" vertical="bottom"/>
    </xf>
    <xf borderId="47" fillId="0" fontId="7" numFmtId="49" xfId="0" applyAlignment="1" applyBorder="1" applyFont="1" applyNumberFormat="1">
      <alignment horizontal="center" vertical="bottom"/>
    </xf>
    <xf borderId="45" fillId="0" fontId="6" numFmtId="4" xfId="0" applyAlignment="1" applyBorder="1" applyFont="1" applyNumberFormat="1">
      <alignment horizontal="center" vertical="bottom"/>
    </xf>
    <xf borderId="45" fillId="0" fontId="7" numFmtId="4" xfId="0" applyAlignment="1" applyBorder="1" applyFont="1" applyNumberFormat="1">
      <alignment horizontal="center" vertical="bottom"/>
    </xf>
    <xf borderId="45" fillId="0" fontId="7" numFmtId="2" xfId="0" applyAlignment="1" applyBorder="1" applyFont="1" applyNumberFormat="1">
      <alignment horizontal="center" vertical="bottom"/>
    </xf>
    <xf borderId="45" fillId="0" fontId="6" numFmtId="2" xfId="0" applyAlignment="1" applyBorder="1" applyFont="1" applyNumberFormat="1">
      <alignment horizontal="center" vertical="bottom"/>
    </xf>
    <xf borderId="48" fillId="0" fontId="6" numFmtId="2" xfId="0" applyAlignment="1" applyBorder="1" applyFont="1" applyNumberFormat="1">
      <alignment horizontal="center" vertical="bottom"/>
    </xf>
    <xf borderId="0" fillId="2" fontId="1" numFmtId="2" xfId="0" applyAlignment="1" applyFont="1" applyNumberFormat="1">
      <alignment vertical="bottom"/>
    </xf>
    <xf borderId="49" fillId="11" fontId="4" numFmtId="0" xfId="0" applyAlignment="1" applyBorder="1" applyFont="1">
      <alignment horizontal="center" readingOrder="0"/>
    </xf>
    <xf borderId="50" fillId="14" fontId="4" numFmtId="0" xfId="0" applyAlignment="1" applyBorder="1" applyFill="1" applyFont="1">
      <alignment horizontal="center"/>
    </xf>
    <xf borderId="51" fillId="14" fontId="6" numFmtId="1" xfId="0" applyAlignment="1" applyBorder="1" applyFont="1" applyNumberFormat="1">
      <alignment horizontal="center" vertical="bottom"/>
    </xf>
    <xf borderId="52" fillId="14" fontId="6" numFmtId="2" xfId="0" applyAlignment="1" applyBorder="1" applyFont="1" applyNumberFormat="1">
      <alignment horizontal="center" vertical="bottom"/>
    </xf>
    <xf borderId="53" fillId="14" fontId="6" numFmtId="2" xfId="0" applyAlignment="1" applyBorder="1" applyFont="1" applyNumberFormat="1">
      <alignment horizontal="center" vertical="bottom"/>
    </xf>
    <xf borderId="54" fillId="14" fontId="6" numFmtId="2" xfId="0" applyAlignment="1" applyBorder="1" applyFont="1" applyNumberFormat="1">
      <alignment horizontal="center" vertical="bottom"/>
    </xf>
    <xf borderId="55" fillId="14" fontId="6" numFmtId="2" xfId="0" applyAlignment="1" applyBorder="1" applyFont="1" applyNumberFormat="1">
      <alignment horizontal="center" vertical="bottom"/>
    </xf>
    <xf borderId="55" fillId="14" fontId="6" numFmtId="4" xfId="0" applyAlignment="1" applyBorder="1" applyFont="1" applyNumberFormat="1">
      <alignment horizontal="center"/>
    </xf>
    <xf borderId="54" fillId="14" fontId="6" numFmtId="4" xfId="0" applyAlignment="1" applyBorder="1" applyFont="1" applyNumberFormat="1">
      <alignment horizontal="center"/>
    </xf>
    <xf borderId="53" fillId="14" fontId="7" numFmtId="3" xfId="0" applyAlignment="1" applyBorder="1" applyFont="1" applyNumberFormat="1">
      <alignment horizontal="center" vertical="bottom"/>
    </xf>
    <xf borderId="55" fillId="14" fontId="7" numFmtId="3" xfId="0" applyAlignment="1" applyBorder="1" applyFont="1" applyNumberFormat="1">
      <alignment horizontal="center" vertical="bottom"/>
    </xf>
    <xf borderId="54" fillId="14" fontId="7" numFmtId="3" xfId="0" applyAlignment="1" applyBorder="1" applyFont="1" applyNumberFormat="1">
      <alignment horizontal="center" vertical="bottom"/>
    </xf>
    <xf borderId="53" fillId="14" fontId="7" numFmtId="49" xfId="0" applyAlignment="1" applyBorder="1" applyFont="1" applyNumberFormat="1">
      <alignment horizontal="center" vertical="bottom"/>
    </xf>
    <xf borderId="55" fillId="14" fontId="7" numFmtId="49" xfId="0" applyAlignment="1" applyBorder="1" applyFont="1" applyNumberFormat="1">
      <alignment horizontal="center" vertical="bottom"/>
    </xf>
    <xf borderId="54" fillId="14" fontId="7" numFmtId="2" xfId="0" applyAlignment="1" applyBorder="1" applyFont="1" applyNumberFormat="1">
      <alignment horizontal="center" vertical="bottom"/>
    </xf>
    <xf borderId="50" fillId="14" fontId="7" numFmtId="49" xfId="0" applyAlignment="1" applyBorder="1" applyFont="1" applyNumberFormat="1">
      <alignment horizontal="center" vertical="bottom"/>
    </xf>
    <xf borderId="55" fillId="14" fontId="7" numFmtId="4" xfId="0" applyAlignment="1" applyBorder="1" applyFont="1" applyNumberFormat="1">
      <alignment horizontal="center" vertical="bottom"/>
    </xf>
    <xf borderId="55" fillId="14" fontId="6" numFmtId="4" xfId="0" applyAlignment="1" applyBorder="1" applyFont="1" applyNumberFormat="1">
      <alignment horizontal="center" vertical="bottom"/>
    </xf>
    <xf borderId="55" fillId="14" fontId="7" numFmtId="2" xfId="0" applyAlignment="1" applyBorder="1" applyFont="1" applyNumberFormat="1">
      <alignment horizontal="center" vertical="bottom"/>
    </xf>
    <xf borderId="50" fillId="0" fontId="4" numFmtId="0" xfId="0" applyAlignment="1" applyBorder="1" applyFont="1">
      <alignment horizontal="center"/>
    </xf>
    <xf borderId="51" fillId="0" fontId="6" numFmtId="1" xfId="0" applyAlignment="1" applyBorder="1" applyFont="1" applyNumberFormat="1">
      <alignment horizontal="center" vertical="bottom"/>
    </xf>
    <xf borderId="52" fillId="0" fontId="6" numFmtId="2" xfId="0" applyAlignment="1" applyBorder="1" applyFont="1" applyNumberFormat="1">
      <alignment horizontal="center" vertical="bottom"/>
    </xf>
    <xf borderId="53" fillId="0" fontId="6" numFmtId="2" xfId="0" applyAlignment="1" applyBorder="1" applyFont="1" applyNumberFormat="1">
      <alignment horizontal="center" vertical="bottom"/>
    </xf>
    <xf borderId="54" fillId="0" fontId="6" numFmtId="2" xfId="0" applyAlignment="1" applyBorder="1" applyFont="1" applyNumberFormat="1">
      <alignment horizontal="center" vertical="bottom"/>
    </xf>
    <xf borderId="55" fillId="0" fontId="6" numFmtId="2" xfId="0" applyAlignment="1" applyBorder="1" applyFont="1" applyNumberFormat="1">
      <alignment horizontal="center" vertical="bottom"/>
    </xf>
    <xf borderId="55" fillId="0" fontId="6" numFmtId="4" xfId="0" applyAlignment="1" applyBorder="1" applyFont="1" applyNumberFormat="1">
      <alignment horizontal="center"/>
    </xf>
    <xf borderId="54" fillId="0" fontId="6" numFmtId="4" xfId="0" applyAlignment="1" applyBorder="1" applyFont="1" applyNumberFormat="1">
      <alignment horizontal="center"/>
    </xf>
    <xf borderId="53" fillId="0" fontId="7" numFmtId="3" xfId="0" applyAlignment="1" applyBorder="1" applyFont="1" applyNumberFormat="1">
      <alignment horizontal="center" vertical="bottom"/>
    </xf>
    <xf borderId="55" fillId="0" fontId="7" numFmtId="3" xfId="0" applyAlignment="1" applyBorder="1" applyFont="1" applyNumberFormat="1">
      <alignment horizontal="center" vertical="bottom"/>
    </xf>
    <xf borderId="54" fillId="0" fontId="7" numFmtId="3" xfId="0" applyAlignment="1" applyBorder="1" applyFont="1" applyNumberFormat="1">
      <alignment horizontal="center" vertical="bottom"/>
    </xf>
    <xf borderId="53" fillId="0" fontId="7" numFmtId="49" xfId="0" applyAlignment="1" applyBorder="1" applyFont="1" applyNumberFormat="1">
      <alignment horizontal="center" vertical="bottom"/>
    </xf>
    <xf borderId="55" fillId="0" fontId="7" numFmtId="49" xfId="0" applyAlignment="1" applyBorder="1" applyFont="1" applyNumberFormat="1">
      <alignment horizontal="center" vertical="bottom"/>
    </xf>
    <xf borderId="54" fillId="0" fontId="7" numFmtId="2" xfId="0" applyAlignment="1" applyBorder="1" applyFont="1" applyNumberFormat="1">
      <alignment horizontal="center" vertical="bottom"/>
    </xf>
    <xf borderId="50" fillId="0" fontId="7" numFmtId="49" xfId="0" applyAlignment="1" applyBorder="1" applyFont="1" applyNumberFormat="1">
      <alignment horizontal="center" vertical="bottom"/>
    </xf>
    <xf borderId="55" fillId="0" fontId="7" numFmtId="4" xfId="0" applyAlignment="1" applyBorder="1" applyFont="1" applyNumberFormat="1">
      <alignment horizontal="center" vertical="bottom"/>
    </xf>
    <xf borderId="55" fillId="0" fontId="6" numFmtId="4" xfId="0" applyAlignment="1" applyBorder="1" applyFont="1" applyNumberFormat="1">
      <alignment horizontal="center" vertical="bottom"/>
    </xf>
    <xf borderId="55" fillId="0" fontId="7" numFmtId="2" xfId="0" applyAlignment="1" applyBorder="1" applyFont="1" applyNumberFormat="1">
      <alignment horizontal="center" vertical="bottom"/>
    </xf>
    <xf borderId="49" fillId="12" fontId="4" numFmtId="0" xfId="0" applyAlignment="1" applyBorder="1" applyFont="1">
      <alignment horizontal="center" readingOrder="0"/>
    </xf>
    <xf borderId="49" fillId="0" fontId="4" numFmtId="0" xfId="0" applyAlignment="1" applyBorder="1" applyFont="1">
      <alignment horizontal="center" readingOrder="0"/>
    </xf>
    <xf borderId="56" fillId="0" fontId="4" numFmtId="0" xfId="0" applyAlignment="1" applyBorder="1" applyFont="1">
      <alignment horizontal="center" readingOrder="0"/>
    </xf>
    <xf borderId="57" fillId="14" fontId="4" numFmtId="0" xfId="0" applyAlignment="1" applyBorder="1" applyFont="1">
      <alignment horizontal="center"/>
    </xf>
    <xf borderId="58" fillId="14" fontId="6" numFmtId="1" xfId="0" applyAlignment="1" applyBorder="1" applyFont="1" applyNumberFormat="1">
      <alignment horizontal="center" vertical="bottom"/>
    </xf>
    <xf borderId="59" fillId="14" fontId="6" numFmtId="2" xfId="0" applyAlignment="1" applyBorder="1" applyFont="1" applyNumberFormat="1">
      <alignment horizontal="center" vertical="bottom"/>
    </xf>
    <xf borderId="60" fillId="14" fontId="6" numFmtId="2" xfId="0" applyAlignment="1" applyBorder="1" applyFont="1" applyNumberFormat="1">
      <alignment horizontal="center" vertical="bottom"/>
    </xf>
    <xf borderId="61" fillId="14" fontId="6" numFmtId="2" xfId="0" applyAlignment="1" applyBorder="1" applyFont="1" applyNumberFormat="1">
      <alignment horizontal="center" vertical="bottom"/>
    </xf>
    <xf borderId="62" fillId="14" fontId="6" numFmtId="2" xfId="0" applyAlignment="1" applyBorder="1" applyFont="1" applyNumberFormat="1">
      <alignment horizontal="center" vertical="bottom"/>
    </xf>
    <xf borderId="62" fillId="14" fontId="6" numFmtId="4" xfId="0" applyAlignment="1" applyBorder="1" applyFont="1" applyNumberFormat="1">
      <alignment horizontal="center"/>
    </xf>
    <xf borderId="61" fillId="14" fontId="6" numFmtId="4" xfId="0" applyAlignment="1" applyBorder="1" applyFont="1" applyNumberFormat="1">
      <alignment horizontal="center"/>
    </xf>
    <xf borderId="60" fillId="14" fontId="7" numFmtId="3" xfId="0" applyAlignment="1" applyBorder="1" applyFont="1" applyNumberFormat="1">
      <alignment horizontal="center" vertical="bottom"/>
    </xf>
    <xf borderId="62" fillId="14" fontId="7" numFmtId="3" xfId="0" applyAlignment="1" applyBorder="1" applyFont="1" applyNumberFormat="1">
      <alignment horizontal="center" vertical="bottom"/>
    </xf>
    <xf borderId="61" fillId="14" fontId="7" numFmtId="3" xfId="0" applyAlignment="1" applyBorder="1" applyFont="1" applyNumberFormat="1">
      <alignment horizontal="center" vertical="bottom"/>
    </xf>
    <xf borderId="60" fillId="14" fontId="7" numFmtId="49" xfId="0" applyAlignment="1" applyBorder="1" applyFont="1" applyNumberFormat="1">
      <alignment horizontal="center" vertical="bottom"/>
    </xf>
    <xf borderId="62" fillId="14" fontId="7" numFmtId="49" xfId="0" applyAlignment="1" applyBorder="1" applyFont="1" applyNumberFormat="1">
      <alignment horizontal="center" vertical="bottom"/>
    </xf>
    <xf borderId="61" fillId="14" fontId="7" numFmtId="2" xfId="0" applyAlignment="1" applyBorder="1" applyFont="1" applyNumberFormat="1">
      <alignment horizontal="center" vertical="bottom"/>
    </xf>
    <xf borderId="57" fillId="14" fontId="7" numFmtId="49" xfId="0" applyAlignment="1" applyBorder="1" applyFont="1" applyNumberFormat="1">
      <alignment horizontal="center" vertical="bottom"/>
    </xf>
    <xf borderId="62" fillId="0" fontId="6" numFmtId="4" xfId="0" applyAlignment="1" applyBorder="1" applyFont="1" applyNumberFormat="1">
      <alignment horizontal="center" vertical="bottom"/>
    </xf>
    <xf borderId="62" fillId="0" fontId="7" numFmtId="4" xfId="0" applyAlignment="1" applyBorder="1" applyFont="1" applyNumberFormat="1">
      <alignment horizontal="center" vertical="bottom"/>
    </xf>
    <xf borderId="62" fillId="0" fontId="7" numFmtId="2" xfId="0" applyAlignment="1" applyBorder="1" applyFont="1" applyNumberFormat="1">
      <alignment horizontal="center" vertical="bottom"/>
    </xf>
    <xf borderId="62" fillId="0" fontId="6" numFmtId="2" xfId="0" applyAlignment="1" applyBorder="1" applyFont="1" applyNumberFormat="1">
      <alignment horizontal="center" vertical="bottom"/>
    </xf>
    <xf borderId="63" fillId="2" fontId="1" numFmtId="0" xfId="0" applyAlignment="1" applyBorder="1" applyFont="1">
      <alignment vertical="bottom"/>
    </xf>
    <xf borderId="64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65" fillId="2" fontId="1" numFmtId="0" xfId="0" applyAlignment="1" applyBorder="1" applyFont="1">
      <alignment vertical="bottom"/>
    </xf>
    <xf borderId="66" fillId="0" fontId="1" numFmtId="0" xfId="0" applyAlignment="1" applyBorder="1" applyFont="1">
      <alignment vertical="bottom"/>
    </xf>
    <xf borderId="67" fillId="0" fontId="1" numFmtId="0" xfId="0" applyAlignment="1" applyBorder="1" applyFont="1">
      <alignment vertical="bottom"/>
    </xf>
    <xf borderId="68" fillId="0" fontId="1" numFmtId="0" xfId="0" applyAlignment="1" applyBorder="1" applyFont="1">
      <alignment vertical="bottom"/>
    </xf>
    <xf borderId="27" fillId="0" fontId="9" numFmtId="0" xfId="0" applyBorder="1" applyFont="1"/>
    <xf borderId="5" fillId="0" fontId="9" numFmtId="0" xfId="0" applyBorder="1" applyFont="1"/>
    <xf borderId="1" fillId="0" fontId="9" numFmtId="0" xfId="0" applyBorder="1" applyFont="1"/>
    <xf borderId="5" fillId="9" fontId="4" numFmtId="2" xfId="0" applyAlignment="1" applyBorder="1" applyFont="1" applyNumberFormat="1">
      <alignment horizontal="center" readingOrder="0" shrinkToFit="0" vertical="bottom" wrapText="1"/>
    </xf>
    <xf borderId="69" fillId="0" fontId="7" numFmtId="49" xfId="0" applyAlignment="1" applyBorder="1" applyFont="1" applyNumberFormat="1">
      <alignment horizontal="center" vertical="bottom"/>
    </xf>
    <xf borderId="70" fillId="0" fontId="7" numFmtId="4" xfId="0" applyAlignment="1" applyBorder="1" applyFont="1" applyNumberFormat="1">
      <alignment horizontal="center" vertical="bottom"/>
    </xf>
    <xf borderId="0" fillId="3" fontId="1" numFmtId="2" xfId="0" applyAlignment="1" applyFont="1" applyNumberFormat="1">
      <alignment vertical="bottom"/>
    </xf>
    <xf borderId="71" fillId="14" fontId="7" numFmtId="49" xfId="0" applyAlignment="1" applyBorder="1" applyFont="1" applyNumberFormat="1">
      <alignment horizontal="center" vertical="bottom"/>
    </xf>
    <xf borderId="72" fillId="14" fontId="7" numFmtId="4" xfId="0" applyAlignment="1" applyBorder="1" applyFont="1" applyNumberFormat="1">
      <alignment horizontal="center" vertical="bottom"/>
    </xf>
    <xf borderId="71" fillId="0" fontId="7" numFmtId="49" xfId="0" applyAlignment="1" applyBorder="1" applyFont="1" applyNumberFormat="1">
      <alignment horizontal="center" vertical="bottom"/>
    </xf>
    <xf borderId="72" fillId="0" fontId="7" numFmtId="4" xfId="0" applyAlignment="1" applyBorder="1" applyFont="1" applyNumberFormat="1">
      <alignment horizontal="center" vertical="bottom"/>
    </xf>
    <xf borderId="73" fillId="14" fontId="7" numFmtId="49" xfId="0" applyAlignment="1" applyBorder="1" applyFont="1" applyNumberFormat="1">
      <alignment horizontal="center" vertical="bottom"/>
    </xf>
    <xf borderId="74" fillId="0" fontId="7" numFmtId="4" xfId="0" applyAlignment="1" applyBorder="1" applyFont="1" applyNumberFormat="1">
      <alignment horizontal="center" vertical="bottom"/>
    </xf>
    <xf borderId="0" fillId="13" fontId="10" numFmtId="0" xfId="0" applyAlignment="1" applyFont="1">
      <alignment vertical="bottom"/>
    </xf>
    <xf borderId="0" fillId="13" fontId="10" numFmtId="0" xfId="0" applyAlignment="1" applyFont="1">
      <alignment horizontal="center" shrinkToFit="0" vertical="bottom" wrapText="1"/>
    </xf>
    <xf borderId="0" fillId="13" fontId="10" numFmtId="0" xfId="0" applyAlignment="1" applyFont="1">
      <alignment horizontal="center" vertical="bottom"/>
    </xf>
    <xf borderId="0" fillId="15" fontId="11" numFmtId="0" xfId="0" applyAlignment="1" applyFill="1" applyFont="1">
      <alignment horizontal="right" vertical="bottom"/>
    </xf>
    <xf borderId="0" fillId="15" fontId="11" numFmtId="0" xfId="0" applyAlignment="1" applyFont="1">
      <alignment vertical="bottom"/>
    </xf>
    <xf borderId="0" fillId="15" fontId="11" numFmtId="0" xfId="0" applyAlignment="1" applyFont="1">
      <alignment horizontal="right" readingOrder="0" vertical="bottom"/>
    </xf>
    <xf borderId="0" fillId="15" fontId="11" numFmtId="0" xfId="0" applyAlignment="1" applyFont="1">
      <alignment readingOrder="0" vertical="bottom"/>
    </xf>
    <xf borderId="0" fillId="11" fontId="11" numFmtId="0" xfId="0" applyAlignment="1" applyFont="1">
      <alignment horizontal="right" readingOrder="0" vertical="bottom"/>
    </xf>
    <xf borderId="0" fillId="11" fontId="11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11" fontId="11" numFmtId="0" xfId="0" applyAlignment="1" applyFont="1">
      <alignment horizontal="right" vertical="bottom"/>
    </xf>
    <xf borderId="0" fillId="16" fontId="11" numFmtId="0" xfId="0" applyAlignment="1" applyFill="1" applyFont="1">
      <alignment horizontal="right" vertical="bottom"/>
    </xf>
    <xf borderId="0" fillId="16" fontId="11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17" fontId="11" numFmtId="0" xfId="0" applyAlignment="1" applyFill="1" applyFont="1">
      <alignment horizontal="right" vertical="bottom"/>
    </xf>
    <xf borderId="0" fillId="17" fontId="11" numFmtId="0" xfId="0" applyAlignment="1" applyFont="1">
      <alignment vertical="bottom"/>
    </xf>
    <xf borderId="0" fillId="17" fontId="3" numFmtId="0" xfId="0" applyAlignment="1" applyFont="1">
      <alignment vertical="bottom"/>
    </xf>
    <xf borderId="0" fillId="9" fontId="11" numFmtId="0" xfId="0" applyAlignment="1" applyFont="1">
      <alignment horizontal="right" vertical="bottom"/>
    </xf>
    <xf borderId="0" fillId="9" fontId="11" numFmtId="0" xfId="0" applyAlignment="1" applyFont="1">
      <alignment vertical="bottom"/>
    </xf>
    <xf borderId="0" fillId="9" fontId="3" numFmtId="0" xfId="0" applyAlignment="1" applyFont="1">
      <alignment vertical="bottom"/>
    </xf>
    <xf borderId="0" fillId="18" fontId="11" numFmtId="0" xfId="0" applyAlignment="1" applyFill="1" applyFont="1">
      <alignment horizontal="right" vertical="bottom"/>
    </xf>
    <xf borderId="0" fillId="18" fontId="11" numFmtId="0" xfId="0" applyAlignment="1" applyFont="1">
      <alignment vertical="bottom"/>
    </xf>
    <xf borderId="0" fillId="18" fontId="3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12" fontId="11" numFmtId="0" xfId="0" applyAlignment="1" applyFont="1">
      <alignment vertical="bottom"/>
    </xf>
    <xf borderId="0" fillId="13" fontId="11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borderId="75" fillId="2" fontId="2" numFmtId="0" xfId="0" applyAlignment="1" applyBorder="1" applyFont="1">
      <alignment horizontal="left" shrinkToFit="0" vertical="bottom" wrapText="0"/>
    </xf>
    <xf borderId="21" fillId="2" fontId="3" numFmtId="0" xfId="0" applyAlignment="1" applyBorder="1" applyFont="1">
      <alignment vertical="bottom"/>
    </xf>
    <xf borderId="26" fillId="10" fontId="7" numFmtId="0" xfId="0" applyAlignment="1" applyBorder="1" applyFont="1">
      <alignment vertical="bottom"/>
    </xf>
    <xf borderId="26" fillId="10" fontId="7" numFmtId="0" xfId="0" applyAlignment="1" applyBorder="1" applyFont="1">
      <alignment shrinkToFit="0" vertical="bottom" wrapText="1"/>
    </xf>
    <xf borderId="4" fillId="11" fontId="7" numFmtId="2" xfId="0" applyAlignment="1" applyBorder="1" applyFont="1" applyNumberFormat="1">
      <alignment horizontal="right" vertical="bottom"/>
    </xf>
    <xf borderId="4" fillId="10" fontId="3" numFmtId="0" xfId="0" applyAlignment="1" applyBorder="1" applyFont="1">
      <alignment vertical="bottom"/>
    </xf>
    <xf borderId="26" fillId="10" fontId="7" numFmtId="0" xfId="0" applyAlignment="1" applyBorder="1" applyFont="1">
      <alignment shrinkToFit="0" vertical="bottom" wrapText="1"/>
    </xf>
    <xf borderId="4" fillId="12" fontId="7" numFmtId="2" xfId="0" applyAlignment="1" applyBorder="1" applyFont="1" applyNumberFormat="1">
      <alignment horizontal="right" vertical="bottom"/>
    </xf>
    <xf borderId="4" fillId="10" fontId="7" numFmtId="0" xfId="0" applyAlignment="1" applyBorder="1" applyFont="1">
      <alignment shrinkToFit="0" vertical="bottom" wrapText="0"/>
    </xf>
    <xf borderId="4" fillId="10" fontId="3" numFmtId="0" xfId="0" applyAlignment="1" applyBorder="1" applyFont="1">
      <alignment vertical="bottom"/>
    </xf>
    <xf borderId="29" fillId="2" fontId="12" numFmtId="0" xfId="0" applyAlignment="1" applyBorder="1" applyFont="1">
      <alignment horizontal="left" readingOrder="0" vertical="bottom"/>
    </xf>
    <xf borderId="21" fillId="2" fontId="3" numFmtId="3" xfId="0" applyAlignment="1" applyBorder="1" applyFont="1" applyNumberFormat="1">
      <alignment vertical="bottom"/>
    </xf>
    <xf borderId="29" fillId="2" fontId="13" numFmtId="0" xfId="0" applyAlignment="1" applyBorder="1" applyFont="1">
      <alignment horizontal="left" readingOrder="0" vertical="bottom"/>
    </xf>
    <xf borderId="76" fillId="6" fontId="4" numFmtId="0" xfId="0" applyAlignment="1" applyBorder="1" applyFont="1">
      <alignment horizontal="center" shrinkToFit="0" wrapText="1"/>
    </xf>
    <xf borderId="77" fillId="6" fontId="4" numFmtId="0" xfId="0" applyAlignment="1" applyBorder="1" applyFont="1">
      <alignment horizontal="center" shrinkToFit="0" wrapText="1"/>
    </xf>
    <xf borderId="78" fillId="7" fontId="4" numFmtId="0" xfId="0" applyAlignment="1" applyBorder="1" applyFont="1">
      <alignment horizontal="center" shrinkToFit="0" wrapText="1"/>
    </xf>
    <xf borderId="36" fillId="13" fontId="4" numFmtId="0" xfId="0" applyAlignment="1" applyBorder="1" applyFont="1">
      <alignment horizontal="center" readingOrder="0" shrinkToFit="0" vertical="bottom" wrapText="1"/>
    </xf>
    <xf borderId="79" fillId="11" fontId="4" numFmtId="2" xfId="0" applyAlignment="1" applyBorder="1" applyFont="1" applyNumberFormat="1">
      <alignment horizontal="center" shrinkToFit="0" vertical="bottom" wrapText="1"/>
    </xf>
    <xf borderId="5" fillId="11" fontId="4" numFmtId="2" xfId="0" applyAlignment="1" applyBorder="1" applyFont="1" applyNumberFormat="1">
      <alignment horizontal="center" readingOrder="0" shrinkToFit="0" vertical="bottom" wrapText="1"/>
    </xf>
    <xf borderId="80" fillId="12" fontId="4" numFmtId="2" xfId="0" applyAlignment="1" applyBorder="1" applyFont="1" applyNumberFormat="1">
      <alignment horizontal="center" shrinkToFit="0" vertical="bottom" wrapText="1"/>
    </xf>
    <xf borderId="81" fillId="12" fontId="4" numFmtId="2" xfId="0" applyAlignment="1" applyBorder="1" applyFont="1" applyNumberFormat="1">
      <alignment horizontal="center" readingOrder="0" shrinkToFit="0" vertical="bottom" wrapText="1"/>
    </xf>
    <xf borderId="5" fillId="13" fontId="4" numFmtId="0" xfId="0" applyAlignment="1" applyBorder="1" applyFont="1">
      <alignment horizontal="center" shrinkToFit="0" vertical="bottom" wrapText="1"/>
    </xf>
    <xf borderId="4" fillId="5" fontId="4" numFmtId="0" xfId="0" applyAlignment="1" applyBorder="1" applyFont="1">
      <alignment horizontal="center" shrinkToFit="0" vertical="bottom" wrapText="1"/>
    </xf>
    <xf borderId="80" fillId="6" fontId="4" numFmtId="0" xfId="0" applyAlignment="1" applyBorder="1" applyFont="1">
      <alignment horizontal="center" shrinkToFit="0" vertical="bottom" wrapText="1"/>
    </xf>
    <xf borderId="5" fillId="7" fontId="4" numFmtId="0" xfId="0" applyAlignment="1" applyBorder="1" applyFont="1">
      <alignment horizontal="center" shrinkToFit="0" vertical="top" wrapText="1"/>
    </xf>
    <xf borderId="82" fillId="0" fontId="6" numFmtId="1" xfId="0" applyAlignment="1" applyBorder="1" applyFont="1" applyNumberFormat="1">
      <alignment horizontal="center" vertical="bottom"/>
    </xf>
    <xf borderId="83" fillId="0" fontId="6" numFmtId="1" xfId="0" applyAlignment="1" applyBorder="1" applyFont="1" applyNumberFormat="1">
      <alignment horizontal="center" vertical="bottom"/>
    </xf>
    <xf borderId="84" fillId="0" fontId="6" numFmtId="2" xfId="0" applyAlignment="1" applyBorder="1" applyFont="1" applyNumberFormat="1">
      <alignment horizontal="center" vertical="bottom"/>
    </xf>
    <xf borderId="38" fillId="0" fontId="6" numFmtId="2" xfId="0" applyAlignment="1" applyBorder="1" applyFont="1" applyNumberFormat="1">
      <alignment horizontal="center" vertical="bottom"/>
    </xf>
    <xf borderId="38" fillId="19" fontId="6" numFmtId="4" xfId="0" applyAlignment="1" applyBorder="1" applyFill="1" applyFont="1" applyNumberFormat="1">
      <alignment horizontal="center" vertical="bottom"/>
    </xf>
    <xf borderId="28" fillId="11" fontId="4" numFmtId="3" xfId="0" applyAlignment="1" applyBorder="1" applyFont="1" applyNumberFormat="1">
      <alignment horizontal="center" vertical="bottom"/>
    </xf>
    <xf borderId="0" fillId="11" fontId="4" numFmtId="3" xfId="0" applyAlignment="1" applyFont="1" applyNumberFormat="1">
      <alignment horizontal="right" vertical="bottom"/>
    </xf>
    <xf borderId="0" fillId="11" fontId="4" numFmtId="4" xfId="0" applyAlignment="1" applyFont="1" applyNumberFormat="1">
      <alignment horizontal="right" vertical="bottom"/>
    </xf>
    <xf borderId="2" fillId="11" fontId="4" numFmtId="4" xfId="0" applyAlignment="1" applyBorder="1" applyFont="1" applyNumberFormat="1">
      <alignment horizontal="right" vertical="bottom"/>
    </xf>
    <xf borderId="85" fillId="12" fontId="4" numFmtId="3" xfId="0" applyAlignment="1" applyBorder="1" applyFont="1" applyNumberFormat="1">
      <alignment horizontal="center" vertical="bottom"/>
    </xf>
    <xf borderId="86" fillId="12" fontId="4" numFmtId="3" xfId="0" applyAlignment="1" applyBorder="1" applyFont="1" applyNumberFormat="1">
      <alignment horizontal="right" vertical="bottom"/>
    </xf>
    <xf borderId="86" fillId="12" fontId="4" numFmtId="4" xfId="0" applyAlignment="1" applyBorder="1" applyFont="1" applyNumberFormat="1">
      <alignment horizontal="right" vertical="bottom"/>
    </xf>
    <xf borderId="87" fillId="12" fontId="4" numFmtId="4" xfId="0" applyAlignment="1" applyBorder="1" applyFont="1" applyNumberFormat="1">
      <alignment horizontal="right" vertical="bottom"/>
    </xf>
    <xf borderId="88" fillId="14" fontId="6" numFmtId="1" xfId="0" applyAlignment="1" applyBorder="1" applyFont="1" applyNumberFormat="1">
      <alignment horizontal="center" vertical="bottom"/>
    </xf>
    <xf borderId="84" fillId="14" fontId="6" numFmtId="2" xfId="0" applyAlignment="1" applyBorder="1" applyFont="1" applyNumberFormat="1">
      <alignment horizontal="center" vertical="bottom"/>
    </xf>
    <xf borderId="43" fillId="14" fontId="6" numFmtId="2" xfId="0" applyAlignment="1" applyBorder="1" applyFont="1" applyNumberFormat="1">
      <alignment horizontal="center" vertical="bottom"/>
    </xf>
    <xf borderId="42" fillId="14" fontId="6" numFmtId="2" xfId="0" applyAlignment="1" applyBorder="1" applyFont="1" applyNumberFormat="1">
      <alignment horizontal="center" vertical="bottom"/>
    </xf>
    <xf borderId="38" fillId="14" fontId="6" numFmtId="2" xfId="0" applyAlignment="1" applyBorder="1" applyFont="1" applyNumberFormat="1">
      <alignment horizontal="center" vertical="bottom"/>
    </xf>
    <xf borderId="30" fillId="11" fontId="4" numFmtId="3" xfId="0" applyAlignment="1" applyBorder="1" applyFont="1" applyNumberFormat="1">
      <alignment horizontal="center" vertical="bottom"/>
    </xf>
    <xf borderId="1" fillId="11" fontId="4" numFmtId="3" xfId="0" applyAlignment="1" applyBorder="1" applyFont="1" applyNumberFormat="1">
      <alignment horizontal="right" vertical="bottom"/>
    </xf>
    <xf borderId="1" fillId="11" fontId="4" numFmtId="4" xfId="0" applyAlignment="1" applyBorder="1" applyFont="1" applyNumberFormat="1">
      <alignment horizontal="right" vertical="bottom"/>
    </xf>
    <xf borderId="28" fillId="12" fontId="4" numFmtId="3" xfId="0" applyAlignment="1" applyBorder="1" applyFont="1" applyNumberFormat="1">
      <alignment horizontal="center" vertical="bottom"/>
    </xf>
    <xf borderId="0" fillId="12" fontId="4" numFmtId="3" xfId="0" applyAlignment="1" applyFont="1" applyNumberFormat="1">
      <alignment horizontal="right" vertical="bottom"/>
    </xf>
    <xf borderId="0" fillId="12" fontId="4" numFmtId="4" xfId="0" applyAlignment="1" applyFont="1" applyNumberFormat="1">
      <alignment horizontal="right" vertical="bottom"/>
    </xf>
    <xf borderId="2" fillId="12" fontId="4" numFmtId="4" xfId="0" applyAlignment="1" applyBorder="1" applyFont="1" applyNumberFormat="1">
      <alignment horizontal="right" vertical="bottom"/>
    </xf>
    <xf borderId="88" fillId="0" fontId="6" numFmtId="1" xfId="0" applyAlignment="1" applyBorder="1" applyFont="1" applyNumberFormat="1">
      <alignment horizontal="center" vertical="bottom"/>
    </xf>
    <xf borderId="28" fillId="10" fontId="4" numFmtId="3" xfId="0" applyAlignment="1" applyBorder="1" applyFont="1" applyNumberFormat="1">
      <alignment horizontal="center" vertical="bottom"/>
    </xf>
    <xf borderId="0" fillId="10" fontId="4" numFmtId="3" xfId="0" applyAlignment="1" applyFont="1" applyNumberFormat="1">
      <alignment horizontal="right" vertical="bottom"/>
    </xf>
    <xf borderId="0" fillId="10" fontId="4" numFmtId="4" xfId="0" applyAlignment="1" applyFont="1" applyNumberFormat="1">
      <alignment horizontal="right" vertical="bottom"/>
    </xf>
    <xf borderId="87" fillId="10" fontId="4" numFmtId="4" xfId="0" applyAlignment="1" applyBorder="1" applyFont="1" applyNumberFormat="1">
      <alignment horizontal="right" vertical="bottom"/>
    </xf>
    <xf borderId="30" fillId="10" fontId="4" numFmtId="3" xfId="0" applyAlignment="1" applyBorder="1" applyFont="1" applyNumberFormat="1">
      <alignment horizontal="center" vertical="bottom"/>
    </xf>
    <xf borderId="1" fillId="10" fontId="4" numFmtId="3" xfId="0" applyAlignment="1" applyBorder="1" applyFont="1" applyNumberFormat="1">
      <alignment horizontal="right" vertical="bottom"/>
    </xf>
    <xf borderId="1" fillId="10" fontId="4" numFmtId="4" xfId="0" applyAlignment="1" applyBorder="1" applyFont="1" applyNumberFormat="1">
      <alignment horizontal="right" vertical="bottom"/>
    </xf>
    <xf borderId="3" fillId="10" fontId="4" numFmtId="4" xfId="0" applyAlignment="1" applyBorder="1" applyFont="1" applyNumberFormat="1">
      <alignment horizontal="right" vertical="bottom"/>
    </xf>
    <xf borderId="30" fillId="12" fontId="4" numFmtId="3" xfId="0" applyAlignment="1" applyBorder="1" applyFont="1" applyNumberFormat="1">
      <alignment horizontal="center" vertical="bottom"/>
    </xf>
    <xf borderId="1" fillId="12" fontId="4" numFmtId="3" xfId="0" applyAlignment="1" applyBorder="1" applyFont="1" applyNumberFormat="1">
      <alignment horizontal="right" vertical="bottom"/>
    </xf>
    <xf borderId="1" fillId="12" fontId="4" numFmtId="4" xfId="0" applyAlignment="1" applyBorder="1" applyFont="1" applyNumberFormat="1">
      <alignment horizontal="right" vertical="bottom"/>
    </xf>
    <xf borderId="3" fillId="12" fontId="4" numFmtId="4" xfId="0" applyAlignment="1" applyBorder="1" applyFont="1" applyNumberFormat="1">
      <alignment horizontal="right" vertical="bottom"/>
    </xf>
    <xf borderId="2" fillId="10" fontId="4" numFmtId="4" xfId="0" applyAlignment="1" applyBorder="1" applyFont="1" applyNumberFormat="1">
      <alignment horizontal="right" vertical="bottom"/>
    </xf>
    <xf borderId="56" fillId="11" fontId="4" numFmtId="0" xfId="0" applyAlignment="1" applyBorder="1" applyFont="1">
      <alignment horizontal="center" readingOrder="0"/>
    </xf>
    <xf borderId="57" fillId="0" fontId="4" numFmtId="0" xfId="0" applyAlignment="1" applyBorder="1" applyFont="1">
      <alignment horizontal="center"/>
    </xf>
    <xf borderId="89" fillId="0" fontId="6" numFmtId="1" xfId="0" applyAlignment="1" applyBorder="1" applyFont="1" applyNumberFormat="1">
      <alignment horizontal="center" vertical="bottom"/>
    </xf>
    <xf borderId="90" fillId="0" fontId="6" numFmtId="1" xfId="0" applyAlignment="1" applyBorder="1" applyFont="1" applyNumberFormat="1">
      <alignment horizontal="center" vertical="bottom"/>
    </xf>
    <xf borderId="91" fillId="14" fontId="6" numFmtId="2" xfId="0" applyAlignment="1" applyBorder="1" applyFont="1" applyNumberFormat="1">
      <alignment horizontal="center" vertical="bottom"/>
    </xf>
    <xf borderId="92" fillId="0" fontId="6" numFmtId="2" xfId="0" applyAlignment="1" applyBorder="1" applyFont="1" applyNumberFormat="1">
      <alignment horizontal="center" vertical="bottom"/>
    </xf>
    <xf borderId="76" fillId="14" fontId="6" numFmtId="2" xfId="0" applyAlignment="1" applyBorder="1" applyFont="1" applyNumberFormat="1">
      <alignment horizontal="center" vertical="bottom"/>
    </xf>
    <xf borderId="3" fillId="0" fontId="6" numFmtId="2" xfId="0" applyAlignment="1" applyBorder="1" applyFont="1" applyNumberFormat="1">
      <alignment horizontal="center" vertical="bottom"/>
    </xf>
    <xf borderId="38" fillId="12" fontId="4" numFmtId="0" xfId="0" applyAlignment="1" applyBorder="1" applyFont="1">
      <alignment horizontal="center" readingOrder="0"/>
    </xf>
    <xf borderId="39" fillId="14" fontId="4" numFmtId="0" xfId="0" applyAlignment="1" applyBorder="1" applyFont="1">
      <alignment horizontal="center"/>
    </xf>
    <xf borderId="82" fillId="14" fontId="6" numFmtId="1" xfId="0" applyAlignment="1" applyBorder="1" applyFont="1" applyNumberFormat="1">
      <alignment horizontal="center" vertical="bottom"/>
    </xf>
    <xf borderId="44" fillId="14" fontId="6" numFmtId="2" xfId="0" applyAlignment="1" applyBorder="1" applyFont="1" applyNumberFormat="1">
      <alignment horizontal="center" vertical="bottom"/>
    </xf>
    <xf borderId="56" fillId="12" fontId="4" numFmtId="0" xfId="0" applyAlignment="1" applyBorder="1" applyFont="1">
      <alignment horizontal="center" readingOrder="0"/>
    </xf>
    <xf borderId="91" fillId="0" fontId="6" numFmtId="2" xfId="0" applyAlignment="1" applyBorder="1" applyFont="1" applyNumberFormat="1">
      <alignment horizontal="center" vertical="bottom"/>
    </xf>
    <xf borderId="76" fillId="0" fontId="6" numFmtId="2" xfId="0" applyAlignment="1" applyBorder="1" applyFont="1" applyNumberFormat="1">
      <alignment horizontal="center" vertical="bottom"/>
    </xf>
    <xf borderId="38" fillId="0" fontId="4" numFmtId="0" xfId="0" applyAlignment="1" applyBorder="1" applyFont="1">
      <alignment horizontal="center" readingOrder="0"/>
    </xf>
    <xf borderId="21" fillId="2" fontId="3" numFmtId="49" xfId="0" applyAlignment="1" applyBorder="1" applyFont="1" applyNumberFormat="1">
      <alignment vertical="bottom"/>
    </xf>
    <xf borderId="89" fillId="14" fontId="6" numFmtId="1" xfId="0" applyAlignment="1" applyBorder="1" applyFont="1" applyNumberFormat="1">
      <alignment horizontal="center" vertical="bottom"/>
    </xf>
    <xf borderId="92" fillId="0" fontId="6" numFmtId="4" xfId="0" applyAlignment="1" applyBorder="1" applyFont="1" applyNumberFormat="1">
      <alignment horizontal="center" vertical="bottom"/>
    </xf>
    <xf borderId="3" fillId="14" fontId="6" numFmtId="2" xfId="0" applyAlignment="1" applyBorder="1" applyFont="1" applyNumberFormat="1">
      <alignment horizontal="center" vertical="bottom"/>
    </xf>
    <xf borderId="23" fillId="2" fontId="3" numFmtId="0" xfId="0" applyAlignment="1" applyBorder="1" applyFont="1">
      <alignment vertical="bottom"/>
    </xf>
    <xf borderId="0" fillId="20" fontId="7" numFmtId="0" xfId="0" applyAlignment="1" applyFill="1" applyFont="1">
      <alignment shrinkToFit="0" vertical="bottom" wrapText="0"/>
    </xf>
    <xf borderId="0" fillId="21" fontId="7" numFmtId="0" xfId="0" applyAlignment="1" applyFill="1" applyFont="1">
      <alignment readingOrder="0" shrinkToFit="0" vertical="bottom" wrapText="0"/>
    </xf>
    <xf borderId="0" fillId="21" fontId="3" numFmtId="0" xfId="0" applyAlignment="1" applyFont="1">
      <alignment vertical="bottom"/>
    </xf>
    <xf borderId="0" fillId="22" fontId="7" numFmtId="0" xfId="0" applyAlignment="1" applyFill="1" applyFont="1">
      <alignment shrinkToFit="0" vertical="bottom" wrapText="0"/>
    </xf>
    <xf borderId="0" fillId="19" fontId="7" numFmtId="0" xfId="0" applyAlignment="1" applyFont="1">
      <alignment shrinkToFit="0" vertical="bottom" wrapText="0"/>
    </xf>
    <xf borderId="93" fillId="2" fontId="3" numFmtId="0" xfId="0" applyAlignment="1" applyBorder="1" applyFont="1">
      <alignment vertical="bottom"/>
    </xf>
    <xf borderId="94" fillId="2" fontId="3" numFmtId="0" xfId="0" applyAlignment="1" applyBorder="1" applyFont="1">
      <alignment vertical="bottom"/>
    </xf>
    <xf borderId="86" fillId="3" fontId="1" numFmtId="0" xfId="0" applyAlignment="1" applyBorder="1" applyFont="1">
      <alignment horizontal="left" vertical="bottom"/>
    </xf>
    <xf borderId="86" fillId="3" fontId="2" numFmtId="0" xfId="0" applyAlignment="1" applyBorder="1" applyFont="1">
      <alignment horizontal="center" vertical="bottom"/>
    </xf>
    <xf borderId="86" fillId="0" fontId="9" numFmtId="0" xfId="0" applyBorder="1" applyFont="1"/>
    <xf borderId="0" fillId="23" fontId="1" numFmtId="0" xfId="0" applyAlignment="1" applyFill="1" applyFont="1">
      <alignment vertical="bottom"/>
    </xf>
    <xf borderId="0" fillId="23" fontId="2" numFmtId="0" xfId="0" applyAlignment="1" applyFont="1">
      <alignment horizontal="center" vertical="bottom"/>
    </xf>
    <xf borderId="0" fillId="24" fontId="2" numFmtId="0" xfId="0" applyAlignment="1" applyFill="1" applyFont="1">
      <alignment horizontal="center" vertical="bottom"/>
    </xf>
    <xf borderId="0" fillId="16" fontId="14" numFmtId="0" xfId="0" applyAlignment="1" applyFont="1">
      <alignment horizontal="center" shrinkToFit="0" vertical="bottom" wrapText="1"/>
    </xf>
    <xf borderId="0" fillId="22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5" fontId="16" numFmtId="0" xfId="0" applyAlignment="1" applyFont="1">
      <alignment horizontal="left" shrinkToFit="0" vertical="bottom" wrapText="1"/>
    </xf>
    <xf borderId="0" fillId="6" fontId="16" numFmtId="0" xfId="0" applyAlignment="1" applyFont="1">
      <alignment horizontal="center" shrinkToFit="0" vertical="bottom" wrapText="1"/>
    </xf>
    <xf borderId="0" fillId="7" fontId="16" numFmtId="0" xfId="0" applyAlignment="1" applyFont="1">
      <alignment horizontal="center" shrinkToFit="0" vertical="bottom" wrapText="1"/>
    </xf>
    <xf borderId="0" fillId="20" fontId="7" numFmtId="0" xfId="0" applyAlignment="1" applyFont="1">
      <alignment horizontal="center" shrinkToFit="0" vertical="bottom" wrapText="1"/>
    </xf>
    <xf borderId="0" fillId="20" fontId="7" numFmtId="0" xfId="0" applyAlignment="1" applyFont="1">
      <alignment readingOrder="0" shrinkToFit="0" vertical="bottom" wrapText="1"/>
    </xf>
    <xf borderId="95" fillId="15" fontId="16" numFmtId="0" xfId="0" applyAlignment="1" applyBorder="1" applyFont="1">
      <alignment horizontal="center" shrinkToFit="0" vertical="bottom" wrapText="1"/>
    </xf>
    <xf borderId="0" fillId="25" fontId="17" numFmtId="0" xfId="0" applyAlignment="1" applyFill="1" applyFont="1">
      <alignment horizontal="center" shrinkToFit="0" vertical="bottom" wrapText="1"/>
    </xf>
    <xf borderId="0" fillId="26" fontId="17" numFmtId="0" xfId="0" applyAlignment="1" applyFill="1" applyFont="1">
      <alignment horizontal="center" shrinkToFit="0" vertical="bottom" wrapText="1"/>
    </xf>
    <xf borderId="0" fillId="27" fontId="16" numFmtId="0" xfId="0" applyAlignment="1" applyFill="1" applyFont="1">
      <alignment horizontal="center" shrinkToFit="0" vertical="bottom" wrapText="1"/>
    </xf>
    <xf borderId="0" fillId="28" fontId="16" numFmtId="0" xfId="0" applyAlignment="1" applyFill="1" applyFont="1">
      <alignment horizontal="center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26" fontId="17" numFmtId="2" xfId="0" applyAlignment="1" applyFont="1" applyNumberFormat="1">
      <alignment horizontal="center" shrinkToFit="0" vertical="bottom" wrapText="1"/>
    </xf>
    <xf borderId="0" fillId="27" fontId="16" numFmtId="4" xfId="0" applyAlignment="1" applyFont="1" applyNumberFormat="1">
      <alignment horizontal="center" shrinkToFit="0" vertical="bottom" wrapText="1"/>
    </xf>
    <xf borderId="0" fillId="25" fontId="17" numFmtId="2" xfId="0" applyAlignment="1" applyFont="1" applyNumberFormat="1">
      <alignment horizontal="center" shrinkToFit="0" vertical="bottom" wrapText="1"/>
    </xf>
    <xf borderId="0" fillId="28" fontId="16" numFmtId="2" xfId="0" applyAlignment="1" applyFont="1" applyNumberFormat="1">
      <alignment horizontal="center" shrinkToFit="0" vertical="bottom" wrapText="1"/>
    </xf>
    <xf borderId="0" fillId="0" fontId="16" numFmtId="2" xfId="0" applyAlignment="1" applyFont="1" applyNumberFormat="1">
      <alignment horizontal="center" readingOrder="0" shrinkToFit="0" vertical="bottom" wrapText="1"/>
    </xf>
    <xf borderId="0" fillId="0" fontId="16" numFmtId="2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left" readingOrder="0"/>
    </xf>
    <xf borderId="0" fillId="0" fontId="5" numFmtId="1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67" fillId="0" fontId="5" numFmtId="2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95" fillId="0" fontId="5" numFmtId="1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67" fillId="0" fontId="5" numFmtId="1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9" xfId="0" applyAlignment="1" applyFont="1" applyNumberFormat="1">
      <alignment horizontal="right" vertical="bottom"/>
    </xf>
    <xf borderId="67" fillId="0" fontId="5" numFmtId="9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4" numFmtId="0" xfId="0" applyAlignment="1" applyFont="1">
      <alignment horizontal="left"/>
    </xf>
    <xf borderId="0" fillId="14" fontId="5" numFmtId="1" xfId="0" applyAlignment="1" applyFont="1" applyNumberFormat="1">
      <alignment horizontal="right" vertical="bottom"/>
    </xf>
    <xf borderId="0" fillId="14" fontId="5" numFmtId="2" xfId="0" applyAlignment="1" applyFont="1" applyNumberFormat="1">
      <alignment horizontal="right" vertical="bottom"/>
    </xf>
    <xf borderId="67" fillId="14" fontId="5" numFmtId="2" xfId="0" applyAlignment="1" applyBorder="1" applyFont="1" applyNumberFormat="1">
      <alignment horizontal="right" vertical="bottom"/>
    </xf>
    <xf borderId="0" fillId="14" fontId="1" numFmtId="0" xfId="0" applyAlignment="1" applyFont="1">
      <alignment horizontal="right" vertical="bottom"/>
    </xf>
    <xf borderId="0" fillId="14" fontId="1" numFmtId="9" xfId="0" applyAlignment="1" applyFont="1" applyNumberFormat="1">
      <alignment horizontal="right" vertical="bottom"/>
    </xf>
    <xf borderId="0" fillId="14" fontId="1" numFmtId="0" xfId="0" applyAlignment="1" applyFont="1">
      <alignment horizontal="right" vertical="bottom"/>
    </xf>
    <xf borderId="95" fillId="14" fontId="5" numFmtId="1" xfId="0" applyAlignment="1" applyBorder="1" applyFont="1" applyNumberFormat="1">
      <alignment horizontal="right" vertical="bottom"/>
    </xf>
    <xf borderId="0" fillId="14" fontId="5" numFmtId="0" xfId="0" applyAlignment="1" applyFont="1">
      <alignment horizontal="right" vertical="bottom"/>
    </xf>
    <xf borderId="67" fillId="14" fontId="5" numFmtId="1" xfId="0" applyAlignment="1" applyBorder="1" applyFont="1" applyNumberFormat="1">
      <alignment horizontal="right" vertical="bottom"/>
    </xf>
    <xf borderId="0" fillId="14" fontId="5" numFmtId="165" xfId="0" applyAlignment="1" applyFont="1" applyNumberFormat="1">
      <alignment horizontal="right" vertical="bottom"/>
    </xf>
    <xf borderId="0" fillId="14" fontId="5" numFmtId="9" xfId="0" applyAlignment="1" applyFont="1" applyNumberFormat="1">
      <alignment horizontal="right" vertical="bottom"/>
    </xf>
    <xf borderId="67" fillId="14" fontId="5" numFmtId="9" xfId="0" applyAlignment="1" applyBorder="1" applyFont="1" applyNumberFormat="1">
      <alignment horizontal="right" vertical="bottom"/>
    </xf>
    <xf borderId="0" fillId="14" fontId="5" numFmtId="4" xfId="0" applyAlignment="1" applyFont="1" applyNumberFormat="1">
      <alignment horizontal="right" vertical="bottom"/>
    </xf>
    <xf borderId="0" fillId="0" fontId="4" numFmtId="0" xfId="0" applyAlignment="1" applyFont="1">
      <alignment horizontal="left"/>
    </xf>
    <xf borderId="0" fillId="0" fontId="8" numFmtId="0" xfId="0" applyAlignment="1" applyFont="1">
      <alignment horizontal="left"/>
    </xf>
    <xf borderId="96" fillId="5" fontId="18" numFmtId="0" xfId="0" applyAlignment="1" applyBorder="1" applyFont="1">
      <alignment horizontal="center" shrinkToFit="0" wrapText="1"/>
    </xf>
    <xf borderId="27" fillId="4" fontId="1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readingOrder="0"/>
    </xf>
    <xf borderId="0" fillId="4" fontId="18" numFmtId="0" xfId="0" applyAlignment="1" applyFont="1">
      <alignment horizontal="center" shrinkToFit="0" vertical="bottom" wrapText="1"/>
    </xf>
    <xf borderId="27" fillId="4" fontId="18" numFmtId="0" xfId="0" applyAlignment="1" applyBorder="1" applyFont="1">
      <alignment horizontal="center" readingOrder="0" shrinkToFit="0" vertical="bottom" wrapText="1"/>
    </xf>
    <xf borderId="6" fillId="5" fontId="18" numFmtId="0" xfId="0" applyAlignment="1" applyBorder="1" applyFont="1">
      <alignment horizontal="center" shrinkToFit="0" wrapText="1"/>
    </xf>
    <xf borderId="15" fillId="0" fontId="19" numFmtId="0" xfId="0" applyAlignment="1" applyBorder="1" applyFont="1">
      <alignment horizontal="center" shrinkToFit="0" wrapText="1"/>
    </xf>
    <xf borderId="97" fillId="0" fontId="19" numFmtId="0" xfId="0" applyAlignment="1" applyBorder="1" applyFont="1">
      <alignment horizontal="center" shrinkToFit="0" wrapText="1"/>
    </xf>
    <xf borderId="0" fillId="0" fontId="8" numFmtId="0" xfId="0" applyFont="1"/>
    <xf borderId="0" fillId="0" fontId="8" numFmtId="2" xfId="0" applyFont="1" applyNumberFormat="1"/>
    <xf borderId="6" fillId="0" fontId="9" numFmtId="0" xfId="0" applyBorder="1" applyFont="1"/>
    <xf borderId="0" fillId="0" fontId="19" numFmtId="0" xfId="0" applyAlignment="1" applyFont="1">
      <alignment horizontal="center" shrinkToFit="0" wrapText="1"/>
    </xf>
    <xf borderId="0" fillId="10" fontId="20" numFmtId="0" xfId="0" applyFont="1"/>
    <xf borderId="0" fillId="0" fontId="8" numFmtId="4" xfId="0" applyFont="1" applyNumberFormat="1"/>
    <xf borderId="0" fillId="10" fontId="21" numFmtId="0" xfId="0" applyAlignment="1" applyFont="1">
      <alignment readingOrder="0"/>
    </xf>
    <xf borderId="0" fillId="0" fontId="8" numFmtId="10" xfId="0" applyAlignment="1" applyFont="1" applyNumberFormat="1">
      <alignment readingOrder="0"/>
    </xf>
    <xf borderId="0" fillId="0" fontId="5" numFmtId="1" xfId="0" applyAlignment="1" applyFont="1" applyNumberFormat="1">
      <alignment horizontal="left" vertical="bottom"/>
    </xf>
    <xf borderId="0" fillId="14" fontId="5" numFmtId="1" xfId="0" applyAlignment="1" applyFont="1" applyNumberFormat="1">
      <alignment horizontal="left" vertical="bottom"/>
    </xf>
    <xf borderId="0" fillId="10" fontId="5" numFmtId="1" xfId="0" applyAlignment="1" applyFont="1" applyNumberFormat="1">
      <alignment horizontal="left" vertical="bottom"/>
    </xf>
    <xf borderId="0" fillId="10" fontId="5" numFmtId="1" xfId="0" applyAlignment="1" applyFont="1" applyNumberFormat="1">
      <alignment horizontal="right" vertical="bottom"/>
    </xf>
    <xf borderId="0" fillId="10" fontId="1" numFmtId="0" xfId="0" applyAlignment="1" applyFont="1">
      <alignment horizontal="right" vertical="bottom"/>
    </xf>
    <xf borderId="0" fillId="10" fontId="1" numFmtId="9" xfId="0" applyAlignment="1" applyFont="1" applyNumberFormat="1">
      <alignment horizontal="right" vertical="bottom"/>
    </xf>
    <xf borderId="0" fillId="10" fontId="1" numFmtId="0" xfId="0" applyAlignment="1" applyFont="1">
      <alignment horizontal="right" vertical="bottom"/>
    </xf>
    <xf borderId="95" fillId="10" fontId="5" numFmtId="1" xfId="0" applyAlignment="1" applyBorder="1" applyFont="1" applyNumberFormat="1">
      <alignment horizontal="right" vertical="bottom"/>
    </xf>
    <xf borderId="0" fillId="10" fontId="5" numFmtId="0" xfId="0" applyAlignment="1" applyFont="1">
      <alignment horizontal="right" vertical="bottom"/>
    </xf>
    <xf borderId="0" fillId="10" fontId="5" numFmtId="9" xfId="0" applyAlignment="1" applyFont="1" applyNumberFormat="1">
      <alignment horizontal="right" vertical="bottom"/>
    </xf>
    <xf borderId="67" fillId="10" fontId="5" numFmtId="9" xfId="0" applyAlignment="1" applyBorder="1" applyFont="1" applyNumberFormat="1">
      <alignment horizontal="right" vertical="bottom"/>
    </xf>
    <xf borderId="0" fillId="10" fontId="5" numFmtId="2" xfId="0" applyAlignment="1" applyFont="1" applyNumberFormat="1">
      <alignment horizontal="right" vertical="bottom"/>
    </xf>
    <xf borderId="0" fillId="10" fontId="5" numFmtId="4" xfId="0" applyAlignment="1" applyFont="1" applyNumberFormat="1">
      <alignment horizontal="right" vertical="bottom"/>
    </xf>
    <xf borderId="67" fillId="10" fontId="5" numFmtId="2" xfId="0" applyAlignment="1" applyBorder="1" applyFont="1" applyNumberFormat="1">
      <alignment horizontal="right" vertical="bottom"/>
    </xf>
    <xf borderId="97" fillId="14" fontId="5" numFmtId="1" xfId="0" applyAlignment="1" applyBorder="1" applyFont="1" applyNumberFormat="1">
      <alignment horizontal="left" vertical="bottom"/>
    </xf>
    <xf borderId="97" fillId="14" fontId="5" numFmtId="1" xfId="0" applyAlignment="1" applyBorder="1" applyFont="1" applyNumberFormat="1">
      <alignment horizontal="right" vertical="bottom"/>
    </xf>
    <xf borderId="97" fillId="14" fontId="1" numFmtId="0" xfId="0" applyAlignment="1" applyBorder="1" applyFont="1">
      <alignment horizontal="right" vertical="bottom"/>
    </xf>
    <xf borderId="97" fillId="14" fontId="1" numFmtId="9" xfId="0" applyAlignment="1" applyBorder="1" applyFont="1" applyNumberFormat="1">
      <alignment horizontal="right" vertical="bottom"/>
    </xf>
    <xf borderId="97" fillId="14" fontId="1" numFmtId="0" xfId="0" applyAlignment="1" applyBorder="1" applyFont="1">
      <alignment horizontal="right" vertical="bottom"/>
    </xf>
    <xf borderId="16" fillId="14" fontId="5" numFmtId="1" xfId="0" applyAlignment="1" applyBorder="1" applyFont="1" applyNumberFormat="1">
      <alignment horizontal="right" vertical="bottom"/>
    </xf>
    <xf borderId="97" fillId="14" fontId="5" numFmtId="0" xfId="0" applyAlignment="1" applyBorder="1" applyFont="1">
      <alignment horizontal="right" vertical="bottom"/>
    </xf>
    <xf borderId="97" fillId="14" fontId="5" numFmtId="9" xfId="0" applyAlignment="1" applyBorder="1" applyFont="1" applyNumberFormat="1">
      <alignment horizontal="right" vertical="bottom"/>
    </xf>
    <xf borderId="15" fillId="14" fontId="5" numFmtId="9" xfId="0" applyAlignment="1" applyBorder="1" applyFont="1" applyNumberFormat="1">
      <alignment horizontal="right" vertical="bottom"/>
    </xf>
    <xf borderId="97" fillId="14" fontId="5" numFmtId="2" xfId="0" applyAlignment="1" applyBorder="1" applyFont="1" applyNumberFormat="1">
      <alignment horizontal="right" vertical="bottom"/>
    </xf>
    <xf borderId="97" fillId="14" fontId="5" numFmtId="4" xfId="0" applyAlignment="1" applyBorder="1" applyFont="1" applyNumberFormat="1">
      <alignment horizontal="right" vertical="bottom"/>
    </xf>
    <xf borderId="15" fillId="14" fontId="5" numFmtId="2" xfId="0" applyAlignment="1" applyBorder="1" applyFont="1" applyNumberFormat="1">
      <alignment horizontal="right" vertical="bottom"/>
    </xf>
    <xf borderId="0" fillId="10" fontId="5" numFmtId="0" xfId="0" applyAlignment="1" applyFont="1">
      <alignment horizontal="left" readingOrder="0" vertical="bottom"/>
    </xf>
    <xf borderId="0" fillId="14" fontId="5" numFmtId="0" xfId="0" applyAlignment="1" applyFont="1">
      <alignment horizontal="left" readingOrder="0" vertical="bottom"/>
    </xf>
    <xf borderId="97" fillId="14" fontId="5" numFmtId="0" xfId="0" applyAlignment="1" applyBorder="1" applyFont="1">
      <alignment horizontal="left" readingOrder="0" vertical="bottom"/>
    </xf>
    <xf borderId="0" fillId="0" fontId="22" numFmtId="0" xfId="0" applyAlignment="1" applyFont="1">
      <alignment readingOrder="0"/>
    </xf>
    <xf borderId="0" fillId="0" fontId="22" numFmtId="0" xfId="0" applyFont="1"/>
    <xf borderId="0" fillId="29" fontId="22" numFmtId="0" xfId="0" applyAlignment="1" applyFill="1" applyFont="1">
      <alignment readingOrder="0"/>
    </xf>
    <xf borderId="0" fillId="29" fontId="22" numFmtId="0" xfId="0" applyFont="1"/>
    <xf borderId="0" fillId="0" fontId="22" numFmtId="0" xfId="0" applyAlignment="1" applyFont="1">
      <alignment readingOrder="0" shrinkToFit="0" wrapText="1"/>
    </xf>
    <xf borderId="0" fillId="15" fontId="22" numFmtId="0" xfId="0" applyFont="1"/>
    <xf borderId="98" fillId="23" fontId="22" numFmtId="0" xfId="0" applyBorder="1" applyFont="1"/>
    <xf borderId="99" fillId="0" fontId="8" numFmtId="4" xfId="0" applyBorder="1" applyFont="1" applyNumberFormat="1"/>
    <xf borderId="0" fillId="0" fontId="22" numFmtId="9" xfId="0" applyFont="1" applyNumberFormat="1"/>
    <xf borderId="0" fillId="25" fontId="23" numFmtId="0" xfId="0" applyFont="1"/>
    <xf borderId="100" fillId="23" fontId="22" numFmtId="0" xfId="0" applyBorder="1" applyFont="1"/>
    <xf borderId="101" fillId="0" fontId="8" numFmtId="4" xfId="0" applyBorder="1" applyFont="1" applyNumberFormat="1"/>
    <xf borderId="0" fillId="0" fontId="23" numFmtId="0" xfId="0" applyAlignment="1" applyFont="1">
      <alignment readingOrder="0"/>
    </xf>
    <xf borderId="0" fillId="0" fontId="23" numFmtId="9" xfId="0" applyFont="1" applyNumberFormat="1"/>
    <xf borderId="102" fillId="23" fontId="22" numFmtId="0" xfId="0" applyBorder="1" applyFont="1"/>
    <xf borderId="103" fillId="0" fontId="8" numFmtId="4" xfId="0" applyBorder="1" applyFont="1" applyNumberFormat="1"/>
    <xf borderId="4" fillId="0" fontId="8" numFmtId="2" xfId="0" applyBorder="1" applyFont="1" applyNumberFormat="1"/>
    <xf borderId="0" fillId="0" fontId="8" numFmtId="9" xfId="0" applyFont="1" applyNumberFormat="1"/>
    <xf borderId="0" fillId="0" fontId="8" numFmtId="165" xfId="0" applyFont="1" applyNumberFormat="1"/>
    <xf borderId="0" fillId="5" fontId="16" numFmtId="0" xfId="0" applyAlignment="1" applyFont="1">
      <alignment horizontal="center" shrinkToFit="0" vertical="bottom" wrapText="1"/>
    </xf>
    <xf borderId="0" fillId="0" fontId="17" numFmtId="2" xfId="0" applyAlignment="1" applyFont="1" applyNumberFormat="1">
      <alignment horizontal="center" shrinkToFit="0" vertical="bottom" wrapText="1"/>
    </xf>
    <xf borderId="0" fillId="0" fontId="16" numFmtId="4" xfId="0" applyAlignment="1" applyFont="1" applyNumberFormat="1">
      <alignment horizontal="center" shrinkToFit="0" vertical="bottom" wrapText="1"/>
    </xf>
    <xf borderId="0" fillId="16" fontId="4" numFmtId="0" xfId="0" applyAlignment="1" applyFont="1">
      <alignment horizontal="center" shrinkToFit="0" vertical="bottom" wrapText="1"/>
    </xf>
    <xf borderId="0" fillId="13" fontId="7" numFmtId="0" xfId="0" applyFont="1"/>
    <xf borderId="0" fillId="13" fontId="1" numFmtId="0" xfId="0" applyFont="1"/>
    <xf borderId="0" fillId="13" fontId="6" numFmtId="1" xfId="0" applyAlignment="1" applyFont="1" applyNumberFormat="1">
      <alignment horizontal="center" vertical="bottom"/>
    </xf>
    <xf borderId="0" fillId="13" fontId="6" numFmtId="0" xfId="0" applyAlignment="1" applyFont="1">
      <alignment horizontal="center" vertical="bottom"/>
    </xf>
    <xf borderId="0" fillId="13" fontId="1" numFmtId="0" xfId="0" applyAlignment="1" applyFont="1">
      <alignment vertical="bottom"/>
    </xf>
    <xf borderId="0" fillId="13" fontId="7" numFmtId="0" xfId="0" applyAlignment="1" applyFont="1">
      <alignment vertical="bottom"/>
    </xf>
    <xf borderId="0" fillId="13" fontId="24" numFmtId="0" xfId="0" applyAlignment="1" applyFont="1">
      <alignment readingOrder="0" shrinkToFit="0" vertical="bottom" wrapText="0"/>
    </xf>
    <xf borderId="4" fillId="4" fontId="25" numFmtId="0" xfId="0" applyAlignment="1" applyBorder="1" applyFont="1">
      <alignment horizontal="center" shrinkToFit="0" vertical="bottom" wrapText="1"/>
    </xf>
    <xf borderId="5" fillId="4" fontId="25" numFmtId="0" xfId="0" applyAlignment="1" applyBorder="1" applyFont="1">
      <alignment horizontal="center" shrinkToFit="0" vertical="bottom" wrapText="1"/>
    </xf>
    <xf borderId="5" fillId="5" fontId="25" numFmtId="0" xfId="0" applyAlignment="1" applyBorder="1" applyFont="1">
      <alignment horizontal="center" shrinkToFit="0" vertical="bottom" wrapText="1"/>
    </xf>
    <xf borderId="5" fillId="30" fontId="25" numFmtId="0" xfId="0" applyAlignment="1" applyBorder="1" applyFill="1" applyFont="1">
      <alignment horizontal="center" shrinkToFit="0" vertical="bottom" wrapText="1"/>
    </xf>
    <xf borderId="5" fillId="17" fontId="6" numFmtId="1" xfId="0" applyAlignment="1" applyBorder="1" applyFont="1" applyNumberFormat="1">
      <alignment horizontal="center" shrinkToFit="0" vertical="bottom" wrapText="1"/>
    </xf>
    <xf borderId="5" fillId="9" fontId="25" numFmtId="0" xfId="0" applyAlignment="1" applyBorder="1" applyFont="1">
      <alignment horizontal="center" shrinkToFit="0" vertical="bottom" wrapText="1"/>
    </xf>
    <xf borderId="5" fillId="15" fontId="25" numFmtId="0" xfId="0" applyAlignment="1" applyBorder="1" applyFont="1">
      <alignment horizontal="center" shrinkToFit="0" vertical="bottom" wrapText="1"/>
    </xf>
    <xf borderId="5" fillId="18" fontId="25" numFmtId="0" xfId="0" applyAlignment="1" applyBorder="1" applyFont="1">
      <alignment horizontal="center" shrinkToFit="0" vertical="bottom" wrapText="1"/>
    </xf>
    <xf borderId="5" fillId="12" fontId="25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3" fontId="1" numFmtId="0" xfId="0" applyAlignment="1" applyFont="1">
      <alignment readingOrder="0" vertical="bottom"/>
    </xf>
    <xf borderId="104" fillId="0" fontId="4" numFmtId="0" xfId="0" applyAlignment="1" applyBorder="1" applyFont="1">
      <alignment horizontal="center" vertical="bottom"/>
    </xf>
    <xf borderId="38" fillId="0" fontId="6" numFmtId="1" xfId="0" applyAlignment="1" applyBorder="1" applyFont="1" applyNumberFormat="1">
      <alignment horizontal="center" vertical="bottom"/>
    </xf>
    <xf borderId="42" fillId="0" fontId="3" numFmtId="0" xfId="0" applyAlignment="1" applyBorder="1" applyFont="1">
      <alignment vertical="bottom"/>
    </xf>
    <xf borderId="42" fillId="0" fontId="6" numFmtId="0" xfId="0" applyAlignment="1" applyBorder="1" applyFont="1">
      <alignment horizontal="center" vertical="bottom"/>
    </xf>
    <xf borderId="38" fillId="0" fontId="3" numFmtId="2" xfId="0" applyAlignment="1" applyBorder="1" applyFont="1" applyNumberFormat="1">
      <alignment vertical="bottom"/>
    </xf>
    <xf borderId="42" fillId="0" fontId="11" numFmtId="4" xfId="0" applyAlignment="1" applyBorder="1" applyFont="1" applyNumberFormat="1">
      <alignment vertical="bottom"/>
    </xf>
    <xf borderId="38" fillId="0" fontId="3" numFmtId="4" xfId="0" applyAlignment="1" applyBorder="1" applyFont="1" applyNumberFormat="1">
      <alignment vertical="bottom"/>
    </xf>
    <xf borderId="104" fillId="14" fontId="4" numFmtId="0" xfId="0" applyAlignment="1" applyBorder="1" applyFont="1">
      <alignment horizontal="center" vertical="bottom"/>
    </xf>
    <xf borderId="38" fillId="14" fontId="6" numFmtId="1" xfId="0" applyAlignment="1" applyBorder="1" applyFont="1" applyNumberFormat="1">
      <alignment horizontal="center" vertical="bottom"/>
    </xf>
    <xf borderId="42" fillId="14" fontId="3" numFmtId="0" xfId="0" applyAlignment="1" applyBorder="1" applyFont="1">
      <alignment vertical="bottom"/>
    </xf>
    <xf borderId="42" fillId="14" fontId="6" numFmtId="0" xfId="0" applyAlignment="1" applyBorder="1" applyFont="1">
      <alignment horizontal="center" vertical="bottom"/>
    </xf>
    <xf borderId="38" fillId="14" fontId="3" numFmtId="2" xfId="0" applyAlignment="1" applyBorder="1" applyFont="1" applyNumberFormat="1">
      <alignment vertical="bottom"/>
    </xf>
    <xf borderId="42" fillId="14" fontId="11" numFmtId="4" xfId="0" applyAlignment="1" applyBorder="1" applyFont="1" applyNumberFormat="1">
      <alignment vertical="bottom"/>
    </xf>
    <xf borderId="38" fillId="14" fontId="3" numFmtId="4" xfId="0" applyAlignment="1" applyBorder="1" applyFont="1" applyNumberFormat="1">
      <alignment vertical="bottom"/>
    </xf>
    <xf borderId="42" fillId="14" fontId="6" numFmtId="4" xfId="0" applyAlignment="1" applyBorder="1" applyFont="1" applyNumberFormat="1">
      <alignment vertical="bottom"/>
    </xf>
    <xf borderId="42" fillId="0" fontId="6" numFmtId="0" xfId="0" applyAlignment="1" applyBorder="1" applyFont="1">
      <alignment horizontal="center" vertical="bottom"/>
    </xf>
    <xf borderId="42" fillId="0" fontId="6" numFmtId="4" xfId="0" applyAlignment="1" applyBorder="1" applyFont="1" applyNumberFormat="1">
      <alignment vertical="bottom"/>
    </xf>
    <xf borderId="104" fillId="0" fontId="4" numFmtId="0" xfId="0" applyAlignment="1" applyBorder="1" applyFont="1">
      <alignment horizontal="center" vertical="bottom"/>
    </xf>
    <xf borderId="38" fillId="0" fontId="6" numFmtId="1" xfId="0" applyAlignment="1" applyBorder="1" applyFont="1" applyNumberFormat="1">
      <alignment horizontal="center" readingOrder="0" vertical="bottom"/>
    </xf>
    <xf borderId="38" fillId="0" fontId="6" numFmtId="4" xfId="0" applyAlignment="1" applyBorder="1" applyFont="1" applyNumberFormat="1">
      <alignment horizontal="center" vertical="bottom"/>
    </xf>
    <xf borderId="104" fillId="14" fontId="4" numFmtId="0" xfId="0" applyAlignment="1" applyBorder="1" applyFont="1">
      <alignment horizontal="center" vertical="bottom"/>
    </xf>
    <xf borderId="38" fillId="14" fontId="6" numFmtId="1" xfId="0" applyAlignment="1" applyBorder="1" applyFont="1" applyNumberFormat="1">
      <alignment horizontal="center" readingOrder="0" vertical="bottom"/>
    </xf>
    <xf borderId="42" fillId="14" fontId="6" numFmtId="0" xfId="0" applyAlignment="1" applyBorder="1" applyFont="1">
      <alignment horizontal="center" vertical="bottom"/>
    </xf>
    <xf borderId="38" fillId="14" fontId="6" numFmtId="4" xfId="0" applyAlignment="1" applyBorder="1" applyFont="1" applyNumberFormat="1">
      <alignment horizontal="center" vertical="bottom"/>
    </xf>
    <xf borderId="104" fillId="14" fontId="4" numFmtId="0" xfId="0" applyAlignment="1" applyBorder="1" applyFont="1">
      <alignment horizontal="center" readingOrder="0" vertical="bottom"/>
    </xf>
    <xf borderId="38" fillId="14" fontId="6" numFmtId="2" xfId="0" applyAlignment="1" applyBorder="1" applyFont="1" applyNumberFormat="1">
      <alignment horizontal="center" readingOrder="0" vertical="bottom"/>
    </xf>
    <xf borderId="104" fillId="0" fontId="4" numFmtId="0" xfId="0" applyAlignment="1" applyBorder="1" applyFont="1">
      <alignment horizontal="center" readingOrder="0" vertical="bottom"/>
    </xf>
    <xf borderId="38" fillId="0" fontId="6" numFmtId="2" xfId="0" applyAlignment="1" applyBorder="1" applyFont="1" applyNumberFormat="1">
      <alignment horizontal="center" readingOrder="0" vertical="bottom"/>
    </xf>
    <xf borderId="42" fillId="0" fontId="6" numFmtId="0" xfId="0" applyAlignment="1" applyBorder="1" applyFont="1">
      <alignment horizontal="center" readingOrder="0" vertical="bottom"/>
    </xf>
    <xf borderId="42" fillId="14" fontId="6" numFmtId="0" xfId="0" applyAlignment="1" applyBorder="1" applyFont="1">
      <alignment horizontal="center" readingOrder="0" vertical="bottom"/>
    </xf>
    <xf borderId="42" fillId="0" fontId="6" numFmtId="4" xfId="0" applyAlignment="1" applyBorder="1" applyFont="1" applyNumberFormat="1">
      <alignment readingOrder="0" vertical="bottom"/>
    </xf>
    <xf borderId="38" fillId="14" fontId="6" numFmtId="4" xfId="0" applyAlignment="1" applyBorder="1" applyFont="1" applyNumberFormat="1">
      <alignment horizontal="center" readingOrder="0" vertical="bottom"/>
    </xf>
    <xf borderId="38" fillId="0" fontId="11" numFmtId="1" xfId="0" applyAlignment="1" applyBorder="1" applyFont="1" applyNumberFormat="1">
      <alignment vertical="bottom"/>
    </xf>
    <xf borderId="38" fillId="14" fontId="11" numFmtId="1" xfId="0" applyAlignment="1" applyBorder="1" applyFont="1" applyNumberFormat="1">
      <alignment vertical="bottom"/>
    </xf>
    <xf borderId="0" fillId="0" fontId="6" numFmtId="1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1" fillId="13" fontId="1" numFmtId="0" xfId="0" applyBorder="1" applyFont="1"/>
    <xf borderId="1" fillId="13" fontId="1" numFmtId="0" xfId="0" applyAlignment="1" applyBorder="1" applyFont="1">
      <alignment vertical="bottom"/>
    </xf>
    <xf borderId="105" fillId="4" fontId="18" numFmtId="0" xfId="0" applyAlignment="1" applyBorder="1" applyFont="1">
      <alignment horizontal="center" shrinkToFit="0" wrapText="1"/>
    </xf>
    <xf borderId="2" fillId="5" fontId="18" numFmtId="0" xfId="0" applyAlignment="1" applyBorder="1" applyFont="1">
      <alignment horizontal="center" shrinkToFit="0" wrapText="1"/>
    </xf>
    <xf borderId="0" fillId="4" fontId="18" numFmtId="0" xfId="0" applyAlignment="1" applyFont="1">
      <alignment horizontal="center" shrinkToFit="0" wrapText="1"/>
    </xf>
    <xf borderId="106" fillId="4" fontId="18" numFmtId="0" xfId="0" applyAlignment="1" applyBorder="1" applyFont="1">
      <alignment horizontal="center" readingOrder="0" shrinkToFit="0" wrapText="1"/>
    </xf>
    <xf borderId="106" fillId="4" fontId="18" numFmtId="0" xfId="0" applyAlignment="1" applyBorder="1" applyFont="1">
      <alignment horizontal="center" shrinkToFit="0" wrapText="1"/>
    </xf>
    <xf borderId="107" fillId="4" fontId="18" numFmtId="0" xfId="0" applyAlignment="1" applyBorder="1" applyFont="1">
      <alignment horizontal="center" shrinkToFit="0" wrapText="1"/>
    </xf>
    <xf borderId="1" fillId="4" fontId="18" numFmtId="0" xfId="0" applyAlignment="1" applyBorder="1" applyFont="1">
      <alignment horizontal="center" shrinkToFit="0" vertical="bottom" wrapText="1"/>
    </xf>
    <xf borderId="3" fillId="0" fontId="9" numFmtId="0" xfId="0" applyBorder="1" applyFont="1"/>
    <xf borderId="30" fillId="0" fontId="9" numFmtId="0" xfId="0" applyBorder="1" applyFont="1"/>
    <xf borderId="33" fillId="0" fontId="9" numFmtId="0" xfId="0" applyBorder="1" applyFont="1"/>
    <xf borderId="8" fillId="0" fontId="19" numFmtId="0" xfId="0" applyAlignment="1" applyBorder="1" applyFont="1">
      <alignment horizontal="center" shrinkToFit="0" wrapText="1"/>
    </xf>
    <xf borderId="108" fillId="0" fontId="26" numFmtId="0" xfId="0" applyAlignment="1" applyBorder="1" applyFont="1">
      <alignment horizontal="center"/>
    </xf>
    <xf borderId="15" fillId="0" fontId="1" numFmtId="0" xfId="0" applyAlignment="1" applyBorder="1" applyFont="1">
      <alignment horizontal="center" readingOrder="0" vertical="bottom"/>
    </xf>
    <xf borderId="1" fillId="0" fontId="18" numFmtId="4" xfId="0" applyAlignment="1" applyBorder="1" applyFont="1" applyNumberFormat="1">
      <alignment horizontal="center" vertical="bottom"/>
    </xf>
    <xf borderId="0" fillId="0" fontId="27" numFmtId="3" xfId="0" applyAlignment="1" applyFont="1" applyNumberFormat="1">
      <alignment horizontal="center" vertical="bottom"/>
    </xf>
    <xf borderId="28" fillId="0" fontId="27" numFmtId="4" xfId="0" applyAlignment="1" applyBorder="1" applyFont="1" applyNumberFormat="1">
      <alignment horizontal="center" vertical="bottom"/>
    </xf>
    <xf borderId="109" fillId="0" fontId="27" numFmtId="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 vertical="bottom"/>
    </xf>
    <xf borderId="2" fillId="0" fontId="1" numFmtId="4" xfId="0" applyAlignment="1" applyBorder="1" applyFont="1" applyNumberFormat="1">
      <alignment vertical="bottom"/>
    </xf>
    <xf borderId="0" fillId="0" fontId="1" numFmtId="4" xfId="0" applyAlignment="1" applyFont="1" applyNumberFormat="1">
      <alignment vertical="bottom"/>
    </xf>
    <xf borderId="2" fillId="0" fontId="1" numFmtId="4" xfId="0" applyAlignment="1" applyBorder="1" applyFont="1" applyNumberFormat="1">
      <alignment readingOrder="0" vertical="bottom"/>
    </xf>
    <xf borderId="0" fillId="10" fontId="28" numFmtId="4" xfId="0" applyAlignment="1" applyFont="1" applyNumberFormat="1">
      <alignment readingOrder="0"/>
    </xf>
    <xf borderId="0" fillId="10" fontId="1" numFmtId="4" xfId="0" applyAlignment="1" applyFont="1" applyNumberFormat="1">
      <alignment readingOrder="0"/>
    </xf>
    <xf borderId="0" fillId="10" fontId="1" numFmtId="4" xfId="0" applyAlignment="1" applyFont="1" applyNumberFormat="1">
      <alignment readingOrder="0" vertical="bottom"/>
    </xf>
    <xf borderId="0" fillId="0" fontId="1" numFmtId="4" xfId="0" applyFont="1" applyNumberFormat="1"/>
    <xf borderId="110" fillId="0" fontId="26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 vertical="bottom"/>
    </xf>
    <xf borderId="1" fillId="0" fontId="27" numFmtId="3" xfId="0" applyAlignment="1" applyBorder="1" applyFont="1" applyNumberFormat="1">
      <alignment horizontal="center" vertical="bottom"/>
    </xf>
    <xf borderId="30" fillId="0" fontId="27" numFmtId="4" xfId="0" applyAlignment="1" applyBorder="1" applyFont="1" applyNumberFormat="1">
      <alignment horizontal="center" vertical="bottom"/>
    </xf>
    <xf borderId="33" fillId="0" fontId="27" numFmtId="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4" xfId="0" applyAlignment="1" applyBorder="1" applyFont="1" applyNumberFormat="1">
      <alignment vertical="bottom"/>
    </xf>
    <xf borderId="3" fillId="0" fontId="1" numFmtId="4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15" fontId="1" numFmtId="4" xfId="0" applyAlignment="1" applyBorder="1" applyFont="1" applyNumberFormat="1">
      <alignment readingOrder="0" vertical="bottom"/>
    </xf>
    <xf borderId="6" fillId="15" fontId="29" numFmtId="0" xfId="0" applyAlignment="1" applyBorder="1" applyFont="1">
      <alignment horizontal="center"/>
    </xf>
    <xf borderId="28" fillId="10" fontId="29" numFmtId="0" xfId="0" applyAlignment="1" applyBorder="1" applyFont="1">
      <alignment horizontal="center" readingOrder="0" shrinkToFit="0" wrapText="1"/>
    </xf>
    <xf borderId="2" fillId="0" fontId="9" numFmtId="0" xfId="0" applyBorder="1" applyFont="1"/>
    <xf borderId="0" fillId="10" fontId="29" numFmtId="0" xfId="0" applyAlignment="1" applyFont="1">
      <alignment horizontal="center" readingOrder="0" shrinkToFit="0" wrapText="1"/>
    </xf>
    <xf borderId="6" fillId="26" fontId="30" numFmtId="0" xfId="0" applyAlignment="1" applyBorder="1" applyFont="1">
      <alignment horizontal="center" vertical="bottom"/>
    </xf>
    <xf borderId="6" fillId="27" fontId="29" numFmtId="4" xfId="0" applyAlignment="1" applyBorder="1" applyFont="1" applyNumberFormat="1">
      <alignment horizontal="center" vertical="bottom"/>
    </xf>
    <xf borderId="111" fillId="0" fontId="31" numFmtId="0" xfId="0" applyAlignment="1" applyBorder="1" applyFont="1">
      <alignment horizontal="center" readingOrder="0" vertical="bottom"/>
    </xf>
    <xf borderId="112" fillId="0" fontId="9" numFmtId="0" xfId="0" applyBorder="1" applyFont="1"/>
    <xf borderId="113" fillId="0" fontId="9" numFmtId="0" xfId="0" applyBorder="1" applyFont="1"/>
    <xf borderId="112" fillId="0" fontId="31" numFmtId="0" xfId="0" applyAlignment="1" applyBorder="1" applyFont="1">
      <alignment horizontal="center" readingOrder="0" vertical="bottom"/>
    </xf>
    <xf borderId="6" fillId="25" fontId="30" numFmtId="4" xfId="0" applyAlignment="1" applyBorder="1" applyFont="1" applyNumberFormat="1">
      <alignment horizontal="center" vertical="bottom"/>
    </xf>
    <xf borderId="6" fillId="20" fontId="29" numFmtId="4" xfId="0" applyAlignment="1" applyBorder="1" applyFont="1" applyNumberFormat="1">
      <alignment horizontal="center" vertical="bottom"/>
    </xf>
    <xf borderId="0" fillId="3" fontId="29" numFmtId="4" xfId="0" applyAlignment="1" applyFont="1" applyNumberFormat="1">
      <alignment horizontal="left" vertical="bottom"/>
    </xf>
    <xf borderId="107" fillId="15" fontId="25" numFmtId="0" xfId="0" applyAlignment="1" applyBorder="1" applyFont="1">
      <alignment horizontal="center" shrinkToFit="0" wrapText="1"/>
    </xf>
    <xf borderId="96" fillId="15" fontId="25" numFmtId="0" xfId="0" applyAlignment="1" applyBorder="1" applyFont="1">
      <alignment horizontal="center" shrinkToFit="0" wrapText="1"/>
    </xf>
    <xf borderId="114" fillId="15" fontId="25" numFmtId="0" xfId="0" applyAlignment="1" applyBorder="1" applyFont="1">
      <alignment horizontal="center" shrinkToFit="0" wrapText="1"/>
    </xf>
    <xf borderId="11" fillId="0" fontId="9" numFmtId="0" xfId="0" applyBorder="1" applyFont="1"/>
    <xf borderId="115" fillId="0" fontId="9" numFmtId="0" xfId="0" applyBorder="1" applyFont="1"/>
    <xf borderId="108" fillId="0" fontId="9" numFmtId="0" xfId="0" applyBorder="1" applyFont="1"/>
    <xf borderId="3" fillId="0" fontId="1" numFmtId="4" xfId="0" applyAlignment="1" applyBorder="1" applyFont="1" applyNumberFormat="1">
      <alignment readingOrder="0" vertical="bottom"/>
    </xf>
    <xf borderId="0" fillId="13" fontId="1" numFmtId="0" xfId="0" applyAlignment="1" applyFont="1">
      <alignment readingOrder="0"/>
    </xf>
    <xf borderId="116" fillId="13" fontId="3" numFmtId="0" xfId="0" applyAlignment="1" applyBorder="1" applyFont="1">
      <alignment vertical="bottom"/>
    </xf>
    <xf borderId="117" fillId="13" fontId="3" numFmtId="0" xfId="0" applyAlignment="1" applyBorder="1" applyFont="1">
      <alignment vertical="bottom"/>
    </xf>
    <xf borderId="118" fillId="13" fontId="3" numFmtId="0" xfId="0" applyAlignment="1" applyBorder="1" applyFont="1">
      <alignment vertical="bottom"/>
    </xf>
    <xf borderId="105" fillId="4" fontId="25" numFmtId="0" xfId="0" applyAlignment="1" applyBorder="1" applyFont="1">
      <alignment horizontal="center" shrinkToFit="0" wrapText="1"/>
    </xf>
    <xf borderId="2" fillId="5" fontId="25" numFmtId="0" xfId="0" applyAlignment="1" applyBorder="1" applyFont="1">
      <alignment horizontal="center" shrinkToFit="0" wrapText="1"/>
    </xf>
    <xf borderId="2" fillId="4" fontId="25" numFmtId="0" xfId="0" applyAlignment="1" applyBorder="1" applyFont="1">
      <alignment horizontal="center" shrinkToFit="0" wrapText="1"/>
    </xf>
    <xf borderId="105" fillId="25" fontId="32" numFmtId="0" xfId="0" applyAlignment="1" applyBorder="1" applyFont="1">
      <alignment horizontal="center" shrinkToFit="0" vertical="bottom" wrapText="1"/>
    </xf>
    <xf borderId="67" fillId="25" fontId="32" numFmtId="0" xfId="0" applyAlignment="1" applyBorder="1" applyFont="1">
      <alignment horizontal="center" shrinkToFit="0" vertical="bottom" wrapText="1"/>
    </xf>
    <xf borderId="0" fillId="25" fontId="32" numFmtId="0" xfId="0" applyAlignment="1" applyFont="1">
      <alignment horizontal="center" shrinkToFit="0" vertical="bottom" wrapText="1"/>
    </xf>
    <xf borderId="1" fillId="4" fontId="25" numFmtId="0" xfId="0" applyAlignment="1" applyBorder="1" applyFont="1">
      <alignment horizontal="center" shrinkToFit="0" vertical="bottom" wrapText="1"/>
    </xf>
    <xf borderId="0" fillId="25" fontId="33" numFmtId="0" xfId="0" applyAlignment="1" applyFont="1">
      <alignment horizontal="center" shrinkToFit="0" vertical="bottom" wrapText="1"/>
    </xf>
    <xf borderId="0" fillId="3" fontId="34" numFmtId="0" xfId="0" applyAlignment="1" applyFont="1">
      <alignment vertical="bottom"/>
    </xf>
    <xf borderId="7" fillId="0" fontId="9" numFmtId="0" xfId="0" applyBorder="1" applyFont="1"/>
    <xf borderId="15" fillId="0" fontId="35" numFmtId="0" xfId="0" applyAlignment="1" applyBorder="1" applyFont="1">
      <alignment horizontal="center" shrinkToFit="0" wrapText="1"/>
    </xf>
    <xf borderId="8" fillId="0" fontId="35" numFmtId="0" xfId="0" applyAlignment="1" applyBorder="1" applyFont="1">
      <alignment horizontal="center" shrinkToFit="0" wrapText="1"/>
    </xf>
    <xf borderId="0" fillId="3" fontId="34" numFmtId="0" xfId="0" applyFont="1"/>
    <xf borderId="108" fillId="0" fontId="25" numFmtId="0" xfId="0" applyAlignment="1" applyBorder="1" applyFont="1">
      <alignment horizontal="center"/>
    </xf>
    <xf borderId="97" fillId="0" fontId="7" numFmtId="0" xfId="0" applyAlignment="1" applyBorder="1" applyFont="1">
      <alignment horizontal="center" readingOrder="0" vertical="bottom"/>
    </xf>
    <xf borderId="0" fillId="0" fontId="25" numFmtId="4" xfId="0" applyAlignment="1" applyFont="1" applyNumberFormat="1">
      <alignment horizontal="center" vertical="bottom"/>
    </xf>
    <xf borderId="87" fillId="0" fontId="36" numFmtId="3" xfId="0" applyAlignment="1" applyBorder="1" applyFont="1" applyNumberFormat="1">
      <alignment horizontal="center" vertical="bottom"/>
    </xf>
    <xf borderId="119" fillId="0" fontId="36" numFmtId="4" xfId="0" applyAlignment="1" applyBorder="1" applyFont="1" applyNumberFormat="1">
      <alignment horizontal="center" vertical="bottom"/>
    </xf>
    <xf borderId="87" fillId="0" fontId="36" numFmtId="4" xfId="0" applyAlignment="1" applyBorder="1" applyFont="1" applyNumberFormat="1">
      <alignment horizontal="center" vertical="bottom"/>
    </xf>
    <xf borderId="0" fillId="0" fontId="37" numFmtId="0" xfId="0" applyAlignment="1" applyFont="1">
      <alignment horizontal="center" readingOrder="0" vertical="bottom"/>
    </xf>
    <xf borderId="0" fillId="0" fontId="37" numFmtId="4" xfId="0" applyAlignment="1" applyFont="1" applyNumberFormat="1">
      <alignment readingOrder="0" vertical="bottom"/>
    </xf>
    <xf borderId="0" fillId="0" fontId="37" numFmtId="0" xfId="0" applyAlignment="1" applyFont="1">
      <alignment readingOrder="0" vertical="bottom"/>
    </xf>
    <xf borderId="2" fillId="0" fontId="37" numFmtId="4" xfId="0" applyAlignment="1" applyBorder="1" applyFont="1" applyNumberFormat="1">
      <alignment readingOrder="0" vertical="bottom"/>
    </xf>
    <xf borderId="2" fillId="0" fontId="37" numFmtId="4" xfId="0" applyAlignment="1" applyBorder="1" applyFont="1" applyNumberFormat="1">
      <alignment vertical="bottom"/>
    </xf>
    <xf borderId="0" fillId="0" fontId="37" numFmtId="0" xfId="0" applyAlignment="1" applyFont="1">
      <alignment vertical="bottom"/>
    </xf>
    <xf borderId="0" fillId="0" fontId="37" numFmtId="4" xfId="0" applyAlignment="1" applyFont="1" applyNumberFormat="1">
      <alignment vertical="bottom"/>
    </xf>
    <xf borderId="0" fillId="0" fontId="37" numFmtId="4" xfId="0" applyAlignment="1" applyFont="1" applyNumberFormat="1">
      <alignment readingOrder="0"/>
    </xf>
    <xf borderId="87" fillId="0" fontId="37" numFmtId="4" xfId="0" applyAlignment="1" applyBorder="1" applyFont="1" applyNumberFormat="1">
      <alignment vertical="bottom"/>
    </xf>
    <xf borderId="0" fillId="3" fontId="34" numFmtId="4" xfId="0" applyAlignment="1" applyFont="1" applyNumberFormat="1">
      <alignment vertical="bottom"/>
    </xf>
    <xf borderId="2" fillId="0" fontId="36" numFmtId="3" xfId="0" applyAlignment="1" applyBorder="1" applyFont="1" applyNumberFormat="1">
      <alignment horizontal="center" vertical="bottom"/>
    </xf>
    <xf borderId="67" fillId="0" fontId="36" numFmtId="4" xfId="0" applyAlignment="1" applyBorder="1" applyFont="1" applyNumberFormat="1">
      <alignment horizontal="center" vertical="bottom"/>
    </xf>
    <xf borderId="2" fillId="0" fontId="36" numFmtId="4" xfId="0" applyAlignment="1" applyBorder="1" applyFont="1" applyNumberFormat="1">
      <alignment horizontal="center" vertical="bottom"/>
    </xf>
    <xf borderId="0" fillId="0" fontId="37" numFmtId="4" xfId="0" applyAlignment="1" applyFont="1" applyNumberFormat="1">
      <alignment horizontal="right" readingOrder="0" vertical="bottom"/>
    </xf>
    <xf borderId="0" fillId="0" fontId="37" numFmtId="4" xfId="0" applyAlignment="1" applyFont="1" applyNumberFormat="1">
      <alignment horizontal="right" vertical="bottom"/>
    </xf>
    <xf borderId="2" fillId="0" fontId="37" numFmtId="4" xfId="0" applyAlignment="1" applyBorder="1" applyFont="1" applyNumberFormat="1">
      <alignment horizontal="center" vertical="bottom"/>
    </xf>
    <xf borderId="0" fillId="15" fontId="37" numFmtId="4" xfId="0" applyAlignment="1" applyFont="1" applyNumberFormat="1">
      <alignment readingOrder="0" vertical="bottom"/>
    </xf>
    <xf borderId="110" fillId="0" fontId="25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bottom"/>
    </xf>
    <xf borderId="3" fillId="0" fontId="36" numFmtId="3" xfId="0" applyAlignment="1" applyBorder="1" applyFont="1" applyNumberFormat="1">
      <alignment horizontal="center" vertical="bottom"/>
    </xf>
    <xf borderId="7" fillId="0" fontId="36" numFmtId="4" xfId="0" applyAlignment="1" applyBorder="1" applyFont="1" applyNumberFormat="1">
      <alignment horizontal="center" vertical="bottom"/>
    </xf>
    <xf borderId="3" fillId="0" fontId="36" numFmtId="4" xfId="0" applyAlignment="1" applyBorder="1" applyFont="1" applyNumberFormat="1">
      <alignment horizontal="center" vertical="bottom"/>
    </xf>
    <xf borderId="1" fillId="0" fontId="37" numFmtId="0" xfId="0" applyAlignment="1" applyBorder="1" applyFont="1">
      <alignment horizontal="center" readingOrder="0" vertical="bottom"/>
    </xf>
    <xf borderId="1" fillId="0" fontId="37" numFmtId="4" xfId="0" applyAlignment="1" applyBorder="1" applyFont="1" applyNumberFormat="1">
      <alignment readingOrder="0" vertical="bottom"/>
    </xf>
    <xf borderId="1" fillId="0" fontId="37" numFmtId="0" xfId="0" applyAlignment="1" applyBorder="1" applyFont="1">
      <alignment vertical="bottom"/>
    </xf>
    <xf borderId="1" fillId="0" fontId="37" numFmtId="4" xfId="0" applyAlignment="1" applyBorder="1" applyFont="1" applyNumberFormat="1">
      <alignment vertical="bottom"/>
    </xf>
    <xf borderId="3" fillId="0" fontId="37" numFmtId="4" xfId="0" applyAlignment="1" applyBorder="1" applyFont="1" applyNumberFormat="1">
      <alignment vertical="bottom"/>
    </xf>
    <xf borderId="1" fillId="0" fontId="37" numFmtId="0" xfId="0" applyAlignment="1" applyBorder="1" applyFont="1">
      <alignment readingOrder="0" vertical="bottom"/>
    </xf>
    <xf borderId="3" fillId="0" fontId="37" numFmtId="4" xfId="0" applyAlignment="1" applyBorder="1" applyFont="1" applyNumberFormat="1">
      <alignment readingOrder="0" vertical="bottom"/>
    </xf>
    <xf borderId="1" fillId="15" fontId="37" numFmtId="4" xfId="0" applyAlignment="1" applyBorder="1" applyFont="1" applyNumberFormat="1">
      <alignment readingOrder="0" vertical="bottom"/>
    </xf>
    <xf borderId="6" fillId="15" fontId="38" numFmtId="0" xfId="0" applyAlignment="1" applyBorder="1" applyFont="1">
      <alignment horizontal="center"/>
    </xf>
    <xf borderId="0" fillId="2" fontId="34" numFmtId="0" xfId="0" applyAlignment="1" applyFont="1">
      <alignment vertical="bottom"/>
    </xf>
    <xf borderId="0" fillId="10" fontId="26" numFmtId="0" xfId="0" applyAlignment="1" applyFont="1">
      <alignment horizontal="center" readingOrder="0" shrinkToFit="0" wrapText="1"/>
    </xf>
    <xf borderId="120" fillId="13" fontId="34" numFmtId="0" xfId="0" applyAlignment="1" applyBorder="1" applyFont="1">
      <alignment vertical="bottom"/>
    </xf>
    <xf borderId="6" fillId="26" fontId="39" numFmtId="0" xfId="0" applyAlignment="1" applyBorder="1" applyFont="1">
      <alignment horizontal="center" vertical="bottom"/>
    </xf>
    <xf borderId="6" fillId="27" fontId="38" numFmtId="4" xfId="0" applyAlignment="1" applyBorder="1" applyFont="1" applyNumberFormat="1">
      <alignment horizontal="center" vertical="bottom"/>
    </xf>
    <xf borderId="111" fillId="0" fontId="35" numFmtId="0" xfId="0" applyAlignment="1" applyBorder="1" applyFont="1">
      <alignment horizontal="center" readingOrder="0" vertical="bottom"/>
    </xf>
    <xf borderId="112" fillId="0" fontId="35" numFmtId="0" xfId="0" applyAlignment="1" applyBorder="1" applyFont="1">
      <alignment horizontal="center" readingOrder="0" vertical="bottom"/>
    </xf>
    <xf borderId="6" fillId="25" fontId="39" numFmtId="4" xfId="0" applyAlignment="1" applyBorder="1" applyFont="1" applyNumberFormat="1">
      <alignment horizontal="center" vertical="bottom"/>
    </xf>
    <xf borderId="6" fillId="20" fontId="38" numFmtId="4" xfId="0" applyAlignment="1" applyBorder="1" applyFont="1" applyNumberFormat="1">
      <alignment horizontal="center" vertical="bottom"/>
    </xf>
    <xf borderId="117" fillId="13" fontId="34" numFmtId="0" xfId="0" applyAlignment="1" applyBorder="1" applyFont="1">
      <alignment vertical="bottom"/>
    </xf>
    <xf borderId="10" fillId="11" fontId="22" numFmtId="0" xfId="0" applyAlignment="1" applyBorder="1" applyFont="1">
      <alignment horizontal="center" readingOrder="0"/>
    </xf>
    <xf borderId="10" fillId="11" fontId="8" numFmtId="0" xfId="0" applyAlignment="1" applyBorder="1" applyFont="1">
      <alignment horizontal="center" readingOrder="0"/>
    </xf>
    <xf borderId="121" fillId="13" fontId="3" numFmtId="0" xfId="0" applyAlignment="1" applyBorder="1" applyFont="1">
      <alignment vertical="bottom"/>
    </xf>
    <xf borderId="122" fillId="15" fontId="40" numFmtId="0" xfId="0" applyAlignment="1" applyBorder="1" applyFont="1">
      <alignment horizontal="center" shrinkToFit="0" vertical="bottom" wrapText="1"/>
    </xf>
    <xf borderId="10" fillId="0" fontId="9" numFmtId="0" xfId="0" applyBorder="1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13" fontId="1" numFmtId="166" xfId="0" applyFont="1" applyNumberFormat="1"/>
    <xf borderId="1" fillId="0" fontId="37" numFmtId="4" xfId="0" applyAlignment="1" applyBorder="1" applyFont="1" applyNumberFormat="1">
      <alignment readingOrder="0"/>
    </xf>
    <xf borderId="1" fillId="0" fontId="37" numFmtId="4" xfId="0" applyAlignment="1" applyBorder="1" applyFont="1" applyNumberFormat="1">
      <alignment horizontal="right" vertical="bottom"/>
    </xf>
    <xf borderId="1" fillId="0" fontId="37" numFmtId="4" xfId="0" applyAlignment="1" applyBorder="1" applyFont="1" applyNumberFormat="1">
      <alignment horizontal="right" readingOrder="0" vertical="bottom"/>
    </xf>
    <xf borderId="0" fillId="15" fontId="37" numFmtId="4" xfId="0" applyAlignment="1" applyFont="1" applyNumberFormat="1">
      <alignment readingOrder="0"/>
    </xf>
    <xf borderId="0" fillId="10" fontId="37" numFmtId="4" xfId="0" applyAlignment="1" applyFont="1" applyNumberFormat="1">
      <alignment readingOrder="0" vertical="bottom"/>
    </xf>
    <xf borderId="15" fillId="0" fontId="35" numFmtId="0" xfId="0" applyAlignment="1" applyBorder="1" applyFont="1">
      <alignment horizontal="center" readingOrder="0" shrinkToFit="0" wrapText="1"/>
    </xf>
    <xf borderId="0" fillId="13" fontId="1" numFmtId="0" xfId="0" applyAlignment="1" applyFont="1">
      <alignment readingOrder="0" vertical="bottom"/>
    </xf>
    <xf borderId="0" fillId="31" fontId="37" numFmtId="4" xfId="0" applyAlignment="1" applyFill="1" applyFont="1" applyNumberFormat="1">
      <alignment readingOrder="0" vertical="bottom"/>
    </xf>
    <xf borderId="3" fillId="0" fontId="37" numFmtId="4" xfId="0" applyAlignment="1" applyBorder="1" applyFont="1" applyNumberFormat="1">
      <alignment horizontal="center" vertical="bottom"/>
    </xf>
    <xf borderId="1" fillId="13" fontId="1" numFmtId="0" xfId="0" applyAlignment="1" applyBorder="1" applyFont="1">
      <alignment readingOrder="0"/>
    </xf>
    <xf borderId="105" fillId="25" fontId="41" numFmtId="0" xfId="0" applyAlignment="1" applyBorder="1" applyFont="1">
      <alignment horizontal="center" shrinkToFit="0" vertical="bottom" wrapText="1"/>
    </xf>
    <xf borderId="67" fillId="25" fontId="41" numFmtId="0" xfId="0" applyAlignment="1" applyBorder="1" applyFont="1">
      <alignment horizontal="center" shrinkToFit="0" vertical="bottom" wrapText="1"/>
    </xf>
    <xf borderId="0" fillId="25" fontId="41" numFmtId="0" xfId="0" applyAlignment="1" applyFont="1">
      <alignment horizontal="center" shrinkToFit="0" vertical="bottom" wrapText="1"/>
    </xf>
    <xf borderId="87" fillId="0" fontId="37" numFmtId="4" xfId="0" applyAlignment="1" applyBorder="1" applyFont="1" applyNumberFormat="1">
      <alignment horizontal="center" vertical="bottom"/>
    </xf>
    <xf borderId="1" fillId="15" fontId="37" numFmtId="4" xfId="0" applyAlignment="1" applyBorder="1" applyFont="1" applyNumberFormat="1">
      <alignment readingOrder="0"/>
    </xf>
    <xf borderId="0" fillId="9" fontId="37" numFmtId="4" xfId="0" applyAlignment="1" applyFont="1" applyNumberFormat="1">
      <alignment readingOrder="0" vertical="bottom"/>
    </xf>
    <xf borderId="1" fillId="9" fontId="37" numFmtId="4" xfId="0" applyAlignment="1" applyBorder="1" applyFont="1" applyNumberFormat="1">
      <alignment readingOrder="0"/>
    </xf>
    <xf borderId="0" fillId="9" fontId="37" numFmtId="4" xfId="0" applyAlignment="1" applyFont="1" applyNumberFormat="1">
      <alignment readingOrder="0"/>
    </xf>
    <xf borderId="120" fillId="13" fontId="34" numFmtId="0" xfId="0" applyAlignment="1" applyBorder="1" applyFont="1">
      <alignment readingOrder="0" vertical="bottom"/>
    </xf>
  </cellXfs>
  <cellStyles count="1">
    <cellStyle xfId="0" name="Normal" builtinId="0"/>
  </cellStyles>
  <dxfs count="9"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9F4E6"/>
          <bgColor rgb="FFE9F4E6"/>
        </patternFill>
      </fill>
      <border/>
    </dxf>
    <dxf>
      <font>
        <color rgb="FFFFFFFF"/>
      </font>
      <fill>
        <patternFill patternType="solid">
          <fgColor rgb="FF351C75"/>
          <bgColor rgb="FF351C75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Процент побед во всех играх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rgbClr val="1F1F1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'Все игры'!$N$16:$N$18</c:f>
            </c:strRef>
          </c:cat>
          <c:val>
            <c:numRef>
              <c:f>'Все игры'!$Q$16:$Q$18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WINRATE общий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0"/>
              <c:layout>
                <c:manualLayout>
                  <c:xMode val="edge"/>
                  <c:yMode val="edge"/>
                  <c:x val="0.9764690946991272"/>
                  <c:y val="0.00415973377703826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9778320815398518"/>
                  <c:y val="0.0218386023294509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9819210576602312"/>
                  <c:y val="0.0384775374376039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9778320815398518"/>
                  <c:y val="0.05407653910149750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9778320815398518"/>
                  <c:y val="0.0717554076539101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Winrate!$A$2:$A$1000</c:f>
            </c:strRef>
          </c:cat>
          <c:val>
            <c:numRef>
              <c:f>Winrate!$B$2:$B$1000</c:f>
              <c:numCache/>
            </c:numRef>
          </c:val>
        </c:ser>
        <c:axId val="491468501"/>
        <c:axId val="1914599717"/>
      </c:barChart>
      <c:catAx>
        <c:axId val="4914685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599717"/>
      </c:catAx>
      <c:valAx>
        <c:axId val="19145997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4685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A4335"/>
                </a:solidFill>
                <a:latin typeface="+mn-lt"/>
              </a:defRPr>
            </a:pPr>
            <a:r>
              <a:rPr b="0">
                <a:solidFill>
                  <a:srgbClr val="EA4335"/>
                </a:solidFill>
                <a:latin typeface="+mn-lt"/>
              </a:rPr>
              <a:t>Все красные (М+Ш)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Winrate!$C$2:$C$1000</c:f>
            </c:strRef>
          </c:cat>
          <c:val>
            <c:numRef>
              <c:f>Winrate!$D$2:$D$1000</c:f>
              <c:numCache/>
            </c:numRef>
          </c:val>
        </c:ser>
        <c:axId val="1290914479"/>
        <c:axId val="1286975545"/>
      </c:barChart>
      <c:catAx>
        <c:axId val="12909144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975545"/>
      </c:catAx>
      <c:valAx>
        <c:axId val="12869755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9144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F1F1F"/>
                </a:solidFill>
                <a:latin typeface="+mn-lt"/>
              </a:defRPr>
            </a:pPr>
            <a:r>
              <a:rPr b="0">
                <a:solidFill>
                  <a:srgbClr val="1F1F1F"/>
                </a:solidFill>
                <a:latin typeface="+mn-lt"/>
              </a:rPr>
              <a:t>Все черные (Д+М)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Winrate!$E$2:$E$1000</c:f>
            </c:strRef>
          </c:cat>
          <c:val>
            <c:numRef>
              <c:f>Winrate!$F$2:$F$1000</c:f>
              <c:numCache/>
            </c:numRef>
          </c:val>
        </c:ser>
        <c:axId val="1541332806"/>
        <c:axId val="641647136"/>
      </c:barChart>
      <c:catAx>
        <c:axId val="15413328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647136"/>
      </c:catAx>
      <c:valAx>
        <c:axId val="641647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3328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51C75"/>
                </a:solidFill>
                <a:latin typeface="+mn-lt"/>
              </a:defRPr>
            </a:pPr>
            <a:r>
              <a:rPr b="0">
                <a:solidFill>
                  <a:srgbClr val="351C75"/>
                </a:solidFill>
                <a:latin typeface="+mn-lt"/>
              </a:rPr>
              <a:t>Мафия: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Winrate!$G$2:$G$1000</c:f>
            </c:strRef>
          </c:cat>
          <c:val>
            <c:numRef>
              <c:f>Winrate!$H$2:$H$1000</c:f>
              <c:numCache/>
            </c:numRef>
          </c:val>
        </c:ser>
        <c:axId val="523612715"/>
        <c:axId val="2115988278"/>
      </c:barChart>
      <c:catAx>
        <c:axId val="5236127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988278"/>
      </c:catAx>
      <c:valAx>
        <c:axId val="21159882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6127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1C232"/>
                </a:solidFill>
                <a:latin typeface="+mn-lt"/>
              </a:defRPr>
            </a:pPr>
            <a:r>
              <a:rPr b="0">
                <a:solidFill>
                  <a:srgbClr val="F1C232"/>
                </a:solidFill>
                <a:latin typeface="+mn-lt"/>
              </a:rPr>
              <a:t>Шериф: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Winrate!$I$2:$I$1000</c:f>
            </c:strRef>
          </c:cat>
          <c:val>
            <c:numRef>
              <c:f>Winrate!$J$2:$J$1000</c:f>
              <c:numCache/>
            </c:numRef>
          </c:val>
        </c:ser>
        <c:axId val="1897268503"/>
        <c:axId val="899946724"/>
      </c:barChart>
      <c:catAx>
        <c:axId val="1897268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946724"/>
      </c:catAx>
      <c:valAx>
        <c:axId val="899946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2685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2"/>
                </a:solidFill>
                <a:latin typeface="+mn-lt"/>
              </a:defRPr>
            </a:pPr>
            <a:r>
              <a:rPr b="0">
                <a:solidFill>
                  <a:schemeClr val="accent2"/>
                </a:solidFill>
                <a:latin typeface="+mn-lt"/>
              </a:rPr>
              <a:t>Мирный: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Winrate!$M$2:$M$1000</c:f>
            </c:strRef>
          </c:cat>
          <c:val>
            <c:numRef>
              <c:f>Winrate!$N$2:$N$1000</c:f>
              <c:numCache/>
            </c:numRef>
          </c:val>
        </c:ser>
        <c:axId val="817714984"/>
        <c:axId val="1815311827"/>
      </c:barChart>
      <c:catAx>
        <c:axId val="8177149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311827"/>
      </c:catAx>
      <c:valAx>
        <c:axId val="1815311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7149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Дон: % Побед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Winrate!$L$1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.0"/>
          </c:errBars>
          <c:cat>
            <c:strRef>
              <c:f>Winrate!$K$2:$K$1000</c:f>
            </c:strRef>
          </c:cat>
          <c:val>
            <c:numRef>
              <c:f>Winrate!$L$2:$L$1000</c:f>
              <c:numCache/>
            </c:numRef>
          </c:val>
        </c:ser>
        <c:axId val="1726085386"/>
        <c:axId val="1448116421"/>
      </c:barChart>
      <c:catAx>
        <c:axId val="1726085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116421"/>
      </c:catAx>
      <c:valAx>
        <c:axId val="14481164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0853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180975</xdr:rowOff>
    </xdr:from>
    <xdr:ext cx="3905250" cy="24288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3314700" cy="99631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419100</xdr:colOff>
      <xdr:row>0</xdr:row>
      <xdr:rowOff>19050</xdr:rowOff>
    </xdr:from>
    <xdr:ext cx="3829050" cy="99631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485775</xdr:colOff>
      <xdr:row>0</xdr:row>
      <xdr:rowOff>0</xdr:rowOff>
    </xdr:from>
    <xdr:ext cx="3829050" cy="99631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485775</xdr:colOff>
      <xdr:row>0</xdr:row>
      <xdr:rowOff>0</xdr:rowOff>
    </xdr:from>
    <xdr:ext cx="3829050" cy="996315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466725</xdr:colOff>
      <xdr:row>0</xdr:row>
      <xdr:rowOff>0</xdr:rowOff>
    </xdr:from>
    <xdr:ext cx="3829050" cy="99631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23</xdr:col>
      <xdr:colOff>114300</xdr:colOff>
      <xdr:row>0</xdr:row>
      <xdr:rowOff>0</xdr:rowOff>
    </xdr:from>
    <xdr:ext cx="3829050" cy="996315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485775</xdr:colOff>
      <xdr:row>0</xdr:row>
      <xdr:rowOff>0</xdr:rowOff>
    </xdr:from>
    <xdr:ext cx="3829050" cy="9963150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8.88"/>
    <col customWidth="1" min="3" max="3" width="22.0"/>
    <col customWidth="1" min="4" max="4" width="11.0"/>
    <col customWidth="1" min="7" max="7" width="15.88"/>
    <col customWidth="1" min="10" max="10" width="9.63"/>
    <col customWidth="1" min="11" max="11" width="9.25"/>
    <col customWidth="1" min="12" max="12" width="8.0"/>
    <col customWidth="1" min="13" max="13" width="11.13"/>
    <col customWidth="1" min="14" max="14" width="11.75"/>
    <col customWidth="1" min="19" max="19" width="15.88"/>
  </cols>
  <sheetData>
    <row r="1">
      <c r="A1" s="1"/>
      <c r="B1" s="1"/>
      <c r="C1" s="1"/>
      <c r="D1" s="2" t="s">
        <v>0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3"/>
      <c r="BQ1" s="3"/>
      <c r="BR1" s="3"/>
      <c r="BS1" s="3"/>
      <c r="BT1" s="1"/>
      <c r="BU1" s="1"/>
      <c r="BV1" s="1"/>
      <c r="BW1" s="1"/>
      <c r="BX1" s="1"/>
      <c r="BY1" s="1"/>
      <c r="BZ1" s="1"/>
      <c r="CA1" s="1"/>
      <c r="CB1" s="4"/>
    </row>
    <row r="2">
      <c r="A2" s="1"/>
      <c r="B2" s="1"/>
      <c r="C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3"/>
      <c r="BQ2" s="3"/>
      <c r="BR2" s="3"/>
      <c r="BS2" s="3"/>
      <c r="BT2" s="1"/>
      <c r="BU2" s="1"/>
      <c r="BV2" s="1"/>
      <c r="BW2" s="1"/>
      <c r="BX2" s="1"/>
      <c r="BY2" s="1"/>
      <c r="BZ2" s="1"/>
      <c r="CA2" s="1"/>
      <c r="CB2" s="4"/>
    </row>
    <row r="3">
      <c r="A3" s="1"/>
      <c r="B3" s="1"/>
      <c r="C3" s="1"/>
      <c r="D3" s="2"/>
      <c r="E3" s="2"/>
      <c r="F3" s="2"/>
      <c r="G3" s="2"/>
      <c r="H3" s="5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4"/>
    </row>
    <row r="4">
      <c r="A4" s="1"/>
      <c r="B4" s="1"/>
      <c r="C4" s="1"/>
      <c r="D4" s="2"/>
      <c r="E4" s="2"/>
      <c r="F4" s="2"/>
      <c r="G4" s="2"/>
      <c r="H4" s="2"/>
      <c r="I4" s="5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3"/>
      <c r="BQ4" s="3"/>
      <c r="BR4" s="3"/>
      <c r="BS4" s="3"/>
      <c r="BT4" s="1"/>
      <c r="BU4" s="1"/>
      <c r="BV4" s="1"/>
      <c r="BW4" s="1"/>
      <c r="BX4" s="1"/>
      <c r="BY4" s="1"/>
      <c r="BZ4" s="1"/>
      <c r="CA4" s="1"/>
      <c r="CB4" s="4"/>
    </row>
    <row r="5">
      <c r="A5" s="1"/>
      <c r="B5" s="7"/>
      <c r="C5" s="7"/>
      <c r="D5" s="7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9"/>
      <c r="BQ5" s="9"/>
      <c r="BR5" s="9"/>
      <c r="BS5" s="9"/>
      <c r="BT5" s="7"/>
      <c r="BU5" s="7"/>
      <c r="BV5" s="7"/>
      <c r="BW5" s="7"/>
      <c r="BX5" s="7"/>
      <c r="BY5" s="7"/>
      <c r="BZ5" s="7"/>
      <c r="CA5" s="7"/>
      <c r="CB5" s="4"/>
    </row>
    <row r="6">
      <c r="A6" s="10"/>
      <c r="B6" s="11" t="s">
        <v>1</v>
      </c>
      <c r="C6" s="12" t="s">
        <v>2</v>
      </c>
      <c r="D6" s="13" t="s">
        <v>3</v>
      </c>
      <c r="E6" s="13" t="s">
        <v>4</v>
      </c>
      <c r="F6" s="14" t="s">
        <v>5</v>
      </c>
      <c r="G6" s="14" t="s">
        <v>6</v>
      </c>
      <c r="H6" s="14" t="s">
        <v>7</v>
      </c>
      <c r="I6" s="15" t="s">
        <v>8</v>
      </c>
      <c r="J6" s="15" t="s">
        <v>9</v>
      </c>
      <c r="K6" s="15" t="s">
        <v>10</v>
      </c>
      <c r="L6" s="16" t="s">
        <v>11</v>
      </c>
      <c r="M6" s="17" t="s">
        <v>12</v>
      </c>
      <c r="N6" s="18" t="s">
        <v>13</v>
      </c>
      <c r="O6" s="18" t="s">
        <v>14</v>
      </c>
      <c r="P6" s="19" t="s">
        <v>15</v>
      </c>
      <c r="Q6" s="20" t="s">
        <v>16</v>
      </c>
      <c r="R6" s="21" t="s">
        <v>17</v>
      </c>
      <c r="S6" s="22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  <c r="AD6" s="23" t="s">
        <v>29</v>
      </c>
      <c r="AE6" s="23" t="s">
        <v>30</v>
      </c>
      <c r="AF6" s="23" t="s">
        <v>31</v>
      </c>
      <c r="AG6" s="23" t="s">
        <v>32</v>
      </c>
      <c r="AH6" s="23" t="s">
        <v>33</v>
      </c>
      <c r="AI6" s="23" t="s">
        <v>34</v>
      </c>
      <c r="AJ6" s="23" t="s">
        <v>35</v>
      </c>
      <c r="AK6" s="23" t="s">
        <v>36</v>
      </c>
      <c r="AL6" s="23" t="s">
        <v>37</v>
      </c>
      <c r="AM6" s="23" t="s">
        <v>38</v>
      </c>
      <c r="AN6" s="23" t="s">
        <v>39</v>
      </c>
      <c r="AO6" s="23" t="s">
        <v>40</v>
      </c>
      <c r="AP6" s="23" t="s">
        <v>41</v>
      </c>
      <c r="AQ6" s="23" t="s">
        <v>42</v>
      </c>
      <c r="AR6" s="23" t="s">
        <v>43</v>
      </c>
      <c r="AS6" s="23" t="s">
        <v>44</v>
      </c>
      <c r="AT6" s="23" t="s">
        <v>45</v>
      </c>
      <c r="AU6" s="23" t="s">
        <v>46</v>
      </c>
      <c r="AV6" s="23" t="s">
        <v>47</v>
      </c>
      <c r="AW6" s="23" t="s">
        <v>48</v>
      </c>
      <c r="AX6" s="23" t="s">
        <v>49</v>
      </c>
      <c r="AY6" s="23" t="s">
        <v>50</v>
      </c>
      <c r="AZ6" s="23" t="s">
        <v>51</v>
      </c>
      <c r="BA6" s="23" t="s">
        <v>52</v>
      </c>
      <c r="BB6" s="23" t="s">
        <v>53</v>
      </c>
      <c r="BC6" s="23" t="s">
        <v>54</v>
      </c>
      <c r="BD6" s="23" t="s">
        <v>55</v>
      </c>
      <c r="BE6" s="23" t="s">
        <v>56</v>
      </c>
      <c r="BF6" s="23" t="s">
        <v>57</v>
      </c>
      <c r="BG6" s="23" t="s">
        <v>58</v>
      </c>
      <c r="BH6" s="24" t="s">
        <v>59</v>
      </c>
      <c r="BI6" s="24" t="s">
        <v>60</v>
      </c>
      <c r="BJ6" s="24" t="s">
        <v>61</v>
      </c>
      <c r="BK6" s="24" t="s">
        <v>62</v>
      </c>
      <c r="BL6" s="24" t="s">
        <v>63</v>
      </c>
      <c r="BM6" s="24" t="s">
        <v>64</v>
      </c>
      <c r="BN6" s="24" t="s">
        <v>65</v>
      </c>
      <c r="BO6" s="25" t="s">
        <v>66</v>
      </c>
      <c r="BP6" s="26" t="s">
        <v>67</v>
      </c>
      <c r="BQ6" s="26" t="s">
        <v>68</v>
      </c>
      <c r="BR6" s="26" t="s">
        <v>69</v>
      </c>
      <c r="BS6" s="26" t="s">
        <v>70</v>
      </c>
      <c r="BT6" s="25" t="s">
        <v>71</v>
      </c>
      <c r="BU6" s="25" t="s">
        <v>72</v>
      </c>
      <c r="BV6" s="25" t="s">
        <v>73</v>
      </c>
      <c r="BW6" s="25" t="s">
        <v>74</v>
      </c>
      <c r="BX6" s="25" t="s">
        <v>75</v>
      </c>
      <c r="BY6" s="25" t="s">
        <v>76</v>
      </c>
      <c r="BZ6" s="25" t="s">
        <v>77</v>
      </c>
      <c r="CA6" s="25" t="s">
        <v>78</v>
      </c>
      <c r="CB6" s="4"/>
    </row>
    <row r="7">
      <c r="A7" s="10"/>
      <c r="B7" s="27">
        <f t="shared" ref="B7:B66" si="1">ROW()-6</f>
        <v>1</v>
      </c>
      <c r="C7" s="28" t="s">
        <v>79</v>
      </c>
      <c r="D7" s="29">
        <f>'Игроки статистика'!B5</f>
        <v>50</v>
      </c>
      <c r="E7" s="30">
        <f t="shared" ref="E7:E66" si="2">SUM(T7:CAZ7)-R7-S7</f>
        <v>191.5</v>
      </c>
      <c r="F7" s="31">
        <f t="shared" ref="F7:F66" si="3">IFERROR((((E7)/D7)*5), )</f>
        <v>19.15</v>
      </c>
      <c r="G7" s="32">
        <f t="shared" ref="G7:G66" si="4">IFERROR(((I7+J7+K7)/D7), )</f>
        <v>2.63</v>
      </c>
      <c r="H7" s="32">
        <f>SUMIFS('Все игры'!C$3:C1011,'Все игры'!A$3:A1011,C7)</f>
        <v>60</v>
      </c>
      <c r="I7" s="32">
        <f t="shared" ref="I7:I66" si="5">E7-H7-J7-K7</f>
        <v>128.5</v>
      </c>
      <c r="J7" s="33">
        <f>SUMIFS('Все игры'!F$3:F1011,'Все игры'!A$3:A1011,C7)</f>
        <v>1</v>
      </c>
      <c r="K7" s="34">
        <f>SUMIFS('Все игры'!G$3:G1011,'Все игры'!A$3:A1011,C7)</f>
        <v>2</v>
      </c>
      <c r="L7" s="35">
        <f>'Игроки статистика'!G5</f>
        <v>4</v>
      </c>
      <c r="M7" s="36">
        <f t="shared" ref="M7:M66" si="6">H7/2.5</f>
        <v>24</v>
      </c>
      <c r="N7" s="36">
        <f>SUM('Игроки статистика'!O5,'Игроки статистика'!Q5)</f>
        <v>5</v>
      </c>
      <c r="O7" s="37">
        <f>SUM('Игроки статистика'!P5,'Игроки статистика'!R5)</f>
        <v>4</v>
      </c>
      <c r="P7" s="38" t="str">
        <f>IFERROR(__xludf.DUMMYFUNCTION("IFNA(SUM(FILTER('Штрафы'!$D$5:$D1011,'Штрафы'!$C$5:$C1011=C7)), )"),"")</f>
        <v/>
      </c>
      <c r="Q7" s="38" t="str">
        <f>IFERROR(__xludf.DUMMYFUNCTION("IFNA(SUM(FILTER('Штрафы'!$F$5:$F1011,'Штрафы'!$C$5:$C1011=C7)), )"),"")</f>
        <v/>
      </c>
      <c r="R7" s="39"/>
      <c r="S7" s="40"/>
      <c r="T7" s="41" t="str">
        <f>IFERROR(__xludf.DUMMYFUNCTION("IFNA(SUM(FILTER('1 серия'!$B$6:$C$15,'1 серия'!$B$6:$B$15=C7)), )"),"")</f>
        <v/>
      </c>
      <c r="U7" s="32" t="str">
        <f>IFERROR(__xludf.DUMMYFUNCTION("IFNA(SUM(FILTER('2 серия'!$B$6:$C$15,'2 серия'!$B$6:$B$15=C7)), )
"),"")</f>
        <v/>
      </c>
      <c r="V7" s="32" t="str">
        <f>IFERROR(__xludf.DUMMYFUNCTION("IFNA(SUM(FILTER('3 серия'!$B$6:$C$15,'3 серия'!$B$6:$B$15=C7)), )
"),"")</f>
        <v/>
      </c>
      <c r="W7" s="32">
        <f>IFERROR(__xludf.DUMMYFUNCTION("IFNA(SUM(FILTER('4 серия'!$B$6:$C$15,'4 серия'!$B$6:$B$15=C7)), )"),22.75)</f>
        <v>22.75</v>
      </c>
      <c r="X7" s="32" t="str">
        <f>IFERROR(__xludf.DUMMYFUNCTION("IFNA(SUM(FILTER('5 серия'!$B$6:$C$15,'5 серия'!$B$6:$B$15=C7)), )"),"")</f>
        <v/>
      </c>
      <c r="Y7" s="32" t="str">
        <f>IFERROR(__xludf.DUMMYFUNCTION("IFNA(SUM(FILTER('6 серия'!$B$6:$C$15,'6 серия'!$B$6:$B$15=C7)), )"),"")</f>
        <v/>
      </c>
      <c r="Z7" s="32" t="str">
        <f>IFERROR(__xludf.DUMMYFUNCTION("IFNA(SUM(FILTER('7 серия'!$B$6:$C$15,'7 серия'!$B$6:$B$15=C7)), )"),"")</f>
        <v/>
      </c>
      <c r="AA7" s="32" t="str">
        <f>IFERROR(__xludf.DUMMYFUNCTION("IFNA(SUM(FILTER('8 серия'!$B$6:$C$15,'8 серия'!$B$6:$B$15=C7)), )"),"")</f>
        <v/>
      </c>
      <c r="AB7" s="32">
        <f>IFERROR(__xludf.DUMMYFUNCTION("IFNA(SUM(FILTER('9 серия'!$B$7:$C$16,'9 серия'!$B$7:$B$16=C7)), )"),27.0)</f>
        <v>27</v>
      </c>
      <c r="AC7" s="32" t="str">
        <f>IFERROR(__xludf.DUMMYFUNCTION("IFNA(SUM(FILTER('10 серия'!$B$6:$C$15,'10 серия'!$B$6:$B$15=C7)), )"),"")</f>
        <v/>
      </c>
      <c r="AD7" s="32" t="str">
        <f>IFERROR(__xludf.DUMMYFUNCTION("IFNA(SUM(FILTER('11 серия'!$B$6:$C$15,'11 серия'!$B$6:$B$15=C7)), )"),"")</f>
        <v/>
      </c>
      <c r="AE7" s="32" t="str">
        <f>IFERROR(__xludf.DUMMYFUNCTION("IFNA(SUM(FILTER('12 серия'!$B$6:$C$15,'12 серия'!$B$6:$B$15=C7)), )"),"")</f>
        <v/>
      </c>
      <c r="AF7" s="32" t="str">
        <f>IFERROR(__xludf.DUMMYFUNCTION("IFNA(SUM(FILTER('13 серия'!$B$6:$C$15,'13 серия'!$B$6:$B$15=C7)), )"),"")</f>
        <v/>
      </c>
      <c r="AG7" s="32" t="str">
        <f>IFERROR(__xludf.DUMMYFUNCTION("IFNA(SUM(FILTER('14 серия'!$B$6:$C$15,'14 серия'!$B$6:$B$15=C7)), )"),"")</f>
        <v/>
      </c>
      <c r="AH7" s="32" t="str">
        <f>IFERROR(__xludf.DUMMYFUNCTION("IFNA(SUM(FILTER('15 серия'!$B$6:$C$15,'15 серия'!$B$6:$B$15=C7)), )"),"")</f>
        <v/>
      </c>
      <c r="AI7" s="32">
        <f>IFERROR(__xludf.DUMMYFUNCTION("IFNA(SUM(FILTER('16 серия'!$B$6:$C$15,'16 серия'!$B$6:$B$15=C7)), )"),20.75)</f>
        <v>20.75</v>
      </c>
      <c r="AJ7" s="32" t="str">
        <f>IFERROR(__xludf.DUMMYFUNCTION("IFNA(SUM(FILTER('17 серия'!$B$6:$C$15,'17 серия'!$B$6:$B$15=C7)), )"),"")</f>
        <v/>
      </c>
      <c r="AK7" s="32" t="str">
        <f>IFERROR(__xludf.DUMMYFUNCTION("IFNA(SUM(FILTER('18 серия'!$B$6:$C$15,'18 серия'!$B$6:$B$15=C7)), )"),"")</f>
        <v/>
      </c>
      <c r="AL7" s="32" t="str">
        <f>IFERROR(__xludf.DUMMYFUNCTION("IFNA(SUM(FILTER('19 серия'!$B$6:$C$15,'19 серия'!$B$6:$B$15=C7)), )"),"")</f>
        <v/>
      </c>
      <c r="AM7" s="32" t="str">
        <f>IFERROR(__xludf.DUMMYFUNCTION("IFNA(SUM(FILTER('20 серия'!$B$6:$C$15,'20 серия'!$B$6:$B$15=C7)), )"),"")</f>
        <v/>
      </c>
      <c r="AN7" s="32" t="str">
        <f>IFERROR(__xludf.DUMMYFUNCTION("IFNA(SUM(FILTER('21 серия'!$B$6:$C$15,'21 серия'!$B$6:$B$15=C7)), )"),"")</f>
        <v/>
      </c>
      <c r="AO7" s="32" t="str">
        <f>IFERROR(__xludf.DUMMYFUNCTION("IFNA(SUM(FILTER('22 серия'!$B$6:$C$15,'22 серия'!$B$6:$B$15=C7)), )"),"")</f>
        <v/>
      </c>
      <c r="AP7" s="32" t="str">
        <f>IFERROR(__xludf.DUMMYFUNCTION("IFNA(SUM(FILTER('23 серия'!$B$6:$C$15,'23 серия'!$B$6:$B$15=C7)), )"),"")</f>
        <v/>
      </c>
      <c r="AQ7" s="32" t="str">
        <f>IFERROR(__xludf.DUMMYFUNCTION("IFNA(SUM(FILTER('24 серия'!$B$6:$C$15,'24 серия'!$B$6:$B$15=C7)), )"),"")</f>
        <v/>
      </c>
      <c r="AR7" s="32" t="str">
        <f>IFERROR(__xludf.DUMMYFUNCTION("IFNA(SUM(FILTER('25 серия'!$B$6:$C$15,'25 серия'!$B$6:$B$15=C7)), )"),"")</f>
        <v/>
      </c>
      <c r="AS7" s="32">
        <f>IFERROR(__xludf.DUMMYFUNCTION("IFNA(SUM(FILTER('26 серия'!$B$6:$C$15,'26 серия'!$B$6:$B$15=C7)), )"),15.75)</f>
        <v>15.75</v>
      </c>
      <c r="AT7" s="32" t="str">
        <f>IFERROR(__xludf.DUMMYFUNCTION("IFNA(SUM(FILTER('27 серия'!$B$6:$C$15,'27 серия'!$B$6:$B$15=C7)), )"),"")</f>
        <v/>
      </c>
      <c r="AU7" s="32" t="str">
        <f>IFERROR(__xludf.DUMMYFUNCTION("IFNA(SUM(FILTER('28 серия'!$B$6:$C$15,'28 серия'!$B$6:$B$15=C7)), )"),"")</f>
        <v/>
      </c>
      <c r="AV7" s="32" t="str">
        <f>IFERROR(__xludf.DUMMYFUNCTION("IFNA(SUM(FILTER('29 серия'!$B$6:$C$15,'29 серия'!$B$6:$B$15=C7)), )"),"")</f>
        <v/>
      </c>
      <c r="AW7" s="32" t="str">
        <f>IFERROR(__xludf.DUMMYFUNCTION("IFNA(SUM(FILTER('30 серия'!$B$6:$C$15,'30 серия'!$B$6:$B$15=C7)), )"),"")</f>
        <v/>
      </c>
      <c r="AX7" s="32">
        <f>IFERROR(__xludf.DUMMYFUNCTION("IFNA(SUM(FILTER('31 серия'!$B$6:$C$15,'31 серия'!$B$6:$B$15=C7)), )"),18.25)</f>
        <v>18.25</v>
      </c>
      <c r="AY7" s="32" t="str">
        <f>IFERROR(__xludf.DUMMYFUNCTION("IFNA(SUM(FILTER('32 серия'!$B$6:$C$15,'32 серия'!$B$6:$B$15=C7)), )"),"")</f>
        <v/>
      </c>
      <c r="AZ7" s="32" t="str">
        <f>IFERROR(__xludf.DUMMYFUNCTION("IFNA(SUM(FILTER('33 серия'!$B$6:$C$15,'33 серия'!$B$6:$B$15=C7)), )"),"")</f>
        <v/>
      </c>
      <c r="BA7" s="32" t="str">
        <f>IFERROR(__xludf.DUMMYFUNCTION("IFNA(SUM(FILTER('34 серия'!$B$6:$C$15,'34 серия'!$B$6:$B$15=C7)), )"),"")</f>
        <v/>
      </c>
      <c r="BB7" s="32" t="str">
        <f>IFERROR(__xludf.DUMMYFUNCTION("IFNA(SUM(FILTER('35 серия'!$B$6:$C$15,'35 серия'!$B$6:$B$15=C7)), )"),"")</f>
        <v/>
      </c>
      <c r="BC7" s="32">
        <f>IFERROR(__xludf.DUMMYFUNCTION("IFNA(SUM(FILTER('36 серия'!$B$6:$C$15,'36 серия'!$B$6:$B$15=C7)), )"),16.75)</f>
        <v>16.75</v>
      </c>
      <c r="BD7" s="32" t="str">
        <f>IFERROR(__xludf.DUMMYFUNCTION("IFNA(SUM(FILTER('37 серия'!$B$6:$C$15,'37 серия'!$B$6:$B$15=C7)), )"),"")</f>
        <v/>
      </c>
      <c r="BE7" s="32" t="str">
        <f>IFERROR(__xludf.DUMMYFUNCTION("IFNA(SUM(FILTER('38 серия'!$B$6:$C$15,'38 серия'!$B$6:$B$15=C7)), )"),"")</f>
        <v/>
      </c>
      <c r="BF7" s="32" t="str">
        <f>IFERROR(__xludf.DUMMYFUNCTION("IFNA(SUM(FILTER('39 серия'!$B$6:$C$15,'39 серия'!$B$6:$B$15=C7)), )"),"")</f>
        <v/>
      </c>
      <c r="BG7" s="32">
        <f>IFERROR(__xludf.DUMMYFUNCTION("IFNA(SUM(FILTER('40 серия'!$B$6:$C$15,'40 серия'!$B$6:$B$15=C7)), )"),20.5)</f>
        <v>20.5</v>
      </c>
      <c r="BH7" s="32" t="str">
        <f>IFERROR(__xludf.DUMMYFUNCTION("IFNA(SUM(FILTER('41 серия'!$B$6:$C$15,'41 серия'!$B$6:$B$15=C7)), )"),"")</f>
        <v/>
      </c>
      <c r="BI7" s="32" t="str">
        <f>IFERROR(__xludf.DUMMYFUNCTION("IFNA(SUM(FILTER('42 серия'!$B$6:$C$15,'42 серия'!$B$6:$B$15=C7)), )"),"")</f>
        <v/>
      </c>
      <c r="BJ7" s="32" t="str">
        <f>IFERROR(__xludf.DUMMYFUNCTION("IFNA(SUM(FILTER('43 серия'!$B$6:$C$15,'43 серия'!$B$6:$B$15=C7)), )"),"")</f>
        <v/>
      </c>
      <c r="BK7" s="32">
        <f>IFERROR(__xludf.DUMMYFUNCTION("IFNA(SUM(FILTER('44 серия'!$B$6:$C$15,'44 серия'!$B$6:$B$15=C7)), )"),17.5)</f>
        <v>17.5</v>
      </c>
      <c r="BL7" s="32" t="str">
        <f>IFERROR(__xludf.DUMMYFUNCTION("IFNA(SUM(FILTER('45 серия'!$B$6:$C$15,'45 серия'!$B$6:$B$15=C7)), )"),"")</f>
        <v/>
      </c>
      <c r="BM7" s="32" t="str">
        <f>IFERROR(__xludf.DUMMYFUNCTION("IFNA(SUM(FILTER('46 серия'!$B$6:$C$15,'46 серия'!$B$6:$B$15=C7)), )"),"")</f>
        <v/>
      </c>
      <c r="BN7" s="32" t="str">
        <f>IFERROR(__xludf.DUMMYFUNCTION("IFNA(SUM(FILTER('47 серия'!$B$6:$C$15,'47 серия'!$B$6:$B$15=C7)), )"),"")</f>
        <v/>
      </c>
      <c r="BO7" s="42" t="str">
        <f>IFERROR(__xludf.DUMMYFUNCTION("IFNA(SUM(FILTER('48 серия'!$B$6:$C$15,'48 серия'!$B$6:$B$15=$C7)), )"),"")</f>
        <v/>
      </c>
      <c r="BP7" s="43" t="str">
        <f>IFERROR(__xludf.DUMMYFUNCTION("IFNA(SUM(FILTER('49 серия'!$B$6:$C$15,'49 серия'!$B$6:$B$15=$C7)), )"),"")</f>
        <v/>
      </c>
      <c r="BQ7" s="43" t="str">
        <f>IFERROR(__xludf.DUMMYFUNCTION("IFNA(SUM(FILTER('50 серия'!$B$6:$C$15,'50 серия'!$B$6:$B$15=$C7)), )"),"")</f>
        <v/>
      </c>
      <c r="BR7" s="43">
        <f>IFERROR(__xludf.DUMMYFUNCTION("IFNA(SUM(FILTER('51 серия'!$B$6:$C$15,'51 серия'!$B$6:$B$15=$C7)), )"),16.5)</f>
        <v>16.5</v>
      </c>
      <c r="BS7" s="43" t="str">
        <f>IFERROR(__xludf.DUMMYFUNCTION("IFNA(SUM(FILTER('52 серия'!$B$6:$C$15,'52 серия'!$B$6:$B$15=C7)), )"),"")</f>
        <v/>
      </c>
      <c r="BT7" s="32">
        <f>IFERROR(__xludf.DUMMYFUNCTION("IFNA(SUM(FILTER('53 серия'!$B$6:$C$15,'53 серия'!$B$6:$B$15=$C7)), )"),15.75)</f>
        <v>15.75</v>
      </c>
      <c r="BU7" s="32" t="str">
        <f>IFERROR(__xludf.DUMMYFUNCTION("IFNA(SUM(FILTER('54 серия'!$B$6:$C$15,'54 серия'!$B$6:$B$15=$C7)), )"),"")</f>
        <v/>
      </c>
      <c r="BV7" s="32" t="str">
        <f>IFERROR(__xludf.DUMMYFUNCTION("IFNA(SUM(FILTER('55 серия'!$B$6:$C$15,'55 серия'!$B$6:$B$15=$C7)), )"),"")</f>
        <v/>
      </c>
      <c r="BW7" s="32" t="str">
        <f>IFERROR(__xludf.DUMMYFUNCTION("IFNA(SUM(FILTER('56 серия'!$B$6:$C$15,'56 серия'!$B$6:$B$15=$C7)), )"),"")</f>
        <v/>
      </c>
      <c r="BX7" s="32" t="str">
        <f>IFERROR(__xludf.DUMMYFUNCTION("IFNA(SUM(FILTER('57 серия'!$B$6:$C$15,'57 серия'!$B$6:$B$15=$C7)), )"),"")</f>
        <v/>
      </c>
      <c r="BY7" s="32" t="str">
        <f>IFERROR(__xludf.DUMMYFUNCTION("IFNA(SUM(FILTER('58 серия'!$B$6:$C$15,'58 серия'!$B$6:$B$15=$C7)), )"),"")</f>
        <v/>
      </c>
      <c r="BZ7" s="32" t="str">
        <f>IFERROR(__xludf.DUMMYFUNCTION("IFNA(SUM(FILTER('59 серия'!$B$6:$C$15,'59 серия'!$B$6:$B$15=C7)), )"),"")</f>
        <v/>
      </c>
      <c r="CA7" s="44" t="str">
        <f>IFERROR(__xludf.DUMMYFUNCTION("IFNA(SUM(FILTER('60 серия'!$B$6:$C$15,'60 серия'!$B$6:$B$15=$C7)), )"),"")</f>
        <v/>
      </c>
      <c r="CB7" s="4"/>
    </row>
    <row r="8">
      <c r="A8" s="10"/>
      <c r="B8" s="27">
        <f t="shared" si="1"/>
        <v>2</v>
      </c>
      <c r="C8" s="45" t="s">
        <v>80</v>
      </c>
      <c r="D8" s="29">
        <f>'Игроки статистика'!B6</f>
        <v>50</v>
      </c>
      <c r="E8" s="30">
        <f t="shared" si="2"/>
        <v>217.75</v>
      </c>
      <c r="F8" s="31">
        <f t="shared" si="3"/>
        <v>21.775</v>
      </c>
      <c r="G8" s="46">
        <f t="shared" si="4"/>
        <v>3.005</v>
      </c>
      <c r="H8" s="46">
        <f>SUMIFS('Все игры'!C$3:C1011,'Все игры'!A$3:A1011,C8)</f>
        <v>67.5</v>
      </c>
      <c r="I8" s="46">
        <f t="shared" si="5"/>
        <v>144.25</v>
      </c>
      <c r="J8" s="47">
        <f>SUMIFS('Все игры'!F$3:F1011,'Все игры'!A$3:A1011,C8)</f>
        <v>2</v>
      </c>
      <c r="K8" s="48">
        <f>SUMIFS('Все игры'!G$3:G1011,'Все игры'!A$3:A1011,C8)</f>
        <v>4</v>
      </c>
      <c r="L8" s="35">
        <f>'Игроки статистика'!G6</f>
        <v>7</v>
      </c>
      <c r="M8" s="36">
        <f t="shared" si="6"/>
        <v>27</v>
      </c>
      <c r="N8" s="36">
        <f>SUM('Игроки статистика'!O6,'Игроки статистика'!Q6)</f>
        <v>6</v>
      </c>
      <c r="O8" s="37">
        <f>SUM('Игроки статистика'!P6,'Игроки статистика'!R6)</f>
        <v>6</v>
      </c>
      <c r="P8" s="38" t="str">
        <f>IFERROR(__xludf.DUMMYFUNCTION("IFNA(SUM(FILTER('Штрафы'!$D$5:$D1011,'Штрафы'!$C$5:$C1011=C8)), )"),"")</f>
        <v/>
      </c>
      <c r="Q8" s="38" t="str">
        <f>IFERROR(__xludf.DUMMYFUNCTION("IFNA(SUM(FILTER('Штрафы'!$F$5:$F1011,'Штрафы'!$C$5:$C1011=C8)), )"),"")</f>
        <v/>
      </c>
      <c r="R8" s="39"/>
      <c r="S8" s="40"/>
      <c r="T8" s="31" t="str">
        <f>IFERROR(__xludf.DUMMYFUNCTION("IFNA(SUM(FILTER('1 серия'!$B$6:$C$15,'1 серия'!$B$6:$B$15=C8)), )"),"")</f>
        <v/>
      </c>
      <c r="U8" s="32" t="str">
        <f>IFERROR(__xludf.DUMMYFUNCTION("IFNA(SUM(FILTER('2 серия'!$B$6:$C$15,'2 серия'!$B$6:$B$15=C8)), )
"),"")</f>
        <v/>
      </c>
      <c r="V8" s="32" t="str">
        <f>IFERROR(__xludf.DUMMYFUNCTION("IFNA(SUM(FILTER('3 серия'!$B$6:$C$15,'3 серия'!$B$6:$B$15=C8)), )
"),"")</f>
        <v/>
      </c>
      <c r="W8" s="32" t="str">
        <f>IFERROR(__xludf.DUMMYFUNCTION("IFNA(SUM(FILTER('4 серия'!$B$6:$C$15,'4 серия'!$B$6:$B$15=C8)), )"),"")</f>
        <v/>
      </c>
      <c r="X8" s="32" t="str">
        <f>IFERROR(__xludf.DUMMYFUNCTION("IFNA(SUM(FILTER('5 серия'!$B$6:$C$15,'5 серия'!$B$6:$B$15=C8)), )"),"")</f>
        <v/>
      </c>
      <c r="Y8" s="32" t="str">
        <f>IFERROR(__xludf.DUMMYFUNCTION("IFNA(SUM(FILTER('6 серия'!$B$6:$C$15,'6 серия'!$B$6:$B$15=C8)), )"),"")</f>
        <v/>
      </c>
      <c r="Z8" s="32" t="str">
        <f>IFERROR(__xludf.DUMMYFUNCTION("IFNA(SUM(FILTER('7 серия'!$B$6:$C$15,'7 серия'!$B$6:$B$15=C8)), )"),"")</f>
        <v/>
      </c>
      <c r="AA8" s="32" t="str">
        <f>IFERROR(__xludf.DUMMYFUNCTION("IFNA(SUM(FILTER('8 серия'!$B$6:$C$15,'8 серия'!$B$6:$B$15=C8)), )"),"")</f>
        <v/>
      </c>
      <c r="AB8" s="32" t="str">
        <f>IFERROR(__xludf.DUMMYFUNCTION("IFNA(SUM(FILTER('9 серия'!$B$7:$C$16,'9 серия'!$B$7:$B$16=C8)), )"),"")</f>
        <v/>
      </c>
      <c r="AC8" s="32" t="str">
        <f>IFERROR(__xludf.DUMMYFUNCTION("IFNA(SUM(FILTER('10 серия'!$B$6:$C$15,'10 серия'!$B$6:$B$15=C8)), )"),"")</f>
        <v/>
      </c>
      <c r="AD8" s="32" t="str">
        <f>IFERROR(__xludf.DUMMYFUNCTION("IFNA(SUM(FILTER('11 серия'!$B$6:$C$15,'11 серия'!$B$6:$B$15=C8)), )"),"")</f>
        <v/>
      </c>
      <c r="AE8" s="32" t="str">
        <f>IFERROR(__xludf.DUMMYFUNCTION("IFNA(SUM(FILTER('12 серия'!$B$6:$C$15,'12 серия'!$B$6:$B$15=C8)), )"),"")</f>
        <v/>
      </c>
      <c r="AF8" s="32" t="str">
        <f>IFERROR(__xludf.DUMMYFUNCTION("IFNA(SUM(FILTER('13 серия'!$B$6:$C$15,'13 серия'!$B$6:$B$15=C8)), )"),"")</f>
        <v/>
      </c>
      <c r="AG8" s="32" t="str">
        <f>IFERROR(__xludf.DUMMYFUNCTION("IFNA(SUM(FILTER('14 серия'!$B$6:$C$15,'14 серия'!$B$6:$B$15=C8)), )"),"")</f>
        <v/>
      </c>
      <c r="AH8" s="32" t="str">
        <f>IFERROR(__xludf.DUMMYFUNCTION("IFNA(SUM(FILTER('15 серия'!$B$6:$C$15,'15 серия'!$B$6:$B$15=C8)), )"),"")</f>
        <v/>
      </c>
      <c r="AI8" s="32" t="str">
        <f>IFERROR(__xludf.DUMMYFUNCTION("IFNA(SUM(FILTER('16 серия'!$B$6:$C$15,'16 серия'!$B$6:$B$15=C8)), )"),"")</f>
        <v/>
      </c>
      <c r="AJ8" s="32" t="str">
        <f>IFERROR(__xludf.DUMMYFUNCTION("IFNA(SUM(FILTER('17 серия'!$B$6:$C$15,'17 серия'!$B$6:$B$15=C8)), )"),"")</f>
        <v/>
      </c>
      <c r="AK8" s="32" t="str">
        <f>IFERROR(__xludf.DUMMYFUNCTION("IFNA(SUM(FILTER('18 серия'!$B$6:$C$15,'18 серия'!$B$6:$B$15=C8)), )"),"")</f>
        <v/>
      </c>
      <c r="AL8" s="32" t="str">
        <f>IFERROR(__xludf.DUMMYFUNCTION("IFNA(SUM(FILTER('19 серия'!$B$6:$C$15,'19 серия'!$B$6:$B$15=C8)), )"),"")</f>
        <v/>
      </c>
      <c r="AM8" s="32" t="str">
        <f>IFERROR(__xludf.DUMMYFUNCTION("IFNA(SUM(FILTER('20 серия'!$B$6:$C$15,'20 серия'!$B$6:$B$15=C8)), )"),"")</f>
        <v/>
      </c>
      <c r="AN8" s="32" t="str">
        <f>IFERROR(__xludf.DUMMYFUNCTION("IFNA(SUM(FILTER('21 серия'!$B$6:$C$15,'21 серия'!$B$6:$B$15=C8)), )"),"")</f>
        <v/>
      </c>
      <c r="AO8" s="32" t="str">
        <f>IFERROR(__xludf.DUMMYFUNCTION("IFNA(SUM(FILTER('22 серия'!$B$6:$C$15,'22 серия'!$B$6:$B$15=C8)), )"),"")</f>
        <v/>
      </c>
      <c r="AP8" s="32" t="str">
        <f>IFERROR(__xludf.DUMMYFUNCTION("IFNA(SUM(FILTER('23 серия'!$B$6:$C$15,'23 серия'!$B$6:$B$15=C8)), )"),"")</f>
        <v/>
      </c>
      <c r="AQ8" s="32" t="str">
        <f>IFERROR(__xludf.DUMMYFUNCTION("IFNA(SUM(FILTER('24 серия'!$B$6:$C$15,'24 серия'!$B$6:$B$15=C8)), )"),"")</f>
        <v/>
      </c>
      <c r="AR8" s="32">
        <f>IFERROR(__xludf.DUMMYFUNCTION("IFNA(SUM(FILTER('25 серия'!$B$6:$C$15,'25 серия'!$B$6:$B$15=C8)), )"),26.5)</f>
        <v>26.5</v>
      </c>
      <c r="AS8" s="32">
        <f>IFERROR(__xludf.DUMMYFUNCTION("IFNA(SUM(FILTER('26 серия'!$B$6:$C$15,'26 серия'!$B$6:$B$15=C8)), )"),27.0)</f>
        <v>27</v>
      </c>
      <c r="AT8" s="32">
        <f>IFERROR(__xludf.DUMMYFUNCTION("IFNA(SUM(FILTER('27 серия'!$B$6:$C$15,'27 серия'!$B$6:$B$15=C8)), )"),18.0)</f>
        <v>18</v>
      </c>
      <c r="AU8" s="32">
        <f>IFERROR(__xludf.DUMMYFUNCTION("IFNA(SUM(FILTER('28 серия'!$B$6:$C$15,'28 серия'!$B$6:$B$15=C8)), )"),24.25)</f>
        <v>24.25</v>
      </c>
      <c r="AV8" s="32">
        <f>IFERROR(__xludf.DUMMYFUNCTION("IFNA(SUM(FILTER('29 серия'!$B$6:$C$15,'29 серия'!$B$6:$B$15=C8)), )"),14.25)</f>
        <v>14.25</v>
      </c>
      <c r="AW8" s="32">
        <f>IFERROR(__xludf.DUMMYFUNCTION("IFNA(SUM(FILTER('30 серия'!$B$6:$C$15,'30 серия'!$B$6:$B$15=C8)), )"),14.0)</f>
        <v>14</v>
      </c>
      <c r="AX8" s="32">
        <f>IFERROR(__xludf.DUMMYFUNCTION("IFNA(SUM(FILTER('31 серия'!$B$6:$C$15,'31 серия'!$B$6:$B$15=C8)), )"),25.75)</f>
        <v>25.75</v>
      </c>
      <c r="AY8" s="32">
        <f>IFERROR(__xludf.DUMMYFUNCTION("IFNA(SUM(FILTER('32 серия'!$B$6:$C$15,'32 серия'!$B$6:$B$15=C8)), )"),22.5)</f>
        <v>22.5</v>
      </c>
      <c r="AZ8" s="32">
        <f>IFERROR(__xludf.DUMMYFUNCTION("IFNA(SUM(FILTER('33 серия'!$B$6:$C$15,'33 серия'!$B$6:$B$15=C8)), )"),21.5)</f>
        <v>21.5</v>
      </c>
      <c r="BA8" s="32">
        <f>IFERROR(__xludf.DUMMYFUNCTION("IFNA(SUM(FILTER('34 серия'!$B$6:$C$15,'34 серия'!$B$6:$B$15=C8)), )"),24.0)</f>
        <v>24</v>
      </c>
      <c r="BB8" s="32" t="str">
        <f>IFERROR(__xludf.DUMMYFUNCTION("IFNA(SUM(FILTER('35 серия'!$B$6:$C$15,'35 серия'!$B$6:$B$15=C8)), )"),"")</f>
        <v/>
      </c>
      <c r="BC8" s="32" t="str">
        <f>IFERROR(__xludf.DUMMYFUNCTION("IFNA(SUM(FILTER('36 серия'!$B$6:$C$15,'36 серия'!$B$6:$B$15=C8)), )"),"")</f>
        <v/>
      </c>
      <c r="BD8" s="32" t="str">
        <f>IFERROR(__xludf.DUMMYFUNCTION("IFNA(SUM(FILTER('37 серия'!$B$6:$C$15,'37 серия'!$B$6:$B$15=C8)), )"),"")</f>
        <v/>
      </c>
      <c r="BE8" s="32" t="str">
        <f>IFERROR(__xludf.DUMMYFUNCTION("IFNA(SUM(FILTER('38 серия'!$B$6:$C$15,'38 серия'!$B$6:$B$15=C8)), )"),"")</f>
        <v/>
      </c>
      <c r="BF8" s="32" t="str">
        <f>IFERROR(__xludf.DUMMYFUNCTION("IFNA(SUM(FILTER('39 серия'!$B$6:$C$15,'39 серия'!$B$6:$B$15=C8)), )"),"")</f>
        <v/>
      </c>
      <c r="BG8" s="32" t="str">
        <f>IFERROR(__xludf.DUMMYFUNCTION("IFNA(SUM(FILTER('40 серия'!$B$6:$C$15,'40 серия'!$B$6:$B$15=C8)), )"),"")</f>
        <v/>
      </c>
      <c r="BH8" s="32" t="str">
        <f>IFERROR(__xludf.DUMMYFUNCTION("IFNA(SUM(FILTER('41 серия'!$B$6:$C$15,'41 серия'!$B$6:$B$15=C8)), )"),"")</f>
        <v/>
      </c>
      <c r="BI8" s="32" t="str">
        <f>IFERROR(__xludf.DUMMYFUNCTION("IFNA(SUM(FILTER('42 серия'!$B$6:$C$15,'42 серия'!$B$6:$B$15=C8)), )"),"")</f>
        <v/>
      </c>
      <c r="BJ8" s="32" t="str">
        <f>IFERROR(__xludf.DUMMYFUNCTION("IFNA(SUM(FILTER('43 серия'!$B$6:$C$15,'43 серия'!$B$6:$B$15=C8)), )"),"")</f>
        <v/>
      </c>
      <c r="BK8" s="32" t="str">
        <f>IFERROR(__xludf.DUMMYFUNCTION("IFNA(SUM(FILTER('44 серия'!$B$6:$C$15,'44 серия'!$B$6:$B$15=C8)), )"),"")</f>
        <v/>
      </c>
      <c r="BL8" s="32" t="str">
        <f>IFERROR(__xludf.DUMMYFUNCTION("IFNA(SUM(FILTER('45 серия'!$B$6:$C$15,'45 серия'!$B$6:$B$15=C8)), )"),"")</f>
        <v/>
      </c>
      <c r="BM8" s="32" t="str">
        <f>IFERROR(__xludf.DUMMYFUNCTION("IFNA(SUM(FILTER('46 серия'!$B$6:$C$15,'46 серия'!$B$6:$B$15=C8)), )"),"")</f>
        <v/>
      </c>
      <c r="BN8" s="32" t="str">
        <f>IFERROR(__xludf.DUMMYFUNCTION("IFNA(SUM(FILTER('47 серия'!$B$6:$C$15,'47 серия'!$B$6:$B$15=C8)), )"),"")</f>
        <v/>
      </c>
      <c r="BO8" s="42" t="str">
        <f>IFERROR(__xludf.DUMMYFUNCTION("IFNA(SUM(FILTER('48 серия'!$B$6:$C$15,'48 серия'!$B$6:$B$15=$C8)), )"),"")</f>
        <v/>
      </c>
      <c r="BP8" s="43" t="str">
        <f>IFERROR(__xludf.DUMMYFUNCTION("IFNA(SUM(FILTER('49 серия'!$B$6:$C$15,'49 серия'!$B$6:$B$15=$C8)), )"),"")</f>
        <v/>
      </c>
      <c r="BQ8" s="43" t="str">
        <f>IFERROR(__xludf.DUMMYFUNCTION("IFNA(SUM(FILTER('50 серия'!$B$6:$C$15,'50 серия'!$B$6:$B$15=$C8)), )"),"")</f>
        <v/>
      </c>
      <c r="BR8" s="43" t="str">
        <f>IFERROR(__xludf.DUMMYFUNCTION("IFNA(SUM(FILTER('51 серия'!$B$6:$C$15,'51 серия'!$B$6:$B$15=$C8)), )"),"")</f>
        <v/>
      </c>
      <c r="BS8" s="49" t="str">
        <f>IFERROR(__xludf.DUMMYFUNCTION("IFNA(SUM(FILTER('52 серия'!$B$6:$C$15,'52 серия'!$B$6:$B$15=C8)), )"),"")</f>
        <v/>
      </c>
      <c r="BT8" s="32" t="str">
        <f>IFERROR(__xludf.DUMMYFUNCTION("IFNA(SUM(FILTER('53 серия'!$B$6:$C$15,'53 серия'!$B$6:$B$15=$C8)), )"),"")</f>
        <v/>
      </c>
      <c r="BU8" s="32" t="str">
        <f>IFERROR(__xludf.DUMMYFUNCTION("IFNA(SUM(FILTER('54 серия'!$B$6:$C$15,'54 серия'!$B$6:$B$15=$C8)), )"),"")</f>
        <v/>
      </c>
      <c r="BV8" s="32" t="str">
        <f>IFERROR(__xludf.DUMMYFUNCTION("IFNA(SUM(FILTER('55 серия'!$B$6:$C$15,'55 серия'!$B$6:$B$15=$C8)), )"),"")</f>
        <v/>
      </c>
      <c r="BW8" s="32" t="str">
        <f>IFERROR(__xludf.DUMMYFUNCTION("IFNA(SUM(FILTER('56 серия'!$B$6:$C$15,'56 серия'!$B$6:$B$15=$C8)), )"),"")</f>
        <v/>
      </c>
      <c r="BX8" s="32" t="str">
        <f>IFERROR(__xludf.DUMMYFUNCTION("IFNA(SUM(FILTER('57 серия'!$B$6:$C$15,'57 серия'!$B$6:$B$15=$C8)), )"),"")</f>
        <v/>
      </c>
      <c r="BY8" s="32" t="str">
        <f>IFERROR(__xludf.DUMMYFUNCTION("IFNA(SUM(FILTER('58 серия'!$B$6:$C$15,'58 серия'!$B$6:$B$15=$C8)), )"),"")</f>
        <v/>
      </c>
      <c r="BZ8" s="46" t="str">
        <f>IFERROR(__xludf.DUMMYFUNCTION("IFNA(SUM(FILTER('59 серия'!$B$6:$C$15,'59 серия'!$B$6:$B$15=C8)), )"),"")</f>
        <v/>
      </c>
      <c r="CA8" s="44" t="str">
        <f>IFERROR(__xludf.DUMMYFUNCTION("IFNA(SUM(FILTER('60 серия'!$B$6:$C$15,'60 серия'!$B$6:$B$15=$C8)), )"),"")</f>
        <v/>
      </c>
      <c r="CB8" s="4"/>
    </row>
    <row r="9">
      <c r="A9" s="10"/>
      <c r="B9" s="27">
        <f t="shared" si="1"/>
        <v>3</v>
      </c>
      <c r="C9" s="45" t="s">
        <v>81</v>
      </c>
      <c r="D9" s="29">
        <f>'Игроки статистика'!B7</f>
        <v>50</v>
      </c>
      <c r="E9" s="30">
        <f t="shared" si="2"/>
        <v>196.5</v>
      </c>
      <c r="F9" s="31">
        <f t="shared" si="3"/>
        <v>19.65</v>
      </c>
      <c r="G9" s="46">
        <f t="shared" si="4"/>
        <v>2.73</v>
      </c>
      <c r="H9" s="46">
        <f>SUMIFS('Все игры'!C$3:C1011,'Все игры'!A$3:A1011,C9)</f>
        <v>60</v>
      </c>
      <c r="I9" s="46">
        <f t="shared" si="5"/>
        <v>132</v>
      </c>
      <c r="J9" s="47">
        <f>SUMIFS('Все игры'!F$3:F1011,'Все игры'!A$3:A1011,C9)</f>
        <v>1.5</v>
      </c>
      <c r="K9" s="48">
        <f>SUMIFS('Все игры'!G$3:G1011,'Все игры'!A$3:A1011,C9)</f>
        <v>3</v>
      </c>
      <c r="L9" s="35">
        <f>'Игроки статистика'!G7</f>
        <v>5</v>
      </c>
      <c r="M9" s="36">
        <f t="shared" si="6"/>
        <v>24</v>
      </c>
      <c r="N9" s="36">
        <f>SUM('Игроки статистика'!O7,'Игроки статистика'!Q7)</f>
        <v>4</v>
      </c>
      <c r="O9" s="37">
        <f>SUM('Игроки статистика'!P7,'Игроки статистика'!R7)</f>
        <v>6</v>
      </c>
      <c r="P9" s="38" t="str">
        <f>IFERROR(__xludf.DUMMYFUNCTION("IFNA(SUM(FILTER('Штрафы'!$D$5:$D1011,'Штрафы'!$C$5:$C1011=C9)), )"),"")</f>
        <v/>
      </c>
      <c r="Q9" s="38" t="str">
        <f>IFERROR(__xludf.DUMMYFUNCTION("IFNA(SUM(FILTER('Штрафы'!$F$5:$F1011,'Штрафы'!$C$5:$C1011=C9)), )"),"")</f>
        <v/>
      </c>
      <c r="R9" s="39"/>
      <c r="S9" s="40"/>
      <c r="T9" s="31" t="str">
        <f>IFERROR(__xludf.DUMMYFUNCTION("IFNA(SUM(FILTER('1 серия'!$B$6:$C$15,'1 серия'!$B$6:$B$15=C9)), )"),"")</f>
        <v/>
      </c>
      <c r="U9" s="32">
        <f>IFERROR(__xludf.DUMMYFUNCTION("IFNA(SUM(FILTER('2 серия'!$B$6:$C$15,'2 серия'!$B$6:$B$15=C9)), )
"),20.0)</f>
        <v>20</v>
      </c>
      <c r="V9" s="32" t="str">
        <f>IFERROR(__xludf.DUMMYFUNCTION("IFNA(SUM(FILTER('3 серия'!$B$6:$C$15,'3 серия'!$B$6:$B$15=C9)), )
"),"")</f>
        <v/>
      </c>
      <c r="W9" s="32" t="str">
        <f>IFERROR(__xludf.DUMMYFUNCTION("IFNA(SUM(FILTER('4 серия'!$B$6:$C$15,'4 серия'!$B$6:$B$15=C9)), )"),"")</f>
        <v/>
      </c>
      <c r="X9" s="32" t="str">
        <f>IFERROR(__xludf.DUMMYFUNCTION("IFNA(SUM(FILTER('5 серия'!$B$6:$C$15,'5 серия'!$B$6:$B$15=C9)), )"),"")</f>
        <v/>
      </c>
      <c r="Y9" s="32" t="str">
        <f>IFERROR(__xludf.DUMMYFUNCTION("IFNA(SUM(FILTER('6 серия'!$B$6:$C$15,'6 серия'!$B$6:$B$15=C9)), )"),"")</f>
        <v/>
      </c>
      <c r="Z9" s="32" t="str">
        <f>IFERROR(__xludf.DUMMYFUNCTION("IFNA(SUM(FILTER('7 серия'!$B$6:$C$15,'7 серия'!$B$6:$B$15=C9)), )"),"")</f>
        <v/>
      </c>
      <c r="AA9" s="32" t="str">
        <f>IFERROR(__xludf.DUMMYFUNCTION("IFNA(SUM(FILTER('8 серия'!$B$6:$C$15,'8 серия'!$B$6:$B$15=C9)), )"),"")</f>
        <v/>
      </c>
      <c r="AB9" s="32" t="str">
        <f>IFERROR(__xludf.DUMMYFUNCTION("IFNA(SUM(FILTER('9 серия'!$B$7:$C$16,'9 серия'!$B$7:$B$16=C9)), )"),"")</f>
        <v/>
      </c>
      <c r="AC9" s="32">
        <f>IFERROR(__xludf.DUMMYFUNCTION("IFNA(SUM(FILTER('10 серия'!$B$6:$C$15,'10 серия'!$B$6:$B$15=C9)), )"),22.0)</f>
        <v>22</v>
      </c>
      <c r="AD9" s="32">
        <f>IFERROR(__xludf.DUMMYFUNCTION("IFNA(SUM(FILTER('11 серия'!$B$6:$C$15,'11 серия'!$B$6:$B$15=C9)), )"),25.0)</f>
        <v>25</v>
      </c>
      <c r="AE9" s="32" t="str">
        <f>IFERROR(__xludf.DUMMYFUNCTION("IFNA(SUM(FILTER('12 серия'!$B$6:$C$15,'12 серия'!$B$6:$B$15=C9)), )"),"")</f>
        <v/>
      </c>
      <c r="AF9" s="32" t="str">
        <f>IFERROR(__xludf.DUMMYFUNCTION("IFNA(SUM(FILTER('13 серия'!$B$6:$C$15,'13 серия'!$B$6:$B$15=C9)), )"),"")</f>
        <v/>
      </c>
      <c r="AG9" s="32" t="str">
        <f>IFERROR(__xludf.DUMMYFUNCTION("IFNA(SUM(FILTER('14 серия'!$B$6:$C$15,'14 серия'!$B$6:$B$15=C9)), )"),"")</f>
        <v/>
      </c>
      <c r="AH9" s="32" t="str">
        <f>IFERROR(__xludf.DUMMYFUNCTION("IFNA(SUM(FILTER('15 серия'!$B$6:$C$15,'15 серия'!$B$6:$B$15=C9)), )"),"")</f>
        <v/>
      </c>
      <c r="AI9" s="32" t="str">
        <f>IFERROR(__xludf.DUMMYFUNCTION("IFNA(SUM(FILTER('16 серия'!$B$6:$C$15,'16 серия'!$B$6:$B$15=C9)), )"),"")</f>
        <v/>
      </c>
      <c r="AJ9" s="32">
        <f>IFERROR(__xludf.DUMMYFUNCTION("IFNA(SUM(FILTER('17 серия'!$B$6:$C$15,'17 серия'!$B$6:$B$15=C9)), )"),20.5)</f>
        <v>20.5</v>
      </c>
      <c r="AK9" s="32" t="str">
        <f>IFERROR(__xludf.DUMMYFUNCTION("IFNA(SUM(FILTER('18 серия'!$B$6:$C$15,'18 серия'!$B$6:$B$15=C9)), )"),"")</f>
        <v/>
      </c>
      <c r="AL9" s="32" t="str">
        <f>IFERROR(__xludf.DUMMYFUNCTION("IFNA(SUM(FILTER('19 серия'!$B$6:$C$15,'19 серия'!$B$6:$B$15=C9)), )"),"")</f>
        <v/>
      </c>
      <c r="AM9" s="32" t="str">
        <f>IFERROR(__xludf.DUMMYFUNCTION("IFNA(SUM(FILTER('20 серия'!$B$6:$C$15,'20 серия'!$B$6:$B$15=C9)), )"),"")</f>
        <v/>
      </c>
      <c r="AN9" s="32" t="str">
        <f>IFERROR(__xludf.DUMMYFUNCTION("IFNA(SUM(FILTER('21 серия'!$B$6:$C$15,'21 серия'!$B$6:$B$15=C9)), )"),"")</f>
        <v/>
      </c>
      <c r="AO9" s="32" t="str">
        <f>IFERROR(__xludf.DUMMYFUNCTION("IFNA(SUM(FILTER('22 серия'!$B$6:$C$15,'22 серия'!$B$6:$B$15=C9)), )"),"")</f>
        <v/>
      </c>
      <c r="AP9" s="32" t="str">
        <f>IFERROR(__xludf.DUMMYFUNCTION("IFNA(SUM(FILTER('23 серия'!$B$6:$C$15,'23 серия'!$B$6:$B$15=C9)), )"),"")</f>
        <v/>
      </c>
      <c r="AQ9" s="32" t="str">
        <f>IFERROR(__xludf.DUMMYFUNCTION("IFNA(SUM(FILTER('24 серия'!$B$6:$C$15,'24 серия'!$B$6:$B$15=C9)), )"),"")</f>
        <v/>
      </c>
      <c r="AR9" s="32">
        <f>IFERROR(__xludf.DUMMYFUNCTION("IFNA(SUM(FILTER('25 серия'!$B$6:$C$15,'25 серия'!$B$6:$B$15=C9)), )"),16.0)</f>
        <v>16</v>
      </c>
      <c r="AS9" s="32" t="str">
        <f>IFERROR(__xludf.DUMMYFUNCTION("IFNA(SUM(FILTER('26 серия'!$B$6:$C$15,'26 серия'!$B$6:$B$15=C9)), )"),"")</f>
        <v/>
      </c>
      <c r="AT9" s="32" t="str">
        <f>IFERROR(__xludf.DUMMYFUNCTION("IFNA(SUM(FILTER('27 серия'!$B$6:$C$15,'27 серия'!$B$6:$B$15=C9)), )"),"")</f>
        <v/>
      </c>
      <c r="AU9" s="32" t="str">
        <f>IFERROR(__xludf.DUMMYFUNCTION("IFNA(SUM(FILTER('28 серия'!$B$6:$C$15,'28 серия'!$B$6:$B$15=C9)), )"),"")</f>
        <v/>
      </c>
      <c r="AV9" s="32">
        <f>IFERROR(__xludf.DUMMYFUNCTION("IFNA(SUM(FILTER('29 серия'!$B$6:$C$15,'29 серия'!$B$6:$B$15=C9)), )"),19.25)</f>
        <v>19.25</v>
      </c>
      <c r="AW9" s="32" t="str">
        <f>IFERROR(__xludf.DUMMYFUNCTION("IFNA(SUM(FILTER('30 серия'!$B$6:$C$15,'30 серия'!$B$6:$B$15=C9)), )"),"")</f>
        <v/>
      </c>
      <c r="AX9" s="32" t="str">
        <f>IFERROR(__xludf.DUMMYFUNCTION("IFNA(SUM(FILTER('31 серия'!$B$6:$C$15,'31 серия'!$B$6:$B$15=C9)), )"),"")</f>
        <v/>
      </c>
      <c r="AY9" s="32" t="str">
        <f>IFERROR(__xludf.DUMMYFUNCTION("IFNA(SUM(FILTER('32 серия'!$B$6:$C$15,'32 серия'!$B$6:$B$15=C9)), )"),"")</f>
        <v/>
      </c>
      <c r="AZ9" s="32" t="str">
        <f>IFERROR(__xludf.DUMMYFUNCTION("IFNA(SUM(FILTER('33 серия'!$B$6:$C$15,'33 серия'!$B$6:$B$15=C9)), )"),"")</f>
        <v/>
      </c>
      <c r="BA9" s="32" t="str">
        <f>IFERROR(__xludf.DUMMYFUNCTION("IFNA(SUM(FILTER('34 серия'!$B$6:$C$15,'34 серия'!$B$6:$B$15=C9)), )"),"")</f>
        <v/>
      </c>
      <c r="BB9" s="32">
        <f>IFERROR(__xludf.DUMMYFUNCTION("IFNA(SUM(FILTER('35 серия'!$B$6:$C$15,'35 серия'!$B$6:$B$15=C9)), )"),18.75)</f>
        <v>18.75</v>
      </c>
      <c r="BC9" s="32" t="str">
        <f>IFERROR(__xludf.DUMMYFUNCTION("IFNA(SUM(FILTER('36 серия'!$B$6:$C$15,'36 серия'!$B$6:$B$15=C9)), )"),"")</f>
        <v/>
      </c>
      <c r="BD9" s="32" t="str">
        <f>IFERROR(__xludf.DUMMYFUNCTION("IFNA(SUM(FILTER('37 серия'!$B$6:$C$15,'37 серия'!$B$6:$B$15=C9)), )"),"")</f>
        <v/>
      </c>
      <c r="BE9" s="32" t="str">
        <f>IFERROR(__xludf.DUMMYFUNCTION("IFNA(SUM(FILTER('38 серия'!$B$6:$C$15,'38 серия'!$B$6:$B$15=C9)), )"),"")</f>
        <v/>
      </c>
      <c r="BF9" s="32" t="str">
        <f>IFERROR(__xludf.DUMMYFUNCTION("IFNA(SUM(FILTER('39 серия'!$B$6:$C$15,'39 серия'!$B$6:$B$15=C9)), )"),"")</f>
        <v/>
      </c>
      <c r="BG9" s="32" t="str">
        <f>IFERROR(__xludf.DUMMYFUNCTION("IFNA(SUM(FILTER('40 серия'!$B$6:$C$15,'40 серия'!$B$6:$B$15=C9)), )"),"")</f>
        <v/>
      </c>
      <c r="BH9" s="32" t="str">
        <f>IFERROR(__xludf.DUMMYFUNCTION("IFNA(SUM(FILTER('41 серия'!$B$6:$C$15,'41 серия'!$B$6:$B$15=C9)), )"),"")</f>
        <v/>
      </c>
      <c r="BI9" s="32" t="str">
        <f>IFERROR(__xludf.DUMMYFUNCTION("IFNA(SUM(FILTER('42 серия'!$B$6:$C$15,'42 серия'!$B$6:$B$15=C9)), )"),"")</f>
        <v/>
      </c>
      <c r="BJ9" s="32" t="str">
        <f>IFERROR(__xludf.DUMMYFUNCTION("IFNA(SUM(FILTER('43 серия'!$B$6:$C$15,'43 серия'!$B$6:$B$15=C9)), )"),"")</f>
        <v/>
      </c>
      <c r="BK9" s="32" t="str">
        <f>IFERROR(__xludf.DUMMYFUNCTION("IFNA(SUM(FILTER('44 серия'!$B$6:$C$15,'44 серия'!$B$6:$B$15=C9)), )"),"")</f>
        <v/>
      </c>
      <c r="BL9" s="32" t="str">
        <f>IFERROR(__xludf.DUMMYFUNCTION("IFNA(SUM(FILTER('45 серия'!$B$6:$C$15,'45 серия'!$B$6:$B$15=C9)), )"),"")</f>
        <v/>
      </c>
      <c r="BM9" s="32">
        <f>IFERROR(__xludf.DUMMYFUNCTION("IFNA(SUM(FILTER('46 серия'!$B$6:$C$15,'46 серия'!$B$6:$B$15=C9)), )"),21.25)</f>
        <v>21.25</v>
      </c>
      <c r="BN9" s="32" t="str">
        <f>IFERROR(__xludf.DUMMYFUNCTION("IFNA(SUM(FILTER('47 серия'!$B$6:$C$15,'47 серия'!$B$6:$B$15=C9)), )"),"")</f>
        <v/>
      </c>
      <c r="BO9" s="42">
        <f>IFERROR(__xludf.DUMMYFUNCTION("IFNA(SUM(FILTER('48 серия'!$B$6:$C$15,'48 серия'!$B$6:$B$15=$C9)), )"),13.25)</f>
        <v>13.25</v>
      </c>
      <c r="BP9" s="43" t="str">
        <f>IFERROR(__xludf.DUMMYFUNCTION("IFNA(SUM(FILTER('49 серия'!$B$6:$C$15,'49 серия'!$B$6:$B$15=$C9)), )"),"")</f>
        <v/>
      </c>
      <c r="BQ9" s="43" t="str">
        <f>IFERROR(__xludf.DUMMYFUNCTION("IFNA(SUM(FILTER('50 серия'!$B$6:$C$15,'50 серия'!$B$6:$B$15=$C9)), )"),"")</f>
        <v/>
      </c>
      <c r="BR9" s="43" t="str">
        <f>IFERROR(__xludf.DUMMYFUNCTION("IFNA(SUM(FILTER('51 серия'!$B$6:$C$15,'51 серия'!$B$6:$B$15=$C9)), )"),"")</f>
        <v/>
      </c>
      <c r="BS9" s="49" t="str">
        <f>IFERROR(__xludf.DUMMYFUNCTION("IFNA(SUM(FILTER('52 серия'!$B$6:$C$15,'52 серия'!$B$6:$B$15=C9)), )"),"")</f>
        <v/>
      </c>
      <c r="BT9" s="32" t="str">
        <f>IFERROR(__xludf.DUMMYFUNCTION("IFNA(SUM(FILTER('53 серия'!$B$6:$C$15,'53 серия'!$B$6:$B$15=$C9)), )"),"")</f>
        <v/>
      </c>
      <c r="BU9" s="32" t="str">
        <f>IFERROR(__xludf.DUMMYFUNCTION("IFNA(SUM(FILTER('54 серия'!$B$6:$C$15,'54 серия'!$B$6:$B$15=$C9)), )"),"")</f>
        <v/>
      </c>
      <c r="BV9" s="32" t="str">
        <f>IFERROR(__xludf.DUMMYFUNCTION("IFNA(SUM(FILTER('55 серия'!$B$6:$C$15,'55 серия'!$B$6:$B$15=$C9)), )"),"")</f>
        <v/>
      </c>
      <c r="BW9" s="32" t="str">
        <f>IFERROR(__xludf.DUMMYFUNCTION("IFNA(SUM(FILTER('56 серия'!$B$6:$C$15,'56 серия'!$B$6:$B$15=$C9)), )"),"")</f>
        <v/>
      </c>
      <c r="BX9" s="32" t="str">
        <f>IFERROR(__xludf.DUMMYFUNCTION("IFNA(SUM(FILTER('57 серия'!$B$6:$C$15,'57 серия'!$B$6:$B$15=$C9)), )"),"")</f>
        <v/>
      </c>
      <c r="BY9" s="32">
        <f>IFERROR(__xludf.DUMMYFUNCTION("IFNA(SUM(FILTER('58 серия'!$B$6:$C$15,'58 серия'!$B$6:$B$15=$C9)), )"),20.5)</f>
        <v>20.5</v>
      </c>
      <c r="BZ9" s="46" t="str">
        <f>IFERROR(__xludf.DUMMYFUNCTION("IFNA(SUM(FILTER('59 серия'!$B$6:$C$15,'59 серия'!$B$6:$B$15=C9)), )"),"")</f>
        <v/>
      </c>
      <c r="CA9" s="44" t="str">
        <f>IFERROR(__xludf.DUMMYFUNCTION("IFNA(SUM(FILTER('60 серия'!$B$6:$C$15,'60 серия'!$B$6:$B$15=$C9)), )"),"")</f>
        <v/>
      </c>
      <c r="CB9" s="4"/>
    </row>
    <row r="10">
      <c r="A10" s="10"/>
      <c r="B10" s="27">
        <f t="shared" si="1"/>
        <v>4</v>
      </c>
      <c r="C10" s="45" t="s">
        <v>82</v>
      </c>
      <c r="D10" s="29">
        <f>'Игроки статистика'!B8</f>
        <v>50</v>
      </c>
      <c r="E10" s="30">
        <f t="shared" si="2"/>
        <v>244.5</v>
      </c>
      <c r="F10" s="31">
        <f t="shared" si="3"/>
        <v>24.45</v>
      </c>
      <c r="G10" s="46">
        <f t="shared" si="4"/>
        <v>3.29</v>
      </c>
      <c r="H10" s="46">
        <f>SUMIFS('Все игры'!C$3:C1011,'Все игры'!A$3:A1011,C10)</f>
        <v>80</v>
      </c>
      <c r="I10" s="46">
        <f t="shared" si="5"/>
        <v>153.5</v>
      </c>
      <c r="J10" s="47">
        <f>SUMIFS('Все игры'!F$3:F1011,'Все игры'!A$3:A1011,C10)</f>
        <v>1.5</v>
      </c>
      <c r="K10" s="48">
        <f>SUMIFS('Все игры'!G$3:G1011,'Все игры'!A$3:A1011,C10)</f>
        <v>9.5</v>
      </c>
      <c r="L10" s="35">
        <f>'Игроки статистика'!G8</f>
        <v>14</v>
      </c>
      <c r="M10" s="36">
        <f t="shared" si="6"/>
        <v>32</v>
      </c>
      <c r="N10" s="36">
        <f>SUM('Игроки статистика'!O8,'Игроки статистика'!Q8)</f>
        <v>7</v>
      </c>
      <c r="O10" s="37">
        <f>SUM('Игроки статистика'!P8,'Игроки статистика'!R8)</f>
        <v>4</v>
      </c>
      <c r="P10" s="38" t="str">
        <f>IFERROR(__xludf.DUMMYFUNCTION("IFNA(SUM(FILTER('Штрафы'!$D$5:$D1011,'Штрафы'!$C$5:$C1011=C10)), )"),"")</f>
        <v/>
      </c>
      <c r="Q10" s="38" t="str">
        <f>IFERROR(__xludf.DUMMYFUNCTION("IFNA(SUM(FILTER('Штрафы'!$F$5:$F1011,'Штрафы'!$C$5:$C1011=C10)), )"),"")</f>
        <v/>
      </c>
      <c r="R10" s="39"/>
      <c r="S10" s="40"/>
      <c r="T10" s="31">
        <f>IFERROR(__xludf.DUMMYFUNCTION("IFNA(SUM(FILTER('1 серия'!$B$6:$C$15,'1 серия'!$B$6:$B$15=C10)), )"),27.5)</f>
        <v>27.5</v>
      </c>
      <c r="U10" s="32" t="str">
        <f>IFERROR(__xludf.DUMMYFUNCTION("IFNA(SUM(FILTER('2 серия'!$B$6:$C$15,'2 серия'!$B$6:$B$15=C10)), )
"),"")</f>
        <v/>
      </c>
      <c r="V10" s="32" t="str">
        <f>IFERROR(__xludf.DUMMYFUNCTION("IFNA(SUM(FILTER('3 серия'!$B$6:$C$15,'3 серия'!$B$6:$B$15=C10)), )
"),"")</f>
        <v/>
      </c>
      <c r="W10" s="32" t="str">
        <f>IFERROR(__xludf.DUMMYFUNCTION("IFNA(SUM(FILTER('4 серия'!$B$6:$C$15,'4 серия'!$B$6:$B$15=C10)), )"),"")</f>
        <v/>
      </c>
      <c r="X10" s="32" t="str">
        <f>IFERROR(__xludf.DUMMYFUNCTION("IFNA(SUM(FILTER('5 серия'!$B$6:$C$15,'5 серия'!$B$6:$B$15=C10)), )"),"")</f>
        <v/>
      </c>
      <c r="Y10" s="32">
        <f>IFERROR(__xludf.DUMMYFUNCTION("IFNA(SUM(FILTER('6 серия'!$B$6:$C$15,'6 серия'!$B$6:$B$15=C10)), )"),15.5)</f>
        <v>15.5</v>
      </c>
      <c r="Z10" s="32" t="str">
        <f>IFERROR(__xludf.DUMMYFUNCTION("IFNA(SUM(FILTER('7 серия'!$B$6:$C$15,'7 серия'!$B$6:$B$15=C10)), )"),"")</f>
        <v/>
      </c>
      <c r="AA10" s="32" t="str">
        <f>IFERROR(__xludf.DUMMYFUNCTION("IFNA(SUM(FILTER('8 серия'!$B$6:$C$15,'8 серия'!$B$6:$B$15=C10)), )"),"")</f>
        <v/>
      </c>
      <c r="AB10" s="32" t="str">
        <f>IFERROR(__xludf.DUMMYFUNCTION("IFNA(SUM(FILTER('9 серия'!$B$7:$C$16,'9 серия'!$B$7:$B$16=C10)), )"),"")</f>
        <v/>
      </c>
      <c r="AC10" s="32" t="str">
        <f>IFERROR(__xludf.DUMMYFUNCTION("IFNA(SUM(FILTER('10 серия'!$B$6:$C$15,'10 серия'!$B$6:$B$15=C10)), )"),"")</f>
        <v/>
      </c>
      <c r="AD10" s="32" t="str">
        <f>IFERROR(__xludf.DUMMYFUNCTION("IFNA(SUM(FILTER('11 серия'!$B$6:$C$15,'11 серия'!$B$6:$B$15=C10)), )"),"")</f>
        <v/>
      </c>
      <c r="AE10" s="32" t="str">
        <f>IFERROR(__xludf.DUMMYFUNCTION("IFNA(SUM(FILTER('12 серия'!$B$6:$C$15,'12 серия'!$B$6:$B$15=C10)), )"),"")</f>
        <v/>
      </c>
      <c r="AF10" s="32" t="str">
        <f>IFERROR(__xludf.DUMMYFUNCTION("IFNA(SUM(FILTER('13 серия'!$B$6:$C$15,'13 серия'!$B$6:$B$15=C10)), )"),"")</f>
        <v/>
      </c>
      <c r="AG10" s="32">
        <f>IFERROR(__xludf.DUMMYFUNCTION("IFNA(SUM(FILTER('14 серия'!$B$6:$C$15,'14 серия'!$B$6:$B$15=C10)), )"),29.25)</f>
        <v>29.25</v>
      </c>
      <c r="AH10" s="32">
        <f>IFERROR(__xludf.DUMMYFUNCTION("IFNA(SUM(FILTER('15 серия'!$B$6:$C$15,'15 серия'!$B$6:$B$15=C10)), )"),28.0)</f>
        <v>28</v>
      </c>
      <c r="AI10" s="32" t="str">
        <f>IFERROR(__xludf.DUMMYFUNCTION("IFNA(SUM(FILTER('16 серия'!$B$6:$C$15,'16 серия'!$B$6:$B$15=C10)), )"),"")</f>
        <v/>
      </c>
      <c r="AJ10" s="32" t="str">
        <f>IFERROR(__xludf.DUMMYFUNCTION("IFNA(SUM(FILTER('17 серия'!$B$6:$C$15,'17 серия'!$B$6:$B$15=C10)), )"),"")</f>
        <v/>
      </c>
      <c r="AK10" s="32" t="str">
        <f>IFERROR(__xludf.DUMMYFUNCTION("IFNA(SUM(FILTER('18 серия'!$B$6:$C$15,'18 серия'!$B$6:$B$15=C10)), )"),"")</f>
        <v/>
      </c>
      <c r="AL10" s="32" t="str">
        <f>IFERROR(__xludf.DUMMYFUNCTION("IFNA(SUM(FILTER('19 серия'!$B$6:$C$15,'19 серия'!$B$6:$B$15=C10)), )"),"")</f>
        <v/>
      </c>
      <c r="AM10" s="32" t="str">
        <f>IFERROR(__xludf.DUMMYFUNCTION("IFNA(SUM(FILTER('20 серия'!$B$6:$C$15,'20 серия'!$B$6:$B$15=C10)), )"),"")</f>
        <v/>
      </c>
      <c r="AN10" s="32" t="str">
        <f>IFERROR(__xludf.DUMMYFUNCTION("IFNA(SUM(FILTER('21 серия'!$B$6:$C$15,'21 серия'!$B$6:$B$15=C10)), )"),"")</f>
        <v/>
      </c>
      <c r="AO10" s="32" t="str">
        <f>IFERROR(__xludf.DUMMYFUNCTION("IFNA(SUM(FILTER('22 серия'!$B$6:$C$15,'22 серия'!$B$6:$B$15=C10)), )"),"")</f>
        <v/>
      </c>
      <c r="AP10" s="32" t="str">
        <f>IFERROR(__xludf.DUMMYFUNCTION("IFNA(SUM(FILTER('23 серия'!$B$6:$C$15,'23 серия'!$B$6:$B$15=C10)), )"),"")</f>
        <v/>
      </c>
      <c r="AQ10" s="32" t="str">
        <f>IFERROR(__xludf.DUMMYFUNCTION("IFNA(SUM(FILTER('24 серия'!$B$6:$C$15,'24 серия'!$B$6:$B$15=C10)), )"),"")</f>
        <v/>
      </c>
      <c r="AR10" s="32" t="str">
        <f>IFERROR(__xludf.DUMMYFUNCTION("IFNA(SUM(FILTER('25 серия'!$B$6:$C$15,'25 серия'!$B$6:$B$15=C10)), )"),"")</f>
        <v/>
      </c>
      <c r="AS10" s="32" t="str">
        <f>IFERROR(__xludf.DUMMYFUNCTION("IFNA(SUM(FILTER('26 серия'!$B$6:$C$15,'26 серия'!$B$6:$B$15=C10)), )"),"")</f>
        <v/>
      </c>
      <c r="AT10" s="32" t="str">
        <f>IFERROR(__xludf.DUMMYFUNCTION("IFNA(SUM(FILTER('27 серия'!$B$6:$C$15,'27 серия'!$B$6:$B$15=C10)), )"),"")</f>
        <v/>
      </c>
      <c r="AU10" s="32" t="str">
        <f>IFERROR(__xludf.DUMMYFUNCTION("IFNA(SUM(FILTER('28 серия'!$B$6:$C$15,'28 серия'!$B$6:$B$15=C10)), )"),"")</f>
        <v/>
      </c>
      <c r="AV10" s="32" t="str">
        <f>IFERROR(__xludf.DUMMYFUNCTION("IFNA(SUM(FILTER('29 серия'!$B$6:$C$15,'29 серия'!$B$6:$B$15=C10)), )"),"")</f>
        <v/>
      </c>
      <c r="AW10" s="32" t="str">
        <f>IFERROR(__xludf.DUMMYFUNCTION("IFNA(SUM(FILTER('30 серия'!$B$6:$C$15,'30 серия'!$B$6:$B$15=C10)), )"),"")</f>
        <v/>
      </c>
      <c r="AX10" s="32" t="str">
        <f>IFERROR(__xludf.DUMMYFUNCTION("IFNA(SUM(FILTER('31 серия'!$B$6:$C$15,'31 серия'!$B$6:$B$15=C10)), )"),"")</f>
        <v/>
      </c>
      <c r="AY10" s="32" t="str">
        <f>IFERROR(__xludf.DUMMYFUNCTION("IFNA(SUM(FILTER('32 серия'!$B$6:$C$15,'32 серия'!$B$6:$B$15=C10)), )"),"")</f>
        <v/>
      </c>
      <c r="AZ10" s="32" t="str">
        <f>IFERROR(__xludf.DUMMYFUNCTION("IFNA(SUM(FILTER('33 серия'!$B$6:$C$15,'33 серия'!$B$6:$B$15=C10)), )"),"")</f>
        <v/>
      </c>
      <c r="BA10" s="32">
        <f>IFERROR(__xludf.DUMMYFUNCTION("IFNA(SUM(FILTER('34 серия'!$B$6:$C$15,'34 серия'!$B$6:$B$15=C10)), )"),24.5)</f>
        <v>24.5</v>
      </c>
      <c r="BB10" s="32" t="str">
        <f>IFERROR(__xludf.DUMMYFUNCTION("IFNA(SUM(FILTER('35 серия'!$B$6:$C$15,'35 серия'!$B$6:$B$15=C10)), )"),"")</f>
        <v/>
      </c>
      <c r="BC10" s="32">
        <f>IFERROR(__xludf.DUMMYFUNCTION("IFNA(SUM(FILTER('36 серия'!$B$6:$C$15,'36 серия'!$B$6:$B$15=C10)), )"),22.25)</f>
        <v>22.25</v>
      </c>
      <c r="BD10" s="32" t="str">
        <f>IFERROR(__xludf.DUMMYFUNCTION("IFNA(SUM(FILTER('37 серия'!$B$6:$C$15,'37 серия'!$B$6:$B$15=C10)), )"),"")</f>
        <v/>
      </c>
      <c r="BE10" s="32" t="str">
        <f>IFERROR(__xludf.DUMMYFUNCTION("IFNA(SUM(FILTER('38 серия'!$B$6:$C$15,'38 серия'!$B$6:$B$15=C10)), )"),"")</f>
        <v/>
      </c>
      <c r="BF10" s="32" t="str">
        <f>IFERROR(__xludf.DUMMYFUNCTION("IFNA(SUM(FILTER('39 серия'!$B$6:$C$15,'39 серия'!$B$6:$B$15=C10)), )"),"")</f>
        <v/>
      </c>
      <c r="BG10" s="32">
        <f>IFERROR(__xludf.DUMMYFUNCTION("IFNA(SUM(FILTER('40 серия'!$B$6:$C$15,'40 серия'!$B$6:$B$15=C10)), )"),28.0)</f>
        <v>28</v>
      </c>
      <c r="BH10" s="32" t="str">
        <f>IFERROR(__xludf.DUMMYFUNCTION("IFNA(SUM(FILTER('41 серия'!$B$6:$C$15,'41 серия'!$B$6:$B$15=C10)), )"),"")</f>
        <v/>
      </c>
      <c r="BI10" s="32" t="str">
        <f>IFERROR(__xludf.DUMMYFUNCTION("IFNA(SUM(FILTER('42 серия'!$B$6:$C$15,'42 серия'!$B$6:$B$15=C10)), )"),"")</f>
        <v/>
      </c>
      <c r="BJ10" s="32" t="str">
        <f>IFERROR(__xludf.DUMMYFUNCTION("IFNA(SUM(FILTER('43 серия'!$B$6:$C$15,'43 серия'!$B$6:$B$15=C10)), )"),"")</f>
        <v/>
      </c>
      <c r="BK10" s="32" t="str">
        <f>IFERROR(__xludf.DUMMYFUNCTION("IFNA(SUM(FILTER('44 серия'!$B$6:$C$15,'44 серия'!$B$6:$B$15=C10)), )"),"")</f>
        <v/>
      </c>
      <c r="BL10" s="32" t="str">
        <f>IFERROR(__xludf.DUMMYFUNCTION("IFNA(SUM(FILTER('45 серия'!$B$6:$C$15,'45 серия'!$B$6:$B$15=C10)), )"),"")</f>
        <v/>
      </c>
      <c r="BM10" s="32" t="str">
        <f>IFERROR(__xludf.DUMMYFUNCTION("IFNA(SUM(FILTER('46 серия'!$B$6:$C$15,'46 серия'!$B$6:$B$15=C10)), )"),"")</f>
        <v/>
      </c>
      <c r="BN10" s="32" t="str">
        <f>IFERROR(__xludf.DUMMYFUNCTION("IFNA(SUM(FILTER('47 серия'!$B$6:$C$15,'47 серия'!$B$6:$B$15=C10)), )"),"")</f>
        <v/>
      </c>
      <c r="BO10" s="42" t="str">
        <f>IFERROR(__xludf.DUMMYFUNCTION("IFNA(SUM(FILTER('48 серия'!$B$6:$C$15,'48 серия'!$B$6:$B$15=$C10)), )"),"")</f>
        <v/>
      </c>
      <c r="BP10" s="43">
        <f>IFERROR(__xludf.DUMMYFUNCTION("IFNA(SUM(FILTER('49 серия'!$B$6:$C$15,'49 серия'!$B$6:$B$15=$C10)), )"),16.0)</f>
        <v>16</v>
      </c>
      <c r="BQ10" s="43" t="str">
        <f>IFERROR(__xludf.DUMMYFUNCTION("IFNA(SUM(FILTER('50 серия'!$B$6:$C$15,'50 серия'!$B$6:$B$15=$C10)), )"),"")</f>
        <v/>
      </c>
      <c r="BR10" s="43" t="str">
        <f>IFERROR(__xludf.DUMMYFUNCTION("IFNA(SUM(FILTER('51 серия'!$B$6:$C$15,'51 серия'!$B$6:$B$15=$C10)), )"),"")</f>
        <v/>
      </c>
      <c r="BS10" s="49" t="str">
        <f>IFERROR(__xludf.DUMMYFUNCTION("IFNA(SUM(FILTER('52 серия'!$B$6:$C$15,'52 серия'!$B$6:$B$15=C10)), )"),"")</f>
        <v/>
      </c>
      <c r="BT10" s="32" t="str">
        <f>IFERROR(__xludf.DUMMYFUNCTION("IFNA(SUM(FILTER('53 серия'!$B$6:$C$15,'53 серия'!$B$6:$B$15=$C10)), )"),"")</f>
        <v/>
      </c>
      <c r="BU10" s="32">
        <f>IFERROR(__xludf.DUMMYFUNCTION("IFNA(SUM(FILTER('54 серия'!$B$6:$C$15,'54 серия'!$B$6:$B$15=$C10)), )"),27.0)</f>
        <v>27</v>
      </c>
      <c r="BV10" s="32" t="str">
        <f>IFERROR(__xludf.DUMMYFUNCTION("IFNA(SUM(FILTER('55 серия'!$B$6:$C$15,'55 серия'!$B$6:$B$15=$C10)), )"),"")</f>
        <v/>
      </c>
      <c r="BW10" s="32" t="str">
        <f>IFERROR(__xludf.DUMMYFUNCTION("IFNA(SUM(FILTER('56 серия'!$B$6:$C$15,'56 серия'!$B$6:$B$15=$C10)), )"),"")</f>
        <v/>
      </c>
      <c r="BX10" s="32" t="str">
        <f>IFERROR(__xludf.DUMMYFUNCTION("IFNA(SUM(FILTER('57 серия'!$B$6:$C$15,'57 серия'!$B$6:$B$15=$C10)), )"),"")</f>
        <v/>
      </c>
      <c r="BY10" s="32" t="str">
        <f>IFERROR(__xludf.DUMMYFUNCTION("IFNA(SUM(FILTER('58 серия'!$B$6:$C$15,'58 серия'!$B$6:$B$15=$C10)), )"),"")</f>
        <v/>
      </c>
      <c r="BZ10" s="46">
        <f>IFERROR(__xludf.DUMMYFUNCTION("IFNA(SUM(FILTER('59 серия'!$B$6:$C$15,'59 серия'!$B$6:$B$15=C10)), )"),26.5)</f>
        <v>26.5</v>
      </c>
      <c r="CA10" s="44" t="str">
        <f>IFERROR(__xludf.DUMMYFUNCTION("IFNA(SUM(FILTER('60 серия'!$B$6:$C$15,'60 серия'!$B$6:$B$15=$C10)), )"),"")</f>
        <v/>
      </c>
      <c r="CB10" s="4"/>
    </row>
    <row r="11">
      <c r="A11" s="10"/>
      <c r="B11" s="27">
        <f t="shared" si="1"/>
        <v>5</v>
      </c>
      <c r="C11" s="45" t="s">
        <v>83</v>
      </c>
      <c r="D11" s="29">
        <f>'Игроки статистика'!B9</f>
        <v>50</v>
      </c>
      <c r="E11" s="30">
        <f t="shared" si="2"/>
        <v>206</v>
      </c>
      <c r="F11" s="31">
        <f t="shared" si="3"/>
        <v>20.6</v>
      </c>
      <c r="G11" s="46">
        <f t="shared" si="4"/>
        <v>2.82</v>
      </c>
      <c r="H11" s="46">
        <f>SUMIFS('Все игры'!C$3:C1011,'Все игры'!A$3:A1011,C11)</f>
        <v>65</v>
      </c>
      <c r="I11" s="46">
        <f t="shared" si="5"/>
        <v>139</v>
      </c>
      <c r="J11" s="47">
        <f>SUMIFS('Все игры'!F$3:F1011,'Все игры'!A$3:A1011,C11)</f>
        <v>0.5</v>
      </c>
      <c r="K11" s="48">
        <f>SUMIFS('Все игры'!G$3:G1011,'Все игры'!A$3:A1011,C11)</f>
        <v>1.5</v>
      </c>
      <c r="L11" s="35">
        <f>'Игроки статистика'!G9</f>
        <v>3</v>
      </c>
      <c r="M11" s="36">
        <f t="shared" si="6"/>
        <v>26</v>
      </c>
      <c r="N11" s="36">
        <f>SUM('Игроки статистика'!O9,'Игроки статистика'!Q9)</f>
        <v>4</v>
      </c>
      <c r="O11" s="37">
        <f>SUM('Игроки статистика'!P9,'Игроки статистика'!R9)</f>
        <v>5</v>
      </c>
      <c r="P11" s="38" t="str">
        <f>IFERROR(__xludf.DUMMYFUNCTION("IFNA(SUM(FILTER('Штрафы'!$D$5:$D1011,'Штрафы'!$C$5:$C1011=C11)), )"),"")</f>
        <v/>
      </c>
      <c r="Q11" s="38" t="str">
        <f>IFERROR(__xludf.DUMMYFUNCTION("IFNA(SUM(FILTER('Штрафы'!$F$5:$F1011,'Штрафы'!$C$5:$C1011=C11)), )"),"")</f>
        <v/>
      </c>
      <c r="R11" s="39"/>
      <c r="S11" s="40"/>
      <c r="T11" s="31" t="str">
        <f>IFERROR(__xludf.DUMMYFUNCTION("IFNA(SUM(FILTER('1 серия'!$B$6:$C$15,'1 серия'!$B$6:$B$15=C11)), )"),"")</f>
        <v/>
      </c>
      <c r="U11" s="32" t="str">
        <f>IFERROR(__xludf.DUMMYFUNCTION("IFNA(SUM(FILTER('2 серия'!$B$6:$C$15,'2 серия'!$B$6:$B$15=C11)), )
"),"")</f>
        <v/>
      </c>
      <c r="V11" s="32" t="str">
        <f>IFERROR(__xludf.DUMMYFUNCTION("IFNA(SUM(FILTER('3 серия'!$B$6:$C$15,'3 серия'!$B$6:$B$15=C11)), )
"),"")</f>
        <v/>
      </c>
      <c r="W11" s="32" t="str">
        <f>IFERROR(__xludf.DUMMYFUNCTION("IFNA(SUM(FILTER('4 серия'!$B$6:$C$15,'4 серия'!$B$6:$B$15=C11)), )"),"")</f>
        <v/>
      </c>
      <c r="X11" s="32" t="str">
        <f>IFERROR(__xludf.DUMMYFUNCTION("IFNA(SUM(FILTER('5 серия'!$B$6:$C$15,'5 серия'!$B$6:$B$15=C11)), )"),"")</f>
        <v/>
      </c>
      <c r="Y11" s="32" t="str">
        <f>IFERROR(__xludf.DUMMYFUNCTION("IFNA(SUM(FILTER('6 серия'!$B$6:$C$15,'6 серия'!$B$6:$B$15=C11)), )"),"")</f>
        <v/>
      </c>
      <c r="Z11" s="32" t="str">
        <f>IFERROR(__xludf.DUMMYFUNCTION("IFNA(SUM(FILTER('7 серия'!$B$6:$C$15,'7 серия'!$B$6:$B$15=C11)), )"),"")</f>
        <v/>
      </c>
      <c r="AA11" s="32" t="str">
        <f>IFERROR(__xludf.DUMMYFUNCTION("IFNA(SUM(FILTER('8 серия'!$B$6:$C$15,'8 серия'!$B$6:$B$15=C11)), )"),"")</f>
        <v/>
      </c>
      <c r="AB11" s="32" t="str">
        <f>IFERROR(__xludf.DUMMYFUNCTION("IFNA(SUM(FILTER('9 серия'!$B$7:$C$16,'9 серия'!$B$7:$B$16=C11)), )"),"")</f>
        <v/>
      </c>
      <c r="AC11" s="32" t="str">
        <f>IFERROR(__xludf.DUMMYFUNCTION("IFNA(SUM(FILTER('10 серия'!$B$6:$C$15,'10 серия'!$B$6:$B$15=C11)), )"),"")</f>
        <v/>
      </c>
      <c r="AD11" s="32" t="str">
        <f>IFERROR(__xludf.DUMMYFUNCTION("IFNA(SUM(FILTER('11 серия'!$B$6:$C$15,'11 серия'!$B$6:$B$15=C11)), )"),"")</f>
        <v/>
      </c>
      <c r="AE11" s="32" t="str">
        <f>IFERROR(__xludf.DUMMYFUNCTION("IFNA(SUM(FILTER('12 серия'!$B$6:$C$15,'12 серия'!$B$6:$B$15=C11)), )"),"")</f>
        <v/>
      </c>
      <c r="AF11" s="32" t="str">
        <f>IFERROR(__xludf.DUMMYFUNCTION("IFNA(SUM(FILTER('13 серия'!$B$6:$C$15,'13 серия'!$B$6:$B$15=C11)), )"),"")</f>
        <v/>
      </c>
      <c r="AG11" s="32" t="str">
        <f>IFERROR(__xludf.DUMMYFUNCTION("IFNA(SUM(FILTER('14 серия'!$B$6:$C$15,'14 серия'!$B$6:$B$15=C11)), )"),"")</f>
        <v/>
      </c>
      <c r="AH11" s="32" t="str">
        <f>IFERROR(__xludf.DUMMYFUNCTION("IFNA(SUM(FILTER('15 серия'!$B$6:$C$15,'15 серия'!$B$6:$B$15=C11)), )"),"")</f>
        <v/>
      </c>
      <c r="AI11" s="32" t="str">
        <f>IFERROR(__xludf.DUMMYFUNCTION("IFNA(SUM(FILTER('16 серия'!$B$6:$C$15,'16 серия'!$B$6:$B$15=C11)), )"),"")</f>
        <v/>
      </c>
      <c r="AJ11" s="32">
        <f>IFERROR(__xludf.DUMMYFUNCTION("IFNA(SUM(FILTER('17 серия'!$B$6:$C$15,'17 серия'!$B$6:$B$15=C11)), )"),17.75)</f>
        <v>17.75</v>
      </c>
      <c r="AK11" s="32">
        <f>IFERROR(__xludf.DUMMYFUNCTION("IFNA(SUM(FILTER('18 серия'!$B$6:$C$15,'18 серия'!$B$6:$B$15=C11)), )"),19.5)</f>
        <v>19.5</v>
      </c>
      <c r="AL11" s="32">
        <f>IFERROR(__xludf.DUMMYFUNCTION("IFNA(SUM(FILTER('19 серия'!$B$6:$C$15,'19 серия'!$B$6:$B$15=C11)), )"),11.25)</f>
        <v>11.25</v>
      </c>
      <c r="AM11" s="32">
        <f>IFERROR(__xludf.DUMMYFUNCTION("IFNA(SUM(FILTER('20 серия'!$B$6:$C$15,'20 серия'!$B$6:$B$15=C11)), )"),23.0)</f>
        <v>23</v>
      </c>
      <c r="AN11" s="32" t="str">
        <f>IFERROR(__xludf.DUMMYFUNCTION("IFNA(SUM(FILTER('21 серия'!$B$6:$C$15,'21 серия'!$B$6:$B$15=C11)), )"),"")</f>
        <v/>
      </c>
      <c r="AO11" s="32" t="str">
        <f>IFERROR(__xludf.DUMMYFUNCTION("IFNA(SUM(FILTER('22 серия'!$B$6:$C$15,'22 серия'!$B$6:$B$15=C11)), )"),"")</f>
        <v/>
      </c>
      <c r="AP11" s="32" t="str">
        <f>IFERROR(__xludf.DUMMYFUNCTION("IFNA(SUM(FILTER('23 серия'!$B$6:$C$15,'23 серия'!$B$6:$B$15=C11)), )"),"")</f>
        <v/>
      </c>
      <c r="AQ11" s="32" t="str">
        <f>IFERROR(__xludf.DUMMYFUNCTION("IFNA(SUM(FILTER('24 серия'!$B$6:$C$15,'24 серия'!$B$6:$B$15=C11)), )"),"")</f>
        <v/>
      </c>
      <c r="AR11" s="32" t="str">
        <f>IFERROR(__xludf.DUMMYFUNCTION("IFNA(SUM(FILTER('25 серия'!$B$6:$C$15,'25 серия'!$B$6:$B$15=C11)), )"),"")</f>
        <v/>
      </c>
      <c r="AS11" s="32" t="str">
        <f>IFERROR(__xludf.DUMMYFUNCTION("IFNA(SUM(FILTER('26 серия'!$B$6:$C$15,'26 серия'!$B$6:$B$15=C11)), )"),"")</f>
        <v/>
      </c>
      <c r="AT11" s="32" t="str">
        <f>IFERROR(__xludf.DUMMYFUNCTION("IFNA(SUM(FILTER('27 серия'!$B$6:$C$15,'27 серия'!$B$6:$B$15=C11)), )"),"")</f>
        <v/>
      </c>
      <c r="AU11" s="32" t="str">
        <f>IFERROR(__xludf.DUMMYFUNCTION("IFNA(SUM(FILTER('28 серия'!$B$6:$C$15,'28 серия'!$B$6:$B$15=C11)), )"),"")</f>
        <v/>
      </c>
      <c r="AV11" s="32" t="str">
        <f>IFERROR(__xludf.DUMMYFUNCTION("IFNA(SUM(FILTER('29 серия'!$B$6:$C$15,'29 серия'!$B$6:$B$15=C11)), )"),"")</f>
        <v/>
      </c>
      <c r="AW11" s="32" t="str">
        <f>IFERROR(__xludf.DUMMYFUNCTION("IFNA(SUM(FILTER('30 серия'!$B$6:$C$15,'30 серия'!$B$6:$B$15=C11)), )"),"")</f>
        <v/>
      </c>
      <c r="AX11" s="32" t="str">
        <f>IFERROR(__xludf.DUMMYFUNCTION("IFNA(SUM(FILTER('31 серия'!$B$6:$C$15,'31 серия'!$B$6:$B$15=C11)), )"),"")</f>
        <v/>
      </c>
      <c r="AY11" s="32" t="str">
        <f>IFERROR(__xludf.DUMMYFUNCTION("IFNA(SUM(FILTER('32 серия'!$B$6:$C$15,'32 серия'!$B$6:$B$15=C11)), )"),"")</f>
        <v/>
      </c>
      <c r="AZ11" s="32" t="str">
        <f>IFERROR(__xludf.DUMMYFUNCTION("IFNA(SUM(FILTER('33 серия'!$B$6:$C$15,'33 серия'!$B$6:$B$15=C11)), )"),"")</f>
        <v/>
      </c>
      <c r="BA11" s="32" t="str">
        <f>IFERROR(__xludf.DUMMYFUNCTION("IFNA(SUM(FILTER('34 серия'!$B$6:$C$15,'34 серия'!$B$6:$B$15=C11)), )"),"")</f>
        <v/>
      </c>
      <c r="BB11" s="32" t="str">
        <f>IFERROR(__xludf.DUMMYFUNCTION("IFNA(SUM(FILTER('35 серия'!$B$6:$C$15,'35 серия'!$B$6:$B$15=C11)), )"),"")</f>
        <v/>
      </c>
      <c r="BC11" s="32" t="str">
        <f>IFERROR(__xludf.DUMMYFUNCTION("IFNA(SUM(FILTER('36 серия'!$B$6:$C$15,'36 серия'!$B$6:$B$15=C11)), )"),"")</f>
        <v/>
      </c>
      <c r="BD11" s="32" t="str">
        <f>IFERROR(__xludf.DUMMYFUNCTION("IFNA(SUM(FILTER('37 серия'!$B$6:$C$15,'37 серия'!$B$6:$B$15=C11)), )"),"")</f>
        <v/>
      </c>
      <c r="BE11" s="32" t="str">
        <f>IFERROR(__xludf.DUMMYFUNCTION("IFNA(SUM(FILTER('38 серия'!$B$6:$C$15,'38 серия'!$B$6:$B$15=C11)), )"),"")</f>
        <v/>
      </c>
      <c r="BF11" s="32" t="str">
        <f>IFERROR(__xludf.DUMMYFUNCTION("IFNA(SUM(FILTER('39 серия'!$B$6:$C$15,'39 серия'!$B$6:$B$15=C11)), )"),"")</f>
        <v/>
      </c>
      <c r="BG11" s="32" t="str">
        <f>IFERROR(__xludf.DUMMYFUNCTION("IFNA(SUM(FILTER('40 серия'!$B$6:$C$15,'40 серия'!$B$6:$B$15=C11)), )"),"")</f>
        <v/>
      </c>
      <c r="BH11" s="32" t="str">
        <f>IFERROR(__xludf.DUMMYFUNCTION("IFNA(SUM(FILTER('41 серия'!$B$6:$C$15,'41 серия'!$B$6:$B$15=C11)), )"),"")</f>
        <v/>
      </c>
      <c r="BI11" s="32" t="str">
        <f>IFERROR(__xludf.DUMMYFUNCTION("IFNA(SUM(FILTER('42 серия'!$B$6:$C$15,'42 серия'!$B$6:$B$15=C11)), )"),"")</f>
        <v/>
      </c>
      <c r="BJ11" s="32" t="str">
        <f>IFERROR(__xludf.DUMMYFUNCTION("IFNA(SUM(FILTER('43 серия'!$B$6:$C$15,'43 серия'!$B$6:$B$15=C11)), )"),"")</f>
        <v/>
      </c>
      <c r="BK11" s="32" t="str">
        <f>IFERROR(__xludf.DUMMYFUNCTION("IFNA(SUM(FILTER('44 серия'!$B$6:$C$15,'44 серия'!$B$6:$B$15=C11)), )"),"")</f>
        <v/>
      </c>
      <c r="BL11" s="32">
        <f>IFERROR(__xludf.DUMMYFUNCTION("IFNA(SUM(FILTER('45 серия'!$B$6:$C$15,'45 серия'!$B$6:$B$15=C11)), )"),21.25)</f>
        <v>21.25</v>
      </c>
      <c r="BM11" s="32">
        <f>IFERROR(__xludf.DUMMYFUNCTION("IFNA(SUM(FILTER('46 серия'!$B$6:$C$15,'46 серия'!$B$6:$B$15=C11)), )"),25.0)</f>
        <v>25</v>
      </c>
      <c r="BN11" s="32">
        <f>IFERROR(__xludf.DUMMYFUNCTION("IFNA(SUM(FILTER('47 серия'!$B$6:$C$15,'47 серия'!$B$6:$B$15=C11)), )"),19.25)</f>
        <v>19.25</v>
      </c>
      <c r="BO11" s="42" t="str">
        <f>IFERROR(__xludf.DUMMYFUNCTION("IFNA(SUM(FILTER('48 серия'!$B$6:$C$15,'48 серия'!$B$6:$B$15=$C11)), )"),"")</f>
        <v/>
      </c>
      <c r="BP11" s="43" t="str">
        <f>IFERROR(__xludf.DUMMYFUNCTION("IFNA(SUM(FILTER('49 серия'!$B$6:$C$15,'49 серия'!$B$6:$B$15=$C11)), )"),"")</f>
        <v/>
      </c>
      <c r="BQ11" s="43" t="str">
        <f>IFERROR(__xludf.DUMMYFUNCTION("IFNA(SUM(FILTER('50 серия'!$B$6:$C$15,'50 серия'!$B$6:$B$15=$C11)), )"),"")</f>
        <v/>
      </c>
      <c r="BR11" s="43" t="str">
        <f>IFERROR(__xludf.DUMMYFUNCTION("IFNA(SUM(FILTER('51 серия'!$B$6:$C$15,'51 серия'!$B$6:$B$15=$C11)), )"),"")</f>
        <v/>
      </c>
      <c r="BS11" s="49" t="str">
        <f>IFERROR(__xludf.DUMMYFUNCTION("IFNA(SUM(FILTER('52 серия'!$B$6:$C$15,'52 серия'!$B$6:$B$15=C11)), )"),"")</f>
        <v/>
      </c>
      <c r="BT11" s="32" t="str">
        <f>IFERROR(__xludf.DUMMYFUNCTION("IFNA(SUM(FILTER('53 серия'!$B$6:$C$15,'53 серия'!$B$6:$B$15=$C11)), )"),"")</f>
        <v/>
      </c>
      <c r="BU11" s="32">
        <f>IFERROR(__xludf.DUMMYFUNCTION("IFNA(SUM(FILTER('54 серия'!$B$6:$C$15,'54 серия'!$B$6:$B$15=$C11)), )"),17.25)</f>
        <v>17.25</v>
      </c>
      <c r="BV11" s="32">
        <f>IFERROR(__xludf.DUMMYFUNCTION("IFNA(SUM(FILTER('55 серия'!$B$6:$C$15,'55 серия'!$B$6:$B$15=$C11)), )"),25.5)</f>
        <v>25.5</v>
      </c>
      <c r="BW11" s="32">
        <f>IFERROR(__xludf.DUMMYFUNCTION("IFNA(SUM(FILTER('56 серия'!$B$6:$C$15,'56 серия'!$B$6:$B$15=$C11)), )"),26.25)</f>
        <v>26.25</v>
      </c>
      <c r="BX11" s="32" t="str">
        <f>IFERROR(__xludf.DUMMYFUNCTION("IFNA(SUM(FILTER('57 серия'!$B$6:$C$15,'57 серия'!$B$6:$B$15=$C11)), )"),"")</f>
        <v/>
      </c>
      <c r="BY11" s="32" t="str">
        <f>IFERROR(__xludf.DUMMYFUNCTION("IFNA(SUM(FILTER('58 серия'!$B$6:$C$15,'58 серия'!$B$6:$B$15=$C11)), )"),"")</f>
        <v/>
      </c>
      <c r="BZ11" s="46" t="str">
        <f>IFERROR(__xludf.DUMMYFUNCTION("IFNA(SUM(FILTER('59 серия'!$B$6:$C$15,'59 серия'!$B$6:$B$15=C11)), )"),"")</f>
        <v/>
      </c>
      <c r="CA11" s="44" t="str">
        <f>IFERROR(__xludf.DUMMYFUNCTION("IFNA(SUM(FILTER('60 серия'!$B$6:$C$15,'60 серия'!$B$6:$B$15=$C11)), )"),"")</f>
        <v/>
      </c>
      <c r="CB11" s="4"/>
    </row>
    <row r="12">
      <c r="A12" s="10"/>
      <c r="B12" s="27">
        <f t="shared" si="1"/>
        <v>6</v>
      </c>
      <c r="C12" s="45" t="s">
        <v>84</v>
      </c>
      <c r="D12" s="29">
        <f>'Игроки статистика'!B10</f>
        <v>50</v>
      </c>
      <c r="E12" s="30">
        <f t="shared" si="2"/>
        <v>194.75</v>
      </c>
      <c r="F12" s="31">
        <f t="shared" si="3"/>
        <v>19.475</v>
      </c>
      <c r="G12" s="46">
        <f t="shared" si="4"/>
        <v>2.745</v>
      </c>
      <c r="H12" s="46">
        <f>SUMIFS('Все игры'!C$3:C1011,'Все игры'!A$3:A1011,C12)</f>
        <v>57.5</v>
      </c>
      <c r="I12" s="46">
        <f t="shared" si="5"/>
        <v>135.75</v>
      </c>
      <c r="J12" s="47">
        <f>SUMIFS('Все игры'!F$3:F1011,'Все игры'!A$3:A1011,C12)</f>
        <v>0.5</v>
      </c>
      <c r="K12" s="48">
        <f>SUMIFS('Все игры'!G$3:G1011,'Все игры'!A$3:A1011,C12)</f>
        <v>1</v>
      </c>
      <c r="L12" s="35">
        <f>'Игроки статистика'!G10</f>
        <v>2</v>
      </c>
      <c r="M12" s="36">
        <f t="shared" si="6"/>
        <v>23</v>
      </c>
      <c r="N12" s="36">
        <f>SUM('Игроки статистика'!O10,'Игроки статистика'!Q10)</f>
        <v>5</v>
      </c>
      <c r="O12" s="37">
        <f>SUM('Игроки статистика'!P10,'Игроки статистика'!R10)</f>
        <v>4</v>
      </c>
      <c r="P12" s="38" t="str">
        <f>IFERROR(__xludf.DUMMYFUNCTION("IFNA(SUM(FILTER('Штрафы'!$D$5:$D1011,'Штрафы'!$C$5:$C1011=C12)), )"),"")</f>
        <v/>
      </c>
      <c r="Q12" s="38" t="str">
        <f>IFERROR(__xludf.DUMMYFUNCTION("IFNA(SUM(FILTER('Штрафы'!$F$5:$F1011,'Штрафы'!$C$5:$C1011=C12)), )"),"")</f>
        <v/>
      </c>
      <c r="R12" s="39"/>
      <c r="S12" s="50"/>
      <c r="T12" s="31" t="str">
        <f>IFERROR(__xludf.DUMMYFUNCTION("IFNA(SUM(FILTER('1 серия'!$B$6:$C$15,'1 серия'!$B$6:$B$15=C12)), )"),"")</f>
        <v/>
      </c>
      <c r="U12" s="32" t="str">
        <f>IFERROR(__xludf.DUMMYFUNCTION("IFNA(SUM(FILTER('2 серия'!$B$6:$C$15,'2 серия'!$B$6:$B$15=C12)), )
"),"")</f>
        <v/>
      </c>
      <c r="V12" s="32" t="str">
        <f>IFERROR(__xludf.DUMMYFUNCTION("IFNA(SUM(FILTER('3 серия'!$B$6:$C$15,'3 серия'!$B$6:$B$15=C12)), )
"),"")</f>
        <v/>
      </c>
      <c r="W12" s="32" t="str">
        <f>IFERROR(__xludf.DUMMYFUNCTION("IFNA(SUM(FILTER('4 серия'!$B$6:$C$15,'4 серия'!$B$6:$B$15=C12)), )"),"")</f>
        <v/>
      </c>
      <c r="X12" s="32" t="str">
        <f>IFERROR(__xludf.DUMMYFUNCTION("IFNA(SUM(FILTER('5 серия'!$B$6:$C$15,'5 серия'!$B$6:$B$15=C12)), )"),"")</f>
        <v/>
      </c>
      <c r="Y12" s="32" t="str">
        <f>IFERROR(__xludf.DUMMYFUNCTION("IFNA(SUM(FILTER('6 серия'!$B$6:$C$15,'6 серия'!$B$6:$B$15=C12)), )"),"")</f>
        <v/>
      </c>
      <c r="Z12" s="32" t="str">
        <f>IFERROR(__xludf.DUMMYFUNCTION("IFNA(SUM(FILTER('7 серия'!$B$6:$C$15,'7 серия'!$B$6:$B$15=C12)), )"),"")</f>
        <v/>
      </c>
      <c r="AA12" s="32" t="str">
        <f>IFERROR(__xludf.DUMMYFUNCTION("IFNA(SUM(FILTER('8 серия'!$B$6:$C$15,'8 серия'!$B$6:$B$15=C12)), )"),"")</f>
        <v/>
      </c>
      <c r="AB12" s="32" t="str">
        <f>IFERROR(__xludf.DUMMYFUNCTION("IFNA(SUM(FILTER('9 серия'!$B$7:$C$16,'9 серия'!$B$7:$B$16=C12)), )"),"")</f>
        <v/>
      </c>
      <c r="AC12" s="32" t="str">
        <f>IFERROR(__xludf.DUMMYFUNCTION("IFNA(SUM(FILTER('10 серия'!$B$6:$C$15,'10 серия'!$B$6:$B$15=C12)), )"),"")</f>
        <v/>
      </c>
      <c r="AD12" s="32" t="str">
        <f>IFERROR(__xludf.DUMMYFUNCTION("IFNA(SUM(FILTER('11 серия'!$B$6:$C$15,'11 серия'!$B$6:$B$15=C12)), )"),"")</f>
        <v/>
      </c>
      <c r="AE12" s="32" t="str">
        <f>IFERROR(__xludf.DUMMYFUNCTION("IFNA(SUM(FILTER('12 серия'!$B$6:$C$15,'12 серия'!$B$6:$B$15=C12)), )"),"")</f>
        <v/>
      </c>
      <c r="AF12" s="32" t="str">
        <f>IFERROR(__xludf.DUMMYFUNCTION("IFNA(SUM(FILTER('13 серия'!$B$6:$C$15,'13 серия'!$B$6:$B$15=C12)), )"),"")</f>
        <v/>
      </c>
      <c r="AG12" s="32" t="str">
        <f>IFERROR(__xludf.DUMMYFUNCTION("IFNA(SUM(FILTER('14 серия'!$B$6:$C$15,'14 серия'!$B$6:$B$15=C12)), )"),"")</f>
        <v/>
      </c>
      <c r="AH12" s="32" t="str">
        <f>IFERROR(__xludf.DUMMYFUNCTION("IFNA(SUM(FILTER('15 серия'!$B$6:$C$15,'15 серия'!$B$6:$B$15=C12)), )"),"")</f>
        <v/>
      </c>
      <c r="AI12" s="32" t="str">
        <f>IFERROR(__xludf.DUMMYFUNCTION("IFNA(SUM(FILTER('16 серия'!$B$6:$C$15,'16 серия'!$B$6:$B$15=C12)), )"),"")</f>
        <v/>
      </c>
      <c r="AJ12" s="32">
        <f>IFERROR(__xludf.DUMMYFUNCTION("IFNA(SUM(FILTER('17 серия'!$B$6:$C$15,'17 серия'!$B$6:$B$15=C12)), )"),17.75)</f>
        <v>17.75</v>
      </c>
      <c r="AK12" s="32">
        <f>IFERROR(__xludf.DUMMYFUNCTION("IFNA(SUM(FILTER('18 серия'!$B$6:$C$15,'18 серия'!$B$6:$B$15=C12)), )"),23.25)</f>
        <v>23.25</v>
      </c>
      <c r="AL12" s="32">
        <f>IFERROR(__xludf.DUMMYFUNCTION("IFNA(SUM(FILTER('19 серия'!$B$6:$C$15,'19 серия'!$B$6:$B$15=C12)), )"),19.5)</f>
        <v>19.5</v>
      </c>
      <c r="AM12" s="32" t="str">
        <f>IFERROR(__xludf.DUMMYFUNCTION("IFNA(SUM(FILTER('20 серия'!$B$6:$C$15,'20 серия'!$B$6:$B$15=C12)), )"),"")</f>
        <v/>
      </c>
      <c r="AN12" s="32" t="str">
        <f>IFERROR(__xludf.DUMMYFUNCTION("IFNA(SUM(FILTER('21 серия'!$B$6:$C$15,'21 серия'!$B$6:$B$15=C12)), )"),"")</f>
        <v/>
      </c>
      <c r="AO12" s="32" t="str">
        <f>IFERROR(__xludf.DUMMYFUNCTION("IFNA(SUM(FILTER('22 серия'!$B$6:$C$15,'22 серия'!$B$6:$B$15=C12)), )"),"")</f>
        <v/>
      </c>
      <c r="AP12" s="32" t="str">
        <f>IFERROR(__xludf.DUMMYFUNCTION("IFNA(SUM(FILTER('23 серия'!$B$6:$C$15,'23 серия'!$B$6:$B$15=C12)), )"),"")</f>
        <v/>
      </c>
      <c r="AQ12" s="32" t="str">
        <f>IFERROR(__xludf.DUMMYFUNCTION("IFNA(SUM(FILTER('24 серия'!$B$6:$C$15,'24 серия'!$B$6:$B$15=C12)), )"),"")</f>
        <v/>
      </c>
      <c r="AR12" s="32" t="str">
        <f>IFERROR(__xludf.DUMMYFUNCTION("IFNA(SUM(FILTER('25 серия'!$B$6:$C$15,'25 серия'!$B$6:$B$15=C12)), )"),"")</f>
        <v/>
      </c>
      <c r="AS12" s="32" t="str">
        <f>IFERROR(__xludf.DUMMYFUNCTION("IFNA(SUM(FILTER('26 серия'!$B$6:$C$15,'26 серия'!$B$6:$B$15=C12)), )"),"")</f>
        <v/>
      </c>
      <c r="AT12" s="32" t="str">
        <f>IFERROR(__xludf.DUMMYFUNCTION("IFNA(SUM(FILTER('27 серия'!$B$6:$C$15,'27 серия'!$B$6:$B$15=C12)), )"),"")</f>
        <v/>
      </c>
      <c r="AU12" s="32">
        <f>IFERROR(__xludf.DUMMYFUNCTION("IFNA(SUM(FILTER('28 серия'!$B$6:$C$15,'28 серия'!$B$6:$B$15=C12)), )"),21.0)</f>
        <v>21</v>
      </c>
      <c r="AV12" s="32">
        <f>IFERROR(__xludf.DUMMYFUNCTION("IFNA(SUM(FILTER('29 серия'!$B$6:$C$15,'29 серия'!$B$6:$B$15=C12)), )"),27.0)</f>
        <v>27</v>
      </c>
      <c r="AW12" s="32">
        <f>IFERROR(__xludf.DUMMYFUNCTION("IFNA(SUM(FILTER('30 серия'!$B$6:$C$15,'30 серия'!$B$6:$B$15=C12)), )"),17.25)</f>
        <v>17.25</v>
      </c>
      <c r="AX12" s="32" t="str">
        <f>IFERROR(__xludf.DUMMYFUNCTION("IFNA(SUM(FILTER('31 серия'!$B$6:$C$15,'31 серия'!$B$6:$B$15=C12)), )"),"")</f>
        <v/>
      </c>
      <c r="AY12" s="32" t="str">
        <f>IFERROR(__xludf.DUMMYFUNCTION("IFNA(SUM(FILTER('32 серия'!$B$6:$C$15,'32 серия'!$B$6:$B$15=C12)), )"),"")</f>
        <v/>
      </c>
      <c r="AZ12" s="32" t="str">
        <f>IFERROR(__xludf.DUMMYFUNCTION("IFNA(SUM(FILTER('33 серия'!$B$6:$C$15,'33 серия'!$B$6:$B$15=C12)), )"),"")</f>
        <v/>
      </c>
      <c r="BA12" s="32" t="str">
        <f>IFERROR(__xludf.DUMMYFUNCTION("IFNA(SUM(FILTER('34 серия'!$B$6:$C$15,'34 серия'!$B$6:$B$15=C12)), )"),"")</f>
        <v/>
      </c>
      <c r="BB12" s="32" t="str">
        <f>IFERROR(__xludf.DUMMYFUNCTION("IFNA(SUM(FILTER('35 серия'!$B$6:$C$15,'35 серия'!$B$6:$B$15=C12)), )"),"")</f>
        <v/>
      </c>
      <c r="BC12" s="32" t="str">
        <f>IFERROR(__xludf.DUMMYFUNCTION("IFNA(SUM(FILTER('36 серия'!$B$6:$C$15,'36 серия'!$B$6:$B$15=C12)), )"),"")</f>
        <v/>
      </c>
      <c r="BD12" s="32" t="str">
        <f>IFERROR(__xludf.DUMMYFUNCTION("IFNA(SUM(FILTER('37 серия'!$B$6:$C$15,'37 серия'!$B$6:$B$15=C12)), )"),"")</f>
        <v/>
      </c>
      <c r="BE12" s="32">
        <f>IFERROR(__xludf.DUMMYFUNCTION("IFNA(SUM(FILTER('38 серия'!$B$6:$C$15,'38 серия'!$B$6:$B$15=C12)), )"),17.75)</f>
        <v>17.75</v>
      </c>
      <c r="BF12" s="32">
        <f>IFERROR(__xludf.DUMMYFUNCTION("IFNA(SUM(FILTER('39 серия'!$B$6:$C$15,'39 серия'!$B$6:$B$15=C12)), )"),15.75)</f>
        <v>15.75</v>
      </c>
      <c r="BG12" s="32">
        <f>IFERROR(__xludf.DUMMYFUNCTION("IFNA(SUM(FILTER('40 серия'!$B$6:$C$15,'40 серия'!$B$6:$B$15=C12)), )"),13.75)</f>
        <v>13.75</v>
      </c>
      <c r="BH12" s="32">
        <f>IFERROR(__xludf.DUMMYFUNCTION("IFNA(SUM(FILTER('41 серия'!$B$6:$C$15,'41 серия'!$B$6:$B$15=C12)), )"),21.75)</f>
        <v>21.75</v>
      </c>
      <c r="BI12" s="32" t="str">
        <f>IFERROR(__xludf.DUMMYFUNCTION("IFNA(SUM(FILTER('42 серия'!$B$6:$C$15,'42 серия'!$B$6:$B$15=C12)), )"),"")</f>
        <v/>
      </c>
      <c r="BJ12" s="32" t="str">
        <f>IFERROR(__xludf.DUMMYFUNCTION("IFNA(SUM(FILTER('43 серия'!$B$6:$C$15,'43 серия'!$B$6:$B$15=C12)), )"),"")</f>
        <v/>
      </c>
      <c r="BK12" s="32" t="str">
        <f>IFERROR(__xludf.DUMMYFUNCTION("IFNA(SUM(FILTER('44 серия'!$B$6:$C$15,'44 серия'!$B$6:$B$15=C12)), )"),"")</f>
        <v/>
      </c>
      <c r="BL12" s="32" t="str">
        <f>IFERROR(__xludf.DUMMYFUNCTION("IFNA(SUM(FILTER('45 серия'!$B$6:$C$15,'45 серия'!$B$6:$B$15=C12)), )"),"")</f>
        <v/>
      </c>
      <c r="BM12" s="32" t="str">
        <f>IFERROR(__xludf.DUMMYFUNCTION("IFNA(SUM(FILTER('46 серия'!$B$6:$C$15,'46 серия'!$B$6:$B$15=C12)), )"),"")</f>
        <v/>
      </c>
      <c r="BN12" s="32" t="str">
        <f>IFERROR(__xludf.DUMMYFUNCTION("IFNA(SUM(FILTER('47 серия'!$B$6:$C$15,'47 серия'!$B$6:$B$15=C12)), )"),"")</f>
        <v/>
      </c>
      <c r="BO12" s="42" t="str">
        <f>IFERROR(__xludf.DUMMYFUNCTION("IFNA(SUM(FILTER('48 серия'!$B$6:$C$15,'48 серия'!$B$6:$B$15=$C12)), )"),"")</f>
        <v/>
      </c>
      <c r="BP12" s="43" t="str">
        <f>IFERROR(__xludf.DUMMYFUNCTION("IFNA(SUM(FILTER('49 серия'!$B$6:$C$15,'49 серия'!$B$6:$B$15=$C12)), )"),"")</f>
        <v/>
      </c>
      <c r="BQ12" s="43" t="str">
        <f>IFERROR(__xludf.DUMMYFUNCTION("IFNA(SUM(FILTER('50 серия'!$B$6:$C$15,'50 серия'!$B$6:$B$15=$C12)), )"),"")</f>
        <v/>
      </c>
      <c r="BR12" s="43" t="str">
        <f>IFERROR(__xludf.DUMMYFUNCTION("IFNA(SUM(FILTER('51 серия'!$B$6:$C$15,'51 серия'!$B$6:$B$15=$C12)), )"),"")</f>
        <v/>
      </c>
      <c r="BS12" s="49" t="str">
        <f>IFERROR(__xludf.DUMMYFUNCTION("IFNA(SUM(FILTER('52 серия'!$B$6:$C$15,'52 серия'!$B$6:$B$15=C12)), )"),"")</f>
        <v/>
      </c>
      <c r="BT12" s="32" t="str">
        <f>IFERROR(__xludf.DUMMYFUNCTION("IFNA(SUM(FILTER('53 серия'!$B$6:$C$15,'53 серия'!$B$6:$B$15=$C12)), )"),"")</f>
        <v/>
      </c>
      <c r="BU12" s="32" t="str">
        <f>IFERROR(__xludf.DUMMYFUNCTION("IFNA(SUM(FILTER('54 серия'!$B$6:$C$15,'54 серия'!$B$6:$B$15=$C12)), )"),"")</f>
        <v/>
      </c>
      <c r="BV12" s="32" t="str">
        <f>IFERROR(__xludf.DUMMYFUNCTION("IFNA(SUM(FILTER('55 серия'!$B$6:$C$15,'55 серия'!$B$6:$B$15=$C12)), )"),"")</f>
        <v/>
      </c>
      <c r="BW12" s="32" t="str">
        <f>IFERROR(__xludf.DUMMYFUNCTION("IFNA(SUM(FILTER('56 серия'!$B$6:$C$15,'56 серия'!$B$6:$B$15=$C12)), )"),"")</f>
        <v/>
      </c>
      <c r="BX12" s="32" t="str">
        <f>IFERROR(__xludf.DUMMYFUNCTION("IFNA(SUM(FILTER('57 серия'!$B$6:$C$15,'57 серия'!$B$6:$B$15=$C12)), )"),"")</f>
        <v/>
      </c>
      <c r="BY12" s="32" t="str">
        <f>IFERROR(__xludf.DUMMYFUNCTION("IFNA(SUM(FILTER('58 серия'!$B$6:$C$15,'58 серия'!$B$6:$B$15=$C12)), )"),"")</f>
        <v/>
      </c>
      <c r="BZ12" s="46" t="str">
        <f>IFERROR(__xludf.DUMMYFUNCTION("IFNA(SUM(FILTER('59 серия'!$B$6:$C$15,'59 серия'!$B$6:$B$15=C12)), )"),"")</f>
        <v/>
      </c>
      <c r="CA12" s="44" t="str">
        <f>IFERROR(__xludf.DUMMYFUNCTION("IFNA(SUM(FILTER('60 серия'!$B$6:$C$15,'60 серия'!$B$6:$B$15=$C12)), )"),"")</f>
        <v/>
      </c>
      <c r="CB12" s="4"/>
    </row>
    <row r="13">
      <c r="A13" s="10"/>
      <c r="B13" s="27">
        <f t="shared" si="1"/>
        <v>7</v>
      </c>
      <c r="C13" s="45" t="s">
        <v>85</v>
      </c>
      <c r="D13" s="29">
        <f>'Игроки статистика'!B11</f>
        <v>50</v>
      </c>
      <c r="E13" s="30">
        <f t="shared" si="2"/>
        <v>162.5</v>
      </c>
      <c r="F13" s="31">
        <f t="shared" si="3"/>
        <v>16.25</v>
      </c>
      <c r="G13" s="46">
        <f t="shared" si="4"/>
        <v>2.5</v>
      </c>
      <c r="H13" s="46">
        <f>SUMIFS('Все игры'!C$3:C1011,'Все игры'!A$3:A1011,C13)</f>
        <v>37.5</v>
      </c>
      <c r="I13" s="46">
        <f t="shared" si="5"/>
        <v>122.5</v>
      </c>
      <c r="J13" s="47">
        <f>SUMIFS('Все игры'!F$3:F1011,'Все игры'!A$3:A1011,C13)</f>
        <v>1</v>
      </c>
      <c r="K13" s="48">
        <f>SUMIFS('Все игры'!G$3:G1011,'Все игры'!A$3:A1011,C13)</f>
        <v>1.5</v>
      </c>
      <c r="L13" s="35">
        <f>'Игроки статистика'!G11</f>
        <v>3</v>
      </c>
      <c r="M13" s="36">
        <f t="shared" si="6"/>
        <v>15</v>
      </c>
      <c r="N13" s="36">
        <f>SUM('Игроки статистика'!O11,'Игроки статистика'!Q11)</f>
        <v>4</v>
      </c>
      <c r="O13" s="37">
        <f>SUM('Игроки статистика'!P11,'Игроки статистика'!R11)</f>
        <v>6</v>
      </c>
      <c r="P13" s="38" t="str">
        <f>IFERROR(__xludf.DUMMYFUNCTION("IFNA(SUM(FILTER('Штрафы'!$D$5:$D1011,'Штрафы'!$C$5:$C1011=C13)), )"),"")</f>
        <v/>
      </c>
      <c r="Q13" s="38" t="str">
        <f>IFERROR(__xludf.DUMMYFUNCTION("IFNA(SUM(FILTER('Штрафы'!$F$5:$F1011,'Штрафы'!$C$5:$C1011=C13)), )"),"")</f>
        <v/>
      </c>
      <c r="R13" s="39"/>
      <c r="S13" s="51"/>
      <c r="T13" s="31" t="str">
        <f>IFERROR(__xludf.DUMMYFUNCTION("IFNA(SUM(FILTER('1 серия'!$B$6:$C$15,'1 серия'!$B$6:$B$15=C13)), )"),"")</f>
        <v/>
      </c>
      <c r="U13" s="32">
        <f>IFERROR(__xludf.DUMMYFUNCTION("IFNA(SUM(FILTER('2 серия'!$B$6:$C$15,'2 серия'!$B$6:$B$15=C13)), )
"),14.25)</f>
        <v>14.25</v>
      </c>
      <c r="V13" s="32" t="str">
        <f>IFERROR(__xludf.DUMMYFUNCTION("IFNA(SUM(FILTER('3 серия'!$B$6:$C$15,'3 серия'!$B$6:$B$15=C13)), )
"),"")</f>
        <v/>
      </c>
      <c r="W13" s="32">
        <f>IFERROR(__xludf.DUMMYFUNCTION("IFNA(SUM(FILTER('4 серия'!$B$6:$C$15,'4 серия'!$B$6:$B$15=C13)), )"),16.5)</f>
        <v>16.5</v>
      </c>
      <c r="X13" s="32" t="str">
        <f>IFERROR(__xludf.DUMMYFUNCTION("IFNA(SUM(FILTER('5 серия'!$B$6:$C$15,'5 серия'!$B$6:$B$15=C13)), )"),"")</f>
        <v/>
      </c>
      <c r="Y13" s="32">
        <f>IFERROR(__xludf.DUMMYFUNCTION("IFNA(SUM(FILTER('6 серия'!$B$6:$C$15,'6 серия'!$B$6:$B$15=C13)), )"),15.75)</f>
        <v>15.75</v>
      </c>
      <c r="Z13" s="32" t="str">
        <f>IFERROR(__xludf.DUMMYFUNCTION("IFNA(SUM(FILTER('7 серия'!$B$6:$C$15,'7 серия'!$B$6:$B$15=C13)), )"),"")</f>
        <v/>
      </c>
      <c r="AA13" s="32" t="str">
        <f>IFERROR(__xludf.DUMMYFUNCTION("IFNA(SUM(FILTER('8 серия'!$B$6:$C$15,'8 серия'!$B$6:$B$15=C13)), )"),"")</f>
        <v/>
      </c>
      <c r="AB13" s="32" t="str">
        <f>IFERROR(__xludf.DUMMYFUNCTION("IFNA(SUM(FILTER('9 серия'!$B$7:$C$16,'9 серия'!$B$7:$B$16=C13)), )"),"")</f>
        <v/>
      </c>
      <c r="AC13" s="32">
        <f>IFERROR(__xludf.DUMMYFUNCTION("IFNA(SUM(FILTER('10 серия'!$B$6:$C$15,'10 серия'!$B$6:$B$15=C13)), )"),15.75)</f>
        <v>15.75</v>
      </c>
      <c r="AD13" s="32" t="str">
        <f>IFERROR(__xludf.DUMMYFUNCTION("IFNA(SUM(FILTER('11 серия'!$B$6:$C$15,'11 серия'!$B$6:$B$15=C13)), )"),"")</f>
        <v/>
      </c>
      <c r="AE13" s="32" t="str">
        <f>IFERROR(__xludf.DUMMYFUNCTION("IFNA(SUM(FILTER('12 серия'!$B$6:$C$15,'12 серия'!$B$6:$B$15=C13)), )"),"")</f>
        <v/>
      </c>
      <c r="AF13" s="32" t="str">
        <f>IFERROR(__xludf.DUMMYFUNCTION("IFNA(SUM(FILTER('13 серия'!$B$6:$C$15,'13 серия'!$B$6:$B$15=C13)), )"),"")</f>
        <v/>
      </c>
      <c r="AG13" s="32" t="str">
        <f>IFERROR(__xludf.DUMMYFUNCTION("IFNA(SUM(FILTER('14 серия'!$B$6:$C$15,'14 серия'!$B$6:$B$15=C13)), )"),"")</f>
        <v/>
      </c>
      <c r="AH13" s="32" t="str">
        <f>IFERROR(__xludf.DUMMYFUNCTION("IFNA(SUM(FILTER('15 серия'!$B$6:$C$15,'15 серия'!$B$6:$B$15=C13)), )"),"")</f>
        <v/>
      </c>
      <c r="AI13" s="32" t="str">
        <f>IFERROR(__xludf.DUMMYFUNCTION("IFNA(SUM(FILTER('16 серия'!$B$6:$C$15,'16 серия'!$B$6:$B$15=C13)), )"),"")</f>
        <v/>
      </c>
      <c r="AJ13" s="32" t="str">
        <f>IFERROR(__xludf.DUMMYFUNCTION("IFNA(SUM(FILTER('17 серия'!$B$6:$C$15,'17 серия'!$B$6:$B$15=C13)), )"),"")</f>
        <v/>
      </c>
      <c r="AK13" s="32" t="str">
        <f>IFERROR(__xludf.DUMMYFUNCTION("IFNA(SUM(FILTER('18 серия'!$B$6:$C$15,'18 серия'!$B$6:$B$15=C13)), )"),"")</f>
        <v/>
      </c>
      <c r="AL13" s="32" t="str">
        <f>IFERROR(__xludf.DUMMYFUNCTION("IFNA(SUM(FILTER('19 серия'!$B$6:$C$15,'19 серия'!$B$6:$B$15=C13)), )"),"")</f>
        <v/>
      </c>
      <c r="AM13" s="32" t="str">
        <f>IFERROR(__xludf.DUMMYFUNCTION("IFNA(SUM(FILTER('20 серия'!$B$6:$C$15,'20 серия'!$B$6:$B$15=C13)), )"),"")</f>
        <v/>
      </c>
      <c r="AN13" s="32" t="str">
        <f>IFERROR(__xludf.DUMMYFUNCTION("IFNA(SUM(FILTER('21 серия'!$B$6:$C$15,'21 серия'!$B$6:$B$15=C13)), )"),"")</f>
        <v/>
      </c>
      <c r="AO13" s="32">
        <f>IFERROR(__xludf.DUMMYFUNCTION("IFNA(SUM(FILTER('22 серия'!$B$6:$C$15,'22 серия'!$B$6:$B$15=C13)), )"),14.25)</f>
        <v>14.25</v>
      </c>
      <c r="AP13" s="32" t="str">
        <f>IFERROR(__xludf.DUMMYFUNCTION("IFNA(SUM(FILTER('23 серия'!$B$6:$C$15,'23 серия'!$B$6:$B$15=C13)), )"),"")</f>
        <v/>
      </c>
      <c r="AQ13" s="32" t="str">
        <f>IFERROR(__xludf.DUMMYFUNCTION("IFNA(SUM(FILTER('24 серия'!$B$6:$C$15,'24 серия'!$B$6:$B$15=C13)), )"),"")</f>
        <v/>
      </c>
      <c r="AR13" s="32" t="str">
        <f>IFERROR(__xludf.DUMMYFUNCTION("IFNA(SUM(FILTER('25 серия'!$B$6:$C$15,'25 серия'!$B$6:$B$15=C13)), )"),"")</f>
        <v/>
      </c>
      <c r="AS13" s="32" t="str">
        <f>IFERROR(__xludf.DUMMYFUNCTION("IFNA(SUM(FILTER('26 серия'!$B$6:$C$15,'26 серия'!$B$6:$B$15=C13)), )"),"")</f>
        <v/>
      </c>
      <c r="AT13" s="32" t="str">
        <f>IFERROR(__xludf.DUMMYFUNCTION("IFNA(SUM(FILTER('27 серия'!$B$6:$C$15,'27 серия'!$B$6:$B$15=C13)), )"),"")</f>
        <v/>
      </c>
      <c r="AU13" s="32">
        <f>IFERROR(__xludf.DUMMYFUNCTION("IFNA(SUM(FILTER('28 серия'!$B$6:$C$15,'28 серия'!$B$6:$B$15=C13)), )"),19.25)</f>
        <v>19.25</v>
      </c>
      <c r="AV13" s="32" t="str">
        <f>IFERROR(__xludf.DUMMYFUNCTION("IFNA(SUM(FILTER('29 серия'!$B$6:$C$15,'29 серия'!$B$6:$B$15=C13)), )"),"")</f>
        <v/>
      </c>
      <c r="AW13" s="32" t="str">
        <f>IFERROR(__xludf.DUMMYFUNCTION("IFNA(SUM(FILTER('30 серия'!$B$6:$C$15,'30 серия'!$B$6:$B$15=C13)), )"),"")</f>
        <v/>
      </c>
      <c r="AX13" s="32" t="str">
        <f>IFERROR(__xludf.DUMMYFUNCTION("IFNA(SUM(FILTER('31 серия'!$B$6:$C$15,'31 серия'!$B$6:$B$15=C13)), )"),"")</f>
        <v/>
      </c>
      <c r="AY13" s="32" t="str">
        <f>IFERROR(__xludf.DUMMYFUNCTION("IFNA(SUM(FILTER('32 серия'!$B$6:$C$15,'32 серия'!$B$6:$B$15=C13)), )"),"")</f>
        <v/>
      </c>
      <c r="AZ13" s="32" t="str">
        <f>IFERROR(__xludf.DUMMYFUNCTION("IFNA(SUM(FILTER('33 серия'!$B$6:$C$15,'33 серия'!$B$6:$B$15=C13)), )"),"")</f>
        <v/>
      </c>
      <c r="BA13" s="32" t="str">
        <f>IFERROR(__xludf.DUMMYFUNCTION("IFNA(SUM(FILTER('34 серия'!$B$6:$C$15,'34 серия'!$B$6:$B$15=C13)), )"),"")</f>
        <v/>
      </c>
      <c r="BB13" s="32" t="str">
        <f>IFERROR(__xludf.DUMMYFUNCTION("IFNA(SUM(FILTER('35 серия'!$B$6:$C$15,'35 серия'!$B$6:$B$15=C13)), )"),"")</f>
        <v/>
      </c>
      <c r="BC13" s="32">
        <f>IFERROR(__xludf.DUMMYFUNCTION("IFNA(SUM(FILTER('36 серия'!$B$6:$C$15,'36 серия'!$B$6:$B$15=C13)), )"),23.25)</f>
        <v>23.25</v>
      </c>
      <c r="BD13" s="32" t="str">
        <f>IFERROR(__xludf.DUMMYFUNCTION("IFNA(SUM(FILTER('37 серия'!$B$6:$C$15,'37 серия'!$B$6:$B$15=C13)), )"),"")</f>
        <v/>
      </c>
      <c r="BE13" s="32" t="str">
        <f>IFERROR(__xludf.DUMMYFUNCTION("IFNA(SUM(FILTER('38 серия'!$B$6:$C$15,'38 серия'!$B$6:$B$15=C13)), )"),"")</f>
        <v/>
      </c>
      <c r="BF13" s="32" t="str">
        <f>IFERROR(__xludf.DUMMYFUNCTION("IFNA(SUM(FILTER('39 серия'!$B$6:$C$15,'39 серия'!$B$6:$B$15=C13)), )"),"")</f>
        <v/>
      </c>
      <c r="BG13" s="32">
        <f>IFERROR(__xludf.DUMMYFUNCTION("IFNA(SUM(FILTER('40 серия'!$B$6:$C$15,'40 серия'!$B$6:$B$15=C13)), )"),13.75)</f>
        <v>13.75</v>
      </c>
      <c r="BH13" s="32" t="str">
        <f>IFERROR(__xludf.DUMMYFUNCTION("IFNA(SUM(FILTER('41 серия'!$B$6:$C$15,'41 серия'!$B$6:$B$15=C13)), )"),"")</f>
        <v/>
      </c>
      <c r="BI13" s="32" t="str">
        <f>IFERROR(__xludf.DUMMYFUNCTION("IFNA(SUM(FILTER('42 серия'!$B$6:$C$15,'42 серия'!$B$6:$B$15=C13)), )"),"")</f>
        <v/>
      </c>
      <c r="BJ13" s="32" t="str">
        <f>IFERROR(__xludf.DUMMYFUNCTION("IFNA(SUM(FILTER('43 серия'!$B$6:$C$15,'43 серия'!$B$6:$B$15=C13)), )"),"")</f>
        <v/>
      </c>
      <c r="BK13" s="32" t="str">
        <f>IFERROR(__xludf.DUMMYFUNCTION("IFNA(SUM(FILTER('44 серия'!$B$6:$C$15,'44 серия'!$B$6:$B$15=C13)), )"),"")</f>
        <v/>
      </c>
      <c r="BL13" s="32" t="str">
        <f>IFERROR(__xludf.DUMMYFUNCTION("IFNA(SUM(FILTER('45 серия'!$B$6:$C$15,'45 серия'!$B$6:$B$15=C13)), )"),"")</f>
        <v/>
      </c>
      <c r="BM13" s="32" t="str">
        <f>IFERROR(__xludf.DUMMYFUNCTION("IFNA(SUM(FILTER('46 серия'!$B$6:$C$15,'46 серия'!$B$6:$B$15=C13)), )"),"")</f>
        <v/>
      </c>
      <c r="BN13" s="32" t="str">
        <f>IFERROR(__xludf.DUMMYFUNCTION("IFNA(SUM(FILTER('47 серия'!$B$6:$C$15,'47 серия'!$B$6:$B$15=C13)), )"),"")</f>
        <v/>
      </c>
      <c r="BO13" s="42" t="str">
        <f>IFERROR(__xludf.DUMMYFUNCTION("IFNA(SUM(FILTER('48 серия'!$B$6:$C$15,'48 серия'!$B$6:$B$15=$C13)), )"),"")</f>
        <v/>
      </c>
      <c r="BP13" s="43" t="str">
        <f>IFERROR(__xludf.DUMMYFUNCTION("IFNA(SUM(FILTER('49 серия'!$B$6:$C$15,'49 серия'!$B$6:$B$15=$C13)), )"),"")</f>
        <v/>
      </c>
      <c r="BQ13" s="43" t="str">
        <f>IFERROR(__xludf.DUMMYFUNCTION("IFNA(SUM(FILTER('50 серия'!$B$6:$C$15,'50 серия'!$B$6:$B$15=$C13)), )"),"")</f>
        <v/>
      </c>
      <c r="BR13" s="43" t="str">
        <f>IFERROR(__xludf.DUMMYFUNCTION("IFNA(SUM(FILTER('51 серия'!$B$6:$C$15,'51 серия'!$B$6:$B$15=$C13)), )"),"")</f>
        <v/>
      </c>
      <c r="BS13" s="49" t="str">
        <f>IFERROR(__xludf.DUMMYFUNCTION("IFNA(SUM(FILTER('52 серия'!$B$6:$C$15,'52 серия'!$B$6:$B$15=C13)), )"),"")</f>
        <v/>
      </c>
      <c r="BT13" s="32" t="str">
        <f>IFERROR(__xludf.DUMMYFUNCTION("IFNA(SUM(FILTER('53 серия'!$B$6:$C$15,'53 серия'!$B$6:$B$15=$C13)), )"),"")</f>
        <v/>
      </c>
      <c r="BU13" s="32" t="str">
        <f>IFERROR(__xludf.DUMMYFUNCTION("IFNA(SUM(FILTER('54 серия'!$B$6:$C$15,'54 серия'!$B$6:$B$15=$C13)), )"),"")</f>
        <v/>
      </c>
      <c r="BV13" s="32" t="str">
        <f>IFERROR(__xludf.DUMMYFUNCTION("IFNA(SUM(FILTER('55 серия'!$B$6:$C$15,'55 серия'!$B$6:$B$15=$C13)), )"),"")</f>
        <v/>
      </c>
      <c r="BW13" s="32" t="str">
        <f>IFERROR(__xludf.DUMMYFUNCTION("IFNA(SUM(FILTER('56 серия'!$B$6:$C$15,'56 серия'!$B$6:$B$15=$C13)), )"),"")</f>
        <v/>
      </c>
      <c r="BX13" s="32">
        <f>IFERROR(__xludf.DUMMYFUNCTION("IFNA(SUM(FILTER('57 серия'!$B$6:$C$15,'57 серия'!$B$6:$B$15=$C13)), )"),14.0)</f>
        <v>14</v>
      </c>
      <c r="BY13" s="32" t="str">
        <f>IFERROR(__xludf.DUMMYFUNCTION("IFNA(SUM(FILTER('58 серия'!$B$6:$C$15,'58 серия'!$B$6:$B$15=$C13)), )"),"")</f>
        <v/>
      </c>
      <c r="BZ13" s="46">
        <f>IFERROR(__xludf.DUMMYFUNCTION("IFNA(SUM(FILTER('59 серия'!$B$6:$C$15,'59 серия'!$B$6:$B$15=C13)), )"),15.75)</f>
        <v>15.75</v>
      </c>
      <c r="CA13" s="44" t="str">
        <f>IFERROR(__xludf.DUMMYFUNCTION("IFNA(SUM(FILTER('60 серия'!$B$6:$C$15,'60 серия'!$B$6:$B$15=$C13)), )"),"")</f>
        <v/>
      </c>
      <c r="CB13" s="4"/>
    </row>
    <row r="14">
      <c r="A14" s="10"/>
      <c r="B14" s="27">
        <f t="shared" si="1"/>
        <v>8</v>
      </c>
      <c r="C14" s="45" t="s">
        <v>86</v>
      </c>
      <c r="D14" s="29">
        <f>'Игроки статистика'!B12</f>
        <v>50</v>
      </c>
      <c r="E14" s="30">
        <f t="shared" si="2"/>
        <v>189.25</v>
      </c>
      <c r="F14" s="31">
        <f t="shared" si="3"/>
        <v>18.925</v>
      </c>
      <c r="G14" s="46">
        <f t="shared" si="4"/>
        <v>2.535</v>
      </c>
      <c r="H14" s="46">
        <f>SUMIFS('Все игры'!C$3:C1011,'Все игры'!A$3:A1011,C14)</f>
        <v>62.5</v>
      </c>
      <c r="I14" s="46">
        <f t="shared" si="5"/>
        <v>125.25</v>
      </c>
      <c r="J14" s="47">
        <f>SUMIFS('Все игры'!F$3:F1011,'Все игры'!A$3:A1011,C14)</f>
        <v>0</v>
      </c>
      <c r="K14" s="48">
        <f>SUMIFS('Все игры'!G$3:G1011,'Все игры'!A$3:A1011,C14)</f>
        <v>1.5</v>
      </c>
      <c r="L14" s="35">
        <f>'Игроки статистика'!G12</f>
        <v>3</v>
      </c>
      <c r="M14" s="36">
        <f t="shared" si="6"/>
        <v>25</v>
      </c>
      <c r="N14" s="36">
        <f>SUM('Игроки статистика'!O12,'Игроки статистика'!Q12)</f>
        <v>8</v>
      </c>
      <c r="O14" s="37">
        <f>SUM('Игроки статистика'!P12,'Игроки статистика'!R12)</f>
        <v>6</v>
      </c>
      <c r="P14" s="38" t="str">
        <f>IFERROR(__xludf.DUMMYFUNCTION("IFNA(SUM(FILTER('Штрафы'!$D$5:$D1011,'Штрафы'!$C$5:$C1011=C14)), )"),"")</f>
        <v/>
      </c>
      <c r="Q14" s="38" t="str">
        <f>IFERROR(__xludf.DUMMYFUNCTION("IFNA(SUM(FILTER('Штрафы'!$F$5:$F1011,'Штрафы'!$C$5:$C1011=C14)), )"),"")</f>
        <v/>
      </c>
      <c r="R14" s="39"/>
      <c r="S14" s="40"/>
      <c r="T14" s="31" t="str">
        <f>IFERROR(__xludf.DUMMYFUNCTION("IFNA(SUM(FILTER('1 серия'!$B$6:$C$15,'1 серия'!$B$6:$B$15=C14)), )"),"")</f>
        <v/>
      </c>
      <c r="U14" s="32" t="str">
        <f>IFERROR(__xludf.DUMMYFUNCTION("IFNA(SUM(FILTER('2 серия'!$B$6:$C$15,'2 серия'!$B$6:$B$15=C14)), )
"),"")</f>
        <v/>
      </c>
      <c r="V14" s="32" t="str">
        <f>IFERROR(__xludf.DUMMYFUNCTION("IFNA(SUM(FILTER('3 серия'!$B$6:$C$15,'3 серия'!$B$6:$B$15=C14)), )
"),"")</f>
        <v/>
      </c>
      <c r="W14" s="32" t="str">
        <f>IFERROR(__xludf.DUMMYFUNCTION("IFNA(SUM(FILTER('4 серия'!$B$6:$C$15,'4 серия'!$B$6:$B$15=C14)), )"),"")</f>
        <v/>
      </c>
      <c r="X14" s="32">
        <f>IFERROR(__xludf.DUMMYFUNCTION("IFNA(SUM(FILTER('5 серия'!$B$6:$C$15,'5 серия'!$B$6:$B$15=C14)), )"),21.75)</f>
        <v>21.75</v>
      </c>
      <c r="Y14" s="32">
        <f>IFERROR(__xludf.DUMMYFUNCTION("IFNA(SUM(FILTER('6 серия'!$B$6:$C$15,'6 серия'!$B$6:$B$15=C14)), )"),19.5)</f>
        <v>19.5</v>
      </c>
      <c r="Z14" s="32" t="str">
        <f>IFERROR(__xludf.DUMMYFUNCTION("IFNA(SUM(FILTER('7 серия'!$B$6:$C$15,'7 серия'!$B$6:$B$15=C14)), )"),"")</f>
        <v/>
      </c>
      <c r="AA14" s="32" t="str">
        <f>IFERROR(__xludf.DUMMYFUNCTION("IFNA(SUM(FILTER('8 серия'!$B$6:$C$15,'8 серия'!$B$6:$B$15=C14)), )"),"")</f>
        <v/>
      </c>
      <c r="AB14" s="32" t="str">
        <f>IFERROR(__xludf.DUMMYFUNCTION("IFNA(SUM(FILTER('9 серия'!$B$7:$C$16,'9 серия'!$B$7:$B$16=C14)), )"),"")</f>
        <v/>
      </c>
      <c r="AC14" s="32" t="str">
        <f>IFERROR(__xludf.DUMMYFUNCTION("IFNA(SUM(FILTER('10 серия'!$B$6:$C$15,'10 серия'!$B$6:$B$15=C14)), )"),"")</f>
        <v/>
      </c>
      <c r="AD14" s="32" t="str">
        <f>IFERROR(__xludf.DUMMYFUNCTION("IFNA(SUM(FILTER('11 серия'!$B$6:$C$15,'11 серия'!$B$6:$B$15=C14)), )"),"")</f>
        <v/>
      </c>
      <c r="AE14" s="32">
        <f>IFERROR(__xludf.DUMMYFUNCTION("IFNA(SUM(FILTER('12 серия'!$B$6:$C$15,'12 серия'!$B$6:$B$15=C14)), )"),12.0)</f>
        <v>12</v>
      </c>
      <c r="AF14" s="32" t="str">
        <f>IFERROR(__xludf.DUMMYFUNCTION("IFNA(SUM(FILTER('13 серия'!$B$6:$C$15,'13 серия'!$B$6:$B$15=C14)), )"),"")</f>
        <v/>
      </c>
      <c r="AG14" s="32" t="str">
        <f>IFERROR(__xludf.DUMMYFUNCTION("IFNA(SUM(FILTER('14 серия'!$B$6:$C$15,'14 серия'!$B$6:$B$15=C14)), )"),"")</f>
        <v/>
      </c>
      <c r="AH14" s="32" t="str">
        <f>IFERROR(__xludf.DUMMYFUNCTION("IFNA(SUM(FILTER('15 серия'!$B$6:$C$15,'15 серия'!$B$6:$B$15=C14)), )"),"")</f>
        <v/>
      </c>
      <c r="AI14" s="32" t="str">
        <f>IFERROR(__xludf.DUMMYFUNCTION("IFNA(SUM(FILTER('16 серия'!$B$6:$C$15,'16 серия'!$B$6:$B$15=C14)), )"),"")</f>
        <v/>
      </c>
      <c r="AJ14" s="32" t="str">
        <f>IFERROR(__xludf.DUMMYFUNCTION("IFNA(SUM(FILTER('17 серия'!$B$6:$C$15,'17 серия'!$B$6:$B$15=C14)), )"),"")</f>
        <v/>
      </c>
      <c r="AK14" s="32">
        <f>IFERROR(__xludf.DUMMYFUNCTION("IFNA(SUM(FILTER('18 серия'!$B$6:$C$15,'18 серия'!$B$6:$B$15=C14)), )"),21.75)</f>
        <v>21.75</v>
      </c>
      <c r="AL14" s="32" t="str">
        <f>IFERROR(__xludf.DUMMYFUNCTION("IFNA(SUM(FILTER('19 серия'!$B$6:$C$15,'19 серия'!$B$6:$B$15=C14)), )"),"")</f>
        <v/>
      </c>
      <c r="AM14" s="32" t="str">
        <f>IFERROR(__xludf.DUMMYFUNCTION("IFNA(SUM(FILTER('20 серия'!$B$6:$C$15,'20 серия'!$B$6:$B$15=C14)), )"),"")</f>
        <v/>
      </c>
      <c r="AN14" s="32">
        <f>IFERROR(__xludf.DUMMYFUNCTION("IFNA(SUM(FILTER('21 серия'!$B$6:$C$15,'21 серия'!$B$6:$B$15=C14)), )"),24.25)</f>
        <v>24.25</v>
      </c>
      <c r="AO14" s="32" t="str">
        <f>IFERROR(__xludf.DUMMYFUNCTION("IFNA(SUM(FILTER('22 серия'!$B$6:$C$15,'22 серия'!$B$6:$B$15=C14)), )"),"")</f>
        <v/>
      </c>
      <c r="AP14" s="32" t="str">
        <f>IFERROR(__xludf.DUMMYFUNCTION("IFNA(SUM(FILTER('23 серия'!$B$6:$C$15,'23 серия'!$B$6:$B$15=C14)), )"),"")</f>
        <v/>
      </c>
      <c r="AQ14" s="32" t="str">
        <f>IFERROR(__xludf.DUMMYFUNCTION("IFNA(SUM(FILTER('24 серия'!$B$6:$C$15,'24 серия'!$B$6:$B$15=C14)), )"),"")</f>
        <v/>
      </c>
      <c r="AR14" s="32" t="str">
        <f>IFERROR(__xludf.DUMMYFUNCTION("IFNA(SUM(FILTER('25 серия'!$B$6:$C$15,'25 серия'!$B$6:$B$15=C14)), )"),"")</f>
        <v/>
      </c>
      <c r="AS14" s="32" t="str">
        <f>IFERROR(__xludf.DUMMYFUNCTION("IFNA(SUM(FILTER('26 серия'!$B$6:$C$15,'26 серия'!$B$6:$B$15=C14)), )"),"")</f>
        <v/>
      </c>
      <c r="AT14" s="32" t="str">
        <f>IFERROR(__xludf.DUMMYFUNCTION("IFNA(SUM(FILTER('27 серия'!$B$6:$C$15,'27 серия'!$B$6:$B$15=C14)), )"),"")</f>
        <v/>
      </c>
      <c r="AU14" s="32" t="str">
        <f>IFERROR(__xludf.DUMMYFUNCTION("IFNA(SUM(FILTER('28 серия'!$B$6:$C$15,'28 серия'!$B$6:$B$15=C14)), )"),"")</f>
        <v/>
      </c>
      <c r="AV14" s="32" t="str">
        <f>IFERROR(__xludf.DUMMYFUNCTION("IFNA(SUM(FILTER('29 серия'!$B$6:$C$15,'29 серия'!$B$6:$B$15=C14)), )"),"")</f>
        <v/>
      </c>
      <c r="AW14" s="32" t="str">
        <f>IFERROR(__xludf.DUMMYFUNCTION("IFNA(SUM(FILTER('30 серия'!$B$6:$C$15,'30 серия'!$B$6:$B$15=C14)), )"),"")</f>
        <v/>
      </c>
      <c r="AX14" s="32" t="str">
        <f>IFERROR(__xludf.DUMMYFUNCTION("IFNA(SUM(FILTER('31 серия'!$B$6:$C$15,'31 серия'!$B$6:$B$15=C14)), )"),"")</f>
        <v/>
      </c>
      <c r="AY14" s="32" t="str">
        <f>IFERROR(__xludf.DUMMYFUNCTION("IFNA(SUM(FILTER('32 серия'!$B$6:$C$15,'32 серия'!$B$6:$B$15=C14)), )"),"")</f>
        <v/>
      </c>
      <c r="AZ14" s="32" t="str">
        <f>IFERROR(__xludf.DUMMYFUNCTION("IFNA(SUM(FILTER('33 серия'!$B$6:$C$15,'33 серия'!$B$6:$B$15=C14)), )"),"")</f>
        <v/>
      </c>
      <c r="BA14" s="32" t="str">
        <f>IFERROR(__xludf.DUMMYFUNCTION("IFNA(SUM(FILTER('34 серия'!$B$6:$C$15,'34 серия'!$B$6:$B$15=C14)), )"),"")</f>
        <v/>
      </c>
      <c r="BB14" s="32">
        <f>IFERROR(__xludf.DUMMYFUNCTION("IFNA(SUM(FILTER('35 серия'!$B$6:$C$15,'35 серия'!$B$6:$B$15=C14)), )"),13.75)</f>
        <v>13.75</v>
      </c>
      <c r="BC14" s="32" t="str">
        <f>IFERROR(__xludf.DUMMYFUNCTION("IFNA(SUM(FILTER('36 серия'!$B$6:$C$15,'36 серия'!$B$6:$B$15=C14)), )"),"")</f>
        <v/>
      </c>
      <c r="BD14" s="32" t="str">
        <f>IFERROR(__xludf.DUMMYFUNCTION("IFNA(SUM(FILTER('37 серия'!$B$6:$C$15,'37 серия'!$B$6:$B$15=C14)), )"),"")</f>
        <v/>
      </c>
      <c r="BE14" s="32" t="str">
        <f>IFERROR(__xludf.DUMMYFUNCTION("IFNA(SUM(FILTER('38 серия'!$B$6:$C$15,'38 серия'!$B$6:$B$15=C14)), )"),"")</f>
        <v/>
      </c>
      <c r="BF14" s="32" t="str">
        <f>IFERROR(__xludf.DUMMYFUNCTION("IFNA(SUM(FILTER('39 серия'!$B$6:$C$15,'39 серия'!$B$6:$B$15=C14)), )"),"")</f>
        <v/>
      </c>
      <c r="BG14" s="32" t="str">
        <f>IFERROR(__xludf.DUMMYFUNCTION("IFNA(SUM(FILTER('40 серия'!$B$6:$C$15,'40 серия'!$B$6:$B$15=C14)), )"),"")</f>
        <v/>
      </c>
      <c r="BH14" s="32" t="str">
        <f>IFERROR(__xludf.DUMMYFUNCTION("IFNA(SUM(FILTER('41 серия'!$B$6:$C$15,'41 серия'!$B$6:$B$15=C14)), )"),"")</f>
        <v/>
      </c>
      <c r="BI14" s="32">
        <f>IFERROR(__xludf.DUMMYFUNCTION("IFNA(SUM(FILTER('42 серия'!$B$6:$C$15,'42 серия'!$B$6:$B$15=C14)), )"),19.75)</f>
        <v>19.75</v>
      </c>
      <c r="BJ14" s="32" t="str">
        <f>IFERROR(__xludf.DUMMYFUNCTION("IFNA(SUM(FILTER('43 серия'!$B$6:$C$15,'43 серия'!$B$6:$B$15=C14)), )"),"")</f>
        <v/>
      </c>
      <c r="BK14" s="32" t="str">
        <f>IFERROR(__xludf.DUMMYFUNCTION("IFNA(SUM(FILTER('44 серия'!$B$6:$C$15,'44 серия'!$B$6:$B$15=C14)), )"),"")</f>
        <v/>
      </c>
      <c r="BL14" s="32" t="str">
        <f>IFERROR(__xludf.DUMMYFUNCTION("IFNA(SUM(FILTER('45 серия'!$B$6:$C$15,'45 серия'!$B$6:$B$15=C14)), )"),"")</f>
        <v/>
      </c>
      <c r="BM14" s="32" t="str">
        <f>IFERROR(__xludf.DUMMYFUNCTION("IFNA(SUM(FILTER('46 серия'!$B$6:$C$15,'46 серия'!$B$6:$B$15=C14)), )"),"")</f>
        <v/>
      </c>
      <c r="BN14" s="32" t="str">
        <f>IFERROR(__xludf.DUMMYFUNCTION("IFNA(SUM(FILTER('47 серия'!$B$6:$C$15,'47 серия'!$B$6:$B$15=C14)), )"),"")</f>
        <v/>
      </c>
      <c r="BO14" s="42">
        <f>IFERROR(__xludf.DUMMYFUNCTION("IFNA(SUM(FILTER('48 серия'!$B$6:$C$15,'48 серия'!$B$6:$B$15=$C14)), )"),19.75)</f>
        <v>19.75</v>
      </c>
      <c r="BP14" s="43" t="str">
        <f>IFERROR(__xludf.DUMMYFUNCTION("IFNA(SUM(FILTER('49 серия'!$B$6:$C$15,'49 серия'!$B$6:$B$15=$C14)), )"),"")</f>
        <v/>
      </c>
      <c r="BQ14" s="43" t="str">
        <f>IFERROR(__xludf.DUMMYFUNCTION("IFNA(SUM(FILTER('50 серия'!$B$6:$C$15,'50 серия'!$B$6:$B$15=$C14)), )"),"")</f>
        <v/>
      </c>
      <c r="BR14" s="43" t="str">
        <f>IFERROR(__xludf.DUMMYFUNCTION("IFNA(SUM(FILTER('51 серия'!$B$6:$C$15,'51 серия'!$B$6:$B$15=$C14)), )"),"")</f>
        <v/>
      </c>
      <c r="BS14" s="49" t="str">
        <f>IFERROR(__xludf.DUMMYFUNCTION("IFNA(SUM(FILTER('52 серия'!$B$6:$C$15,'52 серия'!$B$6:$B$15=C14)), )"),"")</f>
        <v/>
      </c>
      <c r="BT14" s="32" t="str">
        <f>IFERROR(__xludf.DUMMYFUNCTION("IFNA(SUM(FILTER('53 серия'!$B$6:$C$15,'53 серия'!$B$6:$B$15=$C14)), )"),"")</f>
        <v/>
      </c>
      <c r="BU14" s="32" t="str">
        <f>IFERROR(__xludf.DUMMYFUNCTION("IFNA(SUM(FILTER('54 серия'!$B$6:$C$15,'54 серия'!$B$6:$B$15=$C14)), )"),"")</f>
        <v/>
      </c>
      <c r="BV14" s="32" t="str">
        <f>IFERROR(__xludf.DUMMYFUNCTION("IFNA(SUM(FILTER('55 серия'!$B$6:$C$15,'55 серия'!$B$6:$B$15=$C14)), )"),"")</f>
        <v/>
      </c>
      <c r="BW14" s="32" t="str">
        <f>IFERROR(__xludf.DUMMYFUNCTION("IFNA(SUM(FILTER('56 серия'!$B$6:$C$15,'56 серия'!$B$6:$B$15=$C14)), )"),"")</f>
        <v/>
      </c>
      <c r="BX14" s="32">
        <f>IFERROR(__xludf.DUMMYFUNCTION("IFNA(SUM(FILTER('57 серия'!$B$6:$C$15,'57 серия'!$B$6:$B$15=$C14)), )"),18.0)</f>
        <v>18</v>
      </c>
      <c r="BY14" s="32" t="str">
        <f>IFERROR(__xludf.DUMMYFUNCTION("IFNA(SUM(FILTER('58 серия'!$B$6:$C$15,'58 серия'!$B$6:$B$15=$C14)), )"),"")</f>
        <v/>
      </c>
      <c r="BZ14" s="46" t="str">
        <f>IFERROR(__xludf.DUMMYFUNCTION("IFNA(SUM(FILTER('59 серия'!$B$6:$C$15,'59 серия'!$B$6:$B$15=C14)), )"),"")</f>
        <v/>
      </c>
      <c r="CA14" s="44">
        <f>IFERROR(__xludf.DUMMYFUNCTION("IFNA(SUM(FILTER('60 серия'!$B$6:$C$15,'60 серия'!$B$6:$B$15=$C14)), )"),18.75)</f>
        <v>18.75</v>
      </c>
      <c r="CB14" s="4"/>
    </row>
    <row r="15">
      <c r="A15" s="10"/>
      <c r="B15" s="27">
        <f t="shared" si="1"/>
        <v>9</v>
      </c>
      <c r="C15" s="45" t="s">
        <v>87</v>
      </c>
      <c r="D15" s="29">
        <f>'Игроки статистика'!B13</f>
        <v>50</v>
      </c>
      <c r="E15" s="30">
        <f t="shared" si="2"/>
        <v>225.25</v>
      </c>
      <c r="F15" s="31">
        <f t="shared" si="3"/>
        <v>22.525</v>
      </c>
      <c r="G15" s="46">
        <f t="shared" si="4"/>
        <v>3.205</v>
      </c>
      <c r="H15" s="46">
        <f>SUMIFS('Все игры'!C$3:C1011,'Все игры'!A$3:A1011,C15)</f>
        <v>65</v>
      </c>
      <c r="I15" s="46">
        <f t="shared" si="5"/>
        <v>152.75</v>
      </c>
      <c r="J15" s="47">
        <f>SUMIFS('Все игры'!F$3:F1011,'Все игры'!A$3:A1011,C15)</f>
        <v>0</v>
      </c>
      <c r="K15" s="48">
        <f>SUMIFS('Все игры'!G$3:G1011,'Все игры'!A$3:A1011,C15)</f>
        <v>7.5</v>
      </c>
      <c r="L15" s="35">
        <f>'Игроки статистика'!G13</f>
        <v>12</v>
      </c>
      <c r="M15" s="36">
        <f t="shared" si="6"/>
        <v>26</v>
      </c>
      <c r="N15" s="36">
        <f>SUM('Игроки статистика'!O13,'Игроки статистика'!Q13)</f>
        <v>5</v>
      </c>
      <c r="O15" s="37">
        <f>SUM('Игроки статистика'!P13,'Игроки статистика'!R13)</f>
        <v>1</v>
      </c>
      <c r="P15" s="38" t="str">
        <f>IFERROR(__xludf.DUMMYFUNCTION("IFNA(SUM(FILTER('Штрафы'!$D$5:$D1011,'Штрафы'!$C$5:$C1011=C15)), )"),"")</f>
        <v/>
      </c>
      <c r="Q15" s="38" t="str">
        <f>IFERROR(__xludf.DUMMYFUNCTION("IFNA(SUM(FILTER('Штрафы'!$F$5:$F1011,'Штрафы'!$C$5:$C1011=C15)), )"),"")</f>
        <v/>
      </c>
      <c r="R15" s="39"/>
      <c r="S15" s="40"/>
      <c r="T15" s="31" t="str">
        <f>IFERROR(__xludf.DUMMYFUNCTION("IFNA(SUM(FILTER('1 серия'!$B$6:$C$15,'1 серия'!$B$6:$B$15=C15)), )"),"")</f>
        <v/>
      </c>
      <c r="U15" s="32" t="str">
        <f>IFERROR(__xludf.DUMMYFUNCTION("IFNA(SUM(FILTER('2 серия'!$B$6:$C$15,'2 серия'!$B$6:$B$15=C15)), )
"),"")</f>
        <v/>
      </c>
      <c r="V15" s="32" t="str">
        <f>IFERROR(__xludf.DUMMYFUNCTION("IFNA(SUM(FILTER('3 серия'!$B$6:$C$15,'3 серия'!$B$6:$B$15=C15)), )
"),"")</f>
        <v/>
      </c>
      <c r="W15" s="32" t="str">
        <f>IFERROR(__xludf.DUMMYFUNCTION("IFNA(SUM(FILTER('4 серия'!$B$6:$C$15,'4 серия'!$B$6:$B$15=C15)), )"),"")</f>
        <v/>
      </c>
      <c r="X15" s="32" t="str">
        <f>IFERROR(__xludf.DUMMYFUNCTION("IFNA(SUM(FILTER('5 серия'!$B$6:$C$15,'5 серия'!$B$6:$B$15=C15)), )"),"")</f>
        <v/>
      </c>
      <c r="Y15" s="32" t="str">
        <f>IFERROR(__xludf.DUMMYFUNCTION("IFNA(SUM(FILTER('6 серия'!$B$6:$C$15,'6 серия'!$B$6:$B$15=C15)), )"),"")</f>
        <v/>
      </c>
      <c r="Z15" s="32" t="str">
        <f>IFERROR(__xludf.DUMMYFUNCTION("IFNA(SUM(FILTER('7 серия'!$B$6:$C$15,'7 серия'!$B$6:$B$15=C15)), )"),"")</f>
        <v/>
      </c>
      <c r="AA15" s="32" t="str">
        <f>IFERROR(__xludf.DUMMYFUNCTION("IFNA(SUM(FILTER('8 серия'!$B$6:$C$15,'8 серия'!$B$6:$B$15=C15)), )"),"")</f>
        <v/>
      </c>
      <c r="AB15" s="32" t="str">
        <f>IFERROR(__xludf.DUMMYFUNCTION("IFNA(SUM(FILTER('9 серия'!$B$7:$C$16,'9 серия'!$B$7:$B$16=C15)), )"),"")</f>
        <v/>
      </c>
      <c r="AC15" s="32" t="str">
        <f>IFERROR(__xludf.DUMMYFUNCTION("IFNA(SUM(FILTER('10 серия'!$B$6:$C$15,'10 серия'!$B$6:$B$15=C15)), )"),"")</f>
        <v/>
      </c>
      <c r="AD15" s="32">
        <f>IFERROR(__xludf.DUMMYFUNCTION("IFNA(SUM(FILTER('11 серия'!$B$6:$C$15,'11 серия'!$B$6:$B$15=C15)), )"),23.0)</f>
        <v>23</v>
      </c>
      <c r="AE15" s="32">
        <f>IFERROR(__xludf.DUMMYFUNCTION("IFNA(SUM(FILTER('12 серия'!$B$6:$C$15,'12 серия'!$B$6:$B$15=C15)), )"),18.25)</f>
        <v>18.25</v>
      </c>
      <c r="AF15" s="32">
        <f>IFERROR(__xludf.DUMMYFUNCTION("IFNA(SUM(FILTER('13 серия'!$B$6:$C$15,'13 серия'!$B$6:$B$15=C15)), )"),25.75)</f>
        <v>25.75</v>
      </c>
      <c r="AG15" s="32">
        <f>IFERROR(__xludf.DUMMYFUNCTION("IFNA(SUM(FILTER('14 серия'!$B$6:$C$15,'14 серия'!$B$6:$B$15=C15)), )"),28.5)</f>
        <v>28.5</v>
      </c>
      <c r="AH15" s="32">
        <f>IFERROR(__xludf.DUMMYFUNCTION("IFNA(SUM(FILTER('15 серия'!$B$6:$C$15,'15 серия'!$B$6:$B$15=C15)), )"),18.0)</f>
        <v>18</v>
      </c>
      <c r="AI15" s="32" t="str">
        <f>IFERROR(__xludf.DUMMYFUNCTION("IFNA(SUM(FILTER('16 серия'!$B$6:$C$15,'16 серия'!$B$6:$B$15=C15)), )"),"")</f>
        <v/>
      </c>
      <c r="AJ15" s="32" t="str">
        <f>IFERROR(__xludf.DUMMYFUNCTION("IFNA(SUM(FILTER('17 серия'!$B$6:$C$15,'17 серия'!$B$6:$B$15=C15)), )"),"")</f>
        <v/>
      </c>
      <c r="AK15" s="32" t="str">
        <f>IFERROR(__xludf.DUMMYFUNCTION("IFNA(SUM(FILTER('18 серия'!$B$6:$C$15,'18 серия'!$B$6:$B$15=C15)), )"),"")</f>
        <v/>
      </c>
      <c r="AL15" s="32" t="str">
        <f>IFERROR(__xludf.DUMMYFUNCTION("IFNA(SUM(FILTER('19 серия'!$B$6:$C$15,'19 серия'!$B$6:$B$15=C15)), )"),"")</f>
        <v/>
      </c>
      <c r="AM15" s="32" t="str">
        <f>IFERROR(__xludf.DUMMYFUNCTION("IFNA(SUM(FILTER('20 серия'!$B$6:$C$15,'20 серия'!$B$6:$B$15=C15)), )"),"")</f>
        <v/>
      </c>
      <c r="AN15" s="32" t="str">
        <f>IFERROR(__xludf.DUMMYFUNCTION("IFNA(SUM(FILTER('21 серия'!$B$6:$C$15,'21 серия'!$B$6:$B$15=C15)), )"),"")</f>
        <v/>
      </c>
      <c r="AO15" s="32" t="str">
        <f>IFERROR(__xludf.DUMMYFUNCTION("IFNA(SUM(FILTER('22 серия'!$B$6:$C$15,'22 серия'!$B$6:$B$15=C15)), )"),"")</f>
        <v/>
      </c>
      <c r="AP15" s="32" t="str">
        <f>IFERROR(__xludf.DUMMYFUNCTION("IFNA(SUM(FILTER('23 серия'!$B$6:$C$15,'23 серия'!$B$6:$B$15=C15)), )"),"")</f>
        <v/>
      </c>
      <c r="AQ15" s="32" t="str">
        <f>IFERROR(__xludf.DUMMYFUNCTION("IFNA(SUM(FILTER('24 серия'!$B$6:$C$15,'24 серия'!$B$6:$B$15=C15)), )"),"")</f>
        <v/>
      </c>
      <c r="AR15" s="32" t="str">
        <f>IFERROR(__xludf.DUMMYFUNCTION("IFNA(SUM(FILTER('25 серия'!$B$6:$C$15,'25 серия'!$B$6:$B$15=C15)), )"),"")</f>
        <v/>
      </c>
      <c r="AS15" s="32" t="str">
        <f>IFERROR(__xludf.DUMMYFUNCTION("IFNA(SUM(FILTER('26 серия'!$B$6:$C$15,'26 серия'!$B$6:$B$15=C15)), )"),"")</f>
        <v/>
      </c>
      <c r="AT15" s="32" t="str">
        <f>IFERROR(__xludf.DUMMYFUNCTION("IFNA(SUM(FILTER('27 серия'!$B$6:$C$15,'27 серия'!$B$6:$B$15=C15)), )"),"")</f>
        <v/>
      </c>
      <c r="AU15" s="32">
        <f>IFERROR(__xludf.DUMMYFUNCTION("IFNA(SUM(FILTER('28 серия'!$B$6:$C$15,'28 серия'!$B$6:$B$15=C15)), )"),26.25)</f>
        <v>26.25</v>
      </c>
      <c r="AV15" s="32">
        <f>IFERROR(__xludf.DUMMYFUNCTION("IFNA(SUM(FILTER('29 серия'!$B$6:$C$15,'29 серия'!$B$6:$B$15=C15)), )"),21.75)</f>
        <v>21.75</v>
      </c>
      <c r="AW15" s="32">
        <f>IFERROR(__xludf.DUMMYFUNCTION("IFNA(SUM(FILTER('30 серия'!$B$6:$C$15,'30 серия'!$B$6:$B$15=C15)), )"),14.5)</f>
        <v>14.5</v>
      </c>
      <c r="AX15" s="32">
        <f>IFERROR(__xludf.DUMMYFUNCTION("IFNA(SUM(FILTER('31 серия'!$B$6:$C$15,'31 серия'!$B$6:$B$15=C15)), )"),25.0)</f>
        <v>25</v>
      </c>
      <c r="AY15" s="32">
        <f>IFERROR(__xludf.DUMMYFUNCTION("IFNA(SUM(FILTER('32 серия'!$B$6:$C$15,'32 серия'!$B$6:$B$15=C15)), )"),24.25)</f>
        <v>24.25</v>
      </c>
      <c r="AZ15" s="32" t="str">
        <f>IFERROR(__xludf.DUMMYFUNCTION("IFNA(SUM(FILTER('33 серия'!$B$6:$C$15,'33 серия'!$B$6:$B$15=C15)), )"),"")</f>
        <v/>
      </c>
      <c r="BA15" s="32" t="str">
        <f>IFERROR(__xludf.DUMMYFUNCTION("IFNA(SUM(FILTER('34 серия'!$B$6:$C$15,'34 серия'!$B$6:$B$15=C15)), )"),"")</f>
        <v/>
      </c>
      <c r="BB15" s="32" t="str">
        <f>IFERROR(__xludf.DUMMYFUNCTION("IFNA(SUM(FILTER('35 серия'!$B$6:$C$15,'35 серия'!$B$6:$B$15=C15)), )"),"")</f>
        <v/>
      </c>
      <c r="BC15" s="32" t="str">
        <f>IFERROR(__xludf.DUMMYFUNCTION("IFNA(SUM(FILTER('36 серия'!$B$6:$C$15,'36 серия'!$B$6:$B$15=C15)), )"),"")</f>
        <v/>
      </c>
      <c r="BD15" s="32" t="str">
        <f>IFERROR(__xludf.DUMMYFUNCTION("IFNA(SUM(FILTER('37 серия'!$B$6:$C$15,'37 серия'!$B$6:$B$15=C15)), )"),"")</f>
        <v/>
      </c>
      <c r="BE15" s="32" t="str">
        <f>IFERROR(__xludf.DUMMYFUNCTION("IFNA(SUM(FILTER('38 серия'!$B$6:$C$15,'38 серия'!$B$6:$B$15=C15)), )"),"")</f>
        <v/>
      </c>
      <c r="BF15" s="32" t="str">
        <f>IFERROR(__xludf.DUMMYFUNCTION("IFNA(SUM(FILTER('39 серия'!$B$6:$C$15,'39 серия'!$B$6:$B$15=C15)), )"),"")</f>
        <v/>
      </c>
      <c r="BG15" s="32" t="str">
        <f>IFERROR(__xludf.DUMMYFUNCTION("IFNA(SUM(FILTER('40 серия'!$B$6:$C$15,'40 серия'!$B$6:$B$15=C15)), )"),"")</f>
        <v/>
      </c>
      <c r="BH15" s="32" t="str">
        <f>IFERROR(__xludf.DUMMYFUNCTION("IFNA(SUM(FILTER('41 серия'!$B$6:$C$15,'41 серия'!$B$6:$B$15=C15)), )"),"")</f>
        <v/>
      </c>
      <c r="BI15" s="32" t="str">
        <f>IFERROR(__xludf.DUMMYFUNCTION("IFNA(SUM(FILTER('42 серия'!$B$6:$C$15,'42 серия'!$B$6:$B$15=C15)), )"),"")</f>
        <v/>
      </c>
      <c r="BJ15" s="32" t="str">
        <f>IFERROR(__xludf.DUMMYFUNCTION("IFNA(SUM(FILTER('43 серия'!$B$6:$C$15,'43 серия'!$B$6:$B$15=C15)), )"),"")</f>
        <v/>
      </c>
      <c r="BK15" s="32" t="str">
        <f>IFERROR(__xludf.DUMMYFUNCTION("IFNA(SUM(FILTER('44 серия'!$B$6:$C$15,'44 серия'!$B$6:$B$15=C15)), )"),"")</f>
        <v/>
      </c>
      <c r="BL15" s="32" t="str">
        <f>IFERROR(__xludf.DUMMYFUNCTION("IFNA(SUM(FILTER('45 серия'!$B$6:$C$15,'45 серия'!$B$6:$B$15=C15)), )"),"")</f>
        <v/>
      </c>
      <c r="BM15" s="32" t="str">
        <f>IFERROR(__xludf.DUMMYFUNCTION("IFNA(SUM(FILTER('46 серия'!$B$6:$C$15,'46 серия'!$B$6:$B$15=C15)), )"),"")</f>
        <v/>
      </c>
      <c r="BN15" s="32" t="str">
        <f>IFERROR(__xludf.DUMMYFUNCTION("IFNA(SUM(FILTER('47 серия'!$B$6:$C$15,'47 серия'!$B$6:$B$15=C15)), )"),"")</f>
        <v/>
      </c>
      <c r="BO15" s="42" t="str">
        <f>IFERROR(__xludf.DUMMYFUNCTION("IFNA(SUM(FILTER('48 серия'!$B$6:$C$15,'48 серия'!$B$6:$B$15=$C15)), )"),"")</f>
        <v/>
      </c>
      <c r="BP15" s="43" t="str">
        <f>IFERROR(__xludf.DUMMYFUNCTION("IFNA(SUM(FILTER('49 серия'!$B$6:$C$15,'49 серия'!$B$6:$B$15=$C15)), )"),"")</f>
        <v/>
      </c>
      <c r="BQ15" s="43" t="str">
        <f>IFERROR(__xludf.DUMMYFUNCTION("IFNA(SUM(FILTER('50 серия'!$B$6:$C$15,'50 серия'!$B$6:$B$15=$C15)), )"),"")</f>
        <v/>
      </c>
      <c r="BR15" s="43" t="str">
        <f>IFERROR(__xludf.DUMMYFUNCTION("IFNA(SUM(FILTER('51 серия'!$B$6:$C$15,'51 серия'!$B$6:$B$15=$C15)), )"),"")</f>
        <v/>
      </c>
      <c r="BS15" s="49" t="str">
        <f>IFERROR(__xludf.DUMMYFUNCTION("IFNA(SUM(FILTER('52 серия'!$B$6:$C$15,'52 серия'!$B$6:$B$15=C15)), )"),"")</f>
        <v/>
      </c>
      <c r="BT15" s="32" t="str">
        <f>IFERROR(__xludf.DUMMYFUNCTION("IFNA(SUM(FILTER('53 серия'!$B$6:$C$15,'53 серия'!$B$6:$B$15=$C15)), )"),"")</f>
        <v/>
      </c>
      <c r="BU15" s="32" t="str">
        <f>IFERROR(__xludf.DUMMYFUNCTION("IFNA(SUM(FILTER('54 серия'!$B$6:$C$15,'54 серия'!$B$6:$B$15=$C15)), )"),"")</f>
        <v/>
      </c>
      <c r="BV15" s="32" t="str">
        <f>IFERROR(__xludf.DUMMYFUNCTION("IFNA(SUM(FILTER('55 серия'!$B$6:$C$15,'55 серия'!$B$6:$B$15=$C15)), )"),"")</f>
        <v/>
      </c>
      <c r="BW15" s="32" t="str">
        <f>IFERROR(__xludf.DUMMYFUNCTION("IFNA(SUM(FILTER('56 серия'!$B$6:$C$15,'56 серия'!$B$6:$B$15=$C15)), )"),"")</f>
        <v/>
      </c>
      <c r="BX15" s="32" t="str">
        <f>IFERROR(__xludf.DUMMYFUNCTION("IFNA(SUM(FILTER('57 серия'!$B$6:$C$15,'57 серия'!$B$6:$B$15=$C15)), )"),"")</f>
        <v/>
      </c>
      <c r="BY15" s="32" t="str">
        <f>IFERROR(__xludf.DUMMYFUNCTION("IFNA(SUM(FILTER('58 серия'!$B$6:$C$15,'58 серия'!$B$6:$B$15=$C15)), )"),"")</f>
        <v/>
      </c>
      <c r="BZ15" s="46" t="str">
        <f>IFERROR(__xludf.DUMMYFUNCTION("IFNA(SUM(FILTER('59 серия'!$B$6:$C$15,'59 серия'!$B$6:$B$15=C15)), )"),"")</f>
        <v/>
      </c>
      <c r="CA15" s="44" t="str">
        <f>IFERROR(__xludf.DUMMYFUNCTION("IFNA(SUM(FILTER('60 серия'!$B$6:$C$15,'60 серия'!$B$6:$B$15=$C15)), )"),"")</f>
        <v/>
      </c>
      <c r="CB15" s="4"/>
    </row>
    <row r="16">
      <c r="A16" s="10"/>
      <c r="B16" s="27">
        <f t="shared" si="1"/>
        <v>10</v>
      </c>
      <c r="C16" s="45" t="s">
        <v>88</v>
      </c>
      <c r="D16" s="29">
        <f>'Игроки статистика'!B14</f>
        <v>50</v>
      </c>
      <c r="E16" s="30">
        <f t="shared" si="2"/>
        <v>182</v>
      </c>
      <c r="F16" s="31">
        <f t="shared" si="3"/>
        <v>18.2</v>
      </c>
      <c r="G16" s="46">
        <f t="shared" si="4"/>
        <v>2.49</v>
      </c>
      <c r="H16" s="46">
        <f>SUMIFS('Все игры'!C$3:C1011,'Все игры'!A$3:A1011,C16)</f>
        <v>57.5</v>
      </c>
      <c r="I16" s="46">
        <f t="shared" si="5"/>
        <v>123.5</v>
      </c>
      <c r="J16" s="47">
        <f>SUMIFS('Все игры'!F$3:F1011,'Все игры'!A$3:A1011,C16)</f>
        <v>0</v>
      </c>
      <c r="K16" s="48">
        <f>SUMIFS('Все игры'!G$3:G1011,'Все игры'!A$3:A1011,C16)</f>
        <v>1</v>
      </c>
      <c r="L16" s="35">
        <f>'Игроки статистика'!G14</f>
        <v>2</v>
      </c>
      <c r="M16" s="36">
        <f t="shared" si="6"/>
        <v>23</v>
      </c>
      <c r="N16" s="36">
        <f>SUM('Игроки статистика'!O14,'Игроки статистика'!Q14)</f>
        <v>5</v>
      </c>
      <c r="O16" s="37">
        <f>SUM('Игроки статистика'!P14,'Игроки статистика'!R14)</f>
        <v>6</v>
      </c>
      <c r="P16" s="38" t="str">
        <f>IFERROR(__xludf.DUMMYFUNCTION("IFNA(SUM(FILTER('Штрафы'!$D$5:$D1011,'Штрафы'!$C$5:$C1011=C16)), )"),"")</f>
        <v/>
      </c>
      <c r="Q16" s="38" t="str">
        <f>IFERROR(__xludf.DUMMYFUNCTION("IFNA(SUM(FILTER('Штрафы'!$F$5:$F1011,'Штрафы'!$C$5:$C1011=C16)), )"),"")</f>
        <v/>
      </c>
      <c r="R16" s="39"/>
      <c r="S16" s="40"/>
      <c r="T16" s="31" t="str">
        <f>IFERROR(__xludf.DUMMYFUNCTION("IFNA(SUM(FILTER('1 серия'!$B$6:$C$15,'1 серия'!$B$6:$B$15=C16)), )"),"")</f>
        <v/>
      </c>
      <c r="U16" s="32" t="str">
        <f>IFERROR(__xludf.DUMMYFUNCTION("IFNA(SUM(FILTER('2 серия'!$B$6:$C$15,'2 серия'!$B$6:$B$15=C16)), )
"),"")</f>
        <v/>
      </c>
      <c r="V16" s="32" t="str">
        <f>IFERROR(__xludf.DUMMYFUNCTION("IFNA(SUM(FILTER('3 серия'!$B$6:$C$15,'3 серия'!$B$6:$B$15=C16)), )
"),"")</f>
        <v/>
      </c>
      <c r="W16" s="32" t="str">
        <f>IFERROR(__xludf.DUMMYFUNCTION("IFNA(SUM(FILTER('4 серия'!$B$6:$C$15,'4 серия'!$B$6:$B$15=C16)), )"),"")</f>
        <v/>
      </c>
      <c r="X16" s="32" t="str">
        <f>IFERROR(__xludf.DUMMYFUNCTION("IFNA(SUM(FILTER('5 серия'!$B$6:$C$15,'5 серия'!$B$6:$B$15=C16)), )"),"")</f>
        <v/>
      </c>
      <c r="Y16" s="32" t="str">
        <f>IFERROR(__xludf.DUMMYFUNCTION("IFNA(SUM(FILTER('6 серия'!$B$6:$C$15,'6 серия'!$B$6:$B$15=C16)), )"),"")</f>
        <v/>
      </c>
      <c r="Z16" s="32" t="str">
        <f>IFERROR(__xludf.DUMMYFUNCTION("IFNA(SUM(FILTER('7 серия'!$B$6:$C$15,'7 серия'!$B$6:$B$15=C16)), )"),"")</f>
        <v/>
      </c>
      <c r="AA16" s="32">
        <f>IFERROR(__xludf.DUMMYFUNCTION("IFNA(SUM(FILTER('8 серия'!$B$6:$C$15,'8 серия'!$B$6:$B$15=C16)), )"),12.0)</f>
        <v>12</v>
      </c>
      <c r="AB16" s="32">
        <f>IFERROR(__xludf.DUMMYFUNCTION("IFNA(SUM(FILTER('9 серия'!$B$7:$C$16,'9 серия'!$B$7:$B$16=C16)), )"),25.0)</f>
        <v>25</v>
      </c>
      <c r="AC16" s="32">
        <f>IFERROR(__xludf.DUMMYFUNCTION("IFNA(SUM(FILTER('10 серия'!$B$6:$C$15,'10 серия'!$B$6:$B$15=C16)), )"),17.25)</f>
        <v>17.25</v>
      </c>
      <c r="AD16" s="32">
        <f>IFERROR(__xludf.DUMMYFUNCTION("IFNA(SUM(FILTER('11 серия'!$B$6:$C$15,'11 серия'!$B$6:$B$15=C16)), )"),19.75)</f>
        <v>19.75</v>
      </c>
      <c r="AE16" s="32">
        <f>IFERROR(__xludf.DUMMYFUNCTION("IFNA(SUM(FILTER('12 серия'!$B$6:$C$15,'12 серия'!$B$6:$B$15=C16)), )"),27.75)</f>
        <v>27.75</v>
      </c>
      <c r="AF16" s="32" t="str">
        <f>IFERROR(__xludf.DUMMYFUNCTION("IFNA(SUM(FILTER('13 серия'!$B$6:$C$15,'13 серия'!$B$6:$B$15=C16)), )"),"")</f>
        <v/>
      </c>
      <c r="AG16" s="32" t="str">
        <f>IFERROR(__xludf.DUMMYFUNCTION("IFNA(SUM(FILTER('14 серия'!$B$6:$C$15,'14 серия'!$B$6:$B$15=C16)), )"),"")</f>
        <v/>
      </c>
      <c r="AH16" s="32" t="str">
        <f>IFERROR(__xludf.DUMMYFUNCTION("IFNA(SUM(FILTER('15 серия'!$B$6:$C$15,'15 серия'!$B$6:$B$15=C16)), )"),"")</f>
        <v/>
      </c>
      <c r="AI16" s="32" t="str">
        <f>IFERROR(__xludf.DUMMYFUNCTION("IFNA(SUM(FILTER('16 серия'!$B$6:$C$15,'16 серия'!$B$6:$B$15=C16)), )"),"")</f>
        <v/>
      </c>
      <c r="AJ16" s="32" t="str">
        <f>IFERROR(__xludf.DUMMYFUNCTION("IFNA(SUM(FILTER('17 серия'!$B$6:$C$15,'17 серия'!$B$6:$B$15=C16)), )"),"")</f>
        <v/>
      </c>
      <c r="AK16" s="32" t="str">
        <f>IFERROR(__xludf.DUMMYFUNCTION("IFNA(SUM(FILTER('18 серия'!$B$6:$C$15,'18 серия'!$B$6:$B$15=C16)), )"),"")</f>
        <v/>
      </c>
      <c r="AL16" s="32" t="str">
        <f>IFERROR(__xludf.DUMMYFUNCTION("IFNA(SUM(FILTER('19 серия'!$B$6:$C$15,'19 серия'!$B$6:$B$15=C16)), )"),"")</f>
        <v/>
      </c>
      <c r="AM16" s="32" t="str">
        <f>IFERROR(__xludf.DUMMYFUNCTION("IFNA(SUM(FILTER('20 серия'!$B$6:$C$15,'20 серия'!$B$6:$B$15=C16)), )"),"")</f>
        <v/>
      </c>
      <c r="AN16" s="32" t="str">
        <f>IFERROR(__xludf.DUMMYFUNCTION("IFNA(SUM(FILTER('21 серия'!$B$6:$C$15,'21 серия'!$B$6:$B$15=C16)), )"),"")</f>
        <v/>
      </c>
      <c r="AO16" s="32" t="str">
        <f>IFERROR(__xludf.DUMMYFUNCTION("IFNA(SUM(FILTER('22 серия'!$B$6:$C$15,'22 серия'!$B$6:$B$15=C16)), )"),"")</f>
        <v/>
      </c>
      <c r="AP16" s="32" t="str">
        <f>IFERROR(__xludf.DUMMYFUNCTION("IFNA(SUM(FILTER('23 серия'!$B$6:$C$15,'23 серия'!$B$6:$B$15=C16)), )"),"")</f>
        <v/>
      </c>
      <c r="AQ16" s="32" t="str">
        <f>IFERROR(__xludf.DUMMYFUNCTION("IFNA(SUM(FILTER('24 серия'!$B$6:$C$15,'24 серия'!$B$6:$B$15=C16)), )"),"")</f>
        <v/>
      </c>
      <c r="AR16" s="32" t="str">
        <f>IFERROR(__xludf.DUMMYFUNCTION("IFNA(SUM(FILTER('25 серия'!$B$6:$C$15,'25 серия'!$B$6:$B$15=C16)), )"),"")</f>
        <v/>
      </c>
      <c r="AS16" s="32" t="str">
        <f>IFERROR(__xludf.DUMMYFUNCTION("IFNA(SUM(FILTER('26 серия'!$B$6:$C$15,'26 серия'!$B$6:$B$15=C16)), )"),"")</f>
        <v/>
      </c>
      <c r="AT16" s="32" t="str">
        <f>IFERROR(__xludf.DUMMYFUNCTION("IFNA(SUM(FILTER('27 серия'!$B$6:$C$15,'27 серия'!$B$6:$B$15=C16)), )"),"")</f>
        <v/>
      </c>
      <c r="AU16" s="32" t="str">
        <f>IFERROR(__xludf.DUMMYFUNCTION("IFNA(SUM(FILTER('28 серия'!$B$6:$C$15,'28 серия'!$B$6:$B$15=C16)), )"),"")</f>
        <v/>
      </c>
      <c r="AV16" s="32" t="str">
        <f>IFERROR(__xludf.DUMMYFUNCTION("IFNA(SUM(FILTER('29 серия'!$B$6:$C$15,'29 серия'!$B$6:$B$15=C16)), )"),"")</f>
        <v/>
      </c>
      <c r="AW16" s="32" t="str">
        <f>IFERROR(__xludf.DUMMYFUNCTION("IFNA(SUM(FILTER('30 серия'!$B$6:$C$15,'30 серия'!$B$6:$B$15=C16)), )"),"")</f>
        <v/>
      </c>
      <c r="AX16" s="32" t="str">
        <f>IFERROR(__xludf.DUMMYFUNCTION("IFNA(SUM(FILTER('31 серия'!$B$6:$C$15,'31 серия'!$B$6:$B$15=C16)), )"),"")</f>
        <v/>
      </c>
      <c r="AY16" s="32" t="str">
        <f>IFERROR(__xludf.DUMMYFUNCTION("IFNA(SUM(FILTER('32 серия'!$B$6:$C$15,'32 серия'!$B$6:$B$15=C16)), )"),"")</f>
        <v/>
      </c>
      <c r="AZ16" s="32">
        <f>IFERROR(__xludf.DUMMYFUNCTION("IFNA(SUM(FILTER('33 серия'!$B$6:$C$15,'33 серия'!$B$6:$B$15=C16)), )"),14.25)</f>
        <v>14.25</v>
      </c>
      <c r="BA16" s="32">
        <f>IFERROR(__xludf.DUMMYFUNCTION("IFNA(SUM(FILTER('34 серия'!$B$6:$C$15,'34 серия'!$B$6:$B$15=C16)), )"),16.5)</f>
        <v>16.5</v>
      </c>
      <c r="BB16" s="32">
        <f>IFERROR(__xludf.DUMMYFUNCTION("IFNA(SUM(FILTER('35 серия'!$B$6:$C$15,'35 серия'!$B$6:$B$15=C16)), )"),16.5)</f>
        <v>16.5</v>
      </c>
      <c r="BC16" s="32">
        <f>IFERROR(__xludf.DUMMYFUNCTION("IFNA(SUM(FILTER('36 серия'!$B$6:$C$15,'36 серия'!$B$6:$B$15=C16)), )"),14.0)</f>
        <v>14</v>
      </c>
      <c r="BD16" s="32">
        <f>IFERROR(__xludf.DUMMYFUNCTION("IFNA(SUM(FILTER('37 серия'!$B$6:$C$15,'37 серия'!$B$6:$B$15=C16)), )"),19.0)</f>
        <v>19</v>
      </c>
      <c r="BE16" s="32" t="str">
        <f>IFERROR(__xludf.DUMMYFUNCTION("IFNA(SUM(FILTER('38 серия'!$B$6:$C$15,'38 серия'!$B$6:$B$15=C16)), )"),"")</f>
        <v/>
      </c>
      <c r="BF16" s="32" t="str">
        <f>IFERROR(__xludf.DUMMYFUNCTION("IFNA(SUM(FILTER('39 серия'!$B$6:$C$15,'39 серия'!$B$6:$B$15=C16)), )"),"")</f>
        <v/>
      </c>
      <c r="BG16" s="32" t="str">
        <f>IFERROR(__xludf.DUMMYFUNCTION("IFNA(SUM(FILTER('40 серия'!$B$6:$C$15,'40 серия'!$B$6:$B$15=C16)), )"),"")</f>
        <v/>
      </c>
      <c r="BH16" s="32" t="str">
        <f>IFERROR(__xludf.DUMMYFUNCTION("IFNA(SUM(FILTER('41 серия'!$B$6:$C$15,'41 серия'!$B$6:$B$15=C16)), )"),"")</f>
        <v/>
      </c>
      <c r="BI16" s="32" t="str">
        <f>IFERROR(__xludf.DUMMYFUNCTION("IFNA(SUM(FILTER('42 серия'!$B$6:$C$15,'42 серия'!$B$6:$B$15=C16)), )"),"")</f>
        <v/>
      </c>
      <c r="BJ16" s="32" t="str">
        <f>IFERROR(__xludf.DUMMYFUNCTION("IFNA(SUM(FILTER('43 серия'!$B$6:$C$15,'43 серия'!$B$6:$B$15=C16)), )"),"")</f>
        <v/>
      </c>
      <c r="BK16" s="32" t="str">
        <f>IFERROR(__xludf.DUMMYFUNCTION("IFNA(SUM(FILTER('44 серия'!$B$6:$C$15,'44 серия'!$B$6:$B$15=C16)), )"),"")</f>
        <v/>
      </c>
      <c r="BL16" s="32" t="str">
        <f>IFERROR(__xludf.DUMMYFUNCTION("IFNA(SUM(FILTER('45 серия'!$B$6:$C$15,'45 серия'!$B$6:$B$15=C16)), )"),"")</f>
        <v/>
      </c>
      <c r="BM16" s="32" t="str">
        <f>IFERROR(__xludf.DUMMYFUNCTION("IFNA(SUM(FILTER('46 серия'!$B$6:$C$15,'46 серия'!$B$6:$B$15=C16)), )"),"")</f>
        <v/>
      </c>
      <c r="BN16" s="32" t="str">
        <f>IFERROR(__xludf.DUMMYFUNCTION("IFNA(SUM(FILTER('47 серия'!$B$6:$C$15,'47 серия'!$B$6:$B$15=C16)), )"),"")</f>
        <v/>
      </c>
      <c r="BO16" s="42" t="str">
        <f>IFERROR(__xludf.DUMMYFUNCTION("IFNA(SUM(FILTER('48 серия'!$B$6:$C$15,'48 серия'!$B$6:$B$15=$C16)), )"),"")</f>
        <v/>
      </c>
      <c r="BP16" s="43" t="str">
        <f>IFERROR(__xludf.DUMMYFUNCTION("IFNA(SUM(FILTER('49 серия'!$B$6:$C$15,'49 серия'!$B$6:$B$15=$C16)), )"),"")</f>
        <v/>
      </c>
      <c r="BQ16" s="43" t="str">
        <f>IFERROR(__xludf.DUMMYFUNCTION("IFNA(SUM(FILTER('50 серия'!$B$6:$C$15,'50 серия'!$B$6:$B$15=$C16)), )"),"")</f>
        <v/>
      </c>
      <c r="BR16" s="43" t="str">
        <f>IFERROR(__xludf.DUMMYFUNCTION("IFNA(SUM(FILTER('51 серия'!$B$6:$C$15,'51 серия'!$B$6:$B$15=$C16)), )"),"")</f>
        <v/>
      </c>
      <c r="BS16" s="49" t="str">
        <f>IFERROR(__xludf.DUMMYFUNCTION("IFNA(SUM(FILTER('52 серия'!$B$6:$C$15,'52 серия'!$B$6:$B$15=C16)), )"),"")</f>
        <v/>
      </c>
      <c r="BT16" s="32" t="str">
        <f>IFERROR(__xludf.DUMMYFUNCTION("IFNA(SUM(FILTER('53 серия'!$B$6:$C$15,'53 серия'!$B$6:$B$15=$C16)), )"),"")</f>
        <v/>
      </c>
      <c r="BU16" s="32" t="str">
        <f>IFERROR(__xludf.DUMMYFUNCTION("IFNA(SUM(FILTER('54 серия'!$B$6:$C$15,'54 серия'!$B$6:$B$15=$C16)), )"),"")</f>
        <v/>
      </c>
      <c r="BV16" s="32" t="str">
        <f>IFERROR(__xludf.DUMMYFUNCTION("IFNA(SUM(FILTER('55 серия'!$B$6:$C$15,'55 серия'!$B$6:$B$15=$C16)), )"),"")</f>
        <v/>
      </c>
      <c r="BW16" s="32" t="str">
        <f>IFERROR(__xludf.DUMMYFUNCTION("IFNA(SUM(FILTER('56 серия'!$B$6:$C$15,'56 серия'!$B$6:$B$15=$C16)), )"),"")</f>
        <v/>
      </c>
      <c r="BX16" s="32" t="str">
        <f>IFERROR(__xludf.DUMMYFUNCTION("IFNA(SUM(FILTER('57 серия'!$B$6:$C$15,'57 серия'!$B$6:$B$15=$C16)), )"),"")</f>
        <v/>
      </c>
      <c r="BY16" s="32" t="str">
        <f>IFERROR(__xludf.DUMMYFUNCTION("IFNA(SUM(FILTER('58 серия'!$B$6:$C$15,'58 серия'!$B$6:$B$15=$C16)), )"),"")</f>
        <v/>
      </c>
      <c r="BZ16" s="46" t="str">
        <f>IFERROR(__xludf.DUMMYFUNCTION("IFNA(SUM(FILTER('59 серия'!$B$6:$C$15,'59 серия'!$B$6:$B$15=C16)), )"),"")</f>
        <v/>
      </c>
      <c r="CA16" s="44" t="str">
        <f>IFERROR(__xludf.DUMMYFUNCTION("IFNA(SUM(FILTER('60 серия'!$B$6:$C$15,'60 серия'!$B$6:$B$15=$C16)), )"),"")</f>
        <v/>
      </c>
      <c r="CB16" s="4"/>
    </row>
    <row r="17">
      <c r="A17" s="10"/>
      <c r="B17" s="27">
        <f t="shared" si="1"/>
        <v>11</v>
      </c>
      <c r="C17" s="45" t="s">
        <v>89</v>
      </c>
      <c r="D17" s="29">
        <f>'Игроки статистика'!B15</f>
        <v>50</v>
      </c>
      <c r="E17" s="30">
        <f t="shared" si="2"/>
        <v>215.75</v>
      </c>
      <c r="F17" s="31">
        <f t="shared" si="3"/>
        <v>21.575</v>
      </c>
      <c r="G17" s="46">
        <f t="shared" si="4"/>
        <v>2.915</v>
      </c>
      <c r="H17" s="46">
        <f>SUMIFS('Все игры'!C$3:C1011,'Все игры'!A$3:A1011,C17)</f>
        <v>70</v>
      </c>
      <c r="I17" s="46">
        <f t="shared" si="5"/>
        <v>143.75</v>
      </c>
      <c r="J17" s="47">
        <f>SUMIFS('Все игры'!F$3:F1011,'Все игры'!A$3:A1011,C17)</f>
        <v>0</v>
      </c>
      <c r="K17" s="48">
        <f>SUMIFS('Все игры'!G$3:G1011,'Все игры'!A$3:A1011,C17)</f>
        <v>2</v>
      </c>
      <c r="L17" s="35">
        <f>'Игроки статистика'!G15</f>
        <v>4</v>
      </c>
      <c r="M17" s="36">
        <f t="shared" si="6"/>
        <v>28</v>
      </c>
      <c r="N17" s="36">
        <f>SUM('Игроки статистика'!O15,'Игроки статистика'!Q15)</f>
        <v>5</v>
      </c>
      <c r="O17" s="37">
        <f>SUM('Игроки статистика'!P15,'Игроки статистика'!R15)</f>
        <v>6</v>
      </c>
      <c r="P17" s="38" t="str">
        <f>IFERROR(__xludf.DUMMYFUNCTION("IFNA(SUM(FILTER('Штрафы'!$D$5:$D1011,'Штрафы'!$C$5:$C1011=C17)), )"),"")</f>
        <v/>
      </c>
      <c r="Q17" s="38" t="str">
        <f>IFERROR(__xludf.DUMMYFUNCTION("IFNA(SUM(FILTER('Штрафы'!$F$5:$F1011,'Штрафы'!$C$5:$C1011=C17)), )"),"")</f>
        <v/>
      </c>
      <c r="R17" s="39"/>
      <c r="S17" s="40"/>
      <c r="T17" s="31" t="str">
        <f>IFERROR(__xludf.DUMMYFUNCTION("IFNA(SUM(FILTER('1 серия'!$B$6:$C$15,'1 серия'!$B$6:$B$15=C17)), )"),"")</f>
        <v/>
      </c>
      <c r="U17" s="32" t="str">
        <f>IFERROR(__xludf.DUMMYFUNCTION("IFNA(SUM(FILTER('2 серия'!$B$6:$C$15,'2 серия'!$B$6:$B$15=C17)), )
"),"")</f>
        <v/>
      </c>
      <c r="V17" s="32" t="str">
        <f>IFERROR(__xludf.DUMMYFUNCTION("IFNA(SUM(FILTER('3 серия'!$B$6:$C$15,'3 серия'!$B$6:$B$15=C17)), )
"),"")</f>
        <v/>
      </c>
      <c r="W17" s="32" t="str">
        <f>IFERROR(__xludf.DUMMYFUNCTION("IFNA(SUM(FILTER('4 серия'!$B$6:$C$15,'4 серия'!$B$6:$B$15=C17)), )"),"")</f>
        <v/>
      </c>
      <c r="X17" s="32" t="str">
        <f>IFERROR(__xludf.DUMMYFUNCTION("IFNA(SUM(FILTER('5 серия'!$B$6:$C$15,'5 серия'!$B$6:$B$15=C17)), )"),"")</f>
        <v/>
      </c>
      <c r="Y17" s="32" t="str">
        <f>IFERROR(__xludf.DUMMYFUNCTION("IFNA(SUM(FILTER('6 серия'!$B$6:$C$15,'6 серия'!$B$6:$B$15=C17)), )"),"")</f>
        <v/>
      </c>
      <c r="Z17" s="32">
        <f>IFERROR(__xludf.DUMMYFUNCTION("IFNA(SUM(FILTER('7 серия'!$B$6:$C$15,'7 серия'!$B$6:$B$15=C17)), )"),24.0)</f>
        <v>24</v>
      </c>
      <c r="AA17" s="32">
        <f>IFERROR(__xludf.DUMMYFUNCTION("IFNA(SUM(FILTER('8 серия'!$B$6:$C$15,'8 серия'!$B$6:$B$15=C17)), )"),22.25)</f>
        <v>22.25</v>
      </c>
      <c r="AB17" s="32">
        <f>IFERROR(__xludf.DUMMYFUNCTION("IFNA(SUM(FILTER('9 серия'!$B$7:$C$16,'9 серия'!$B$7:$B$16=C17)), )"),17.75)</f>
        <v>17.75</v>
      </c>
      <c r="AC17" s="32">
        <f>IFERROR(__xludf.DUMMYFUNCTION("IFNA(SUM(FILTER('10 серия'!$B$6:$C$15,'10 серия'!$B$6:$B$15=C17)), )"),21.5)</f>
        <v>21.5</v>
      </c>
      <c r="AD17" s="32" t="str">
        <f>IFERROR(__xludf.DUMMYFUNCTION("IFNA(SUM(FILTER('11 серия'!$B$6:$C$15,'11 серия'!$B$6:$B$15=C17)), )"),"")</f>
        <v/>
      </c>
      <c r="AE17" s="32" t="str">
        <f>IFERROR(__xludf.DUMMYFUNCTION("IFNA(SUM(FILTER('12 серия'!$B$6:$C$15,'12 серия'!$B$6:$B$15=C17)), )"),"")</f>
        <v/>
      </c>
      <c r="AF17" s="32" t="str">
        <f>IFERROR(__xludf.DUMMYFUNCTION("IFNA(SUM(FILTER('13 серия'!$B$6:$C$15,'13 серия'!$B$6:$B$15=C17)), )"),"")</f>
        <v/>
      </c>
      <c r="AG17" s="32" t="str">
        <f>IFERROR(__xludf.DUMMYFUNCTION("IFNA(SUM(FILTER('14 серия'!$B$6:$C$15,'14 серия'!$B$6:$B$15=C17)), )"),"")</f>
        <v/>
      </c>
      <c r="AH17" s="32" t="str">
        <f>IFERROR(__xludf.DUMMYFUNCTION("IFNA(SUM(FILTER('15 серия'!$B$6:$C$15,'15 серия'!$B$6:$B$15=C17)), )"),"")</f>
        <v/>
      </c>
      <c r="AI17" s="32" t="str">
        <f>IFERROR(__xludf.DUMMYFUNCTION("IFNA(SUM(FILTER('16 серия'!$B$6:$C$15,'16 серия'!$B$6:$B$15=C17)), )"),"")</f>
        <v/>
      </c>
      <c r="AJ17" s="32" t="str">
        <f>IFERROR(__xludf.DUMMYFUNCTION("IFNA(SUM(FILTER('17 серия'!$B$6:$C$15,'17 серия'!$B$6:$B$15=C17)), )"),"")</f>
        <v/>
      </c>
      <c r="AK17" s="32" t="str">
        <f>IFERROR(__xludf.DUMMYFUNCTION("IFNA(SUM(FILTER('18 серия'!$B$6:$C$15,'18 серия'!$B$6:$B$15=C17)), )"),"")</f>
        <v/>
      </c>
      <c r="AL17" s="32" t="str">
        <f>IFERROR(__xludf.DUMMYFUNCTION("IFNA(SUM(FILTER('19 серия'!$B$6:$C$15,'19 серия'!$B$6:$B$15=C17)), )"),"")</f>
        <v/>
      </c>
      <c r="AM17" s="32" t="str">
        <f>IFERROR(__xludf.DUMMYFUNCTION("IFNA(SUM(FILTER('20 серия'!$B$6:$C$15,'20 серия'!$B$6:$B$15=C17)), )"),"")</f>
        <v/>
      </c>
      <c r="AN17" s="32" t="str">
        <f>IFERROR(__xludf.DUMMYFUNCTION("IFNA(SUM(FILTER('21 серия'!$B$6:$C$15,'21 серия'!$B$6:$B$15=C17)), )"),"")</f>
        <v/>
      </c>
      <c r="AO17" s="32" t="str">
        <f>IFERROR(__xludf.DUMMYFUNCTION("IFNA(SUM(FILTER('22 серия'!$B$6:$C$15,'22 серия'!$B$6:$B$15=C17)), )"),"")</f>
        <v/>
      </c>
      <c r="AP17" s="32">
        <f>IFERROR(__xludf.DUMMYFUNCTION("IFNA(SUM(FILTER('23 серия'!$B$6:$C$15,'23 серия'!$B$6:$B$15=C17)), )"),26.25)</f>
        <v>26.25</v>
      </c>
      <c r="AQ17" s="32">
        <f>IFERROR(__xludf.DUMMYFUNCTION("IFNA(SUM(FILTER('24 серия'!$B$6:$C$15,'24 серия'!$B$6:$B$15=C17)), )"),24.25)</f>
        <v>24.25</v>
      </c>
      <c r="AR17" s="32">
        <f>IFERROR(__xludf.DUMMYFUNCTION("IFNA(SUM(FILTER('25 серия'!$B$6:$C$15,'25 серия'!$B$6:$B$15=C17)), )"),17.25)</f>
        <v>17.25</v>
      </c>
      <c r="AS17" s="32">
        <f>IFERROR(__xludf.DUMMYFUNCTION("IFNA(SUM(FILTER('26 серия'!$B$6:$C$15,'26 серия'!$B$6:$B$15=C17)), )"),21.25)</f>
        <v>21.25</v>
      </c>
      <c r="AT17" s="32" t="str">
        <f>IFERROR(__xludf.DUMMYFUNCTION("IFNA(SUM(FILTER('27 серия'!$B$6:$C$15,'27 серия'!$B$6:$B$15=C17)), )"),"")</f>
        <v/>
      </c>
      <c r="AU17" s="32" t="str">
        <f>IFERROR(__xludf.DUMMYFUNCTION("IFNA(SUM(FILTER('28 серия'!$B$6:$C$15,'28 серия'!$B$6:$B$15=C17)), )"),"")</f>
        <v/>
      </c>
      <c r="AV17" s="32" t="str">
        <f>IFERROR(__xludf.DUMMYFUNCTION("IFNA(SUM(FILTER('29 серия'!$B$6:$C$15,'29 серия'!$B$6:$B$15=C17)), )"),"")</f>
        <v/>
      </c>
      <c r="AW17" s="32" t="str">
        <f>IFERROR(__xludf.DUMMYFUNCTION("IFNA(SUM(FILTER('30 серия'!$B$6:$C$15,'30 серия'!$B$6:$B$15=C17)), )"),"")</f>
        <v/>
      </c>
      <c r="AX17" s="32" t="str">
        <f>IFERROR(__xludf.DUMMYFUNCTION("IFNA(SUM(FILTER('31 серия'!$B$6:$C$15,'31 серия'!$B$6:$B$15=C17)), )"),"")</f>
        <v/>
      </c>
      <c r="AY17" s="32" t="str">
        <f>IFERROR(__xludf.DUMMYFUNCTION("IFNA(SUM(FILTER('32 серия'!$B$6:$C$15,'32 серия'!$B$6:$B$15=C17)), )"),"")</f>
        <v/>
      </c>
      <c r="AZ17" s="32" t="str">
        <f>IFERROR(__xludf.DUMMYFUNCTION("IFNA(SUM(FILTER('33 серия'!$B$6:$C$15,'33 серия'!$B$6:$B$15=C17)), )"),"")</f>
        <v/>
      </c>
      <c r="BA17" s="32" t="str">
        <f>IFERROR(__xludf.DUMMYFUNCTION("IFNA(SUM(FILTER('34 серия'!$B$6:$C$15,'34 серия'!$B$6:$B$15=C17)), )"),"")</f>
        <v/>
      </c>
      <c r="BB17" s="32" t="str">
        <f>IFERROR(__xludf.DUMMYFUNCTION("IFNA(SUM(FILTER('35 серия'!$B$6:$C$15,'35 серия'!$B$6:$B$15=C17)), )"),"")</f>
        <v/>
      </c>
      <c r="BC17" s="32" t="str">
        <f>IFERROR(__xludf.DUMMYFUNCTION("IFNA(SUM(FILTER('36 серия'!$B$6:$C$15,'36 серия'!$B$6:$B$15=C17)), )"),"")</f>
        <v/>
      </c>
      <c r="BD17" s="32" t="str">
        <f>IFERROR(__xludf.DUMMYFUNCTION("IFNA(SUM(FILTER('37 серия'!$B$6:$C$15,'37 серия'!$B$6:$B$15=C17)), )"),"")</f>
        <v/>
      </c>
      <c r="BE17" s="32" t="str">
        <f>IFERROR(__xludf.DUMMYFUNCTION("IFNA(SUM(FILTER('38 серия'!$B$6:$C$15,'38 серия'!$B$6:$B$15=C17)), )"),"")</f>
        <v/>
      </c>
      <c r="BF17" s="32" t="str">
        <f>IFERROR(__xludf.DUMMYFUNCTION("IFNA(SUM(FILTER('39 серия'!$B$6:$C$15,'39 серия'!$B$6:$B$15=C17)), )"),"")</f>
        <v/>
      </c>
      <c r="BG17" s="32" t="str">
        <f>IFERROR(__xludf.DUMMYFUNCTION("IFNA(SUM(FILTER('40 серия'!$B$6:$C$15,'40 серия'!$B$6:$B$15=C17)), )"),"")</f>
        <v/>
      </c>
      <c r="BH17" s="32" t="str">
        <f>IFERROR(__xludf.DUMMYFUNCTION("IFNA(SUM(FILTER('41 серия'!$B$6:$C$15,'41 серия'!$B$6:$B$15=C17)), )"),"")</f>
        <v/>
      </c>
      <c r="BI17" s="32" t="str">
        <f>IFERROR(__xludf.DUMMYFUNCTION("IFNA(SUM(FILTER('42 серия'!$B$6:$C$15,'42 серия'!$B$6:$B$15=C17)), )"),"")</f>
        <v/>
      </c>
      <c r="BJ17" s="32" t="str">
        <f>IFERROR(__xludf.DUMMYFUNCTION("IFNA(SUM(FILTER('43 серия'!$B$6:$C$15,'43 серия'!$B$6:$B$15=C17)), )"),"")</f>
        <v/>
      </c>
      <c r="BK17" s="32" t="str">
        <f>IFERROR(__xludf.DUMMYFUNCTION("IFNA(SUM(FILTER('44 серия'!$B$6:$C$15,'44 серия'!$B$6:$B$15=C17)), )"),"")</f>
        <v/>
      </c>
      <c r="BL17" s="32" t="str">
        <f>IFERROR(__xludf.DUMMYFUNCTION("IFNA(SUM(FILTER('45 серия'!$B$6:$C$15,'45 серия'!$B$6:$B$15=C17)), )"),"")</f>
        <v/>
      </c>
      <c r="BM17" s="32" t="str">
        <f>IFERROR(__xludf.DUMMYFUNCTION("IFNA(SUM(FILTER('46 серия'!$B$6:$C$15,'46 серия'!$B$6:$B$15=C17)), )"),"")</f>
        <v/>
      </c>
      <c r="BN17" s="32" t="str">
        <f>IFERROR(__xludf.DUMMYFUNCTION("IFNA(SUM(FILTER('47 серия'!$B$6:$C$15,'47 серия'!$B$6:$B$15=C17)), )"),"")</f>
        <v/>
      </c>
      <c r="BO17" s="42" t="str">
        <f>IFERROR(__xludf.DUMMYFUNCTION("IFNA(SUM(FILTER('48 серия'!$B$6:$C$15,'48 серия'!$B$6:$B$15=$C17)), )"),"")</f>
        <v/>
      </c>
      <c r="BP17" s="43" t="str">
        <f>IFERROR(__xludf.DUMMYFUNCTION("IFNA(SUM(FILTER('49 серия'!$B$6:$C$15,'49 серия'!$B$6:$B$15=$C17)), )"),"")</f>
        <v/>
      </c>
      <c r="BQ17" s="43" t="str">
        <f>IFERROR(__xludf.DUMMYFUNCTION("IFNA(SUM(FILTER('50 серия'!$B$6:$C$15,'50 серия'!$B$6:$B$15=$C17)), )"),"")</f>
        <v/>
      </c>
      <c r="BR17" s="43" t="str">
        <f>IFERROR(__xludf.DUMMYFUNCTION("IFNA(SUM(FILTER('51 серия'!$B$6:$C$15,'51 серия'!$B$6:$B$15=$C17)), )"),"")</f>
        <v/>
      </c>
      <c r="BS17" s="49" t="str">
        <f>IFERROR(__xludf.DUMMYFUNCTION("IFNA(SUM(FILTER('52 серия'!$B$6:$C$15,'52 серия'!$B$6:$B$15=C17)), )"),"")</f>
        <v/>
      </c>
      <c r="BT17" s="32" t="str">
        <f>IFERROR(__xludf.DUMMYFUNCTION("IFNA(SUM(FILTER('53 серия'!$B$6:$C$15,'53 серия'!$B$6:$B$15=$C17)), )"),"")</f>
        <v/>
      </c>
      <c r="BU17" s="32" t="str">
        <f>IFERROR(__xludf.DUMMYFUNCTION("IFNA(SUM(FILTER('54 серия'!$B$6:$C$15,'54 серия'!$B$6:$B$15=$C17)), )"),"")</f>
        <v/>
      </c>
      <c r="BV17" s="32" t="str">
        <f>IFERROR(__xludf.DUMMYFUNCTION("IFNA(SUM(FILTER('55 серия'!$B$6:$C$15,'55 серия'!$B$6:$B$15=$C17)), )"),"")</f>
        <v/>
      </c>
      <c r="BW17" s="32" t="str">
        <f>IFERROR(__xludf.DUMMYFUNCTION("IFNA(SUM(FILTER('56 серия'!$B$6:$C$15,'56 серия'!$B$6:$B$15=$C17)), )"),"")</f>
        <v/>
      </c>
      <c r="BX17" s="32" t="str">
        <f>IFERROR(__xludf.DUMMYFUNCTION("IFNA(SUM(FILTER('57 серия'!$B$6:$C$15,'57 серия'!$B$6:$B$15=$C17)), )"),"")</f>
        <v/>
      </c>
      <c r="BY17" s="32">
        <f>IFERROR(__xludf.DUMMYFUNCTION("IFNA(SUM(FILTER('58 серия'!$B$6:$C$15,'58 серия'!$B$6:$B$15=$C17)), )"),21.25)</f>
        <v>21.25</v>
      </c>
      <c r="BZ17" s="46">
        <f>IFERROR(__xludf.DUMMYFUNCTION("IFNA(SUM(FILTER('59 серия'!$B$6:$C$15,'59 серия'!$B$6:$B$15=C17)), )"),20.0)</f>
        <v>20</v>
      </c>
      <c r="CA17" s="44" t="str">
        <f>IFERROR(__xludf.DUMMYFUNCTION("IFNA(SUM(FILTER('60 серия'!$B$6:$C$15,'60 серия'!$B$6:$B$15=$C17)), )"),"")</f>
        <v/>
      </c>
      <c r="CB17" s="4"/>
    </row>
    <row r="18">
      <c r="A18" s="10"/>
      <c r="B18" s="27">
        <f t="shared" si="1"/>
        <v>12</v>
      </c>
      <c r="C18" s="45" t="s">
        <v>90</v>
      </c>
      <c r="D18" s="29">
        <f>'Игроки статистика'!B16</f>
        <v>50</v>
      </c>
      <c r="E18" s="30">
        <f t="shared" si="2"/>
        <v>217.75</v>
      </c>
      <c r="F18" s="31">
        <f t="shared" si="3"/>
        <v>21.775</v>
      </c>
      <c r="G18" s="46">
        <f t="shared" si="4"/>
        <v>2.955</v>
      </c>
      <c r="H18" s="46">
        <f>SUMIFS('Все игры'!C$3:C1011,'Все игры'!A$3:A1011,C18)</f>
        <v>70</v>
      </c>
      <c r="I18" s="46">
        <f t="shared" si="5"/>
        <v>142.25</v>
      </c>
      <c r="J18" s="47">
        <f>SUMIFS('Все игры'!F$3:F1011,'Все игры'!A$3:A1011,C18)</f>
        <v>1.5</v>
      </c>
      <c r="K18" s="48">
        <f>SUMIFS('Все игры'!G$3:G1011,'Все игры'!A$3:A1011,C18)</f>
        <v>4</v>
      </c>
      <c r="L18" s="35">
        <f>'Игроки статистика'!G16</f>
        <v>7</v>
      </c>
      <c r="M18" s="36">
        <f t="shared" si="6"/>
        <v>28</v>
      </c>
      <c r="N18" s="36">
        <f>SUM('Игроки статистика'!O16,'Игроки статистика'!Q16)</f>
        <v>2</v>
      </c>
      <c r="O18" s="37">
        <f>SUM('Игроки статистика'!P16,'Игроки статистика'!R16)</f>
        <v>0</v>
      </c>
      <c r="P18" s="38" t="str">
        <f>IFERROR(__xludf.DUMMYFUNCTION("IFNA(SUM(FILTER('Штрафы'!$D$5:$D1011,'Штрафы'!$C$5:$C1011=C18)), )"),"")</f>
        <v/>
      </c>
      <c r="Q18" s="38" t="str">
        <f>IFERROR(__xludf.DUMMYFUNCTION("IFNA(SUM(FILTER('Штрафы'!$F$5:$F1011,'Штрафы'!$C$5:$C1011=C18)), )"),"")</f>
        <v/>
      </c>
      <c r="R18" s="39"/>
      <c r="S18" s="40"/>
      <c r="T18" s="31">
        <f>IFERROR(__xludf.DUMMYFUNCTION("IFNA(SUM(FILTER('1 серия'!$B$6:$C$15,'1 серия'!$B$6:$B$15=C18)), )"),22.0)</f>
        <v>22</v>
      </c>
      <c r="U18" s="32" t="str">
        <f>IFERROR(__xludf.DUMMYFUNCTION("IFNA(SUM(FILTER('2 серия'!$B$6:$C$15,'2 серия'!$B$6:$B$15=C18)), )
"),"")</f>
        <v/>
      </c>
      <c r="V18" s="32" t="str">
        <f>IFERROR(__xludf.DUMMYFUNCTION("IFNA(SUM(FILTER('3 серия'!$B$6:$C$15,'3 серия'!$B$6:$B$15=C18)), )
"),"")</f>
        <v/>
      </c>
      <c r="W18" s="32" t="str">
        <f>IFERROR(__xludf.DUMMYFUNCTION("IFNA(SUM(FILTER('4 серия'!$B$6:$C$15,'4 серия'!$B$6:$B$15=C18)), )"),"")</f>
        <v/>
      </c>
      <c r="X18" s="32" t="str">
        <f>IFERROR(__xludf.DUMMYFUNCTION("IFNA(SUM(FILTER('5 серия'!$B$6:$C$15,'5 серия'!$B$6:$B$15=C18)), )"),"")</f>
        <v/>
      </c>
      <c r="Y18" s="32" t="str">
        <f>IFERROR(__xludf.DUMMYFUNCTION("IFNA(SUM(FILTER('6 серия'!$B$6:$C$15,'6 серия'!$B$6:$B$15=C18)), )"),"")</f>
        <v/>
      </c>
      <c r="Z18" s="32">
        <f>IFERROR(__xludf.DUMMYFUNCTION("IFNA(SUM(FILTER('7 серия'!$B$6:$C$15,'7 серия'!$B$6:$B$15=C18)), )"),25.0)</f>
        <v>25</v>
      </c>
      <c r="AA18" s="32" t="str">
        <f>IFERROR(__xludf.DUMMYFUNCTION("IFNA(SUM(FILTER('8 серия'!$B$6:$C$15,'8 серия'!$B$6:$B$15=C18)), )"),"")</f>
        <v/>
      </c>
      <c r="AB18" s="32" t="str">
        <f>IFERROR(__xludf.DUMMYFUNCTION("IFNA(SUM(FILTER('9 серия'!$B$7:$C$16,'9 серия'!$B$7:$B$16=C18)), )"),"")</f>
        <v/>
      </c>
      <c r="AC18" s="32" t="str">
        <f>IFERROR(__xludf.DUMMYFUNCTION("IFNA(SUM(FILTER('10 серия'!$B$6:$C$15,'10 серия'!$B$6:$B$15=C18)), )"),"")</f>
        <v/>
      </c>
      <c r="AD18" s="32" t="str">
        <f>IFERROR(__xludf.DUMMYFUNCTION("IFNA(SUM(FILTER('11 серия'!$B$6:$C$15,'11 серия'!$B$6:$B$15=C18)), )"),"")</f>
        <v/>
      </c>
      <c r="AE18" s="32" t="str">
        <f>IFERROR(__xludf.DUMMYFUNCTION("IFNA(SUM(FILTER('12 серия'!$B$6:$C$15,'12 серия'!$B$6:$B$15=C18)), )"),"")</f>
        <v/>
      </c>
      <c r="AF18" s="32" t="str">
        <f>IFERROR(__xludf.DUMMYFUNCTION("IFNA(SUM(FILTER('13 серия'!$B$6:$C$15,'13 серия'!$B$6:$B$15=C18)), )"),"")</f>
        <v/>
      </c>
      <c r="AG18" s="32" t="str">
        <f>IFERROR(__xludf.DUMMYFUNCTION("IFNA(SUM(FILTER('14 серия'!$B$6:$C$15,'14 серия'!$B$6:$B$15=C18)), )"),"")</f>
        <v/>
      </c>
      <c r="AH18" s="32" t="str">
        <f>IFERROR(__xludf.DUMMYFUNCTION("IFNA(SUM(FILTER('15 серия'!$B$6:$C$15,'15 серия'!$B$6:$B$15=C18)), )"),"")</f>
        <v/>
      </c>
      <c r="AI18" s="32" t="str">
        <f>IFERROR(__xludf.DUMMYFUNCTION("IFNA(SUM(FILTER('16 серия'!$B$6:$C$15,'16 серия'!$B$6:$B$15=C18)), )"),"")</f>
        <v/>
      </c>
      <c r="AJ18" s="32" t="str">
        <f>IFERROR(__xludf.DUMMYFUNCTION("IFNA(SUM(FILTER('17 серия'!$B$6:$C$15,'17 серия'!$B$6:$B$15=C18)), )"),"")</f>
        <v/>
      </c>
      <c r="AK18" s="32" t="str">
        <f>IFERROR(__xludf.DUMMYFUNCTION("IFNA(SUM(FILTER('18 серия'!$B$6:$C$15,'18 серия'!$B$6:$B$15=C18)), )"),"")</f>
        <v/>
      </c>
      <c r="AL18" s="32" t="str">
        <f>IFERROR(__xludf.DUMMYFUNCTION("IFNA(SUM(FILTER('19 серия'!$B$6:$C$15,'19 серия'!$B$6:$B$15=C18)), )"),"")</f>
        <v/>
      </c>
      <c r="AM18" s="32" t="str">
        <f>IFERROR(__xludf.DUMMYFUNCTION("IFNA(SUM(FILTER('20 серия'!$B$6:$C$15,'20 серия'!$B$6:$B$15=C18)), )"),"")</f>
        <v/>
      </c>
      <c r="AN18" s="32">
        <f>IFERROR(__xludf.DUMMYFUNCTION("IFNA(SUM(FILTER('21 серия'!$B$6:$C$15,'21 серия'!$B$6:$B$15=C18)), )"),24.25)</f>
        <v>24.25</v>
      </c>
      <c r="AO18" s="32" t="str">
        <f>IFERROR(__xludf.DUMMYFUNCTION("IFNA(SUM(FILTER('22 серия'!$B$6:$C$15,'22 серия'!$B$6:$B$15=C18)), )"),"")</f>
        <v/>
      </c>
      <c r="AP18" s="32" t="str">
        <f>IFERROR(__xludf.DUMMYFUNCTION("IFNA(SUM(FILTER('23 серия'!$B$6:$C$15,'23 серия'!$B$6:$B$15=C18)), )"),"")</f>
        <v/>
      </c>
      <c r="AQ18" s="32" t="str">
        <f>IFERROR(__xludf.DUMMYFUNCTION("IFNA(SUM(FILTER('24 серия'!$B$6:$C$15,'24 серия'!$B$6:$B$15=C18)), )"),"")</f>
        <v/>
      </c>
      <c r="AR18" s="32" t="str">
        <f>IFERROR(__xludf.DUMMYFUNCTION("IFNA(SUM(FILTER('25 серия'!$B$6:$C$15,'25 серия'!$B$6:$B$15=C18)), )"),"")</f>
        <v/>
      </c>
      <c r="AS18" s="32" t="str">
        <f>IFERROR(__xludf.DUMMYFUNCTION("IFNA(SUM(FILTER('26 серия'!$B$6:$C$15,'26 серия'!$B$6:$B$15=C18)), )"),"")</f>
        <v/>
      </c>
      <c r="AT18" s="32" t="str">
        <f>IFERROR(__xludf.DUMMYFUNCTION("IFNA(SUM(FILTER('27 серия'!$B$6:$C$15,'27 серия'!$B$6:$B$15=C18)), )"),"")</f>
        <v/>
      </c>
      <c r="AU18" s="32">
        <f>IFERROR(__xludf.DUMMYFUNCTION("IFNA(SUM(FILTER('28 серия'!$B$6:$C$15,'28 серия'!$B$6:$B$15=C18)), )"),17.5)</f>
        <v>17.5</v>
      </c>
      <c r="AV18" s="32" t="str">
        <f>IFERROR(__xludf.DUMMYFUNCTION("IFNA(SUM(FILTER('29 серия'!$B$6:$C$15,'29 серия'!$B$6:$B$15=C18)), )"),"")</f>
        <v/>
      </c>
      <c r="AW18" s="32" t="str">
        <f>IFERROR(__xludf.DUMMYFUNCTION("IFNA(SUM(FILTER('30 серия'!$B$6:$C$15,'30 серия'!$B$6:$B$15=C18)), )"),"")</f>
        <v/>
      </c>
      <c r="AX18" s="32" t="str">
        <f>IFERROR(__xludf.DUMMYFUNCTION("IFNA(SUM(FILTER('31 серия'!$B$6:$C$15,'31 серия'!$B$6:$B$15=C18)), )"),"")</f>
        <v/>
      </c>
      <c r="AY18" s="32" t="str">
        <f>IFERROR(__xludf.DUMMYFUNCTION("IFNA(SUM(FILTER('32 серия'!$B$6:$C$15,'32 серия'!$B$6:$B$15=C18)), )"),"")</f>
        <v/>
      </c>
      <c r="AZ18" s="32">
        <f>IFERROR(__xludf.DUMMYFUNCTION("IFNA(SUM(FILTER('33 серия'!$B$6:$C$15,'33 серия'!$B$6:$B$15=C18)), )"),22.75)</f>
        <v>22.75</v>
      </c>
      <c r="BA18" s="32" t="str">
        <f>IFERROR(__xludf.DUMMYFUNCTION("IFNA(SUM(FILTER('34 серия'!$B$6:$C$15,'34 серия'!$B$6:$B$15=C18)), )"),"")</f>
        <v/>
      </c>
      <c r="BB18" s="32" t="str">
        <f>IFERROR(__xludf.DUMMYFUNCTION("IFNA(SUM(FILTER('35 серия'!$B$6:$C$15,'35 серия'!$B$6:$B$15=C18)), )"),"")</f>
        <v/>
      </c>
      <c r="BC18" s="32" t="str">
        <f>IFERROR(__xludf.DUMMYFUNCTION("IFNA(SUM(FILTER('36 серия'!$B$6:$C$15,'36 серия'!$B$6:$B$15=C18)), )"),"")</f>
        <v/>
      </c>
      <c r="BD18" s="32">
        <f>IFERROR(__xludf.DUMMYFUNCTION("IFNA(SUM(FILTER('37 серия'!$B$6:$C$15,'37 серия'!$B$6:$B$15=C18)), )"),18.0)</f>
        <v>18</v>
      </c>
      <c r="BE18" s="32" t="str">
        <f>IFERROR(__xludf.DUMMYFUNCTION("IFNA(SUM(FILTER('38 серия'!$B$6:$C$15,'38 серия'!$B$6:$B$15=C18)), )"),"")</f>
        <v/>
      </c>
      <c r="BF18" s="32" t="str">
        <f>IFERROR(__xludf.DUMMYFUNCTION("IFNA(SUM(FILTER('39 серия'!$B$6:$C$15,'39 серия'!$B$6:$B$15=C18)), )"),"")</f>
        <v/>
      </c>
      <c r="BG18" s="32" t="str">
        <f>IFERROR(__xludf.DUMMYFUNCTION("IFNA(SUM(FILTER('40 серия'!$B$6:$C$15,'40 серия'!$B$6:$B$15=C18)), )"),"")</f>
        <v/>
      </c>
      <c r="BH18" s="32" t="str">
        <f>IFERROR(__xludf.DUMMYFUNCTION("IFNA(SUM(FILTER('41 серия'!$B$6:$C$15,'41 серия'!$B$6:$B$15=C18)), )"),"")</f>
        <v/>
      </c>
      <c r="BI18" s="32" t="str">
        <f>IFERROR(__xludf.DUMMYFUNCTION("IFNA(SUM(FILTER('42 серия'!$B$6:$C$15,'42 серия'!$B$6:$B$15=C18)), )"),"")</f>
        <v/>
      </c>
      <c r="BJ18" s="32" t="str">
        <f>IFERROR(__xludf.DUMMYFUNCTION("IFNA(SUM(FILTER('43 серия'!$B$6:$C$15,'43 серия'!$B$6:$B$15=C18)), )"),"")</f>
        <v/>
      </c>
      <c r="BK18" s="32" t="str">
        <f>IFERROR(__xludf.DUMMYFUNCTION("IFNA(SUM(FILTER('44 серия'!$B$6:$C$15,'44 серия'!$B$6:$B$15=C18)), )"),"")</f>
        <v/>
      </c>
      <c r="BL18" s="32" t="str">
        <f>IFERROR(__xludf.DUMMYFUNCTION("IFNA(SUM(FILTER('45 серия'!$B$6:$C$15,'45 серия'!$B$6:$B$15=C18)), )"),"")</f>
        <v/>
      </c>
      <c r="BM18" s="32" t="str">
        <f>IFERROR(__xludf.DUMMYFUNCTION("IFNA(SUM(FILTER('46 серия'!$B$6:$C$15,'46 серия'!$B$6:$B$15=C18)), )"),"")</f>
        <v/>
      </c>
      <c r="BN18" s="32" t="str">
        <f>IFERROR(__xludf.DUMMYFUNCTION("IFNA(SUM(FILTER('47 серия'!$B$6:$C$15,'47 серия'!$B$6:$B$15=C18)), )"),"")</f>
        <v/>
      </c>
      <c r="BO18" s="42" t="str">
        <f>IFERROR(__xludf.DUMMYFUNCTION("IFNA(SUM(FILTER('48 серия'!$B$6:$C$15,'48 серия'!$B$6:$B$15=$C18)), )"),"")</f>
        <v/>
      </c>
      <c r="BP18" s="43" t="str">
        <f>IFERROR(__xludf.DUMMYFUNCTION("IFNA(SUM(FILTER('49 серия'!$B$6:$C$15,'49 серия'!$B$6:$B$15=$C18)), )"),"")</f>
        <v/>
      </c>
      <c r="BQ18" s="43">
        <f>IFERROR(__xludf.DUMMYFUNCTION("IFNA(SUM(FILTER('50 серия'!$B$6:$C$15,'50 серия'!$B$6:$B$15=$C18)), )"),18.75)</f>
        <v>18.75</v>
      </c>
      <c r="BR18" s="43">
        <f>IFERROR(__xludf.DUMMYFUNCTION("IFNA(SUM(FILTER('51 серия'!$B$6:$C$15,'51 серия'!$B$6:$B$15=$C18)), )"),25.25)</f>
        <v>25.25</v>
      </c>
      <c r="BS18" s="49" t="str">
        <f>IFERROR(__xludf.DUMMYFUNCTION("IFNA(SUM(FILTER('52 серия'!$B$6:$C$15,'52 серия'!$B$6:$B$15=C18)), )"),"")</f>
        <v/>
      </c>
      <c r="BT18" s="32" t="str">
        <f>IFERROR(__xludf.DUMMYFUNCTION("IFNA(SUM(FILTER('53 серия'!$B$6:$C$15,'53 серия'!$B$6:$B$15=$C18)), )"),"")</f>
        <v/>
      </c>
      <c r="BU18" s="32" t="str">
        <f>IFERROR(__xludf.DUMMYFUNCTION("IFNA(SUM(FILTER('54 серия'!$B$6:$C$15,'54 серия'!$B$6:$B$15=$C18)), )"),"")</f>
        <v/>
      </c>
      <c r="BV18" s="32">
        <f>IFERROR(__xludf.DUMMYFUNCTION("IFNA(SUM(FILTER('55 серия'!$B$6:$C$15,'55 серия'!$B$6:$B$15=$C18)), )"),22.75)</f>
        <v>22.75</v>
      </c>
      <c r="BW18" s="32">
        <f>IFERROR(__xludf.DUMMYFUNCTION("IFNA(SUM(FILTER('56 серия'!$B$6:$C$15,'56 серия'!$B$6:$B$15=$C18)), )"),21.5)</f>
        <v>21.5</v>
      </c>
      <c r="BX18" s="32" t="str">
        <f>IFERROR(__xludf.DUMMYFUNCTION("IFNA(SUM(FILTER('57 серия'!$B$6:$C$15,'57 серия'!$B$6:$B$15=$C18)), )"),"")</f>
        <v/>
      </c>
      <c r="BY18" s="32" t="str">
        <f>IFERROR(__xludf.DUMMYFUNCTION("IFNA(SUM(FILTER('58 серия'!$B$6:$C$15,'58 серия'!$B$6:$B$15=$C18)), )"),"")</f>
        <v/>
      </c>
      <c r="BZ18" s="46" t="str">
        <f>IFERROR(__xludf.DUMMYFUNCTION("IFNA(SUM(FILTER('59 серия'!$B$6:$C$15,'59 серия'!$B$6:$B$15=C18)), )"),"")</f>
        <v/>
      </c>
      <c r="CA18" s="44" t="str">
        <f>IFERROR(__xludf.DUMMYFUNCTION("IFNA(SUM(FILTER('60 серия'!$B$6:$C$15,'60 серия'!$B$6:$B$15=$C18)), )"),"")</f>
        <v/>
      </c>
      <c r="CB18" s="4"/>
    </row>
    <row r="19">
      <c r="A19" s="10"/>
      <c r="B19" s="27">
        <f t="shared" si="1"/>
        <v>13</v>
      </c>
      <c r="C19" s="45" t="s">
        <v>91</v>
      </c>
      <c r="D19" s="29">
        <f>'Игроки статистика'!B17</f>
        <v>50</v>
      </c>
      <c r="E19" s="30">
        <f t="shared" si="2"/>
        <v>190.5</v>
      </c>
      <c r="F19" s="31">
        <f t="shared" si="3"/>
        <v>19.05</v>
      </c>
      <c r="G19" s="46">
        <f t="shared" si="4"/>
        <v>2.61</v>
      </c>
      <c r="H19" s="46">
        <f>SUMIFS('Все игры'!C$3:C1011,'Все игры'!A$3:A1011,C19)</f>
        <v>60</v>
      </c>
      <c r="I19" s="46">
        <f t="shared" si="5"/>
        <v>129</v>
      </c>
      <c r="J19" s="47">
        <f>SUMIFS('Все игры'!F$3:F1011,'Все игры'!A$3:A1011,C19)</f>
        <v>0</v>
      </c>
      <c r="K19" s="48">
        <f>SUMIFS('Все игры'!G$3:G1011,'Все игры'!A$3:A1011,C19)</f>
        <v>1.5</v>
      </c>
      <c r="L19" s="35">
        <f>'Игроки статистика'!G17</f>
        <v>3</v>
      </c>
      <c r="M19" s="36">
        <f t="shared" si="6"/>
        <v>24</v>
      </c>
      <c r="N19" s="36">
        <f>SUM('Игроки статистика'!O17,'Игроки статистика'!Q17)</f>
        <v>2</v>
      </c>
      <c r="O19" s="37">
        <f>SUM('Игроки статистика'!P17,'Игроки статистика'!R17)</f>
        <v>4</v>
      </c>
      <c r="P19" s="38" t="str">
        <f>IFERROR(__xludf.DUMMYFUNCTION("IFNA(SUM(FILTER('Штрафы'!$D$5:$D1011,'Штрафы'!$C$5:$C1011=C19)), )"),"")</f>
        <v/>
      </c>
      <c r="Q19" s="38" t="str">
        <f>IFERROR(__xludf.DUMMYFUNCTION("IFNA(SUM(FILTER('Штрафы'!$F$5:$F1011,'Штрафы'!$C$5:$C1011=C19)), )"),"")</f>
        <v/>
      </c>
      <c r="R19" s="39"/>
      <c r="S19" s="40"/>
      <c r="T19" s="31" t="str">
        <f>IFERROR(__xludf.DUMMYFUNCTION("IFNA(SUM(FILTER('1 серия'!$B$6:$C$15,'1 серия'!$B$6:$B$15=C19)), )"),"")</f>
        <v/>
      </c>
      <c r="U19" s="32" t="str">
        <f>IFERROR(__xludf.DUMMYFUNCTION("IFNA(SUM(FILTER('2 серия'!$B$6:$C$15,'2 серия'!$B$6:$B$15=C19)), )
"),"")</f>
        <v/>
      </c>
      <c r="V19" s="32">
        <f>IFERROR(__xludf.DUMMYFUNCTION("IFNA(SUM(FILTER('3 серия'!$B$6:$C$15,'3 серия'!$B$6:$B$15=C19)), )
"),23.25)</f>
        <v>23.25</v>
      </c>
      <c r="W19" s="32" t="str">
        <f>IFERROR(__xludf.DUMMYFUNCTION("IFNA(SUM(FILTER('4 серия'!$B$6:$C$15,'4 серия'!$B$6:$B$15=C19)), )"),"")</f>
        <v/>
      </c>
      <c r="X19" s="32">
        <f>IFERROR(__xludf.DUMMYFUNCTION("IFNA(SUM(FILTER('5 серия'!$B$6:$C$15,'5 серия'!$B$6:$B$15=C19)), )"),20.5)</f>
        <v>20.5</v>
      </c>
      <c r="Y19" s="32" t="str">
        <f>IFERROR(__xludf.DUMMYFUNCTION("IFNA(SUM(FILTER('6 серия'!$B$6:$C$15,'6 серия'!$B$6:$B$15=C19)), )"),"")</f>
        <v/>
      </c>
      <c r="Z19" s="32">
        <f>IFERROR(__xludf.DUMMYFUNCTION("IFNA(SUM(FILTER('7 серия'!$B$6:$C$15,'7 серия'!$B$6:$B$15=C19)), )"),22.0)</f>
        <v>22</v>
      </c>
      <c r="AA19" s="32" t="str">
        <f>IFERROR(__xludf.DUMMYFUNCTION("IFNA(SUM(FILTER('8 серия'!$B$6:$C$15,'8 серия'!$B$6:$B$15=C19)), )"),"")</f>
        <v/>
      </c>
      <c r="AB19" s="32" t="str">
        <f>IFERROR(__xludf.DUMMYFUNCTION("IFNA(SUM(FILTER('9 серия'!$B$7:$C$16,'9 серия'!$B$7:$B$16=C19)), )"),"")</f>
        <v/>
      </c>
      <c r="AC19" s="32" t="str">
        <f>IFERROR(__xludf.DUMMYFUNCTION("IFNA(SUM(FILTER('10 серия'!$B$6:$C$15,'10 серия'!$B$6:$B$15=C19)), )"),"")</f>
        <v/>
      </c>
      <c r="AD19" s="32" t="str">
        <f>IFERROR(__xludf.DUMMYFUNCTION("IFNA(SUM(FILTER('11 серия'!$B$6:$C$15,'11 серия'!$B$6:$B$15=C19)), )"),"")</f>
        <v/>
      </c>
      <c r="AE19" s="32" t="str">
        <f>IFERROR(__xludf.DUMMYFUNCTION("IFNA(SUM(FILTER('12 серия'!$B$6:$C$15,'12 серия'!$B$6:$B$15=C19)), )"),"")</f>
        <v/>
      </c>
      <c r="AF19" s="32" t="str">
        <f>IFERROR(__xludf.DUMMYFUNCTION("IFNA(SUM(FILTER('13 серия'!$B$6:$C$15,'13 серия'!$B$6:$B$15=C19)), )"),"")</f>
        <v/>
      </c>
      <c r="AG19" s="32" t="str">
        <f>IFERROR(__xludf.DUMMYFUNCTION("IFNA(SUM(FILTER('14 серия'!$B$6:$C$15,'14 серия'!$B$6:$B$15=C19)), )"),"")</f>
        <v/>
      </c>
      <c r="AH19" s="32" t="str">
        <f>IFERROR(__xludf.DUMMYFUNCTION("IFNA(SUM(FILTER('15 серия'!$B$6:$C$15,'15 серия'!$B$6:$B$15=C19)), )"),"")</f>
        <v/>
      </c>
      <c r="AI19" s="32" t="str">
        <f>IFERROR(__xludf.DUMMYFUNCTION("IFNA(SUM(FILTER('16 серия'!$B$6:$C$15,'16 серия'!$B$6:$B$15=C19)), )"),"")</f>
        <v/>
      </c>
      <c r="AJ19" s="32" t="str">
        <f>IFERROR(__xludf.DUMMYFUNCTION("IFNA(SUM(FILTER('17 серия'!$B$6:$C$15,'17 серия'!$B$6:$B$15=C19)), )"),"")</f>
        <v/>
      </c>
      <c r="AK19" s="32">
        <f>IFERROR(__xludf.DUMMYFUNCTION("IFNA(SUM(FILTER('18 серия'!$B$6:$C$15,'18 серия'!$B$6:$B$15=C19)), )"),18.25)</f>
        <v>18.25</v>
      </c>
      <c r="AL19" s="32" t="str">
        <f>IFERROR(__xludf.DUMMYFUNCTION("IFNA(SUM(FILTER('19 серия'!$B$6:$C$15,'19 серия'!$B$6:$B$15=C19)), )"),"")</f>
        <v/>
      </c>
      <c r="AM19" s="32" t="str">
        <f>IFERROR(__xludf.DUMMYFUNCTION("IFNA(SUM(FILTER('20 серия'!$B$6:$C$15,'20 серия'!$B$6:$B$15=C19)), )"),"")</f>
        <v/>
      </c>
      <c r="AN19" s="32" t="str">
        <f>IFERROR(__xludf.DUMMYFUNCTION("IFNA(SUM(FILTER('21 серия'!$B$6:$C$15,'21 серия'!$B$6:$B$15=C19)), )"),"")</f>
        <v/>
      </c>
      <c r="AO19" s="32" t="str">
        <f>IFERROR(__xludf.DUMMYFUNCTION("IFNA(SUM(FILTER('22 серия'!$B$6:$C$15,'22 серия'!$B$6:$B$15=C19)), )"),"")</f>
        <v/>
      </c>
      <c r="AP19" s="32" t="str">
        <f>IFERROR(__xludf.DUMMYFUNCTION("IFNA(SUM(FILTER('23 серия'!$B$6:$C$15,'23 серия'!$B$6:$B$15=C19)), )"),"")</f>
        <v/>
      </c>
      <c r="AQ19" s="32" t="str">
        <f>IFERROR(__xludf.DUMMYFUNCTION("IFNA(SUM(FILTER('24 серия'!$B$6:$C$15,'24 серия'!$B$6:$B$15=C19)), )"),"")</f>
        <v/>
      </c>
      <c r="AR19" s="32">
        <f>IFERROR(__xludf.DUMMYFUNCTION("IFNA(SUM(FILTER('25 серия'!$B$6:$C$15,'25 серия'!$B$6:$B$15=C19)), )"),14.25)</f>
        <v>14.25</v>
      </c>
      <c r="AS19" s="32" t="str">
        <f>IFERROR(__xludf.DUMMYFUNCTION("IFNA(SUM(FILTER('26 серия'!$B$6:$C$15,'26 серия'!$B$6:$B$15=C19)), )"),"")</f>
        <v/>
      </c>
      <c r="AT19" s="32" t="str">
        <f>IFERROR(__xludf.DUMMYFUNCTION("IFNA(SUM(FILTER('27 серия'!$B$6:$C$15,'27 серия'!$B$6:$B$15=C19)), )"),"")</f>
        <v/>
      </c>
      <c r="AU19" s="32" t="str">
        <f>IFERROR(__xludf.DUMMYFUNCTION("IFNA(SUM(FILTER('28 серия'!$B$6:$C$15,'28 серия'!$B$6:$B$15=C19)), )"),"")</f>
        <v/>
      </c>
      <c r="AV19" s="32" t="str">
        <f>IFERROR(__xludf.DUMMYFUNCTION("IFNA(SUM(FILTER('29 серия'!$B$6:$C$15,'29 серия'!$B$6:$B$15=C19)), )"),"")</f>
        <v/>
      </c>
      <c r="AW19" s="32" t="str">
        <f>IFERROR(__xludf.DUMMYFUNCTION("IFNA(SUM(FILTER('30 серия'!$B$6:$C$15,'30 серия'!$B$6:$B$15=C19)), )"),"")</f>
        <v/>
      </c>
      <c r="AX19" s="32" t="str">
        <f>IFERROR(__xludf.DUMMYFUNCTION("IFNA(SUM(FILTER('31 серия'!$B$6:$C$15,'31 серия'!$B$6:$B$15=C19)), )"),"")</f>
        <v/>
      </c>
      <c r="AY19" s="32" t="str">
        <f>IFERROR(__xludf.DUMMYFUNCTION("IFNA(SUM(FILTER('32 серия'!$B$6:$C$15,'32 серия'!$B$6:$B$15=C19)), )"),"")</f>
        <v/>
      </c>
      <c r="AZ19" s="32" t="str">
        <f>IFERROR(__xludf.DUMMYFUNCTION("IFNA(SUM(FILTER('33 серия'!$B$6:$C$15,'33 серия'!$B$6:$B$15=C19)), )"),"")</f>
        <v/>
      </c>
      <c r="BA19" s="32" t="str">
        <f>IFERROR(__xludf.DUMMYFUNCTION("IFNA(SUM(FILTER('34 серия'!$B$6:$C$15,'34 серия'!$B$6:$B$15=C19)), )"),"")</f>
        <v/>
      </c>
      <c r="BB19" s="32" t="str">
        <f>IFERROR(__xludf.DUMMYFUNCTION("IFNA(SUM(FILTER('35 серия'!$B$6:$C$15,'35 серия'!$B$6:$B$15=C19)), )"),"")</f>
        <v/>
      </c>
      <c r="BC19" s="32" t="str">
        <f>IFERROR(__xludf.DUMMYFUNCTION("IFNA(SUM(FILTER('36 серия'!$B$6:$C$15,'36 серия'!$B$6:$B$15=C19)), )"),"")</f>
        <v/>
      </c>
      <c r="BD19" s="32" t="str">
        <f>IFERROR(__xludf.DUMMYFUNCTION("IFNA(SUM(FILTER('37 серия'!$B$6:$C$15,'37 серия'!$B$6:$B$15=C19)), )"),"")</f>
        <v/>
      </c>
      <c r="BE19" s="32" t="str">
        <f>IFERROR(__xludf.DUMMYFUNCTION("IFNA(SUM(FILTER('38 серия'!$B$6:$C$15,'38 серия'!$B$6:$B$15=C19)), )"),"")</f>
        <v/>
      </c>
      <c r="BF19" s="32" t="str">
        <f>IFERROR(__xludf.DUMMYFUNCTION("IFNA(SUM(FILTER('39 серия'!$B$6:$C$15,'39 серия'!$B$6:$B$15=C19)), )"),"")</f>
        <v/>
      </c>
      <c r="BG19" s="32" t="str">
        <f>IFERROR(__xludf.DUMMYFUNCTION("IFNA(SUM(FILTER('40 серия'!$B$6:$C$15,'40 серия'!$B$6:$B$15=C19)), )"),"")</f>
        <v/>
      </c>
      <c r="BH19" s="32" t="str">
        <f>IFERROR(__xludf.DUMMYFUNCTION("IFNA(SUM(FILTER('41 серия'!$B$6:$C$15,'41 серия'!$B$6:$B$15=C19)), )"),"")</f>
        <v/>
      </c>
      <c r="BI19" s="32" t="str">
        <f>IFERROR(__xludf.DUMMYFUNCTION("IFNA(SUM(FILTER('42 серия'!$B$6:$C$15,'42 серия'!$B$6:$B$15=C19)), )"),"")</f>
        <v/>
      </c>
      <c r="BJ19" s="32" t="str">
        <f>IFERROR(__xludf.DUMMYFUNCTION("IFNA(SUM(FILTER('43 серия'!$B$6:$C$15,'43 серия'!$B$6:$B$15=C19)), )"),"")</f>
        <v/>
      </c>
      <c r="BK19" s="32">
        <f>IFERROR(__xludf.DUMMYFUNCTION("IFNA(SUM(FILTER('44 серия'!$B$6:$C$15,'44 серия'!$B$6:$B$15=C19)), )"),22.25)</f>
        <v>22.25</v>
      </c>
      <c r="BL19" s="32" t="str">
        <f>IFERROR(__xludf.DUMMYFUNCTION("IFNA(SUM(FILTER('45 серия'!$B$6:$C$15,'45 серия'!$B$6:$B$15=C19)), )"),"")</f>
        <v/>
      </c>
      <c r="BM19" s="32">
        <f>IFERROR(__xludf.DUMMYFUNCTION("IFNA(SUM(FILTER('46 серия'!$B$6:$C$15,'46 серия'!$B$6:$B$15=C19)), )"),15.0)</f>
        <v>15</v>
      </c>
      <c r="BN19" s="32">
        <f>IFERROR(__xludf.DUMMYFUNCTION("IFNA(SUM(FILTER('47 серия'!$B$6:$C$15,'47 серия'!$B$6:$B$15=C19)), )"),21.0)</f>
        <v>21</v>
      </c>
      <c r="BO19" s="42" t="str">
        <f>IFERROR(__xludf.DUMMYFUNCTION("IFNA(SUM(FILTER('48 серия'!$B$6:$C$15,'48 серия'!$B$6:$B$15=$C19)), )"),"")</f>
        <v/>
      </c>
      <c r="BP19" s="43">
        <f>IFERROR(__xludf.DUMMYFUNCTION("IFNA(SUM(FILTER('49 серия'!$B$6:$C$15,'49 серия'!$B$6:$B$15=$C19)), )"),18.0)</f>
        <v>18</v>
      </c>
      <c r="BQ19" s="43" t="str">
        <f>IFERROR(__xludf.DUMMYFUNCTION("IFNA(SUM(FILTER('50 серия'!$B$6:$C$15,'50 серия'!$B$6:$B$15=$C19)), )"),"")</f>
        <v/>
      </c>
      <c r="BR19" s="43" t="str">
        <f>IFERROR(__xludf.DUMMYFUNCTION("IFNA(SUM(FILTER('51 серия'!$B$6:$C$15,'51 серия'!$B$6:$B$15=$C19)), )"),"")</f>
        <v/>
      </c>
      <c r="BS19" s="49" t="str">
        <f>IFERROR(__xludf.DUMMYFUNCTION("IFNA(SUM(FILTER('52 серия'!$B$6:$C$15,'52 серия'!$B$6:$B$15=C19)), )"),"")</f>
        <v/>
      </c>
      <c r="BT19" s="32" t="str">
        <f>IFERROR(__xludf.DUMMYFUNCTION("IFNA(SUM(FILTER('53 серия'!$B$6:$C$15,'53 серия'!$B$6:$B$15=$C19)), )"),"")</f>
        <v/>
      </c>
      <c r="BU19" s="32">
        <f>IFERROR(__xludf.DUMMYFUNCTION("IFNA(SUM(FILTER('54 серия'!$B$6:$C$15,'54 серия'!$B$6:$B$15=$C19)), )"),16.0)</f>
        <v>16</v>
      </c>
      <c r="BV19" s="32" t="str">
        <f>IFERROR(__xludf.DUMMYFUNCTION("IFNA(SUM(FILTER('55 серия'!$B$6:$C$15,'55 серия'!$B$6:$B$15=$C19)), )"),"")</f>
        <v/>
      </c>
      <c r="BW19" s="32" t="str">
        <f>IFERROR(__xludf.DUMMYFUNCTION("IFNA(SUM(FILTER('56 серия'!$B$6:$C$15,'56 серия'!$B$6:$B$15=$C19)), )"),"")</f>
        <v/>
      </c>
      <c r="BX19" s="32" t="str">
        <f>IFERROR(__xludf.DUMMYFUNCTION("IFNA(SUM(FILTER('57 серия'!$B$6:$C$15,'57 серия'!$B$6:$B$15=$C19)), )"),"")</f>
        <v/>
      </c>
      <c r="BY19" s="32" t="str">
        <f>IFERROR(__xludf.DUMMYFUNCTION("IFNA(SUM(FILTER('58 серия'!$B$6:$C$15,'58 серия'!$B$6:$B$15=$C19)), )"),"")</f>
        <v/>
      </c>
      <c r="BZ19" s="46" t="str">
        <f>IFERROR(__xludf.DUMMYFUNCTION("IFNA(SUM(FILTER('59 серия'!$B$6:$C$15,'59 серия'!$B$6:$B$15=C19)), )"),"")</f>
        <v/>
      </c>
      <c r="CA19" s="44" t="str">
        <f>IFERROR(__xludf.DUMMYFUNCTION("IFNA(SUM(FILTER('60 серия'!$B$6:$C$15,'60 серия'!$B$6:$B$15=$C19)), )"),"")</f>
        <v/>
      </c>
      <c r="CB19" s="4"/>
    </row>
    <row r="20">
      <c r="A20" s="10"/>
      <c r="B20" s="27">
        <f t="shared" si="1"/>
        <v>14</v>
      </c>
      <c r="C20" s="28" t="s">
        <v>92</v>
      </c>
      <c r="D20" s="29">
        <f>'Игроки статистика'!B18</f>
        <v>50</v>
      </c>
      <c r="E20" s="30">
        <f t="shared" si="2"/>
        <v>213.25</v>
      </c>
      <c r="F20" s="31">
        <f t="shared" si="3"/>
        <v>21.325</v>
      </c>
      <c r="G20" s="46">
        <f t="shared" si="4"/>
        <v>2.865</v>
      </c>
      <c r="H20" s="46">
        <f>SUMIFS('Все игры'!C$3:C1011,'Все игры'!A$3:A1011,C20)</f>
        <v>70</v>
      </c>
      <c r="I20" s="46">
        <f t="shared" si="5"/>
        <v>142.25</v>
      </c>
      <c r="J20" s="47">
        <f>SUMIFS('Все игры'!F$3:F1011,'Все игры'!A$3:A1011,C20)</f>
        <v>0</v>
      </c>
      <c r="K20" s="48">
        <f>SUMIFS('Все игры'!G$3:G1011,'Все игры'!A$3:A1011,C20)</f>
        <v>1</v>
      </c>
      <c r="L20" s="35">
        <f>'Игроки статистика'!G18</f>
        <v>2</v>
      </c>
      <c r="M20" s="36">
        <f t="shared" si="6"/>
        <v>28</v>
      </c>
      <c r="N20" s="36">
        <f>SUM('Игроки статистика'!O18,'Игроки статистика'!Q18)</f>
        <v>5</v>
      </c>
      <c r="O20" s="37">
        <f>SUM('Игроки статистика'!P18,'Игроки статистика'!R18)</f>
        <v>4</v>
      </c>
      <c r="P20" s="38" t="str">
        <f>IFERROR(__xludf.DUMMYFUNCTION("IFNA(SUM(FILTER('Штрафы'!$D$5:$D1011,'Штрафы'!$C$5:$C1011=C20)), )"),"")</f>
        <v/>
      </c>
      <c r="Q20" s="38" t="str">
        <f>IFERROR(__xludf.DUMMYFUNCTION("IFNA(SUM(FILTER('Штрафы'!$F$5:$F1011,'Штрафы'!$C$5:$C1011=C20)), )"),"")</f>
        <v/>
      </c>
      <c r="R20" s="39"/>
      <c r="S20" s="40"/>
      <c r="T20" s="31" t="str">
        <f>IFERROR(__xludf.DUMMYFUNCTION("IFNA(SUM(FILTER('1 серия'!$B$6:$C$15,'1 серия'!$B$6:$B$15=C20)), )"),"")</f>
        <v/>
      </c>
      <c r="U20" s="32" t="str">
        <f>IFERROR(__xludf.DUMMYFUNCTION("IFNA(SUM(FILTER('2 серия'!$B$6:$C$15,'2 серия'!$B$6:$B$15=C20)), )
"),"")</f>
        <v/>
      </c>
      <c r="V20" s="32" t="str">
        <f>IFERROR(__xludf.DUMMYFUNCTION("IFNA(SUM(FILTER('3 серия'!$B$6:$C$15,'3 серия'!$B$6:$B$15=C20)), )
"),"")</f>
        <v/>
      </c>
      <c r="W20" s="32" t="str">
        <f>IFERROR(__xludf.DUMMYFUNCTION("IFNA(SUM(FILTER('4 серия'!$B$6:$C$15,'4 серия'!$B$6:$B$15=C20)), )"),"")</f>
        <v/>
      </c>
      <c r="X20" s="32" t="str">
        <f>IFERROR(__xludf.DUMMYFUNCTION("IFNA(SUM(FILTER('5 серия'!$B$6:$C$15,'5 серия'!$B$6:$B$15=C20)), )"),"")</f>
        <v/>
      </c>
      <c r="Y20" s="32" t="str">
        <f>IFERROR(__xludf.DUMMYFUNCTION("IFNA(SUM(FILTER('6 серия'!$B$6:$C$15,'6 серия'!$B$6:$B$15=C20)), )"),"")</f>
        <v/>
      </c>
      <c r="Z20" s="32" t="str">
        <f>IFERROR(__xludf.DUMMYFUNCTION("IFNA(SUM(FILTER('7 серия'!$B$6:$C$15,'7 серия'!$B$6:$B$15=C20)), )"),"")</f>
        <v/>
      </c>
      <c r="AA20" s="32" t="str">
        <f>IFERROR(__xludf.DUMMYFUNCTION("IFNA(SUM(FILTER('8 серия'!$B$6:$C$15,'8 серия'!$B$6:$B$15=C20)), )"),"")</f>
        <v/>
      </c>
      <c r="AB20" s="32" t="str">
        <f>IFERROR(__xludf.DUMMYFUNCTION("IFNA(SUM(FILTER('9 серия'!$B$7:$C$16,'9 серия'!$B$7:$B$16=C20)), )"),"")</f>
        <v/>
      </c>
      <c r="AC20" s="32" t="str">
        <f>IFERROR(__xludf.DUMMYFUNCTION("IFNA(SUM(FILTER('10 серия'!$B$6:$C$15,'10 серия'!$B$6:$B$15=C20)), )"),"")</f>
        <v/>
      </c>
      <c r="AD20" s="32" t="str">
        <f>IFERROR(__xludf.DUMMYFUNCTION("IFNA(SUM(FILTER('11 серия'!$B$6:$C$15,'11 серия'!$B$6:$B$15=C20)), )"),"")</f>
        <v/>
      </c>
      <c r="AE20" s="32" t="str">
        <f>IFERROR(__xludf.DUMMYFUNCTION("IFNA(SUM(FILTER('12 серия'!$B$6:$C$15,'12 серия'!$B$6:$B$15=C20)), )"),"")</f>
        <v/>
      </c>
      <c r="AF20" s="32" t="str">
        <f>IFERROR(__xludf.DUMMYFUNCTION("IFNA(SUM(FILTER('13 серия'!$B$6:$C$15,'13 серия'!$B$6:$B$15=C20)), )"),"")</f>
        <v/>
      </c>
      <c r="AG20" s="32" t="str">
        <f>IFERROR(__xludf.DUMMYFUNCTION("IFNA(SUM(FILTER('14 серия'!$B$6:$C$15,'14 серия'!$B$6:$B$15=C20)), )"),"")</f>
        <v/>
      </c>
      <c r="AH20" s="32">
        <f>IFERROR(__xludf.DUMMYFUNCTION("IFNA(SUM(FILTER('15 серия'!$B$6:$C$15,'15 серия'!$B$6:$B$15=C20)), )"),25.0)</f>
        <v>25</v>
      </c>
      <c r="AI20" s="32">
        <f>IFERROR(__xludf.DUMMYFUNCTION("IFNA(SUM(FILTER('16 серия'!$B$6:$C$15,'16 серия'!$B$6:$B$15=C20)), )"),16.0)</f>
        <v>16</v>
      </c>
      <c r="AJ20" s="32" t="str">
        <f>IFERROR(__xludf.DUMMYFUNCTION("IFNA(SUM(FILTER('17 серия'!$B$6:$C$15,'17 серия'!$B$6:$B$15=C20)), )"),"")</f>
        <v/>
      </c>
      <c r="AK20" s="32" t="str">
        <f>IFERROR(__xludf.DUMMYFUNCTION("IFNA(SUM(FILTER('18 серия'!$B$6:$C$15,'18 серия'!$B$6:$B$15=C20)), )"),"")</f>
        <v/>
      </c>
      <c r="AL20" s="32" t="str">
        <f>IFERROR(__xludf.DUMMYFUNCTION("IFNA(SUM(FILTER('19 серия'!$B$6:$C$15,'19 серия'!$B$6:$B$15=C20)), )"),"")</f>
        <v/>
      </c>
      <c r="AM20" s="32" t="str">
        <f>IFERROR(__xludf.DUMMYFUNCTION("IFNA(SUM(FILTER('20 серия'!$B$6:$C$15,'20 серия'!$B$6:$B$15=C20)), )"),"")</f>
        <v/>
      </c>
      <c r="AN20" s="32" t="str">
        <f>IFERROR(__xludf.DUMMYFUNCTION("IFNA(SUM(FILTER('21 серия'!$B$6:$C$15,'21 серия'!$B$6:$B$15=C20)), )"),"")</f>
        <v/>
      </c>
      <c r="AO20" s="32">
        <f>IFERROR(__xludf.DUMMYFUNCTION("IFNA(SUM(FILTER('22 серия'!$B$6:$C$15,'22 серия'!$B$6:$B$15=C20)), )"),21.25)</f>
        <v>21.25</v>
      </c>
      <c r="AP20" s="32" t="str">
        <f>IFERROR(__xludf.DUMMYFUNCTION("IFNA(SUM(FILTER('23 серия'!$B$6:$C$15,'23 серия'!$B$6:$B$15=C20)), )"),"")</f>
        <v/>
      </c>
      <c r="AQ20" s="32" t="str">
        <f>IFERROR(__xludf.DUMMYFUNCTION("IFNA(SUM(FILTER('24 серия'!$B$6:$C$15,'24 серия'!$B$6:$B$15=C20)), )"),"")</f>
        <v/>
      </c>
      <c r="AR20" s="32" t="str">
        <f>IFERROR(__xludf.DUMMYFUNCTION("IFNA(SUM(FILTER('25 серия'!$B$6:$C$15,'25 серия'!$B$6:$B$15=C20)), )"),"")</f>
        <v/>
      </c>
      <c r="AS20" s="32" t="str">
        <f>IFERROR(__xludf.DUMMYFUNCTION("IFNA(SUM(FILTER('26 серия'!$B$6:$C$15,'26 серия'!$B$6:$B$15=C20)), )"),"")</f>
        <v/>
      </c>
      <c r="AT20" s="32">
        <f>IFERROR(__xludf.DUMMYFUNCTION("IFNA(SUM(FILTER('27 серия'!$B$6:$C$15,'27 серия'!$B$6:$B$15=C20)), )"),21.5)</f>
        <v>21.5</v>
      </c>
      <c r="AU20" s="32" t="str">
        <f>IFERROR(__xludf.DUMMYFUNCTION("IFNA(SUM(FILTER('28 серия'!$B$6:$C$15,'28 серия'!$B$6:$B$15=C20)), )"),"")</f>
        <v/>
      </c>
      <c r="AV20" s="32">
        <f>IFERROR(__xludf.DUMMYFUNCTION("IFNA(SUM(FILTER('29 серия'!$B$6:$C$15,'29 серия'!$B$6:$B$15=C20)), )"),19.25)</f>
        <v>19.25</v>
      </c>
      <c r="AW20" s="32">
        <f>IFERROR(__xludf.DUMMYFUNCTION("IFNA(SUM(FILTER('30 серия'!$B$6:$C$15,'30 серия'!$B$6:$B$15=C20)), )"),22.25)</f>
        <v>22.25</v>
      </c>
      <c r="AX20" s="32" t="str">
        <f>IFERROR(__xludf.DUMMYFUNCTION("IFNA(SUM(FILTER('31 серия'!$B$6:$C$15,'31 серия'!$B$6:$B$15=C20)), )"),"")</f>
        <v/>
      </c>
      <c r="AY20" s="32" t="str">
        <f>IFERROR(__xludf.DUMMYFUNCTION("IFNA(SUM(FILTER('32 серия'!$B$6:$C$15,'32 серия'!$B$6:$B$15=C20)), )"),"")</f>
        <v/>
      </c>
      <c r="AZ20" s="32" t="str">
        <f>IFERROR(__xludf.DUMMYFUNCTION("IFNA(SUM(FILTER('33 серия'!$B$6:$C$15,'33 серия'!$B$6:$B$15=C20)), )"),"")</f>
        <v/>
      </c>
      <c r="BA20" s="32" t="str">
        <f>IFERROR(__xludf.DUMMYFUNCTION("IFNA(SUM(FILTER('34 серия'!$B$6:$C$15,'34 серия'!$B$6:$B$15=C20)), )"),"")</f>
        <v/>
      </c>
      <c r="BB20" s="32" t="str">
        <f>IFERROR(__xludf.DUMMYFUNCTION("IFNA(SUM(FILTER('35 серия'!$B$6:$C$15,'35 серия'!$B$6:$B$15=C20)), )"),"")</f>
        <v/>
      </c>
      <c r="BC20" s="32" t="str">
        <f>IFERROR(__xludf.DUMMYFUNCTION("IFNA(SUM(FILTER('36 серия'!$B$6:$C$15,'36 серия'!$B$6:$B$15=C20)), )"),"")</f>
        <v/>
      </c>
      <c r="BD20" s="32" t="str">
        <f>IFERROR(__xludf.DUMMYFUNCTION("IFNA(SUM(FILTER('37 серия'!$B$6:$C$15,'37 серия'!$B$6:$B$15=C20)), )"),"")</f>
        <v/>
      </c>
      <c r="BE20" s="32" t="str">
        <f>IFERROR(__xludf.DUMMYFUNCTION("IFNA(SUM(FILTER('38 серия'!$B$6:$C$15,'38 серия'!$B$6:$B$15=C20)), )"),"")</f>
        <v/>
      </c>
      <c r="BF20" s="32">
        <f>IFERROR(__xludf.DUMMYFUNCTION("IFNA(SUM(FILTER('39 серия'!$B$6:$C$15,'39 серия'!$B$6:$B$15=C20)), )"),25.25)</f>
        <v>25.25</v>
      </c>
      <c r="BG20" s="32" t="str">
        <f>IFERROR(__xludf.DUMMYFUNCTION("IFNA(SUM(FILTER('40 серия'!$B$6:$C$15,'40 серия'!$B$6:$B$15=C20)), )"),"")</f>
        <v/>
      </c>
      <c r="BH20" s="32" t="str">
        <f>IFERROR(__xludf.DUMMYFUNCTION("IFNA(SUM(FILTER('41 серия'!$B$6:$C$15,'41 серия'!$B$6:$B$15=C20)), )"),"")</f>
        <v/>
      </c>
      <c r="BI20" s="32" t="str">
        <f>IFERROR(__xludf.DUMMYFUNCTION("IFNA(SUM(FILTER('42 серия'!$B$6:$C$15,'42 серия'!$B$6:$B$15=C20)), )"),"")</f>
        <v/>
      </c>
      <c r="BJ20" s="32" t="str">
        <f>IFERROR(__xludf.DUMMYFUNCTION("IFNA(SUM(FILTER('43 серия'!$B$6:$C$15,'43 серия'!$B$6:$B$15=C20)), )"),"")</f>
        <v/>
      </c>
      <c r="BK20" s="32" t="str">
        <f>IFERROR(__xludf.DUMMYFUNCTION("IFNA(SUM(FILTER('44 серия'!$B$6:$C$15,'44 серия'!$B$6:$B$15=C20)), )"),"")</f>
        <v/>
      </c>
      <c r="BL20" s="32" t="str">
        <f>IFERROR(__xludf.DUMMYFUNCTION("IFNA(SUM(FILTER('45 серия'!$B$6:$C$15,'45 серия'!$B$6:$B$15=C20)), )"),"")</f>
        <v/>
      </c>
      <c r="BM20" s="32" t="str">
        <f>IFERROR(__xludf.DUMMYFUNCTION("IFNA(SUM(FILTER('46 серия'!$B$6:$C$15,'46 серия'!$B$6:$B$15=C20)), )"),"")</f>
        <v/>
      </c>
      <c r="BN20" s="32" t="str">
        <f>IFERROR(__xludf.DUMMYFUNCTION("IFNA(SUM(FILTER('47 серия'!$B$6:$C$15,'47 серия'!$B$6:$B$15=C20)), )"),"")</f>
        <v/>
      </c>
      <c r="BO20" s="42" t="str">
        <f>IFERROR(__xludf.DUMMYFUNCTION("IFNA(SUM(FILTER('48 серия'!$B$6:$C$15,'48 серия'!$B$6:$B$15=$C20)), )"),"")</f>
        <v/>
      </c>
      <c r="BP20" s="43" t="str">
        <f>IFERROR(__xludf.DUMMYFUNCTION("IFNA(SUM(FILTER('49 серия'!$B$6:$C$15,'49 серия'!$B$6:$B$15=$C20)), )"),"")</f>
        <v/>
      </c>
      <c r="BQ20" s="43" t="str">
        <f>IFERROR(__xludf.DUMMYFUNCTION("IFNA(SUM(FILTER('50 серия'!$B$6:$C$15,'50 серия'!$B$6:$B$15=$C20)), )"),"")</f>
        <v/>
      </c>
      <c r="BR20" s="43" t="str">
        <f>IFERROR(__xludf.DUMMYFUNCTION("IFNA(SUM(FILTER('51 серия'!$B$6:$C$15,'51 серия'!$B$6:$B$15=$C20)), )"),"")</f>
        <v/>
      </c>
      <c r="BS20" s="49" t="str">
        <f>IFERROR(__xludf.DUMMYFUNCTION("IFNA(SUM(FILTER('52 серия'!$B$6:$C$15,'52 серия'!$B$6:$B$15=C20)), )"),"")</f>
        <v/>
      </c>
      <c r="BT20" s="32" t="str">
        <f>IFERROR(__xludf.DUMMYFUNCTION("IFNA(SUM(FILTER('53 серия'!$B$6:$C$15,'53 серия'!$B$6:$B$15=$C20)), )"),"")</f>
        <v/>
      </c>
      <c r="BU20" s="32" t="str">
        <f>IFERROR(__xludf.DUMMYFUNCTION("IFNA(SUM(FILTER('54 серия'!$B$6:$C$15,'54 серия'!$B$6:$B$15=$C20)), )"),"")</f>
        <v/>
      </c>
      <c r="BV20" s="32" t="str">
        <f>IFERROR(__xludf.DUMMYFUNCTION("IFNA(SUM(FILTER('55 серия'!$B$6:$C$15,'55 серия'!$B$6:$B$15=$C20)), )"),"")</f>
        <v/>
      </c>
      <c r="BW20" s="32" t="str">
        <f>IFERROR(__xludf.DUMMYFUNCTION("IFNA(SUM(FILTER('56 серия'!$B$6:$C$15,'56 серия'!$B$6:$B$15=$C20)), )"),"")</f>
        <v/>
      </c>
      <c r="BX20" s="32">
        <f>IFERROR(__xludf.DUMMYFUNCTION("IFNA(SUM(FILTER('57 серия'!$B$6:$C$15,'57 серия'!$B$6:$B$15=$C20)), )"),25.25)</f>
        <v>25.25</v>
      </c>
      <c r="BY20" s="32">
        <f>IFERROR(__xludf.DUMMYFUNCTION("IFNA(SUM(FILTER('58 серия'!$B$6:$C$15,'58 серия'!$B$6:$B$15=$C20)), )"),14.5)</f>
        <v>14.5</v>
      </c>
      <c r="BZ20" s="46" t="str">
        <f>IFERROR(__xludf.DUMMYFUNCTION("IFNA(SUM(FILTER('59 серия'!$B$6:$C$15,'59 серия'!$B$6:$B$15=C20)), )"),"")</f>
        <v/>
      </c>
      <c r="CA20" s="44">
        <f>IFERROR(__xludf.DUMMYFUNCTION("IFNA(SUM(FILTER('60 серия'!$B$6:$C$15,'60 серия'!$B$6:$B$15=$C20)), )"),23.0)</f>
        <v>23</v>
      </c>
      <c r="CB20" s="4"/>
    </row>
    <row r="21">
      <c r="A21" s="10"/>
      <c r="B21" s="27">
        <f t="shared" si="1"/>
        <v>15</v>
      </c>
      <c r="C21" s="28" t="s">
        <v>93</v>
      </c>
      <c r="D21" s="29">
        <f>'Игроки статистика'!B19</f>
        <v>50</v>
      </c>
      <c r="E21" s="30">
        <f t="shared" si="2"/>
        <v>224.5</v>
      </c>
      <c r="F21" s="31">
        <f t="shared" si="3"/>
        <v>22.45</v>
      </c>
      <c r="G21" s="46">
        <f t="shared" si="4"/>
        <v>3.14</v>
      </c>
      <c r="H21" s="46">
        <f>SUMIFS('Все игры'!C$3:C1011,'Все игры'!A$3:A1011,C21)</f>
        <v>67.5</v>
      </c>
      <c r="I21" s="46">
        <f t="shared" si="5"/>
        <v>150</v>
      </c>
      <c r="J21" s="47">
        <f>SUMIFS('Все игры'!F$3:F1011,'Все игры'!A$3:A1011,C21)</f>
        <v>2.5</v>
      </c>
      <c r="K21" s="48">
        <f>SUMIFS('Все игры'!G$3:G1011,'Все игры'!A$3:A1011,C21)</f>
        <v>4.5</v>
      </c>
      <c r="L21" s="35">
        <f>'Игроки статистика'!G19</f>
        <v>9</v>
      </c>
      <c r="M21" s="36">
        <f t="shared" si="6"/>
        <v>27</v>
      </c>
      <c r="N21" s="36">
        <f>SUM('Игроки статистика'!O19,'Игроки статистика'!Q19)</f>
        <v>6</v>
      </c>
      <c r="O21" s="37">
        <f>SUM('Игроки статистика'!P19,'Игроки статистика'!R19)</f>
        <v>5</v>
      </c>
      <c r="P21" s="38" t="str">
        <f>IFERROR(__xludf.DUMMYFUNCTION("IFNA(SUM(FILTER('Штрафы'!$D$5:$D1011,'Штрафы'!$C$5:$C1011=C21)), )"),"")</f>
        <v/>
      </c>
      <c r="Q21" s="38" t="str">
        <f>IFERROR(__xludf.DUMMYFUNCTION("IFNA(SUM(FILTER('Штрафы'!$F$5:$F1011,'Штрафы'!$C$5:$C1011=C21)), )"),"")</f>
        <v/>
      </c>
      <c r="R21" s="39"/>
      <c r="S21" s="40"/>
      <c r="T21" s="31" t="str">
        <f>IFERROR(__xludf.DUMMYFUNCTION("IFNA(SUM(FILTER('1 серия'!$B$6:$C$15,'1 серия'!$B$6:$B$15=C21)), )"),"")</f>
        <v/>
      </c>
      <c r="U21" s="32" t="str">
        <f>IFERROR(__xludf.DUMMYFUNCTION("IFNA(SUM(FILTER('2 серия'!$B$6:$C$15,'2 серия'!$B$6:$B$15=C21)), )
"),"")</f>
        <v/>
      </c>
      <c r="V21" s="32" t="str">
        <f>IFERROR(__xludf.DUMMYFUNCTION("IFNA(SUM(FILTER('3 серия'!$B$6:$C$15,'3 серия'!$B$6:$B$15=C21)), )
"),"")</f>
        <v/>
      </c>
      <c r="W21" s="32" t="str">
        <f>IFERROR(__xludf.DUMMYFUNCTION("IFNA(SUM(FILTER('4 серия'!$B$6:$C$15,'4 серия'!$B$6:$B$15=C21)), )"),"")</f>
        <v/>
      </c>
      <c r="X21" s="32" t="str">
        <f>IFERROR(__xludf.DUMMYFUNCTION("IFNA(SUM(FILTER('5 серия'!$B$6:$C$15,'5 серия'!$B$6:$B$15=C21)), )"),"")</f>
        <v/>
      </c>
      <c r="Y21" s="32" t="str">
        <f>IFERROR(__xludf.DUMMYFUNCTION("IFNA(SUM(FILTER('6 серия'!$B$6:$C$15,'6 серия'!$B$6:$B$15=C21)), )"),"")</f>
        <v/>
      </c>
      <c r="Z21" s="32" t="str">
        <f>IFERROR(__xludf.DUMMYFUNCTION("IFNA(SUM(FILTER('7 серия'!$B$6:$C$15,'7 серия'!$B$6:$B$15=C21)), )"),"")</f>
        <v/>
      </c>
      <c r="AA21" s="32" t="str">
        <f>IFERROR(__xludf.DUMMYFUNCTION("IFNA(SUM(FILTER('8 серия'!$B$6:$C$15,'8 серия'!$B$6:$B$15=C21)), )"),"")</f>
        <v/>
      </c>
      <c r="AB21" s="32" t="str">
        <f>IFERROR(__xludf.DUMMYFUNCTION("IFNA(SUM(FILTER('9 серия'!$B$7:$C$16,'9 серия'!$B$7:$B$16=C21)), )"),"")</f>
        <v/>
      </c>
      <c r="AC21" s="32" t="str">
        <f>IFERROR(__xludf.DUMMYFUNCTION("IFNA(SUM(FILTER('10 серия'!$B$6:$C$15,'10 серия'!$B$6:$B$15=C21)), )"),"")</f>
        <v/>
      </c>
      <c r="AD21" s="32" t="str">
        <f>IFERROR(__xludf.DUMMYFUNCTION("IFNA(SUM(FILTER('11 серия'!$B$6:$C$15,'11 серия'!$B$6:$B$15=C21)), )"),"")</f>
        <v/>
      </c>
      <c r="AE21" s="32" t="str">
        <f>IFERROR(__xludf.DUMMYFUNCTION("IFNA(SUM(FILTER('12 серия'!$B$6:$C$15,'12 серия'!$B$6:$B$15=C21)), )"),"")</f>
        <v/>
      </c>
      <c r="AF21" s="32" t="str">
        <f>IFERROR(__xludf.DUMMYFUNCTION("IFNA(SUM(FILTER('13 серия'!$B$6:$C$15,'13 серия'!$B$6:$B$15=C21)), )"),"")</f>
        <v/>
      </c>
      <c r="AG21" s="32" t="str">
        <f>IFERROR(__xludf.DUMMYFUNCTION("IFNA(SUM(FILTER('14 серия'!$B$6:$C$15,'14 серия'!$B$6:$B$15=C21)), )"),"")</f>
        <v/>
      </c>
      <c r="AH21" s="32" t="str">
        <f>IFERROR(__xludf.DUMMYFUNCTION("IFNA(SUM(FILTER('15 серия'!$B$6:$C$15,'15 серия'!$B$6:$B$15=C21)), )"),"")</f>
        <v/>
      </c>
      <c r="AI21" s="32" t="str">
        <f>IFERROR(__xludf.DUMMYFUNCTION("IFNA(SUM(FILTER('16 серия'!$B$6:$C$15,'16 серия'!$B$6:$B$15=C21)), )"),"")</f>
        <v/>
      </c>
      <c r="AJ21" s="32" t="str">
        <f>IFERROR(__xludf.DUMMYFUNCTION("IFNA(SUM(FILTER('17 серия'!$B$6:$C$15,'17 серия'!$B$6:$B$15=C21)), )"),"")</f>
        <v/>
      </c>
      <c r="AK21" s="32" t="str">
        <f>IFERROR(__xludf.DUMMYFUNCTION("IFNA(SUM(FILTER('18 серия'!$B$6:$C$15,'18 серия'!$B$6:$B$15=C21)), )"),"")</f>
        <v/>
      </c>
      <c r="AL21" s="32" t="str">
        <f>IFERROR(__xludf.DUMMYFUNCTION("IFNA(SUM(FILTER('19 серия'!$B$6:$C$15,'19 серия'!$B$6:$B$15=C21)), )"),"")</f>
        <v/>
      </c>
      <c r="AM21" s="32" t="str">
        <f>IFERROR(__xludf.DUMMYFUNCTION("IFNA(SUM(FILTER('20 серия'!$B$6:$C$15,'20 серия'!$B$6:$B$15=C21)), )"),"")</f>
        <v/>
      </c>
      <c r="AN21" s="32" t="str">
        <f>IFERROR(__xludf.DUMMYFUNCTION("IFNA(SUM(FILTER('21 серия'!$B$6:$C$15,'21 серия'!$B$6:$B$15=C21)), )"),"")</f>
        <v/>
      </c>
      <c r="AO21" s="32" t="str">
        <f>IFERROR(__xludf.DUMMYFUNCTION("IFNA(SUM(FILTER('22 серия'!$B$6:$C$15,'22 серия'!$B$6:$B$15=C21)), )"),"")</f>
        <v/>
      </c>
      <c r="AP21" s="32" t="str">
        <f>IFERROR(__xludf.DUMMYFUNCTION("IFNA(SUM(FILTER('23 серия'!$B$6:$C$15,'23 серия'!$B$6:$B$15=C21)), )"),"")</f>
        <v/>
      </c>
      <c r="AQ21" s="32" t="str">
        <f>IFERROR(__xludf.DUMMYFUNCTION("IFNA(SUM(FILTER('24 серия'!$B$6:$C$15,'24 серия'!$B$6:$B$15=C21)), )"),"")</f>
        <v/>
      </c>
      <c r="AR21" s="32" t="str">
        <f>IFERROR(__xludf.DUMMYFUNCTION("IFNA(SUM(FILTER('25 серия'!$B$6:$C$15,'25 серия'!$B$6:$B$15=C21)), )"),"")</f>
        <v/>
      </c>
      <c r="AS21" s="32" t="str">
        <f>IFERROR(__xludf.DUMMYFUNCTION("IFNA(SUM(FILTER('26 серия'!$B$6:$C$15,'26 серия'!$B$6:$B$15=C21)), )"),"")</f>
        <v/>
      </c>
      <c r="AT21" s="32" t="str">
        <f>IFERROR(__xludf.DUMMYFUNCTION("IFNA(SUM(FILTER('27 серия'!$B$6:$C$15,'27 серия'!$B$6:$B$15=C21)), )"),"")</f>
        <v/>
      </c>
      <c r="AU21" s="32" t="str">
        <f>IFERROR(__xludf.DUMMYFUNCTION("IFNA(SUM(FILTER('28 серия'!$B$6:$C$15,'28 серия'!$B$6:$B$15=C21)), )"),"")</f>
        <v/>
      </c>
      <c r="AV21" s="32" t="str">
        <f>IFERROR(__xludf.DUMMYFUNCTION("IFNA(SUM(FILTER('29 серия'!$B$6:$C$15,'29 серия'!$B$6:$B$15=C21)), )"),"")</f>
        <v/>
      </c>
      <c r="AW21" s="32" t="str">
        <f>IFERROR(__xludf.DUMMYFUNCTION("IFNA(SUM(FILTER('30 серия'!$B$6:$C$15,'30 серия'!$B$6:$B$15=C21)), )"),"")</f>
        <v/>
      </c>
      <c r="AX21" s="32" t="str">
        <f>IFERROR(__xludf.DUMMYFUNCTION("IFNA(SUM(FILTER('31 серия'!$B$6:$C$15,'31 серия'!$B$6:$B$15=C21)), )"),"")</f>
        <v/>
      </c>
      <c r="AY21" s="32" t="str">
        <f>IFERROR(__xludf.DUMMYFUNCTION("IFNA(SUM(FILTER('32 серия'!$B$6:$C$15,'32 серия'!$B$6:$B$15=C21)), )"),"")</f>
        <v/>
      </c>
      <c r="AZ21" s="32">
        <f>IFERROR(__xludf.DUMMYFUNCTION("IFNA(SUM(FILTER('33 серия'!$B$6:$C$15,'33 серия'!$B$6:$B$15=C21)), )"),18.0)</f>
        <v>18</v>
      </c>
      <c r="BA21" s="32">
        <f>IFERROR(__xludf.DUMMYFUNCTION("IFNA(SUM(FILTER('34 серия'!$B$6:$C$15,'34 серия'!$B$6:$B$15=C21)), )"),23.0)</f>
        <v>23</v>
      </c>
      <c r="BB21" s="32">
        <f>IFERROR(__xludf.DUMMYFUNCTION("IFNA(SUM(FILTER('35 серия'!$B$6:$C$15,'35 серия'!$B$6:$B$15=C21)), )"),30.5)</f>
        <v>30.5</v>
      </c>
      <c r="BC21" s="32">
        <f>IFERROR(__xludf.DUMMYFUNCTION("IFNA(SUM(FILTER('36 серия'!$B$6:$C$15,'36 серия'!$B$6:$B$15=C21)), )"),17.25)</f>
        <v>17.25</v>
      </c>
      <c r="BD21" s="32" t="str">
        <f>IFERROR(__xludf.DUMMYFUNCTION("IFNA(SUM(FILTER('37 серия'!$B$6:$C$15,'37 серия'!$B$6:$B$15=C21)), )"),"")</f>
        <v/>
      </c>
      <c r="BE21" s="32" t="str">
        <f>IFERROR(__xludf.DUMMYFUNCTION("IFNA(SUM(FILTER('38 серия'!$B$6:$C$15,'38 серия'!$B$6:$B$15=C21)), )"),"")</f>
        <v/>
      </c>
      <c r="BF21" s="32" t="str">
        <f>IFERROR(__xludf.DUMMYFUNCTION("IFNA(SUM(FILTER('39 серия'!$B$6:$C$15,'39 серия'!$B$6:$B$15=C21)), )"),"")</f>
        <v/>
      </c>
      <c r="BG21" s="32" t="str">
        <f>IFERROR(__xludf.DUMMYFUNCTION("IFNA(SUM(FILTER('40 серия'!$B$6:$C$15,'40 серия'!$B$6:$B$15=C21)), )"),"")</f>
        <v/>
      </c>
      <c r="BH21" s="32" t="str">
        <f>IFERROR(__xludf.DUMMYFUNCTION("IFNA(SUM(FILTER('41 серия'!$B$6:$C$15,'41 серия'!$B$6:$B$15=C21)), )"),"")</f>
        <v/>
      </c>
      <c r="BI21" s="32" t="str">
        <f>IFERROR(__xludf.DUMMYFUNCTION("IFNA(SUM(FILTER('42 серия'!$B$6:$C$15,'42 серия'!$B$6:$B$15=C21)), )"),"")</f>
        <v/>
      </c>
      <c r="BJ21" s="32" t="str">
        <f>IFERROR(__xludf.DUMMYFUNCTION("IFNA(SUM(FILTER('43 серия'!$B$6:$C$15,'43 серия'!$B$6:$B$15=C21)), )"),"")</f>
        <v/>
      </c>
      <c r="BK21" s="32" t="str">
        <f>IFERROR(__xludf.DUMMYFUNCTION("IFNA(SUM(FILTER('44 серия'!$B$6:$C$15,'44 серия'!$B$6:$B$15=C21)), )"),"")</f>
        <v/>
      </c>
      <c r="BL21" s="32" t="str">
        <f>IFERROR(__xludf.DUMMYFUNCTION("IFNA(SUM(FILTER('45 серия'!$B$6:$C$15,'45 серия'!$B$6:$B$15=C21)), )"),"")</f>
        <v/>
      </c>
      <c r="BM21" s="32">
        <f>IFERROR(__xludf.DUMMYFUNCTION("IFNA(SUM(FILTER('46 серия'!$B$6:$C$15,'46 серия'!$B$6:$B$15=C21)), )"),25.25)</f>
        <v>25.25</v>
      </c>
      <c r="BN21" s="32">
        <f>IFERROR(__xludf.DUMMYFUNCTION("IFNA(SUM(FILTER('47 серия'!$B$6:$C$15,'47 серия'!$B$6:$B$15=C21)), )"),14.75)</f>
        <v>14.75</v>
      </c>
      <c r="BO21" s="42">
        <f>IFERROR(__xludf.DUMMYFUNCTION("IFNA(SUM(FILTER('48 серия'!$B$6:$C$15,'48 серия'!$B$6:$B$15=$C21)), )"),24.25)</f>
        <v>24.25</v>
      </c>
      <c r="BP21" s="43">
        <f>IFERROR(__xludf.DUMMYFUNCTION("IFNA(SUM(FILTER('49 серия'!$B$6:$C$15,'49 серия'!$B$6:$B$15=$C21)), )"),21.75)</f>
        <v>21.75</v>
      </c>
      <c r="BQ21" s="43">
        <f>IFERROR(__xludf.DUMMYFUNCTION("IFNA(SUM(FILTER('50 серия'!$B$6:$C$15,'50 серия'!$B$6:$B$15=$C21)), )"),20.25)</f>
        <v>20.25</v>
      </c>
      <c r="BR21" s="43">
        <f>IFERROR(__xludf.DUMMYFUNCTION("IFNA(SUM(FILTER('51 серия'!$B$6:$C$15,'51 серия'!$B$6:$B$15=$C21)), )"),29.5)</f>
        <v>29.5</v>
      </c>
      <c r="BS21" s="49" t="str">
        <f>IFERROR(__xludf.DUMMYFUNCTION("IFNA(SUM(FILTER('52 серия'!$B$6:$C$15,'52 серия'!$B$6:$B$15=C21)), )"),"")</f>
        <v/>
      </c>
      <c r="BT21" s="32" t="str">
        <f>IFERROR(__xludf.DUMMYFUNCTION("IFNA(SUM(FILTER('53 серия'!$B$6:$C$15,'53 серия'!$B$6:$B$15=$C21)), )"),"")</f>
        <v/>
      </c>
      <c r="BU21" s="32" t="str">
        <f>IFERROR(__xludf.DUMMYFUNCTION("IFNA(SUM(FILTER('54 серия'!$B$6:$C$15,'54 серия'!$B$6:$B$15=$C21)), )"),"")</f>
        <v/>
      </c>
      <c r="BV21" s="32" t="str">
        <f>IFERROR(__xludf.DUMMYFUNCTION("IFNA(SUM(FILTER('55 серия'!$B$6:$C$15,'55 серия'!$B$6:$B$15=$C21)), )"),"")</f>
        <v/>
      </c>
      <c r="BW21" s="32" t="str">
        <f>IFERROR(__xludf.DUMMYFUNCTION("IFNA(SUM(FILTER('56 серия'!$B$6:$C$15,'56 серия'!$B$6:$B$15=$C21)), )"),"")</f>
        <v/>
      </c>
      <c r="BX21" s="32" t="str">
        <f>IFERROR(__xludf.DUMMYFUNCTION("IFNA(SUM(FILTER('57 серия'!$B$6:$C$15,'57 серия'!$B$6:$B$15=$C21)), )"),"")</f>
        <v/>
      </c>
      <c r="BY21" s="32" t="str">
        <f>IFERROR(__xludf.DUMMYFUNCTION("IFNA(SUM(FILTER('58 серия'!$B$6:$C$15,'58 серия'!$B$6:$B$15=$C21)), )"),"")</f>
        <v/>
      </c>
      <c r="BZ21" s="46" t="str">
        <f>IFERROR(__xludf.DUMMYFUNCTION("IFNA(SUM(FILTER('59 серия'!$B$6:$C$15,'59 серия'!$B$6:$B$15=C21)), )"),"")</f>
        <v/>
      </c>
      <c r="CA21" s="44" t="str">
        <f>IFERROR(__xludf.DUMMYFUNCTION("IFNA(SUM(FILTER('60 серия'!$B$6:$C$15,'60 серия'!$B$6:$B$15=$C21)), )"),"")</f>
        <v/>
      </c>
      <c r="CB21" s="4"/>
    </row>
    <row r="22">
      <c r="A22" s="10"/>
      <c r="B22" s="27">
        <f t="shared" si="1"/>
        <v>16</v>
      </c>
      <c r="C22" s="45" t="s">
        <v>94</v>
      </c>
      <c r="D22" s="29">
        <f>'Игроки статистика'!B20</f>
        <v>50</v>
      </c>
      <c r="E22" s="30">
        <f t="shared" si="2"/>
        <v>184.25</v>
      </c>
      <c r="F22" s="31">
        <f t="shared" si="3"/>
        <v>18.425</v>
      </c>
      <c r="G22" s="46">
        <f t="shared" si="4"/>
        <v>2.435</v>
      </c>
      <c r="H22" s="46">
        <f>SUMIFS('Все игры'!C$3:C1011,'Все игры'!A$3:A1011,C22)</f>
        <v>62.5</v>
      </c>
      <c r="I22" s="46">
        <f t="shared" si="5"/>
        <v>121.75</v>
      </c>
      <c r="J22" s="47">
        <f>SUMIFS('Все игры'!F$3:F1011,'Все игры'!A$3:A1011,C22)</f>
        <v>0</v>
      </c>
      <c r="K22" s="48">
        <f>SUMIFS('Все игры'!G$3:G1011,'Все игры'!A$3:A1011,C22)</f>
        <v>0</v>
      </c>
      <c r="L22" s="35">
        <f>'Игроки статистика'!G20</f>
        <v>0</v>
      </c>
      <c r="M22" s="36">
        <f t="shared" si="6"/>
        <v>25</v>
      </c>
      <c r="N22" s="36">
        <f>SUM('Игроки статистика'!O20,'Игроки статистика'!Q20)</f>
        <v>6</v>
      </c>
      <c r="O22" s="37">
        <f>SUM('Игроки статистика'!P20,'Игроки статистика'!R20)</f>
        <v>7</v>
      </c>
      <c r="P22" s="38" t="str">
        <f>IFERROR(__xludf.DUMMYFUNCTION("IFNA(SUM(FILTER('Штрафы'!$D$5:$D1011,'Штрафы'!$C$5:$C1011=C22)), )"),"")</f>
        <v/>
      </c>
      <c r="Q22" s="38" t="str">
        <f>IFERROR(__xludf.DUMMYFUNCTION("IFNA(SUM(FILTER('Штрафы'!$F$5:$F1011,'Штрафы'!$C$5:$C1011=C22)), )"),"")</f>
        <v/>
      </c>
      <c r="R22" s="39"/>
      <c r="S22" s="40"/>
      <c r="T22" s="31" t="str">
        <f>IFERROR(__xludf.DUMMYFUNCTION("IFNA(SUM(FILTER('1 серия'!$B$6:$C$15,'1 серия'!$B$6:$B$15=C22)), )"),"")</f>
        <v/>
      </c>
      <c r="U22" s="32" t="str">
        <f>IFERROR(__xludf.DUMMYFUNCTION("IFNA(SUM(FILTER('2 серия'!$B$6:$C$15,'2 серия'!$B$6:$B$15=C22)), )
"),"")</f>
        <v/>
      </c>
      <c r="V22" s="32" t="str">
        <f>IFERROR(__xludf.DUMMYFUNCTION("IFNA(SUM(FILTER('3 серия'!$B$6:$C$15,'3 серия'!$B$6:$B$15=C22)), )
"),"")</f>
        <v/>
      </c>
      <c r="W22" s="32">
        <f>IFERROR(__xludf.DUMMYFUNCTION("IFNA(SUM(FILTER('4 серия'!$B$6:$C$15,'4 серия'!$B$6:$B$15=C22)), )"),18.25)</f>
        <v>18.25</v>
      </c>
      <c r="X22" s="32" t="str">
        <f>IFERROR(__xludf.DUMMYFUNCTION("IFNA(SUM(FILTER('5 серия'!$B$6:$C$15,'5 серия'!$B$6:$B$15=C22)), )"),"")</f>
        <v/>
      </c>
      <c r="Y22" s="32">
        <f>IFERROR(__xludf.DUMMYFUNCTION("IFNA(SUM(FILTER('6 серия'!$B$6:$C$15,'6 серия'!$B$6:$B$15=C22)), )"),14.25)</f>
        <v>14.25</v>
      </c>
      <c r="Z22" s="32" t="str">
        <f>IFERROR(__xludf.DUMMYFUNCTION("IFNA(SUM(FILTER('7 серия'!$B$6:$C$15,'7 серия'!$B$6:$B$15=C22)), )"),"")</f>
        <v/>
      </c>
      <c r="AA22" s="32" t="str">
        <f>IFERROR(__xludf.DUMMYFUNCTION("IFNA(SUM(FILTER('8 серия'!$B$6:$C$15,'8 серия'!$B$6:$B$15=C22)), )"),"")</f>
        <v/>
      </c>
      <c r="AB22" s="32" t="str">
        <f>IFERROR(__xludf.DUMMYFUNCTION("IFNA(SUM(FILTER('9 серия'!$B$7:$C$16,'9 серия'!$B$7:$B$16=C22)), )"),"")</f>
        <v/>
      </c>
      <c r="AC22" s="32" t="str">
        <f>IFERROR(__xludf.DUMMYFUNCTION("IFNA(SUM(FILTER('10 серия'!$B$6:$C$15,'10 серия'!$B$6:$B$15=C22)), )"),"")</f>
        <v/>
      </c>
      <c r="AD22" s="32" t="str">
        <f>IFERROR(__xludf.DUMMYFUNCTION("IFNA(SUM(FILTER('11 серия'!$B$6:$C$15,'11 серия'!$B$6:$B$15=C22)), )"),"")</f>
        <v/>
      </c>
      <c r="AE22" s="32" t="str">
        <f>IFERROR(__xludf.DUMMYFUNCTION("IFNA(SUM(FILTER('12 серия'!$B$6:$C$15,'12 серия'!$B$6:$B$15=C22)), )"),"")</f>
        <v/>
      </c>
      <c r="AF22" s="32" t="str">
        <f>IFERROR(__xludf.DUMMYFUNCTION("IFNA(SUM(FILTER('13 серия'!$B$6:$C$15,'13 серия'!$B$6:$B$15=C22)), )"),"")</f>
        <v/>
      </c>
      <c r="AG22" s="32" t="str">
        <f>IFERROR(__xludf.DUMMYFUNCTION("IFNA(SUM(FILTER('14 серия'!$B$6:$C$15,'14 серия'!$B$6:$B$15=C22)), )"),"")</f>
        <v/>
      </c>
      <c r="AH22" s="32">
        <f>IFERROR(__xludf.DUMMYFUNCTION("IFNA(SUM(FILTER('15 серия'!$B$6:$C$15,'15 серия'!$B$6:$B$15=C22)), )"),16.5)</f>
        <v>16.5</v>
      </c>
      <c r="AI22" s="32" t="str">
        <f>IFERROR(__xludf.DUMMYFUNCTION("IFNA(SUM(FILTER('16 серия'!$B$6:$C$15,'16 серия'!$B$6:$B$15=C22)), )"),"")</f>
        <v/>
      </c>
      <c r="AJ22" s="32" t="str">
        <f>IFERROR(__xludf.DUMMYFUNCTION("IFNA(SUM(FILTER('17 серия'!$B$6:$C$15,'17 серия'!$B$6:$B$15=C22)), )"),"")</f>
        <v/>
      </c>
      <c r="AK22" s="32" t="str">
        <f>IFERROR(__xludf.DUMMYFUNCTION("IFNA(SUM(FILTER('18 серия'!$B$6:$C$15,'18 серия'!$B$6:$B$15=C22)), )"),"")</f>
        <v/>
      </c>
      <c r="AL22" s="32" t="str">
        <f>IFERROR(__xludf.DUMMYFUNCTION("IFNA(SUM(FILTER('19 серия'!$B$6:$C$15,'19 серия'!$B$6:$B$15=C22)), )"),"")</f>
        <v/>
      </c>
      <c r="AM22" s="32" t="str">
        <f>IFERROR(__xludf.DUMMYFUNCTION("IFNA(SUM(FILTER('20 серия'!$B$6:$C$15,'20 серия'!$B$6:$B$15=C22)), )"),"")</f>
        <v/>
      </c>
      <c r="AN22" s="32" t="str">
        <f>IFERROR(__xludf.DUMMYFUNCTION("IFNA(SUM(FILTER('21 серия'!$B$6:$C$15,'21 серия'!$B$6:$B$15=C22)), )"),"")</f>
        <v/>
      </c>
      <c r="AO22" s="32" t="str">
        <f>IFERROR(__xludf.DUMMYFUNCTION("IFNA(SUM(FILTER('22 серия'!$B$6:$C$15,'22 серия'!$B$6:$B$15=C22)), )"),"")</f>
        <v/>
      </c>
      <c r="AP22" s="32">
        <f>IFERROR(__xludf.DUMMYFUNCTION("IFNA(SUM(FILTER('23 серия'!$B$6:$C$15,'23 серия'!$B$6:$B$15=C22)), )"),21.25)</f>
        <v>21.25</v>
      </c>
      <c r="AQ22" s="32">
        <f>IFERROR(__xludf.DUMMYFUNCTION("IFNA(SUM(FILTER('24 серия'!$B$6:$C$15,'24 серия'!$B$6:$B$15=C22)), )"),22.0)</f>
        <v>22</v>
      </c>
      <c r="AR22" s="32" t="str">
        <f>IFERROR(__xludf.DUMMYFUNCTION("IFNA(SUM(FILTER('25 серия'!$B$6:$C$15,'25 серия'!$B$6:$B$15=C22)), )"),"")</f>
        <v/>
      </c>
      <c r="AS22" s="32" t="str">
        <f>IFERROR(__xludf.DUMMYFUNCTION("IFNA(SUM(FILTER('26 серия'!$B$6:$C$15,'26 серия'!$B$6:$B$15=C22)), )"),"")</f>
        <v/>
      </c>
      <c r="AT22" s="32" t="str">
        <f>IFERROR(__xludf.DUMMYFUNCTION("IFNA(SUM(FILTER('27 серия'!$B$6:$C$15,'27 серия'!$B$6:$B$15=C22)), )"),"")</f>
        <v/>
      </c>
      <c r="AU22" s="32" t="str">
        <f>IFERROR(__xludf.DUMMYFUNCTION("IFNA(SUM(FILTER('28 серия'!$B$6:$C$15,'28 серия'!$B$6:$B$15=C22)), )"),"")</f>
        <v/>
      </c>
      <c r="AV22" s="32" t="str">
        <f>IFERROR(__xludf.DUMMYFUNCTION("IFNA(SUM(FILTER('29 серия'!$B$6:$C$15,'29 серия'!$B$6:$B$15=C22)), )"),"")</f>
        <v/>
      </c>
      <c r="AW22" s="32" t="str">
        <f>IFERROR(__xludf.DUMMYFUNCTION("IFNA(SUM(FILTER('30 серия'!$B$6:$C$15,'30 серия'!$B$6:$B$15=C22)), )"),"")</f>
        <v/>
      </c>
      <c r="AX22" s="32" t="str">
        <f>IFERROR(__xludf.DUMMYFUNCTION("IFNA(SUM(FILTER('31 серия'!$B$6:$C$15,'31 серия'!$B$6:$B$15=C22)), )"),"")</f>
        <v/>
      </c>
      <c r="AY22" s="32" t="str">
        <f>IFERROR(__xludf.DUMMYFUNCTION("IFNA(SUM(FILTER('32 серия'!$B$6:$C$15,'32 серия'!$B$6:$B$15=C22)), )"),"")</f>
        <v/>
      </c>
      <c r="AZ22" s="32">
        <f>IFERROR(__xludf.DUMMYFUNCTION("IFNA(SUM(FILTER('33 серия'!$B$6:$C$15,'33 серия'!$B$6:$B$15=C22)), )"),17.0)</f>
        <v>17</v>
      </c>
      <c r="BA22" s="32">
        <f>IFERROR(__xludf.DUMMYFUNCTION("IFNA(SUM(FILTER('34 серия'!$B$6:$C$15,'34 серия'!$B$6:$B$15=C22)), )"),14.25)</f>
        <v>14.25</v>
      </c>
      <c r="BB22" s="32" t="str">
        <f>IFERROR(__xludf.DUMMYFUNCTION("IFNA(SUM(FILTER('35 серия'!$B$6:$C$15,'35 серия'!$B$6:$B$15=C22)), )"),"")</f>
        <v/>
      </c>
      <c r="BC22" s="32" t="str">
        <f>IFERROR(__xludf.DUMMYFUNCTION("IFNA(SUM(FILTER('36 серия'!$B$6:$C$15,'36 серия'!$B$6:$B$15=C22)), )"),"")</f>
        <v/>
      </c>
      <c r="BD22" s="32" t="str">
        <f>IFERROR(__xludf.DUMMYFUNCTION("IFNA(SUM(FILTER('37 серия'!$B$6:$C$15,'37 серия'!$B$6:$B$15=C22)), )"),"")</f>
        <v/>
      </c>
      <c r="BE22" s="32" t="str">
        <f>IFERROR(__xludf.DUMMYFUNCTION("IFNA(SUM(FILTER('38 серия'!$B$6:$C$15,'38 серия'!$B$6:$B$15=C22)), )"),"")</f>
        <v/>
      </c>
      <c r="BF22" s="32" t="str">
        <f>IFERROR(__xludf.DUMMYFUNCTION("IFNA(SUM(FILTER('39 серия'!$B$6:$C$15,'39 серия'!$B$6:$B$15=C22)), )"),"")</f>
        <v/>
      </c>
      <c r="BG22" s="32" t="str">
        <f>IFERROR(__xludf.DUMMYFUNCTION("IFNA(SUM(FILTER('40 серия'!$B$6:$C$15,'40 серия'!$B$6:$B$15=C22)), )"),"")</f>
        <v/>
      </c>
      <c r="BH22" s="32" t="str">
        <f>IFERROR(__xludf.DUMMYFUNCTION("IFNA(SUM(FILTER('41 серия'!$B$6:$C$15,'41 серия'!$B$6:$B$15=C22)), )"),"")</f>
        <v/>
      </c>
      <c r="BI22" s="32" t="str">
        <f>IFERROR(__xludf.DUMMYFUNCTION("IFNA(SUM(FILTER('42 серия'!$B$6:$C$15,'42 серия'!$B$6:$B$15=C22)), )"),"")</f>
        <v/>
      </c>
      <c r="BJ22" s="32" t="str">
        <f>IFERROR(__xludf.DUMMYFUNCTION("IFNA(SUM(FILTER('43 серия'!$B$6:$C$15,'43 серия'!$B$6:$B$15=C22)), )"),"")</f>
        <v/>
      </c>
      <c r="BK22" s="32" t="str">
        <f>IFERROR(__xludf.DUMMYFUNCTION("IFNA(SUM(FILTER('44 серия'!$B$6:$C$15,'44 серия'!$B$6:$B$15=C22)), )"),"")</f>
        <v/>
      </c>
      <c r="BL22" s="32" t="str">
        <f>IFERROR(__xludf.DUMMYFUNCTION("IFNA(SUM(FILTER('45 серия'!$B$6:$C$15,'45 серия'!$B$6:$B$15=C22)), )"),"")</f>
        <v/>
      </c>
      <c r="BM22" s="32" t="str">
        <f>IFERROR(__xludf.DUMMYFUNCTION("IFNA(SUM(FILTER('46 серия'!$B$6:$C$15,'46 серия'!$B$6:$B$15=C22)), )"),"")</f>
        <v/>
      </c>
      <c r="BN22" s="32" t="str">
        <f>IFERROR(__xludf.DUMMYFUNCTION("IFNA(SUM(FILTER('47 серия'!$B$6:$C$15,'47 серия'!$B$6:$B$15=C22)), )"),"")</f>
        <v/>
      </c>
      <c r="BO22" s="42">
        <f>IFERROR(__xludf.DUMMYFUNCTION("IFNA(SUM(FILTER('48 серия'!$B$6:$C$15,'48 серия'!$B$6:$B$15=$C22)), )"),20.25)</f>
        <v>20.25</v>
      </c>
      <c r="BP22" s="43" t="str">
        <f>IFERROR(__xludf.DUMMYFUNCTION("IFNA(SUM(FILTER('49 серия'!$B$6:$C$15,'49 серия'!$B$6:$B$15=$C22)), )"),"")</f>
        <v/>
      </c>
      <c r="BQ22" s="43" t="str">
        <f>IFERROR(__xludf.DUMMYFUNCTION("IFNA(SUM(FILTER('50 серия'!$B$6:$C$15,'50 серия'!$B$6:$B$15=$C22)), )"),"")</f>
        <v/>
      </c>
      <c r="BR22" s="43" t="str">
        <f>IFERROR(__xludf.DUMMYFUNCTION("IFNA(SUM(FILTER('51 серия'!$B$6:$C$15,'51 серия'!$B$6:$B$15=$C22)), )"),"")</f>
        <v/>
      </c>
      <c r="BS22" s="49" t="str">
        <f>IFERROR(__xludf.DUMMYFUNCTION("IFNA(SUM(FILTER('52 серия'!$B$6:$C$15,'52 серия'!$B$6:$B$15=C22)), )"),"")</f>
        <v/>
      </c>
      <c r="BT22" s="32" t="str">
        <f>IFERROR(__xludf.DUMMYFUNCTION("IFNA(SUM(FILTER('53 серия'!$B$6:$C$15,'53 серия'!$B$6:$B$15=$C22)), )"),"")</f>
        <v/>
      </c>
      <c r="BU22" s="32" t="str">
        <f>IFERROR(__xludf.DUMMYFUNCTION("IFNA(SUM(FILTER('54 серия'!$B$6:$C$15,'54 серия'!$B$6:$B$15=$C22)), )"),"")</f>
        <v/>
      </c>
      <c r="BV22" s="32">
        <f>IFERROR(__xludf.DUMMYFUNCTION("IFNA(SUM(FILTER('55 серия'!$B$6:$C$15,'55 серия'!$B$6:$B$15=$C22)), )"),20.75)</f>
        <v>20.75</v>
      </c>
      <c r="BW22" s="32" t="str">
        <f>IFERROR(__xludf.DUMMYFUNCTION("IFNA(SUM(FILTER('56 серия'!$B$6:$C$15,'56 серия'!$B$6:$B$15=$C22)), )"),"")</f>
        <v/>
      </c>
      <c r="BX22" s="32" t="str">
        <f>IFERROR(__xludf.DUMMYFUNCTION("IFNA(SUM(FILTER('57 серия'!$B$6:$C$15,'57 серия'!$B$6:$B$15=$C22)), )"),"")</f>
        <v/>
      </c>
      <c r="BY22" s="32" t="str">
        <f>IFERROR(__xludf.DUMMYFUNCTION("IFNA(SUM(FILTER('58 серия'!$B$6:$C$15,'58 серия'!$B$6:$B$15=$C22)), )"),"")</f>
        <v/>
      </c>
      <c r="BZ22" s="46">
        <f>IFERROR(__xludf.DUMMYFUNCTION("IFNA(SUM(FILTER('59 серия'!$B$6:$C$15,'59 серия'!$B$6:$B$15=C22)), )"),19.75)</f>
        <v>19.75</v>
      </c>
      <c r="CA22" s="44" t="str">
        <f>IFERROR(__xludf.DUMMYFUNCTION("IFNA(SUM(FILTER('60 серия'!$B$6:$C$15,'60 серия'!$B$6:$B$15=$C22)), )"),"")</f>
        <v/>
      </c>
      <c r="CB22" s="4"/>
    </row>
    <row r="23">
      <c r="A23" s="10"/>
      <c r="B23" s="27">
        <f t="shared" si="1"/>
        <v>17</v>
      </c>
      <c r="C23" s="45" t="s">
        <v>95</v>
      </c>
      <c r="D23" s="29">
        <f>'Игроки статистика'!B21</f>
        <v>45</v>
      </c>
      <c r="E23" s="30">
        <f t="shared" si="2"/>
        <v>168</v>
      </c>
      <c r="F23" s="31">
        <f t="shared" si="3"/>
        <v>18.66666667</v>
      </c>
      <c r="G23" s="46">
        <f t="shared" si="4"/>
        <v>2.788888889</v>
      </c>
      <c r="H23" s="46">
        <f>SUMIFS('Все игры'!C$3:C1011,'Все игры'!A$3:A1011,C23)</f>
        <v>42.5</v>
      </c>
      <c r="I23" s="46">
        <f t="shared" si="5"/>
        <v>122.5</v>
      </c>
      <c r="J23" s="47">
        <f>SUMIFS('Все игры'!F$3:F1011,'Все игры'!A$3:A1011,C23)</f>
        <v>1</v>
      </c>
      <c r="K23" s="48">
        <f>SUMIFS('Все игры'!G$3:G1011,'Все игры'!A$3:A1011,C23)</f>
        <v>2</v>
      </c>
      <c r="L23" s="35">
        <f>'Игроки статистика'!G21</f>
        <v>4</v>
      </c>
      <c r="M23" s="36">
        <f t="shared" si="6"/>
        <v>17</v>
      </c>
      <c r="N23" s="36">
        <f>SUM('Игроки статистика'!O21,'Игроки статистика'!Q21)</f>
        <v>2</v>
      </c>
      <c r="O23" s="37">
        <f>SUM('Игроки статистика'!P21,'Игроки статистика'!R21)</f>
        <v>9</v>
      </c>
      <c r="P23" s="38" t="str">
        <f>IFERROR(__xludf.DUMMYFUNCTION("IFNA(SUM(FILTER('Штрафы'!$D$5:$D1011,'Штрафы'!$C$5:$C1011=C23)), )"),"")</f>
        <v/>
      </c>
      <c r="Q23" s="38" t="str">
        <f>IFERROR(__xludf.DUMMYFUNCTION("IFNA(SUM(FILTER('Штрафы'!$F$5:$F1011,'Штрафы'!$C$5:$C1011=C23)), )"),"")</f>
        <v/>
      </c>
      <c r="R23" s="39"/>
      <c r="S23" s="40"/>
      <c r="T23" s="31" t="str">
        <f>IFERROR(__xludf.DUMMYFUNCTION("IFNA(SUM(FILTER('1 серия'!$B$6:$C$15,'1 серия'!$B$6:$B$15=C23)), )"),"")</f>
        <v/>
      </c>
      <c r="U23" s="32" t="str">
        <f>IFERROR(__xludf.DUMMYFUNCTION("IFNA(SUM(FILTER('2 серия'!$B$6:$C$15,'2 серия'!$B$6:$B$15=C23)), )
"),"")</f>
        <v/>
      </c>
      <c r="V23" s="32">
        <f>IFERROR(__xludf.DUMMYFUNCTION("IFNA(SUM(FILTER('3 серия'!$B$6:$C$15,'3 серия'!$B$6:$B$15=C23)), )
"),15.5)</f>
        <v>15.5</v>
      </c>
      <c r="W23" s="32" t="str">
        <f>IFERROR(__xludf.DUMMYFUNCTION("IFNA(SUM(FILTER('4 серия'!$B$6:$C$15,'4 серия'!$B$6:$B$15=C23)), )"),"")</f>
        <v/>
      </c>
      <c r="X23" s="32">
        <f>IFERROR(__xludf.DUMMYFUNCTION("IFNA(SUM(FILTER('5 серия'!$B$6:$C$15,'5 серия'!$B$6:$B$15=C23)), )"),16.75)</f>
        <v>16.75</v>
      </c>
      <c r="Y23" s="32" t="str">
        <f>IFERROR(__xludf.DUMMYFUNCTION("IFNA(SUM(FILTER('6 серия'!$B$6:$C$15,'6 серия'!$B$6:$B$15=C23)), )"),"")</f>
        <v/>
      </c>
      <c r="Z23" s="32" t="str">
        <f>IFERROR(__xludf.DUMMYFUNCTION("IFNA(SUM(FILTER('7 серия'!$B$6:$C$15,'7 серия'!$B$6:$B$15=C23)), )"),"")</f>
        <v/>
      </c>
      <c r="AA23" s="32" t="str">
        <f>IFERROR(__xludf.DUMMYFUNCTION("IFNA(SUM(FILTER('8 серия'!$B$6:$C$15,'8 серия'!$B$6:$B$15=C23)), )"),"")</f>
        <v/>
      </c>
      <c r="AB23" s="32" t="str">
        <f>IFERROR(__xludf.DUMMYFUNCTION("IFNA(SUM(FILTER('9 серия'!$B$7:$C$16,'9 серия'!$B$7:$B$16=C23)), )"),"")</f>
        <v/>
      </c>
      <c r="AC23" s="32" t="str">
        <f>IFERROR(__xludf.DUMMYFUNCTION("IFNA(SUM(FILTER('10 серия'!$B$6:$C$15,'10 серия'!$B$6:$B$15=C23)), )"),"")</f>
        <v/>
      </c>
      <c r="AD23" s="32">
        <f>IFERROR(__xludf.DUMMYFUNCTION("IFNA(SUM(FILTER('11 серия'!$B$6:$C$15,'11 серия'!$B$6:$B$15=C23)), )"),14.0)</f>
        <v>14</v>
      </c>
      <c r="AE23" s="32" t="str">
        <f>IFERROR(__xludf.DUMMYFUNCTION("IFNA(SUM(FILTER('12 серия'!$B$6:$C$15,'12 серия'!$B$6:$B$15=C23)), )"),"")</f>
        <v/>
      </c>
      <c r="AF23" s="32" t="str">
        <f>IFERROR(__xludf.DUMMYFUNCTION("IFNA(SUM(FILTER('13 серия'!$B$6:$C$15,'13 серия'!$B$6:$B$15=C23)), )"),"")</f>
        <v/>
      </c>
      <c r="AG23" s="32" t="str">
        <f>IFERROR(__xludf.DUMMYFUNCTION("IFNA(SUM(FILTER('14 серия'!$B$6:$C$15,'14 серия'!$B$6:$B$15=C23)), )"),"")</f>
        <v/>
      </c>
      <c r="AH23" s="32" t="str">
        <f>IFERROR(__xludf.DUMMYFUNCTION("IFNA(SUM(FILTER('15 серия'!$B$6:$C$15,'15 серия'!$B$6:$B$15=C23)), )"),"")</f>
        <v/>
      </c>
      <c r="AI23" s="32" t="str">
        <f>IFERROR(__xludf.DUMMYFUNCTION("IFNA(SUM(FILTER('16 серия'!$B$6:$C$15,'16 серия'!$B$6:$B$15=C23)), )"),"")</f>
        <v/>
      </c>
      <c r="AJ23" s="32" t="str">
        <f>IFERROR(__xludf.DUMMYFUNCTION("IFNA(SUM(FILTER('17 серия'!$B$6:$C$15,'17 серия'!$B$6:$B$15=C23)), )"),"")</f>
        <v/>
      </c>
      <c r="AK23" s="32">
        <f>IFERROR(__xludf.DUMMYFUNCTION("IFNA(SUM(FILTER('18 серия'!$B$6:$C$15,'18 серия'!$B$6:$B$15=C23)), )"),17.5)</f>
        <v>17.5</v>
      </c>
      <c r="AL23" s="32" t="str">
        <f>IFERROR(__xludf.DUMMYFUNCTION("IFNA(SUM(FILTER('19 серия'!$B$6:$C$15,'19 серия'!$B$6:$B$15=C23)), )"),"")</f>
        <v/>
      </c>
      <c r="AM23" s="32" t="str">
        <f>IFERROR(__xludf.DUMMYFUNCTION("IFNA(SUM(FILTER('20 серия'!$B$6:$C$15,'20 серия'!$B$6:$B$15=C23)), )"),"")</f>
        <v/>
      </c>
      <c r="AN23" s="32" t="str">
        <f>IFERROR(__xludf.DUMMYFUNCTION("IFNA(SUM(FILTER('21 серия'!$B$6:$C$15,'21 серия'!$B$6:$B$15=C23)), )"),"")</f>
        <v/>
      </c>
      <c r="AO23" s="32" t="str">
        <f>IFERROR(__xludf.DUMMYFUNCTION("IFNA(SUM(FILTER('22 серия'!$B$6:$C$15,'22 серия'!$B$6:$B$15=C23)), )"),"")</f>
        <v/>
      </c>
      <c r="AP23" s="32" t="str">
        <f>IFERROR(__xludf.DUMMYFUNCTION("IFNA(SUM(FILTER('23 серия'!$B$6:$C$15,'23 серия'!$B$6:$B$15=C23)), )"),"")</f>
        <v/>
      </c>
      <c r="AQ23" s="32" t="str">
        <f>IFERROR(__xludf.DUMMYFUNCTION("IFNA(SUM(FILTER('24 серия'!$B$6:$C$15,'24 серия'!$B$6:$B$15=C23)), )"),"")</f>
        <v/>
      </c>
      <c r="AR23" s="32" t="str">
        <f>IFERROR(__xludf.DUMMYFUNCTION("IFNA(SUM(FILTER('25 серия'!$B$6:$C$15,'25 серия'!$B$6:$B$15=C23)), )"),"")</f>
        <v/>
      </c>
      <c r="AS23" s="32">
        <f>IFERROR(__xludf.DUMMYFUNCTION("IFNA(SUM(FILTER('26 серия'!$B$6:$C$15,'26 серия'!$B$6:$B$15=C23)), )"),25.0)</f>
        <v>25</v>
      </c>
      <c r="AT23" s="32" t="str">
        <f>IFERROR(__xludf.DUMMYFUNCTION("IFNA(SUM(FILTER('27 серия'!$B$6:$C$15,'27 серия'!$B$6:$B$15=C23)), )"),"")</f>
        <v/>
      </c>
      <c r="AU23" s="32" t="str">
        <f>IFERROR(__xludf.DUMMYFUNCTION("IFNA(SUM(FILTER('28 серия'!$B$6:$C$15,'28 серия'!$B$6:$B$15=C23)), )"),"")</f>
        <v/>
      </c>
      <c r="AV23" s="32" t="str">
        <f>IFERROR(__xludf.DUMMYFUNCTION("IFNA(SUM(FILTER('29 серия'!$B$6:$C$15,'29 серия'!$B$6:$B$15=C23)), )"),"")</f>
        <v/>
      </c>
      <c r="AW23" s="32" t="str">
        <f>IFERROR(__xludf.DUMMYFUNCTION("IFNA(SUM(FILTER('30 серия'!$B$6:$C$15,'30 серия'!$B$6:$B$15=C23)), )"),"")</f>
        <v/>
      </c>
      <c r="AX23" s="32" t="str">
        <f>IFERROR(__xludf.DUMMYFUNCTION("IFNA(SUM(FILTER('31 серия'!$B$6:$C$15,'31 серия'!$B$6:$B$15=C23)), )"),"")</f>
        <v/>
      </c>
      <c r="AY23" s="32" t="str">
        <f>IFERROR(__xludf.DUMMYFUNCTION("IFNA(SUM(FILTER('32 серия'!$B$6:$C$15,'32 серия'!$B$6:$B$15=C23)), )"),"")</f>
        <v/>
      </c>
      <c r="AZ23" s="32" t="str">
        <f>IFERROR(__xludf.DUMMYFUNCTION("IFNA(SUM(FILTER('33 серия'!$B$6:$C$15,'33 серия'!$B$6:$B$15=C23)), )"),"")</f>
        <v/>
      </c>
      <c r="BA23" s="32" t="str">
        <f>IFERROR(__xludf.DUMMYFUNCTION("IFNA(SUM(FILTER('34 серия'!$B$6:$C$15,'34 серия'!$B$6:$B$15=C23)), )"),"")</f>
        <v/>
      </c>
      <c r="BB23" s="32" t="str">
        <f>IFERROR(__xludf.DUMMYFUNCTION("IFNA(SUM(FILTER('35 серия'!$B$6:$C$15,'35 серия'!$B$6:$B$15=C23)), )"),"")</f>
        <v/>
      </c>
      <c r="BC23" s="32" t="str">
        <f>IFERROR(__xludf.DUMMYFUNCTION("IFNA(SUM(FILTER('36 серия'!$B$6:$C$15,'36 серия'!$B$6:$B$15=C23)), )"),"")</f>
        <v/>
      </c>
      <c r="BD23" s="32">
        <f>IFERROR(__xludf.DUMMYFUNCTION("IFNA(SUM(FILTER('37 серия'!$B$6:$C$15,'37 серия'!$B$6:$B$15=C23)), )"),18.75)</f>
        <v>18.75</v>
      </c>
      <c r="BE23" s="32" t="str">
        <f>IFERROR(__xludf.DUMMYFUNCTION("IFNA(SUM(FILTER('38 серия'!$B$6:$C$15,'38 серия'!$B$6:$B$15=C23)), )"),"")</f>
        <v/>
      </c>
      <c r="BF23" s="32" t="str">
        <f>IFERROR(__xludf.DUMMYFUNCTION("IFNA(SUM(FILTER('39 серия'!$B$6:$C$15,'39 серия'!$B$6:$B$15=C23)), )"),"")</f>
        <v/>
      </c>
      <c r="BG23" s="32" t="str">
        <f>IFERROR(__xludf.DUMMYFUNCTION("IFNA(SUM(FILTER('40 серия'!$B$6:$C$15,'40 серия'!$B$6:$B$15=C23)), )"),"")</f>
        <v/>
      </c>
      <c r="BH23" s="32">
        <f>IFERROR(__xludf.DUMMYFUNCTION("IFNA(SUM(FILTER('41 серия'!$B$6:$C$15,'41 серия'!$B$6:$B$15=C23)), )"),28.25)</f>
        <v>28.25</v>
      </c>
      <c r="BI23" s="32" t="str">
        <f>IFERROR(__xludf.DUMMYFUNCTION("IFNA(SUM(FILTER('42 серия'!$B$6:$C$15,'42 серия'!$B$6:$B$15=C23)), )"),"")</f>
        <v/>
      </c>
      <c r="BJ23" s="32" t="str">
        <f>IFERROR(__xludf.DUMMYFUNCTION("IFNA(SUM(FILTER('43 серия'!$B$6:$C$15,'43 серия'!$B$6:$B$15=C23)), )"),"")</f>
        <v/>
      </c>
      <c r="BK23" s="32" t="str">
        <f>IFERROR(__xludf.DUMMYFUNCTION("IFNA(SUM(FILTER('44 серия'!$B$6:$C$15,'44 серия'!$B$6:$B$15=C23)), )"),"")</f>
        <v/>
      </c>
      <c r="BL23" s="32" t="str">
        <f>IFERROR(__xludf.DUMMYFUNCTION("IFNA(SUM(FILTER('45 серия'!$B$6:$C$15,'45 серия'!$B$6:$B$15=C23)), )"),"")</f>
        <v/>
      </c>
      <c r="BM23" s="32">
        <f>IFERROR(__xludf.DUMMYFUNCTION("IFNA(SUM(FILTER('46 серия'!$B$6:$C$15,'46 серия'!$B$6:$B$15=C23)), )"),16.75)</f>
        <v>16.75</v>
      </c>
      <c r="BN23" s="32" t="str">
        <f>IFERROR(__xludf.DUMMYFUNCTION("IFNA(SUM(FILTER('47 серия'!$B$6:$C$15,'47 серия'!$B$6:$B$15=C23)), )"),"")</f>
        <v/>
      </c>
      <c r="BO23" s="42" t="str">
        <f>IFERROR(__xludf.DUMMYFUNCTION("IFNA(SUM(FILTER('48 серия'!$B$6:$C$15,'48 серия'!$B$6:$B$15=$C23)), )"),"")</f>
        <v/>
      </c>
      <c r="BP23" s="43" t="str">
        <f>IFERROR(__xludf.DUMMYFUNCTION("IFNA(SUM(FILTER('49 серия'!$B$6:$C$15,'49 серия'!$B$6:$B$15=$C23)), )"),"")</f>
        <v/>
      </c>
      <c r="BQ23" s="43" t="str">
        <f>IFERROR(__xludf.DUMMYFUNCTION("IFNA(SUM(FILTER('50 серия'!$B$6:$C$15,'50 серия'!$B$6:$B$15=$C23)), )"),"")</f>
        <v/>
      </c>
      <c r="BR23" s="43" t="str">
        <f>IFERROR(__xludf.DUMMYFUNCTION("IFNA(SUM(FILTER('51 серия'!$B$6:$C$15,'51 серия'!$B$6:$B$15=$C23)), )"),"")</f>
        <v/>
      </c>
      <c r="BS23" s="49" t="str">
        <f>IFERROR(__xludf.DUMMYFUNCTION("IFNA(SUM(FILTER('52 серия'!$B$6:$C$15,'52 серия'!$B$6:$B$15=C23)), )"),"")</f>
        <v/>
      </c>
      <c r="BT23" s="32" t="str">
        <f>IFERROR(__xludf.DUMMYFUNCTION("IFNA(SUM(FILTER('53 серия'!$B$6:$C$15,'53 серия'!$B$6:$B$15=$C23)), )"),"")</f>
        <v/>
      </c>
      <c r="BU23" s="32" t="str">
        <f>IFERROR(__xludf.DUMMYFUNCTION("IFNA(SUM(FILTER('54 серия'!$B$6:$C$15,'54 серия'!$B$6:$B$15=$C23)), )"),"")</f>
        <v/>
      </c>
      <c r="BV23" s="32" t="str">
        <f>IFERROR(__xludf.DUMMYFUNCTION("IFNA(SUM(FILTER('55 серия'!$B$6:$C$15,'55 серия'!$B$6:$B$15=$C23)), )"),"")</f>
        <v/>
      </c>
      <c r="BW23" s="32" t="str">
        <f>IFERROR(__xludf.DUMMYFUNCTION("IFNA(SUM(FILTER('56 серия'!$B$6:$C$15,'56 серия'!$B$6:$B$15=$C23)), )"),"")</f>
        <v/>
      </c>
      <c r="BX23" s="32">
        <f>IFERROR(__xludf.DUMMYFUNCTION("IFNA(SUM(FILTER('57 серия'!$B$6:$C$15,'57 серия'!$B$6:$B$15=$C23)), )"),15.5)</f>
        <v>15.5</v>
      </c>
      <c r="BY23" s="32" t="str">
        <f>IFERROR(__xludf.DUMMYFUNCTION("IFNA(SUM(FILTER('58 серия'!$B$6:$C$15,'58 серия'!$B$6:$B$15=$C23)), )"),"")</f>
        <v/>
      </c>
      <c r="BZ23" s="46" t="str">
        <f>IFERROR(__xludf.DUMMYFUNCTION("IFNA(SUM(FILTER('59 серия'!$B$6:$C$15,'59 серия'!$B$6:$B$15=C23)), )"),"")</f>
        <v/>
      </c>
      <c r="CA23" s="44" t="str">
        <f>IFERROR(__xludf.DUMMYFUNCTION("IFNA(SUM(FILTER('60 серия'!$B$6:$C$15,'60 серия'!$B$6:$B$15=$C23)), )"),"")</f>
        <v/>
      </c>
      <c r="CB23" s="4"/>
    </row>
    <row r="24">
      <c r="A24" s="10"/>
      <c r="B24" s="27">
        <f t="shared" si="1"/>
        <v>18</v>
      </c>
      <c r="C24" s="45" t="s">
        <v>96</v>
      </c>
      <c r="D24" s="29">
        <f>'Игроки статистика'!B22</f>
        <v>50</v>
      </c>
      <c r="E24" s="30">
        <f t="shared" si="2"/>
        <v>183.5</v>
      </c>
      <c r="F24" s="31">
        <f t="shared" si="3"/>
        <v>18.35</v>
      </c>
      <c r="G24" s="46">
        <f t="shared" si="4"/>
        <v>2.52</v>
      </c>
      <c r="H24" s="46">
        <f>SUMIFS('Все игры'!C$3:C1011,'Все игры'!A$3:A1011,C24)</f>
        <v>57.5</v>
      </c>
      <c r="I24" s="46">
        <f t="shared" si="5"/>
        <v>124</v>
      </c>
      <c r="J24" s="47">
        <f>SUMIFS('Все игры'!F$3:F1011,'Все игры'!A$3:A1011,C24)</f>
        <v>0</v>
      </c>
      <c r="K24" s="48">
        <f>SUMIFS('Все игры'!G$3:G1011,'Все игры'!A$3:A1011,C24)</f>
        <v>2</v>
      </c>
      <c r="L24" s="35">
        <f>'Игроки статистика'!G22</f>
        <v>4</v>
      </c>
      <c r="M24" s="36">
        <f t="shared" si="6"/>
        <v>23</v>
      </c>
      <c r="N24" s="36">
        <f>SUM('Игроки статистика'!O22,'Игроки статистика'!Q22)</f>
        <v>4</v>
      </c>
      <c r="O24" s="37">
        <f>SUM('Игроки статистика'!P22,'Игроки статистика'!R22)</f>
        <v>4</v>
      </c>
      <c r="P24" s="38" t="str">
        <f>IFERROR(__xludf.DUMMYFUNCTION("IFNA(SUM(FILTER('Штрафы'!$D$5:$D1011,'Штрафы'!$C$5:$C1011=C24)), )"),"")</f>
        <v/>
      </c>
      <c r="Q24" s="38" t="str">
        <f>IFERROR(__xludf.DUMMYFUNCTION("IFNA(SUM(FILTER('Штрафы'!$F$5:$F1011,'Штрафы'!$C$5:$C1011=C24)), )"),"")</f>
        <v/>
      </c>
      <c r="R24" s="39"/>
      <c r="S24" s="40"/>
      <c r="T24" s="31" t="str">
        <f>IFERROR(__xludf.DUMMYFUNCTION("IFNA(SUM(FILTER('1 серия'!$B$6:$C$15,'1 серия'!$B$6:$B$15=C24)), )"),"")</f>
        <v/>
      </c>
      <c r="U24" s="32" t="str">
        <f>IFERROR(__xludf.DUMMYFUNCTION("IFNA(SUM(FILTER('2 серия'!$B$6:$C$15,'2 серия'!$B$6:$B$15=C24)), )
"),"")</f>
        <v/>
      </c>
      <c r="V24" s="32" t="str">
        <f>IFERROR(__xludf.DUMMYFUNCTION("IFNA(SUM(FILTER('3 серия'!$B$6:$C$15,'3 серия'!$B$6:$B$15=C24)), )
"),"")</f>
        <v/>
      </c>
      <c r="W24" s="32">
        <f>IFERROR(__xludf.DUMMYFUNCTION("IFNA(SUM(FILTER('4 серия'!$B$6:$C$15,'4 серия'!$B$6:$B$15=C24)), )"),22.5)</f>
        <v>22.5</v>
      </c>
      <c r="X24" s="32" t="str">
        <f>IFERROR(__xludf.DUMMYFUNCTION("IFNA(SUM(FILTER('5 серия'!$B$6:$C$15,'5 серия'!$B$6:$B$15=C24)), )"),"")</f>
        <v/>
      </c>
      <c r="Y24" s="32" t="str">
        <f>IFERROR(__xludf.DUMMYFUNCTION("IFNA(SUM(FILTER('6 серия'!$B$6:$C$15,'6 серия'!$B$6:$B$15=C24)), )"),"")</f>
        <v/>
      </c>
      <c r="Z24" s="32" t="str">
        <f>IFERROR(__xludf.DUMMYFUNCTION("IFNA(SUM(FILTER('7 серия'!$B$6:$C$15,'7 серия'!$B$6:$B$15=C24)), )"),"")</f>
        <v/>
      </c>
      <c r="AA24" s="32">
        <f>IFERROR(__xludf.DUMMYFUNCTION("IFNA(SUM(FILTER('8 серия'!$B$6:$C$15,'8 серия'!$B$6:$B$15=C24)), )"),13.25)</f>
        <v>13.25</v>
      </c>
      <c r="AB24" s="32" t="str">
        <f>IFERROR(__xludf.DUMMYFUNCTION("IFNA(SUM(FILTER('9 серия'!$B$7:$C$16,'9 серия'!$B$7:$B$16=C24)), )"),"")</f>
        <v/>
      </c>
      <c r="AC24" s="32" t="str">
        <f>IFERROR(__xludf.DUMMYFUNCTION("IFNA(SUM(FILTER('10 серия'!$B$6:$C$15,'10 серия'!$B$6:$B$15=C24)), )"),"")</f>
        <v/>
      </c>
      <c r="AD24" s="32">
        <f>IFERROR(__xludf.DUMMYFUNCTION("IFNA(SUM(FILTER('11 серия'!$B$6:$C$15,'11 серия'!$B$6:$B$15=C24)), )"),22.5)</f>
        <v>22.5</v>
      </c>
      <c r="AE24" s="32" t="str">
        <f>IFERROR(__xludf.DUMMYFUNCTION("IFNA(SUM(FILTER('12 серия'!$B$6:$C$15,'12 серия'!$B$6:$B$15=C24)), )"),"")</f>
        <v/>
      </c>
      <c r="AF24" s="32" t="str">
        <f>IFERROR(__xludf.DUMMYFUNCTION("IFNA(SUM(FILTER('13 серия'!$B$6:$C$15,'13 серия'!$B$6:$B$15=C24)), )"),"")</f>
        <v/>
      </c>
      <c r="AG24" s="32" t="str">
        <f>IFERROR(__xludf.DUMMYFUNCTION("IFNA(SUM(FILTER('14 серия'!$B$6:$C$15,'14 серия'!$B$6:$B$15=C24)), )"),"")</f>
        <v/>
      </c>
      <c r="AH24" s="32" t="str">
        <f>IFERROR(__xludf.DUMMYFUNCTION("IFNA(SUM(FILTER('15 серия'!$B$6:$C$15,'15 серия'!$B$6:$B$15=C24)), )"),"")</f>
        <v/>
      </c>
      <c r="AI24" s="32">
        <f>IFERROR(__xludf.DUMMYFUNCTION("IFNA(SUM(FILTER('16 серия'!$B$6:$C$15,'16 серия'!$B$6:$B$15=C24)), )"),23.25)</f>
        <v>23.25</v>
      </c>
      <c r="AJ24" s="32" t="str">
        <f>IFERROR(__xludf.DUMMYFUNCTION("IFNA(SUM(FILTER('17 серия'!$B$6:$C$15,'17 серия'!$B$6:$B$15=C24)), )"),"")</f>
        <v/>
      </c>
      <c r="AK24" s="32" t="str">
        <f>IFERROR(__xludf.DUMMYFUNCTION("IFNA(SUM(FILTER('18 серия'!$B$6:$C$15,'18 серия'!$B$6:$B$15=C24)), )"),"")</f>
        <v/>
      </c>
      <c r="AL24" s="32" t="str">
        <f>IFERROR(__xludf.DUMMYFUNCTION("IFNA(SUM(FILTER('19 серия'!$B$6:$C$15,'19 серия'!$B$6:$B$15=C24)), )"),"")</f>
        <v/>
      </c>
      <c r="AM24" s="32" t="str">
        <f>IFERROR(__xludf.DUMMYFUNCTION("IFNA(SUM(FILTER('20 серия'!$B$6:$C$15,'20 серия'!$B$6:$B$15=C24)), )"),"")</f>
        <v/>
      </c>
      <c r="AN24" s="32" t="str">
        <f>IFERROR(__xludf.DUMMYFUNCTION("IFNA(SUM(FILTER('21 серия'!$B$6:$C$15,'21 серия'!$B$6:$B$15=C24)), )"),"")</f>
        <v/>
      </c>
      <c r="AO24" s="32" t="str">
        <f>IFERROR(__xludf.DUMMYFUNCTION("IFNA(SUM(FILTER('22 серия'!$B$6:$C$15,'22 серия'!$B$6:$B$15=C24)), )"),"")</f>
        <v/>
      </c>
      <c r="AP24" s="32" t="str">
        <f>IFERROR(__xludf.DUMMYFUNCTION("IFNA(SUM(FILTER('23 серия'!$B$6:$C$15,'23 серия'!$B$6:$B$15=C24)), )"),"")</f>
        <v/>
      </c>
      <c r="AQ24" s="32" t="str">
        <f>IFERROR(__xludf.DUMMYFUNCTION("IFNA(SUM(FILTER('24 серия'!$B$6:$C$15,'24 серия'!$B$6:$B$15=C24)), )"),"")</f>
        <v/>
      </c>
      <c r="AR24" s="32" t="str">
        <f>IFERROR(__xludf.DUMMYFUNCTION("IFNA(SUM(FILTER('25 серия'!$B$6:$C$15,'25 серия'!$B$6:$B$15=C24)), )"),"")</f>
        <v/>
      </c>
      <c r="AS24" s="32" t="str">
        <f>IFERROR(__xludf.DUMMYFUNCTION("IFNA(SUM(FILTER('26 серия'!$B$6:$C$15,'26 серия'!$B$6:$B$15=C24)), )"),"")</f>
        <v/>
      </c>
      <c r="AT24" s="32" t="str">
        <f>IFERROR(__xludf.DUMMYFUNCTION("IFNA(SUM(FILTER('27 серия'!$B$6:$C$15,'27 серия'!$B$6:$B$15=C24)), )"),"")</f>
        <v/>
      </c>
      <c r="AU24" s="32" t="str">
        <f>IFERROR(__xludf.DUMMYFUNCTION("IFNA(SUM(FILTER('28 серия'!$B$6:$C$15,'28 серия'!$B$6:$B$15=C24)), )"),"")</f>
        <v/>
      </c>
      <c r="AV24" s="32" t="str">
        <f>IFERROR(__xludf.DUMMYFUNCTION("IFNA(SUM(FILTER('29 серия'!$B$6:$C$15,'29 серия'!$B$6:$B$15=C24)), )"),"")</f>
        <v/>
      </c>
      <c r="AW24" s="32" t="str">
        <f>IFERROR(__xludf.DUMMYFUNCTION("IFNA(SUM(FILTER('30 серия'!$B$6:$C$15,'30 серия'!$B$6:$B$15=C24)), )"),"")</f>
        <v/>
      </c>
      <c r="AX24" s="32" t="str">
        <f>IFERROR(__xludf.DUMMYFUNCTION("IFNA(SUM(FILTER('31 серия'!$B$6:$C$15,'31 серия'!$B$6:$B$15=C24)), )"),"")</f>
        <v/>
      </c>
      <c r="AY24" s="32" t="str">
        <f>IFERROR(__xludf.DUMMYFUNCTION("IFNA(SUM(FILTER('32 серия'!$B$6:$C$15,'32 серия'!$B$6:$B$15=C24)), )"),"")</f>
        <v/>
      </c>
      <c r="AZ24" s="32">
        <f>IFERROR(__xludf.DUMMYFUNCTION("IFNA(SUM(FILTER('33 серия'!$B$6:$C$15,'33 серия'!$B$6:$B$15=C24)), )"),16.5)</f>
        <v>16.5</v>
      </c>
      <c r="BA24" s="32" t="str">
        <f>IFERROR(__xludf.DUMMYFUNCTION("IFNA(SUM(FILTER('34 серия'!$B$6:$C$15,'34 серия'!$B$6:$B$15=C24)), )"),"")</f>
        <v/>
      </c>
      <c r="BB24" s="32" t="str">
        <f>IFERROR(__xludf.DUMMYFUNCTION("IFNA(SUM(FILTER('35 серия'!$B$6:$C$15,'35 серия'!$B$6:$B$15=C24)), )"),"")</f>
        <v/>
      </c>
      <c r="BC24" s="32" t="str">
        <f>IFERROR(__xludf.DUMMYFUNCTION("IFNA(SUM(FILTER('36 серия'!$B$6:$C$15,'36 серия'!$B$6:$B$15=C24)), )"),"")</f>
        <v/>
      </c>
      <c r="BD24" s="32">
        <f>IFERROR(__xludf.DUMMYFUNCTION("IFNA(SUM(FILTER('37 серия'!$B$6:$C$15,'37 серия'!$B$6:$B$15=C24)), )"),14.25)</f>
        <v>14.25</v>
      </c>
      <c r="BE24" s="32" t="str">
        <f>IFERROR(__xludf.DUMMYFUNCTION("IFNA(SUM(FILTER('38 серия'!$B$6:$C$15,'38 серия'!$B$6:$B$15=C24)), )"),"")</f>
        <v/>
      </c>
      <c r="BF24" s="32" t="str">
        <f>IFERROR(__xludf.DUMMYFUNCTION("IFNA(SUM(FILTER('39 серия'!$B$6:$C$15,'39 серия'!$B$6:$B$15=C24)), )"),"")</f>
        <v/>
      </c>
      <c r="BG24" s="32" t="str">
        <f>IFERROR(__xludf.DUMMYFUNCTION("IFNA(SUM(FILTER('40 серия'!$B$6:$C$15,'40 серия'!$B$6:$B$15=C24)), )"),"")</f>
        <v/>
      </c>
      <c r="BH24" s="32" t="str">
        <f>IFERROR(__xludf.DUMMYFUNCTION("IFNA(SUM(FILTER('41 серия'!$B$6:$C$15,'41 серия'!$B$6:$B$15=C24)), )"),"")</f>
        <v/>
      </c>
      <c r="BI24" s="32" t="str">
        <f>IFERROR(__xludf.DUMMYFUNCTION("IFNA(SUM(FILTER('42 серия'!$B$6:$C$15,'42 серия'!$B$6:$B$15=C24)), )"),"")</f>
        <v/>
      </c>
      <c r="BJ24" s="32">
        <f>IFERROR(__xludf.DUMMYFUNCTION("IFNA(SUM(FILTER('43 серия'!$B$6:$C$15,'43 серия'!$B$6:$B$15=C24)), )"),21.25)</f>
        <v>21.25</v>
      </c>
      <c r="BK24" s="32" t="str">
        <f>IFERROR(__xludf.DUMMYFUNCTION("IFNA(SUM(FILTER('44 серия'!$B$6:$C$15,'44 серия'!$B$6:$B$15=C24)), )"),"")</f>
        <v/>
      </c>
      <c r="BL24" s="32">
        <f>IFERROR(__xludf.DUMMYFUNCTION("IFNA(SUM(FILTER('45 серия'!$B$6:$C$15,'45 серия'!$B$6:$B$15=C24)), )"),17.25)</f>
        <v>17.25</v>
      </c>
      <c r="BM24" s="32" t="str">
        <f>IFERROR(__xludf.DUMMYFUNCTION("IFNA(SUM(FILTER('46 серия'!$B$6:$C$15,'46 серия'!$B$6:$B$15=C24)), )"),"")</f>
        <v/>
      </c>
      <c r="BN24" s="32" t="str">
        <f>IFERROR(__xludf.DUMMYFUNCTION("IFNA(SUM(FILTER('47 серия'!$B$6:$C$15,'47 серия'!$B$6:$B$15=C24)), )"),"")</f>
        <v/>
      </c>
      <c r="BO24" s="42" t="str">
        <f>IFERROR(__xludf.DUMMYFUNCTION("IFNA(SUM(FILTER('48 серия'!$B$6:$C$15,'48 серия'!$B$6:$B$15=$C24)), )"),"")</f>
        <v/>
      </c>
      <c r="BP24" s="43" t="str">
        <f>IFERROR(__xludf.DUMMYFUNCTION("IFNA(SUM(FILTER('49 серия'!$B$6:$C$15,'49 серия'!$B$6:$B$15=$C24)), )"),"")</f>
        <v/>
      </c>
      <c r="BQ24" s="43" t="str">
        <f>IFERROR(__xludf.DUMMYFUNCTION("IFNA(SUM(FILTER('50 серия'!$B$6:$C$15,'50 серия'!$B$6:$B$15=$C24)), )"),"")</f>
        <v/>
      </c>
      <c r="BR24" s="43" t="str">
        <f>IFERROR(__xludf.DUMMYFUNCTION("IFNA(SUM(FILTER('51 серия'!$B$6:$C$15,'51 серия'!$B$6:$B$15=$C24)), )"),"")</f>
        <v/>
      </c>
      <c r="BS24" s="49">
        <f>IFERROR(__xludf.DUMMYFUNCTION("IFNA(SUM(FILTER('52 серия'!$B$6:$C$15,'52 серия'!$B$6:$B$15=C24)), )"),13.75)</f>
        <v>13.75</v>
      </c>
      <c r="BT24" s="32" t="str">
        <f>IFERROR(__xludf.DUMMYFUNCTION("IFNA(SUM(FILTER('53 серия'!$B$6:$C$15,'53 серия'!$B$6:$B$15=$C24)), )"),"")</f>
        <v/>
      </c>
      <c r="BU24" s="32" t="str">
        <f>IFERROR(__xludf.DUMMYFUNCTION("IFNA(SUM(FILTER('54 серия'!$B$6:$C$15,'54 серия'!$B$6:$B$15=$C24)), )"),"")</f>
        <v/>
      </c>
      <c r="BV24" s="32" t="str">
        <f>IFERROR(__xludf.DUMMYFUNCTION("IFNA(SUM(FILTER('55 серия'!$B$6:$C$15,'55 серия'!$B$6:$B$15=$C24)), )"),"")</f>
        <v/>
      </c>
      <c r="BW24" s="32" t="str">
        <f>IFERROR(__xludf.DUMMYFUNCTION("IFNA(SUM(FILTER('56 серия'!$B$6:$C$15,'56 серия'!$B$6:$B$15=$C24)), )"),"")</f>
        <v/>
      </c>
      <c r="BX24" s="32" t="str">
        <f>IFERROR(__xludf.DUMMYFUNCTION("IFNA(SUM(FILTER('57 серия'!$B$6:$C$15,'57 серия'!$B$6:$B$15=$C24)), )"),"")</f>
        <v/>
      </c>
      <c r="BY24" s="32" t="str">
        <f>IFERROR(__xludf.DUMMYFUNCTION("IFNA(SUM(FILTER('58 серия'!$B$6:$C$15,'58 серия'!$B$6:$B$15=$C24)), )"),"")</f>
        <v/>
      </c>
      <c r="BZ24" s="46" t="str">
        <f>IFERROR(__xludf.DUMMYFUNCTION("IFNA(SUM(FILTER('59 серия'!$B$6:$C$15,'59 серия'!$B$6:$B$15=C24)), )"),"")</f>
        <v/>
      </c>
      <c r="CA24" s="44">
        <f>IFERROR(__xludf.DUMMYFUNCTION("IFNA(SUM(FILTER('60 серия'!$B$6:$C$15,'60 серия'!$B$6:$B$15=$C24)), )"),19.0)</f>
        <v>19</v>
      </c>
      <c r="CB24" s="4"/>
    </row>
    <row r="25">
      <c r="A25" s="10"/>
      <c r="B25" s="27">
        <f t="shared" si="1"/>
        <v>19</v>
      </c>
      <c r="C25" s="45" t="s">
        <v>97</v>
      </c>
      <c r="D25" s="29">
        <f>'Игроки статистика'!B23</f>
        <v>50</v>
      </c>
      <c r="E25" s="30">
        <f t="shared" si="2"/>
        <v>199.75</v>
      </c>
      <c r="F25" s="31">
        <f t="shared" si="3"/>
        <v>19.975</v>
      </c>
      <c r="G25" s="46">
        <f t="shared" si="4"/>
        <v>2.745</v>
      </c>
      <c r="H25" s="46">
        <f>SUMIFS('Все игры'!C$3:C1011,'Все игры'!A$3:A1011,C25)</f>
        <v>62.5</v>
      </c>
      <c r="I25" s="46">
        <f t="shared" si="5"/>
        <v>136.75</v>
      </c>
      <c r="J25" s="47">
        <f>SUMIFS('Все игры'!F$3:F1011,'Все игры'!A$3:A1011,C25)</f>
        <v>0</v>
      </c>
      <c r="K25" s="48">
        <f>SUMIFS('Все игры'!G$3:G1011,'Все игры'!A$3:A1011,C25)</f>
        <v>0.5</v>
      </c>
      <c r="L25" s="35">
        <f>'Игроки статистика'!G23</f>
        <v>1</v>
      </c>
      <c r="M25" s="36">
        <f t="shared" si="6"/>
        <v>25</v>
      </c>
      <c r="N25" s="36">
        <f>SUM('Игроки статистика'!O23,'Игроки статистика'!Q23)</f>
        <v>4</v>
      </c>
      <c r="O25" s="37">
        <f>SUM('Игроки статистика'!P23,'Игроки статистика'!R23)</f>
        <v>4</v>
      </c>
      <c r="P25" s="38" t="str">
        <f>IFERROR(__xludf.DUMMYFUNCTION("IFNA(SUM(FILTER('Штрафы'!$D$5:$D1011,'Штрафы'!$C$5:$C1011=C25)), )"),"")</f>
        <v/>
      </c>
      <c r="Q25" s="38" t="str">
        <f>IFERROR(__xludf.DUMMYFUNCTION("IFNA(SUM(FILTER('Штрафы'!$F$5:$F1011,'Штрафы'!$C$5:$C1011=C25)), )"),"")</f>
        <v/>
      </c>
      <c r="R25" s="39"/>
      <c r="S25" s="40"/>
      <c r="T25" s="31" t="str">
        <f>IFERROR(__xludf.DUMMYFUNCTION("IFNA(SUM(FILTER('1 серия'!$B$6:$C$15,'1 серия'!$B$6:$B$15=C25)), )"),"")</f>
        <v/>
      </c>
      <c r="U25" s="32" t="str">
        <f>IFERROR(__xludf.DUMMYFUNCTION("IFNA(SUM(FILTER('2 серия'!$B$6:$C$15,'2 серия'!$B$6:$B$15=C25)), )
"),"")</f>
        <v/>
      </c>
      <c r="V25" s="32" t="str">
        <f>IFERROR(__xludf.DUMMYFUNCTION("IFNA(SUM(FILTER('3 серия'!$B$6:$C$15,'3 серия'!$B$6:$B$15=C25)), )
"),"")</f>
        <v/>
      </c>
      <c r="W25" s="32" t="str">
        <f>IFERROR(__xludf.DUMMYFUNCTION("IFNA(SUM(FILTER('4 серия'!$B$6:$C$15,'4 серия'!$B$6:$B$15=C25)), )"),"")</f>
        <v/>
      </c>
      <c r="X25" s="32" t="str">
        <f>IFERROR(__xludf.DUMMYFUNCTION("IFNA(SUM(FILTER('5 серия'!$B$6:$C$15,'5 серия'!$B$6:$B$15=C25)), )"),"")</f>
        <v/>
      </c>
      <c r="Y25" s="32" t="str">
        <f>IFERROR(__xludf.DUMMYFUNCTION("IFNA(SUM(FILTER('6 серия'!$B$6:$C$15,'6 серия'!$B$6:$B$15=C25)), )"),"")</f>
        <v/>
      </c>
      <c r="Z25" s="32" t="str">
        <f>IFERROR(__xludf.DUMMYFUNCTION("IFNA(SUM(FILTER('7 серия'!$B$6:$C$15,'7 серия'!$B$6:$B$15=C25)), )"),"")</f>
        <v/>
      </c>
      <c r="AA25" s="32">
        <f>IFERROR(__xludf.DUMMYFUNCTION("IFNA(SUM(FILTER('8 серия'!$B$6:$C$15,'8 серия'!$B$6:$B$15=C25)), )"),18.5)</f>
        <v>18.5</v>
      </c>
      <c r="AB25" s="32" t="str">
        <f>IFERROR(__xludf.DUMMYFUNCTION("IFNA(SUM(FILTER('9 серия'!$B$7:$C$16,'9 серия'!$B$7:$B$16=C25)), )"),"")</f>
        <v/>
      </c>
      <c r="AC25" s="32" t="str">
        <f>IFERROR(__xludf.DUMMYFUNCTION("IFNA(SUM(FILTER('10 серия'!$B$6:$C$15,'10 серия'!$B$6:$B$15=C25)), )"),"")</f>
        <v/>
      </c>
      <c r="AD25" s="32">
        <f>IFERROR(__xludf.DUMMYFUNCTION("IFNA(SUM(FILTER('11 серия'!$B$6:$C$15,'11 серия'!$B$6:$B$15=C25)), )"),26.75)</f>
        <v>26.75</v>
      </c>
      <c r="AE25" s="32" t="str">
        <f>IFERROR(__xludf.DUMMYFUNCTION("IFNA(SUM(FILTER('12 серия'!$B$6:$C$15,'12 серия'!$B$6:$B$15=C25)), )"),"")</f>
        <v/>
      </c>
      <c r="AF25" s="32" t="str">
        <f>IFERROR(__xludf.DUMMYFUNCTION("IFNA(SUM(FILTER('13 серия'!$B$6:$C$15,'13 серия'!$B$6:$B$15=C25)), )"),"")</f>
        <v/>
      </c>
      <c r="AG25" s="32" t="str">
        <f>IFERROR(__xludf.DUMMYFUNCTION("IFNA(SUM(FILTER('14 серия'!$B$6:$C$15,'14 серия'!$B$6:$B$15=C25)), )"),"")</f>
        <v/>
      </c>
      <c r="AH25" s="32" t="str">
        <f>IFERROR(__xludf.DUMMYFUNCTION("IFNA(SUM(FILTER('15 серия'!$B$6:$C$15,'15 серия'!$B$6:$B$15=C25)), )"),"")</f>
        <v/>
      </c>
      <c r="AI25" s="32" t="str">
        <f>IFERROR(__xludf.DUMMYFUNCTION("IFNA(SUM(FILTER('16 серия'!$B$6:$C$15,'16 серия'!$B$6:$B$15=C25)), )"),"")</f>
        <v/>
      </c>
      <c r="AJ25" s="32">
        <f>IFERROR(__xludf.DUMMYFUNCTION("IFNA(SUM(FILTER('17 серия'!$B$6:$C$15,'17 серия'!$B$6:$B$15=C25)), )"),18.0)</f>
        <v>18</v>
      </c>
      <c r="AK25" s="32" t="str">
        <f>IFERROR(__xludf.DUMMYFUNCTION("IFNA(SUM(FILTER('18 серия'!$B$6:$C$15,'18 серия'!$B$6:$B$15=C25)), )"),"")</f>
        <v/>
      </c>
      <c r="AL25" s="32" t="str">
        <f>IFERROR(__xludf.DUMMYFUNCTION("IFNA(SUM(FILTER('19 серия'!$B$6:$C$15,'19 серия'!$B$6:$B$15=C25)), )"),"")</f>
        <v/>
      </c>
      <c r="AM25" s="32" t="str">
        <f>IFERROR(__xludf.DUMMYFUNCTION("IFNA(SUM(FILTER('20 серия'!$B$6:$C$15,'20 серия'!$B$6:$B$15=C25)), )"),"")</f>
        <v/>
      </c>
      <c r="AN25" s="32">
        <f>IFERROR(__xludf.DUMMYFUNCTION("IFNA(SUM(FILTER('21 серия'!$B$6:$C$15,'21 серия'!$B$6:$B$15=C25)), )"),14.5)</f>
        <v>14.5</v>
      </c>
      <c r="AO25" s="32" t="str">
        <f>IFERROR(__xludf.DUMMYFUNCTION("IFNA(SUM(FILTER('22 серия'!$B$6:$C$15,'22 серия'!$B$6:$B$15=C25)), )"),"")</f>
        <v/>
      </c>
      <c r="AP25" s="32" t="str">
        <f>IFERROR(__xludf.DUMMYFUNCTION("IFNA(SUM(FILTER('23 серия'!$B$6:$C$15,'23 серия'!$B$6:$B$15=C25)), )"),"")</f>
        <v/>
      </c>
      <c r="AQ25" s="32" t="str">
        <f>IFERROR(__xludf.DUMMYFUNCTION("IFNA(SUM(FILTER('24 серия'!$B$6:$C$15,'24 серия'!$B$6:$B$15=C25)), )"),"")</f>
        <v/>
      </c>
      <c r="AR25" s="32" t="str">
        <f>IFERROR(__xludf.DUMMYFUNCTION("IFNA(SUM(FILTER('25 серия'!$B$6:$C$15,'25 серия'!$B$6:$B$15=C25)), )"),"")</f>
        <v/>
      </c>
      <c r="AS25" s="32" t="str">
        <f>IFERROR(__xludf.DUMMYFUNCTION("IFNA(SUM(FILTER('26 серия'!$B$6:$C$15,'26 серия'!$B$6:$B$15=C25)), )"),"")</f>
        <v/>
      </c>
      <c r="AT25" s="32" t="str">
        <f>IFERROR(__xludf.DUMMYFUNCTION("IFNA(SUM(FILTER('27 серия'!$B$6:$C$15,'27 серия'!$B$6:$B$15=C25)), )"),"")</f>
        <v/>
      </c>
      <c r="AU25" s="32">
        <f>IFERROR(__xludf.DUMMYFUNCTION("IFNA(SUM(FILTER('28 серия'!$B$6:$C$15,'28 серия'!$B$6:$B$15=C25)), )"),15.5)</f>
        <v>15.5</v>
      </c>
      <c r="AV25" s="32" t="str">
        <f>IFERROR(__xludf.DUMMYFUNCTION("IFNA(SUM(FILTER('29 серия'!$B$6:$C$15,'29 серия'!$B$6:$B$15=C25)), )"),"")</f>
        <v/>
      </c>
      <c r="AW25" s="32" t="str">
        <f>IFERROR(__xludf.DUMMYFUNCTION("IFNA(SUM(FILTER('30 серия'!$B$6:$C$15,'30 серия'!$B$6:$B$15=C25)), )"),"")</f>
        <v/>
      </c>
      <c r="AX25" s="32">
        <f>IFERROR(__xludf.DUMMYFUNCTION("IFNA(SUM(FILTER('31 серия'!$B$6:$C$15,'31 серия'!$B$6:$B$15=C25)), )"),17.5)</f>
        <v>17.5</v>
      </c>
      <c r="AY25" s="32" t="str">
        <f>IFERROR(__xludf.DUMMYFUNCTION("IFNA(SUM(FILTER('32 серия'!$B$6:$C$15,'32 серия'!$B$6:$B$15=C25)), )"),"")</f>
        <v/>
      </c>
      <c r="AZ25" s="32" t="str">
        <f>IFERROR(__xludf.DUMMYFUNCTION("IFNA(SUM(FILTER('33 серия'!$B$6:$C$15,'33 серия'!$B$6:$B$15=C25)), )"),"")</f>
        <v/>
      </c>
      <c r="BA25" s="32" t="str">
        <f>IFERROR(__xludf.DUMMYFUNCTION("IFNA(SUM(FILTER('34 серия'!$B$6:$C$15,'34 серия'!$B$6:$B$15=C25)), )"),"")</f>
        <v/>
      </c>
      <c r="BB25" s="32" t="str">
        <f>IFERROR(__xludf.DUMMYFUNCTION("IFNA(SUM(FILTER('35 серия'!$B$6:$C$15,'35 серия'!$B$6:$B$15=C25)), )"),"")</f>
        <v/>
      </c>
      <c r="BC25" s="32" t="str">
        <f>IFERROR(__xludf.DUMMYFUNCTION("IFNA(SUM(FILTER('36 серия'!$B$6:$C$15,'36 серия'!$B$6:$B$15=C25)), )"),"")</f>
        <v/>
      </c>
      <c r="BD25" s="32" t="str">
        <f>IFERROR(__xludf.DUMMYFUNCTION("IFNA(SUM(FILTER('37 серия'!$B$6:$C$15,'37 серия'!$B$6:$B$15=C25)), )"),"")</f>
        <v/>
      </c>
      <c r="BE25" s="32" t="str">
        <f>IFERROR(__xludf.DUMMYFUNCTION("IFNA(SUM(FILTER('38 серия'!$B$6:$C$15,'38 серия'!$B$6:$B$15=C25)), )"),"")</f>
        <v/>
      </c>
      <c r="BF25" s="32" t="str">
        <f>IFERROR(__xludf.DUMMYFUNCTION("IFNA(SUM(FILTER('39 серия'!$B$6:$C$15,'39 серия'!$B$6:$B$15=C25)), )"),"")</f>
        <v/>
      </c>
      <c r="BG25" s="32" t="str">
        <f>IFERROR(__xludf.DUMMYFUNCTION("IFNA(SUM(FILTER('40 серия'!$B$6:$C$15,'40 серия'!$B$6:$B$15=C25)), )"),"")</f>
        <v/>
      </c>
      <c r="BH25" s="32" t="str">
        <f>IFERROR(__xludf.DUMMYFUNCTION("IFNA(SUM(FILTER('41 серия'!$B$6:$C$15,'41 серия'!$B$6:$B$15=C25)), )"),"")</f>
        <v/>
      </c>
      <c r="BI25" s="32" t="str">
        <f>IFERROR(__xludf.DUMMYFUNCTION("IFNA(SUM(FILTER('42 серия'!$B$6:$C$15,'42 серия'!$B$6:$B$15=C25)), )"),"")</f>
        <v/>
      </c>
      <c r="BJ25" s="32">
        <f>IFERROR(__xludf.DUMMYFUNCTION("IFNA(SUM(FILTER('43 серия'!$B$6:$C$15,'43 серия'!$B$6:$B$15=C25)), )"),15.0)</f>
        <v>15</v>
      </c>
      <c r="BK25" s="32" t="str">
        <f>IFERROR(__xludf.DUMMYFUNCTION("IFNA(SUM(FILTER('44 серия'!$B$6:$C$15,'44 серия'!$B$6:$B$15=C25)), )"),"")</f>
        <v/>
      </c>
      <c r="BL25" s="32" t="str">
        <f>IFERROR(__xludf.DUMMYFUNCTION("IFNA(SUM(FILTER('45 серия'!$B$6:$C$15,'45 серия'!$B$6:$B$15=C25)), )"),"")</f>
        <v/>
      </c>
      <c r="BM25" s="32" t="str">
        <f>IFERROR(__xludf.DUMMYFUNCTION("IFNA(SUM(FILTER('46 серия'!$B$6:$C$15,'46 серия'!$B$6:$B$15=C25)), )"),"")</f>
        <v/>
      </c>
      <c r="BN25" s="32" t="str">
        <f>IFERROR(__xludf.DUMMYFUNCTION("IFNA(SUM(FILTER('47 серия'!$B$6:$C$15,'47 серия'!$B$6:$B$15=C25)), )"),"")</f>
        <v/>
      </c>
      <c r="BO25" s="42">
        <f>IFERROR(__xludf.DUMMYFUNCTION("IFNA(SUM(FILTER('48 серия'!$B$6:$C$15,'48 серия'!$B$6:$B$15=$C25)), )"),22.25)</f>
        <v>22.25</v>
      </c>
      <c r="BP25" s="43" t="str">
        <f>IFERROR(__xludf.DUMMYFUNCTION("IFNA(SUM(FILTER('49 серия'!$B$6:$C$15,'49 серия'!$B$6:$B$15=$C25)), )"),"")</f>
        <v/>
      </c>
      <c r="BQ25" s="43">
        <f>IFERROR(__xludf.DUMMYFUNCTION("IFNA(SUM(FILTER('50 серия'!$B$6:$C$15,'50 серия'!$B$6:$B$15=$C25)), )"),29.5)</f>
        <v>29.5</v>
      </c>
      <c r="BR25" s="43" t="str">
        <f>IFERROR(__xludf.DUMMYFUNCTION("IFNA(SUM(FILTER('51 серия'!$B$6:$C$15,'51 серия'!$B$6:$B$15=$C25)), )"),"")</f>
        <v/>
      </c>
      <c r="BS25" s="49" t="str">
        <f>IFERROR(__xludf.DUMMYFUNCTION("IFNA(SUM(FILTER('52 серия'!$B$6:$C$15,'52 серия'!$B$6:$B$15=C25)), )"),"")</f>
        <v/>
      </c>
      <c r="BT25" s="32" t="str">
        <f>IFERROR(__xludf.DUMMYFUNCTION("IFNA(SUM(FILTER('53 серия'!$B$6:$C$15,'53 серия'!$B$6:$B$15=$C25)), )"),"")</f>
        <v/>
      </c>
      <c r="BU25" s="32">
        <f>IFERROR(__xludf.DUMMYFUNCTION("IFNA(SUM(FILTER('54 серия'!$B$6:$C$15,'54 серия'!$B$6:$B$15=$C25)), )"),22.25)</f>
        <v>22.25</v>
      </c>
      <c r="BV25" s="32" t="str">
        <f>IFERROR(__xludf.DUMMYFUNCTION("IFNA(SUM(FILTER('55 серия'!$B$6:$C$15,'55 серия'!$B$6:$B$15=$C25)), )"),"")</f>
        <v/>
      </c>
      <c r="BW25" s="32" t="str">
        <f>IFERROR(__xludf.DUMMYFUNCTION("IFNA(SUM(FILTER('56 серия'!$B$6:$C$15,'56 серия'!$B$6:$B$15=$C25)), )"),"")</f>
        <v/>
      </c>
      <c r="BX25" s="32" t="str">
        <f>IFERROR(__xludf.DUMMYFUNCTION("IFNA(SUM(FILTER('57 серия'!$B$6:$C$15,'57 серия'!$B$6:$B$15=$C25)), )"),"")</f>
        <v/>
      </c>
      <c r="BY25" s="32" t="str">
        <f>IFERROR(__xludf.DUMMYFUNCTION("IFNA(SUM(FILTER('58 серия'!$B$6:$C$15,'58 серия'!$B$6:$B$15=$C25)), )"),"")</f>
        <v/>
      </c>
      <c r="BZ25" s="46" t="str">
        <f>IFERROR(__xludf.DUMMYFUNCTION("IFNA(SUM(FILTER('59 серия'!$B$6:$C$15,'59 серия'!$B$6:$B$15=C25)), )"),"")</f>
        <v/>
      </c>
      <c r="CA25" s="44" t="str">
        <f>IFERROR(__xludf.DUMMYFUNCTION("IFNA(SUM(FILTER('60 серия'!$B$6:$C$15,'60 серия'!$B$6:$B$15=$C25)), )"),"")</f>
        <v/>
      </c>
      <c r="CB25" s="4"/>
    </row>
    <row r="26">
      <c r="A26" s="10"/>
      <c r="B26" s="27">
        <f t="shared" si="1"/>
        <v>20</v>
      </c>
      <c r="C26" s="45" t="s">
        <v>98</v>
      </c>
      <c r="D26" s="29">
        <f>'Игроки статистика'!B24</f>
        <v>50</v>
      </c>
      <c r="E26" s="30">
        <f t="shared" si="2"/>
        <v>192.75</v>
      </c>
      <c r="F26" s="31">
        <f t="shared" si="3"/>
        <v>19.275</v>
      </c>
      <c r="G26" s="46">
        <f t="shared" si="4"/>
        <v>2.805</v>
      </c>
      <c r="H26" s="46">
        <f>SUMIFS('Все игры'!C$3:C1011,'Все игры'!A$3:A1011,C26)</f>
        <v>52.5</v>
      </c>
      <c r="I26" s="46">
        <f t="shared" si="5"/>
        <v>137.75</v>
      </c>
      <c r="J26" s="47">
        <f>SUMIFS('Все игры'!F$3:F1011,'Все игры'!A$3:A1011,C26)</f>
        <v>1</v>
      </c>
      <c r="K26" s="48">
        <f>SUMIFS('Все игры'!G$3:G1011,'Все игры'!A$3:A1011,C26)</f>
        <v>1.5</v>
      </c>
      <c r="L26" s="35">
        <f>'Игроки статистика'!G24</f>
        <v>3</v>
      </c>
      <c r="M26" s="36">
        <f t="shared" si="6"/>
        <v>21</v>
      </c>
      <c r="N26" s="36">
        <f>SUM('Игроки статистика'!O24,'Игроки статистика'!Q24)</f>
        <v>9</v>
      </c>
      <c r="O26" s="37">
        <f>SUM('Игроки статистика'!P24,'Игроки статистика'!R24)</f>
        <v>7</v>
      </c>
      <c r="P26" s="38" t="str">
        <f>IFERROR(__xludf.DUMMYFUNCTION("IFNA(SUM(FILTER('Штрафы'!$D$5:$D1011,'Штрафы'!$C$5:$C1011=C26)), )"),"")</f>
        <v/>
      </c>
      <c r="Q26" s="38" t="str">
        <f>IFERROR(__xludf.DUMMYFUNCTION("IFNA(SUM(FILTER('Штрафы'!$F$5:$F1011,'Штрафы'!$C$5:$C1011=C26)), )"),"")</f>
        <v/>
      </c>
      <c r="R26" s="39"/>
      <c r="S26" s="40"/>
      <c r="T26" s="31" t="str">
        <f>IFERROR(__xludf.DUMMYFUNCTION("IFNA(SUM(FILTER('1 серия'!$B$6:$C$15,'1 серия'!$B$6:$B$15=C26)), )"),"")</f>
        <v/>
      </c>
      <c r="U26" s="32">
        <f>IFERROR(__xludf.DUMMYFUNCTION("IFNA(SUM(FILTER('2 серия'!$B$6:$C$15,'2 серия'!$B$6:$B$15=C26)), )
"),21.5)</f>
        <v>21.5</v>
      </c>
      <c r="V26" s="32" t="str">
        <f>IFERROR(__xludf.DUMMYFUNCTION("IFNA(SUM(FILTER('3 серия'!$B$6:$C$15,'3 серия'!$B$6:$B$15=C26)), )
"),"")</f>
        <v/>
      </c>
      <c r="W26" s="32" t="str">
        <f>IFERROR(__xludf.DUMMYFUNCTION("IFNA(SUM(FILTER('4 серия'!$B$6:$C$15,'4 серия'!$B$6:$B$15=C26)), )"),"")</f>
        <v/>
      </c>
      <c r="X26" s="32" t="str">
        <f>IFERROR(__xludf.DUMMYFUNCTION("IFNA(SUM(FILTER('5 серия'!$B$6:$C$15,'5 серия'!$B$6:$B$15=C26)), )"),"")</f>
        <v/>
      </c>
      <c r="Y26" s="32" t="str">
        <f>IFERROR(__xludf.DUMMYFUNCTION("IFNA(SUM(FILTER('6 серия'!$B$6:$C$15,'6 серия'!$B$6:$B$15=C26)), )"),"")</f>
        <v/>
      </c>
      <c r="Z26" s="32" t="str">
        <f>IFERROR(__xludf.DUMMYFUNCTION("IFNA(SUM(FILTER('7 серия'!$B$6:$C$15,'7 серия'!$B$6:$B$15=C26)), )"),"")</f>
        <v/>
      </c>
      <c r="AA26" s="32">
        <f>IFERROR(__xludf.DUMMYFUNCTION("IFNA(SUM(FILTER('8 серия'!$B$6:$C$15,'8 серия'!$B$6:$B$15=C26)), )"),13.75)</f>
        <v>13.75</v>
      </c>
      <c r="AB26" s="32" t="str">
        <f>IFERROR(__xludf.DUMMYFUNCTION("IFNA(SUM(FILTER('9 серия'!$B$7:$C$16,'9 серия'!$B$7:$B$16=C26)), )"),"")</f>
        <v/>
      </c>
      <c r="AC26" s="32" t="str">
        <f>IFERROR(__xludf.DUMMYFUNCTION("IFNA(SUM(FILTER('10 серия'!$B$6:$C$15,'10 серия'!$B$6:$B$15=C26)), )"),"")</f>
        <v/>
      </c>
      <c r="AD26" s="32" t="str">
        <f>IFERROR(__xludf.DUMMYFUNCTION("IFNA(SUM(FILTER('11 серия'!$B$6:$C$15,'11 серия'!$B$6:$B$15=C26)), )"),"")</f>
        <v/>
      </c>
      <c r="AE26" s="32" t="str">
        <f>IFERROR(__xludf.DUMMYFUNCTION("IFNA(SUM(FILTER('12 серия'!$B$6:$C$15,'12 серия'!$B$6:$B$15=C26)), )"),"")</f>
        <v/>
      </c>
      <c r="AF26" s="32">
        <f>IFERROR(__xludf.DUMMYFUNCTION("IFNA(SUM(FILTER('13 серия'!$B$6:$C$15,'13 серия'!$B$6:$B$15=C26)), )"),22.25)</f>
        <v>22.25</v>
      </c>
      <c r="AG26" s="32" t="str">
        <f>IFERROR(__xludf.DUMMYFUNCTION("IFNA(SUM(FILTER('14 серия'!$B$6:$C$15,'14 серия'!$B$6:$B$15=C26)), )"),"")</f>
        <v/>
      </c>
      <c r="AH26" s="32" t="str">
        <f>IFERROR(__xludf.DUMMYFUNCTION("IFNA(SUM(FILTER('15 серия'!$B$6:$C$15,'15 серия'!$B$6:$B$15=C26)), )"),"")</f>
        <v/>
      </c>
      <c r="AI26" s="32" t="str">
        <f>IFERROR(__xludf.DUMMYFUNCTION("IFNA(SUM(FILTER('16 серия'!$B$6:$C$15,'16 серия'!$B$6:$B$15=C26)), )"),"")</f>
        <v/>
      </c>
      <c r="AJ26" s="32">
        <f>IFERROR(__xludf.DUMMYFUNCTION("IFNA(SUM(FILTER('17 серия'!$B$6:$C$15,'17 серия'!$B$6:$B$15=C26)), )"),23.5)</f>
        <v>23.5</v>
      </c>
      <c r="AK26" s="32" t="str">
        <f>IFERROR(__xludf.DUMMYFUNCTION("IFNA(SUM(FILTER('18 серия'!$B$6:$C$15,'18 серия'!$B$6:$B$15=C26)), )"),"")</f>
        <v/>
      </c>
      <c r="AL26" s="32" t="str">
        <f>IFERROR(__xludf.DUMMYFUNCTION("IFNA(SUM(FILTER('19 серия'!$B$6:$C$15,'19 серия'!$B$6:$B$15=C26)), )"),"")</f>
        <v/>
      </c>
      <c r="AM26" s="32" t="str">
        <f>IFERROR(__xludf.DUMMYFUNCTION("IFNA(SUM(FILTER('20 серия'!$B$6:$C$15,'20 серия'!$B$6:$B$15=C26)), )"),"")</f>
        <v/>
      </c>
      <c r="AN26" s="32" t="str">
        <f>IFERROR(__xludf.DUMMYFUNCTION("IFNA(SUM(FILTER('21 серия'!$B$6:$C$15,'21 серия'!$B$6:$B$15=C26)), )"),"")</f>
        <v/>
      </c>
      <c r="AO26" s="32" t="str">
        <f>IFERROR(__xludf.DUMMYFUNCTION("IFNA(SUM(FILTER('22 серия'!$B$6:$C$15,'22 серия'!$B$6:$B$15=C26)), )"),"")</f>
        <v/>
      </c>
      <c r="AP26" s="32">
        <f>IFERROR(__xludf.DUMMYFUNCTION("IFNA(SUM(FILTER('23 серия'!$B$6:$C$15,'23 серия'!$B$6:$B$15=C26)), )"),15.0)</f>
        <v>15</v>
      </c>
      <c r="AQ26" s="32" t="str">
        <f>IFERROR(__xludf.DUMMYFUNCTION("IFNA(SUM(FILTER('24 серия'!$B$6:$C$15,'24 серия'!$B$6:$B$15=C26)), )"),"")</f>
        <v/>
      </c>
      <c r="AR26" s="32" t="str">
        <f>IFERROR(__xludf.DUMMYFUNCTION("IFNA(SUM(FILTER('25 серия'!$B$6:$C$15,'25 серия'!$B$6:$B$15=C26)), )"),"")</f>
        <v/>
      </c>
      <c r="AS26" s="32" t="str">
        <f>IFERROR(__xludf.DUMMYFUNCTION("IFNA(SUM(FILTER('26 серия'!$B$6:$C$15,'26 серия'!$B$6:$B$15=C26)), )"),"")</f>
        <v/>
      </c>
      <c r="AT26" s="32" t="str">
        <f>IFERROR(__xludf.DUMMYFUNCTION("IFNA(SUM(FILTER('27 серия'!$B$6:$C$15,'27 серия'!$B$6:$B$15=C26)), )"),"")</f>
        <v/>
      </c>
      <c r="AU26" s="32" t="str">
        <f>IFERROR(__xludf.DUMMYFUNCTION("IFNA(SUM(FILTER('28 серия'!$B$6:$C$15,'28 серия'!$B$6:$B$15=C26)), )"),"")</f>
        <v/>
      </c>
      <c r="AV26" s="32" t="str">
        <f>IFERROR(__xludf.DUMMYFUNCTION("IFNA(SUM(FILTER('29 серия'!$B$6:$C$15,'29 серия'!$B$6:$B$15=C26)), )"),"")</f>
        <v/>
      </c>
      <c r="AW26" s="32" t="str">
        <f>IFERROR(__xludf.DUMMYFUNCTION("IFNA(SUM(FILTER('30 серия'!$B$6:$C$15,'30 серия'!$B$6:$B$15=C26)), )"),"")</f>
        <v/>
      </c>
      <c r="AX26" s="32" t="str">
        <f>IFERROR(__xludf.DUMMYFUNCTION("IFNA(SUM(FILTER('31 серия'!$B$6:$C$15,'31 серия'!$B$6:$B$15=C26)), )"),"")</f>
        <v/>
      </c>
      <c r="AY26" s="32" t="str">
        <f>IFERROR(__xludf.DUMMYFUNCTION("IFNA(SUM(FILTER('32 серия'!$B$6:$C$15,'32 серия'!$B$6:$B$15=C26)), )"),"")</f>
        <v/>
      </c>
      <c r="AZ26" s="32" t="str">
        <f>IFERROR(__xludf.DUMMYFUNCTION("IFNA(SUM(FILTER('33 серия'!$B$6:$C$15,'33 серия'!$B$6:$B$15=C26)), )"),"")</f>
        <v/>
      </c>
      <c r="BA26" s="32" t="str">
        <f>IFERROR(__xludf.DUMMYFUNCTION("IFNA(SUM(FILTER('34 серия'!$B$6:$C$15,'34 серия'!$B$6:$B$15=C26)), )"),"")</f>
        <v/>
      </c>
      <c r="BB26" s="32" t="str">
        <f>IFERROR(__xludf.DUMMYFUNCTION("IFNA(SUM(FILTER('35 серия'!$B$6:$C$15,'35 серия'!$B$6:$B$15=C26)), )"),"")</f>
        <v/>
      </c>
      <c r="BC26" s="32" t="str">
        <f>IFERROR(__xludf.DUMMYFUNCTION("IFNA(SUM(FILTER('36 серия'!$B$6:$C$15,'36 серия'!$B$6:$B$15=C26)), )"),"")</f>
        <v/>
      </c>
      <c r="BD26" s="32" t="str">
        <f>IFERROR(__xludf.DUMMYFUNCTION("IFNA(SUM(FILTER('37 серия'!$B$6:$C$15,'37 серия'!$B$6:$B$15=C26)), )"),"")</f>
        <v/>
      </c>
      <c r="BE26" s="32">
        <f>IFERROR(__xludf.DUMMYFUNCTION("IFNA(SUM(FILTER('38 серия'!$B$6:$C$15,'38 серия'!$B$6:$B$15=C26)), )"),22.25)</f>
        <v>22.25</v>
      </c>
      <c r="BF26" s="32" t="str">
        <f>IFERROR(__xludf.DUMMYFUNCTION("IFNA(SUM(FILTER('39 серия'!$B$6:$C$15,'39 серия'!$B$6:$B$15=C26)), )"),"")</f>
        <v/>
      </c>
      <c r="BG26" s="32" t="str">
        <f>IFERROR(__xludf.DUMMYFUNCTION("IFNA(SUM(FILTER('40 серия'!$B$6:$C$15,'40 серия'!$B$6:$B$15=C26)), )"),"")</f>
        <v/>
      </c>
      <c r="BH26" s="32" t="str">
        <f>IFERROR(__xludf.DUMMYFUNCTION("IFNA(SUM(FILTER('41 серия'!$B$6:$C$15,'41 серия'!$B$6:$B$15=C26)), )"),"")</f>
        <v/>
      </c>
      <c r="BI26" s="32" t="str">
        <f>IFERROR(__xludf.DUMMYFUNCTION("IFNA(SUM(FILTER('42 серия'!$B$6:$C$15,'42 серия'!$B$6:$B$15=C26)), )"),"")</f>
        <v/>
      </c>
      <c r="BJ26" s="32">
        <f>IFERROR(__xludf.DUMMYFUNCTION("IFNA(SUM(FILTER('43 серия'!$B$6:$C$15,'43 серия'!$B$6:$B$15=C26)), )"),21.75)</f>
        <v>21.75</v>
      </c>
      <c r="BK26" s="32" t="str">
        <f>IFERROR(__xludf.DUMMYFUNCTION("IFNA(SUM(FILTER('44 серия'!$B$6:$C$15,'44 серия'!$B$6:$B$15=C26)), )"),"")</f>
        <v/>
      </c>
      <c r="BL26" s="32" t="str">
        <f>IFERROR(__xludf.DUMMYFUNCTION("IFNA(SUM(FILTER('45 серия'!$B$6:$C$15,'45 серия'!$B$6:$B$15=C26)), )"),"")</f>
        <v/>
      </c>
      <c r="BM26" s="32" t="str">
        <f>IFERROR(__xludf.DUMMYFUNCTION("IFNA(SUM(FILTER('46 серия'!$B$6:$C$15,'46 серия'!$B$6:$B$15=C26)), )"),"")</f>
        <v/>
      </c>
      <c r="BN26" s="32" t="str">
        <f>IFERROR(__xludf.DUMMYFUNCTION("IFNA(SUM(FILTER('47 серия'!$B$6:$C$15,'47 серия'!$B$6:$B$15=C26)), )"),"")</f>
        <v/>
      </c>
      <c r="BO26" s="42">
        <f>IFERROR(__xludf.DUMMYFUNCTION("IFNA(SUM(FILTER('48 серия'!$B$6:$C$15,'48 серия'!$B$6:$B$15=$C26)), )"),21.75)</f>
        <v>21.75</v>
      </c>
      <c r="BP26" s="43" t="str">
        <f>IFERROR(__xludf.DUMMYFUNCTION("IFNA(SUM(FILTER('49 серия'!$B$6:$C$15,'49 серия'!$B$6:$B$15=$C26)), )"),"")</f>
        <v/>
      </c>
      <c r="BQ26" s="43" t="str">
        <f>IFERROR(__xludf.DUMMYFUNCTION("IFNA(SUM(FILTER('50 серия'!$B$6:$C$15,'50 серия'!$B$6:$B$15=$C26)), )"),"")</f>
        <v/>
      </c>
      <c r="BR26" s="43">
        <f>IFERROR(__xludf.DUMMYFUNCTION("IFNA(SUM(FILTER('51 серия'!$B$6:$C$15,'51 серия'!$B$6:$B$15=$C26)), )"),10.25)</f>
        <v>10.25</v>
      </c>
      <c r="BS26" s="49" t="str">
        <f>IFERROR(__xludf.DUMMYFUNCTION("IFNA(SUM(FILTER('52 серия'!$B$6:$C$15,'52 серия'!$B$6:$B$15=C26)), )"),"")</f>
        <v/>
      </c>
      <c r="BT26" s="32" t="str">
        <f>IFERROR(__xludf.DUMMYFUNCTION("IFNA(SUM(FILTER('53 серия'!$B$6:$C$15,'53 серия'!$B$6:$B$15=$C26)), )"),"")</f>
        <v/>
      </c>
      <c r="BU26" s="32">
        <f>IFERROR(__xludf.DUMMYFUNCTION("IFNA(SUM(FILTER('54 серия'!$B$6:$C$15,'54 серия'!$B$6:$B$15=$C26)), )"),20.75)</f>
        <v>20.75</v>
      </c>
      <c r="BV26" s="32" t="str">
        <f>IFERROR(__xludf.DUMMYFUNCTION("IFNA(SUM(FILTER('55 серия'!$B$6:$C$15,'55 серия'!$B$6:$B$15=$C26)), )"),"")</f>
        <v/>
      </c>
      <c r="BW26" s="32" t="str">
        <f>IFERROR(__xludf.DUMMYFUNCTION("IFNA(SUM(FILTER('56 серия'!$B$6:$C$15,'56 серия'!$B$6:$B$15=$C26)), )"),"")</f>
        <v/>
      </c>
      <c r="BX26" s="32" t="str">
        <f>IFERROR(__xludf.DUMMYFUNCTION("IFNA(SUM(FILTER('57 серия'!$B$6:$C$15,'57 серия'!$B$6:$B$15=$C26)), )"),"")</f>
        <v/>
      </c>
      <c r="BY26" s="32" t="str">
        <f>IFERROR(__xludf.DUMMYFUNCTION("IFNA(SUM(FILTER('58 серия'!$B$6:$C$15,'58 серия'!$B$6:$B$15=$C26)), )"),"")</f>
        <v/>
      </c>
      <c r="BZ26" s="46" t="str">
        <f>IFERROR(__xludf.DUMMYFUNCTION("IFNA(SUM(FILTER('59 серия'!$B$6:$C$15,'59 серия'!$B$6:$B$15=C26)), )"),"")</f>
        <v/>
      </c>
      <c r="CA26" s="44" t="str">
        <f>IFERROR(__xludf.DUMMYFUNCTION("IFNA(SUM(FILTER('60 серия'!$B$6:$C$15,'60 серия'!$B$6:$B$15=$C26)), )"),"")</f>
        <v/>
      </c>
      <c r="CB26" s="4"/>
    </row>
    <row r="27">
      <c r="A27" s="10"/>
      <c r="B27" s="27">
        <f t="shared" si="1"/>
        <v>21</v>
      </c>
      <c r="C27" s="45" t="s">
        <v>99</v>
      </c>
      <c r="D27" s="29">
        <f>'Игроки статистика'!B25</f>
        <v>50</v>
      </c>
      <c r="E27" s="30">
        <f t="shared" si="2"/>
        <v>201.25</v>
      </c>
      <c r="F27" s="31">
        <f t="shared" si="3"/>
        <v>20.125</v>
      </c>
      <c r="G27" s="46">
        <f t="shared" si="4"/>
        <v>2.775</v>
      </c>
      <c r="H27" s="46">
        <f>SUMIFS('Все игры'!C$3:C1011,'Все игры'!A$3:A1011,C27)</f>
        <v>62.5</v>
      </c>
      <c r="I27" s="46">
        <f t="shared" si="5"/>
        <v>137.75</v>
      </c>
      <c r="J27" s="47">
        <f>SUMIFS('Все игры'!F$3:F1011,'Все игры'!A$3:A1011,C27)</f>
        <v>0</v>
      </c>
      <c r="K27" s="48">
        <f>SUMIFS('Все игры'!G$3:G1011,'Все игры'!A$3:A1011,C27)</f>
        <v>1</v>
      </c>
      <c r="L27" s="35">
        <f>'Игроки статистика'!G25</f>
        <v>2</v>
      </c>
      <c r="M27" s="36">
        <f t="shared" si="6"/>
        <v>25</v>
      </c>
      <c r="N27" s="36">
        <f>SUM('Игроки статистика'!O25,'Игроки статистика'!Q25)</f>
        <v>8</v>
      </c>
      <c r="O27" s="37">
        <f>SUM('Игроки статистика'!P25,'Игроки статистика'!R25)</f>
        <v>5</v>
      </c>
      <c r="P27" s="38" t="str">
        <f>IFERROR(__xludf.DUMMYFUNCTION("IFNA(SUM(FILTER('Штрафы'!$D$5:$D1011,'Штрафы'!$C$5:$C1011=C27)), )"),"")</f>
        <v/>
      </c>
      <c r="Q27" s="38" t="str">
        <f>IFERROR(__xludf.DUMMYFUNCTION("IFNA(SUM(FILTER('Штрафы'!$F$5:$F1011,'Штрафы'!$C$5:$C1011=C27)), )"),"")</f>
        <v/>
      </c>
      <c r="R27" s="39"/>
      <c r="S27" s="40"/>
      <c r="T27" s="31" t="str">
        <f>IFERROR(__xludf.DUMMYFUNCTION("IFNA(SUM(FILTER('1 серия'!$B$6:$C$15,'1 серия'!$B$6:$B$15=C27)), )"),"")</f>
        <v/>
      </c>
      <c r="U27" s="32" t="str">
        <f>IFERROR(__xludf.DUMMYFUNCTION("IFNA(SUM(FILTER('2 серия'!$B$6:$C$15,'2 серия'!$B$6:$B$15=C27)), )
"),"")</f>
        <v/>
      </c>
      <c r="V27" s="32" t="str">
        <f>IFERROR(__xludf.DUMMYFUNCTION("IFNA(SUM(FILTER('3 серия'!$B$6:$C$15,'3 серия'!$B$6:$B$15=C27)), )
"),"")</f>
        <v/>
      </c>
      <c r="W27" s="32" t="str">
        <f>IFERROR(__xludf.DUMMYFUNCTION("IFNA(SUM(FILTER('4 серия'!$B$6:$C$15,'4 серия'!$B$6:$B$15=C27)), )"),"")</f>
        <v/>
      </c>
      <c r="X27" s="32" t="str">
        <f>IFERROR(__xludf.DUMMYFUNCTION("IFNA(SUM(FILTER('5 серия'!$B$6:$C$15,'5 серия'!$B$6:$B$15=C27)), )"),"")</f>
        <v/>
      </c>
      <c r="Y27" s="32" t="str">
        <f>IFERROR(__xludf.DUMMYFUNCTION("IFNA(SUM(FILTER('6 серия'!$B$6:$C$15,'6 серия'!$B$6:$B$15=C27)), )"),"")</f>
        <v/>
      </c>
      <c r="Z27" s="32" t="str">
        <f>IFERROR(__xludf.DUMMYFUNCTION("IFNA(SUM(FILTER('7 серия'!$B$6:$C$15,'7 серия'!$B$6:$B$15=C27)), )"),"")</f>
        <v/>
      </c>
      <c r="AA27" s="32">
        <f>IFERROR(__xludf.DUMMYFUNCTION("IFNA(SUM(FILTER('8 серия'!$B$6:$C$15,'8 серия'!$B$6:$B$15=C27)), )"),15.25)</f>
        <v>15.25</v>
      </c>
      <c r="AB27" s="32" t="str">
        <f>IFERROR(__xludf.DUMMYFUNCTION("IFNA(SUM(FILTER('9 серия'!$B$7:$C$16,'9 серия'!$B$7:$B$16=C27)), )"),"")</f>
        <v/>
      </c>
      <c r="AC27" s="32" t="str">
        <f>IFERROR(__xludf.DUMMYFUNCTION("IFNA(SUM(FILTER('10 серия'!$B$6:$C$15,'10 серия'!$B$6:$B$15=C27)), )"),"")</f>
        <v/>
      </c>
      <c r="AD27" s="32" t="str">
        <f>IFERROR(__xludf.DUMMYFUNCTION("IFNA(SUM(FILTER('11 серия'!$B$6:$C$15,'11 серия'!$B$6:$B$15=C27)), )"),"")</f>
        <v/>
      </c>
      <c r="AE27" s="32" t="str">
        <f>IFERROR(__xludf.DUMMYFUNCTION("IFNA(SUM(FILTER('12 серия'!$B$6:$C$15,'12 серия'!$B$6:$B$15=C27)), )"),"")</f>
        <v/>
      </c>
      <c r="AF27" s="32" t="str">
        <f>IFERROR(__xludf.DUMMYFUNCTION("IFNA(SUM(FILTER('13 серия'!$B$6:$C$15,'13 серия'!$B$6:$B$15=C27)), )"),"")</f>
        <v/>
      </c>
      <c r="AG27" s="32">
        <f>IFERROR(__xludf.DUMMYFUNCTION("IFNA(SUM(FILTER('14 серия'!$B$6:$C$15,'14 серия'!$B$6:$B$15=C27)), )"),23.0)</f>
        <v>23</v>
      </c>
      <c r="AH27" s="32" t="str">
        <f>IFERROR(__xludf.DUMMYFUNCTION("IFNA(SUM(FILTER('15 серия'!$B$6:$C$15,'15 серия'!$B$6:$B$15=C27)), )"),"")</f>
        <v/>
      </c>
      <c r="AI27" s="32">
        <f>IFERROR(__xludf.DUMMYFUNCTION("IFNA(SUM(FILTER('16 серия'!$B$6:$C$15,'16 серия'!$B$6:$B$15=C27)), )"),19.0)</f>
        <v>19</v>
      </c>
      <c r="AJ27" s="32" t="str">
        <f>IFERROR(__xludf.DUMMYFUNCTION("IFNA(SUM(FILTER('17 серия'!$B$6:$C$15,'17 серия'!$B$6:$B$15=C27)), )"),"")</f>
        <v/>
      </c>
      <c r="AK27" s="32" t="str">
        <f>IFERROR(__xludf.DUMMYFUNCTION("IFNA(SUM(FILTER('18 серия'!$B$6:$C$15,'18 серия'!$B$6:$B$15=C27)), )"),"")</f>
        <v/>
      </c>
      <c r="AL27" s="32" t="str">
        <f>IFERROR(__xludf.DUMMYFUNCTION("IFNA(SUM(FILTER('19 серия'!$B$6:$C$15,'19 серия'!$B$6:$B$15=C27)), )"),"")</f>
        <v/>
      </c>
      <c r="AM27" s="32" t="str">
        <f>IFERROR(__xludf.DUMMYFUNCTION("IFNA(SUM(FILTER('20 серия'!$B$6:$C$15,'20 серия'!$B$6:$B$15=C27)), )"),"")</f>
        <v/>
      </c>
      <c r="AN27" s="32" t="str">
        <f>IFERROR(__xludf.DUMMYFUNCTION("IFNA(SUM(FILTER('21 серия'!$B$6:$C$15,'21 серия'!$B$6:$B$15=C27)), )"),"")</f>
        <v/>
      </c>
      <c r="AO27" s="32" t="str">
        <f>IFERROR(__xludf.DUMMYFUNCTION("IFNA(SUM(FILTER('22 серия'!$B$6:$C$15,'22 серия'!$B$6:$B$15=C27)), )"),"")</f>
        <v/>
      </c>
      <c r="AP27" s="32" t="str">
        <f>IFERROR(__xludf.DUMMYFUNCTION("IFNA(SUM(FILTER('23 серия'!$B$6:$C$15,'23 серия'!$B$6:$B$15=C27)), )"),"")</f>
        <v/>
      </c>
      <c r="AQ27" s="32">
        <f>IFERROR(__xludf.DUMMYFUNCTION("IFNA(SUM(FILTER('24 серия'!$B$6:$C$15,'24 серия'!$B$6:$B$15=C27)), )"),19.5)</f>
        <v>19.5</v>
      </c>
      <c r="AR27" s="32">
        <f>IFERROR(__xludf.DUMMYFUNCTION("IFNA(SUM(FILTER('25 серия'!$B$6:$C$15,'25 серия'!$B$6:$B$15=C27)), )"),18.25)</f>
        <v>18.25</v>
      </c>
      <c r="AS27" s="32" t="str">
        <f>IFERROR(__xludf.DUMMYFUNCTION("IFNA(SUM(FILTER('26 серия'!$B$6:$C$15,'26 серия'!$B$6:$B$15=C27)), )"),"")</f>
        <v/>
      </c>
      <c r="AT27" s="32" t="str">
        <f>IFERROR(__xludf.DUMMYFUNCTION("IFNA(SUM(FILTER('27 серия'!$B$6:$C$15,'27 серия'!$B$6:$B$15=C27)), )"),"")</f>
        <v/>
      </c>
      <c r="AU27" s="32" t="str">
        <f>IFERROR(__xludf.DUMMYFUNCTION("IFNA(SUM(FILTER('28 серия'!$B$6:$C$15,'28 серия'!$B$6:$B$15=C27)), )"),"")</f>
        <v/>
      </c>
      <c r="AV27" s="32" t="str">
        <f>IFERROR(__xludf.DUMMYFUNCTION("IFNA(SUM(FILTER('29 серия'!$B$6:$C$15,'29 серия'!$B$6:$B$15=C27)), )"),"")</f>
        <v/>
      </c>
      <c r="AW27" s="32" t="str">
        <f>IFERROR(__xludf.DUMMYFUNCTION("IFNA(SUM(FILTER('30 серия'!$B$6:$C$15,'30 серия'!$B$6:$B$15=C27)), )"),"")</f>
        <v/>
      </c>
      <c r="AX27" s="32" t="str">
        <f>IFERROR(__xludf.DUMMYFUNCTION("IFNA(SUM(FILTER('31 серия'!$B$6:$C$15,'31 серия'!$B$6:$B$15=C27)), )"),"")</f>
        <v/>
      </c>
      <c r="AY27" s="32" t="str">
        <f>IFERROR(__xludf.DUMMYFUNCTION("IFNA(SUM(FILTER('32 серия'!$B$6:$C$15,'32 серия'!$B$6:$B$15=C27)), )"),"")</f>
        <v/>
      </c>
      <c r="AZ27" s="32">
        <f>IFERROR(__xludf.DUMMYFUNCTION("IFNA(SUM(FILTER('33 серия'!$B$6:$C$15,'33 серия'!$B$6:$B$15=C27)), )"),27.25)</f>
        <v>27.25</v>
      </c>
      <c r="BA27" s="32" t="str">
        <f>IFERROR(__xludf.DUMMYFUNCTION("IFNA(SUM(FILTER('34 серия'!$B$6:$C$15,'34 серия'!$B$6:$B$15=C27)), )"),"")</f>
        <v/>
      </c>
      <c r="BB27" s="32" t="str">
        <f>IFERROR(__xludf.DUMMYFUNCTION("IFNA(SUM(FILTER('35 серия'!$B$6:$C$15,'35 серия'!$B$6:$B$15=C27)), )"),"")</f>
        <v/>
      </c>
      <c r="BC27" s="32">
        <f>IFERROR(__xludf.DUMMYFUNCTION("IFNA(SUM(FILTER('36 серия'!$B$6:$C$15,'36 серия'!$B$6:$B$15=C27)), )"),19.75)</f>
        <v>19.75</v>
      </c>
      <c r="BD27" s="32" t="str">
        <f>IFERROR(__xludf.DUMMYFUNCTION("IFNA(SUM(FILTER('37 серия'!$B$6:$C$15,'37 серия'!$B$6:$B$15=C27)), )"),"")</f>
        <v/>
      </c>
      <c r="BE27" s="32" t="str">
        <f>IFERROR(__xludf.DUMMYFUNCTION("IFNA(SUM(FILTER('38 серия'!$B$6:$C$15,'38 серия'!$B$6:$B$15=C27)), )"),"")</f>
        <v/>
      </c>
      <c r="BF27" s="32" t="str">
        <f>IFERROR(__xludf.DUMMYFUNCTION("IFNA(SUM(FILTER('39 серия'!$B$6:$C$15,'39 серия'!$B$6:$B$15=C27)), )"),"")</f>
        <v/>
      </c>
      <c r="BG27" s="32" t="str">
        <f>IFERROR(__xludf.DUMMYFUNCTION("IFNA(SUM(FILTER('40 серия'!$B$6:$C$15,'40 серия'!$B$6:$B$15=C27)), )"),"")</f>
        <v/>
      </c>
      <c r="BH27" s="32" t="str">
        <f>IFERROR(__xludf.DUMMYFUNCTION("IFNA(SUM(FILTER('41 серия'!$B$6:$C$15,'41 серия'!$B$6:$B$15=C27)), )"),"")</f>
        <v/>
      </c>
      <c r="BI27" s="32" t="str">
        <f>IFERROR(__xludf.DUMMYFUNCTION("IFNA(SUM(FILTER('42 серия'!$B$6:$C$15,'42 серия'!$B$6:$B$15=C27)), )"),"")</f>
        <v/>
      </c>
      <c r="BJ27" s="32" t="str">
        <f>IFERROR(__xludf.DUMMYFUNCTION("IFNA(SUM(FILTER('43 серия'!$B$6:$C$15,'43 серия'!$B$6:$B$15=C27)), )"),"")</f>
        <v/>
      </c>
      <c r="BK27" s="32" t="str">
        <f>IFERROR(__xludf.DUMMYFUNCTION("IFNA(SUM(FILTER('44 серия'!$B$6:$C$15,'44 серия'!$B$6:$B$15=C27)), )"),"")</f>
        <v/>
      </c>
      <c r="BL27" s="32" t="str">
        <f>IFERROR(__xludf.DUMMYFUNCTION("IFNA(SUM(FILTER('45 серия'!$B$6:$C$15,'45 серия'!$B$6:$B$15=C27)), )"),"")</f>
        <v/>
      </c>
      <c r="BM27" s="32" t="str">
        <f>IFERROR(__xludf.DUMMYFUNCTION("IFNA(SUM(FILTER('46 серия'!$B$6:$C$15,'46 серия'!$B$6:$B$15=C27)), )"),"")</f>
        <v/>
      </c>
      <c r="BN27" s="32" t="str">
        <f>IFERROR(__xludf.DUMMYFUNCTION("IFNA(SUM(FILTER('47 серия'!$B$6:$C$15,'47 серия'!$B$6:$B$15=C27)), )"),"")</f>
        <v/>
      </c>
      <c r="BO27" s="42" t="str">
        <f>IFERROR(__xludf.DUMMYFUNCTION("IFNA(SUM(FILTER('48 серия'!$B$6:$C$15,'48 серия'!$B$6:$B$15=$C27)), )"),"")</f>
        <v/>
      </c>
      <c r="BP27" s="43">
        <f>IFERROR(__xludf.DUMMYFUNCTION("IFNA(SUM(FILTER('49 серия'!$B$6:$C$15,'49 серия'!$B$6:$B$15=$C27)), )"),16.25)</f>
        <v>16.25</v>
      </c>
      <c r="BQ27" s="43" t="str">
        <f>IFERROR(__xludf.DUMMYFUNCTION("IFNA(SUM(FILTER('50 серия'!$B$6:$C$15,'50 серия'!$B$6:$B$15=$C27)), )"),"")</f>
        <v/>
      </c>
      <c r="BR27" s="43" t="str">
        <f>IFERROR(__xludf.DUMMYFUNCTION("IFNA(SUM(FILTER('51 серия'!$B$6:$C$15,'51 серия'!$B$6:$B$15=$C27)), )"),"")</f>
        <v/>
      </c>
      <c r="BS27" s="49" t="str">
        <f>IFERROR(__xludf.DUMMYFUNCTION("IFNA(SUM(FILTER('52 серия'!$B$6:$C$15,'52 серия'!$B$6:$B$15=C27)), )"),"")</f>
        <v/>
      </c>
      <c r="BT27" s="32" t="str">
        <f>IFERROR(__xludf.DUMMYFUNCTION("IFNA(SUM(FILTER('53 серия'!$B$6:$C$15,'53 серия'!$B$6:$B$15=$C27)), )"),"")</f>
        <v/>
      </c>
      <c r="BU27" s="32" t="str">
        <f>IFERROR(__xludf.DUMMYFUNCTION("IFNA(SUM(FILTER('54 серия'!$B$6:$C$15,'54 серия'!$B$6:$B$15=$C27)), )"),"")</f>
        <v/>
      </c>
      <c r="BV27" s="32" t="str">
        <f>IFERROR(__xludf.DUMMYFUNCTION("IFNA(SUM(FILTER('55 серия'!$B$6:$C$15,'55 серия'!$B$6:$B$15=$C27)), )"),"")</f>
        <v/>
      </c>
      <c r="BW27" s="32" t="str">
        <f>IFERROR(__xludf.DUMMYFUNCTION("IFNA(SUM(FILTER('56 серия'!$B$6:$C$15,'56 серия'!$B$6:$B$15=$C27)), )"),"")</f>
        <v/>
      </c>
      <c r="BX27" s="32">
        <f>IFERROR(__xludf.DUMMYFUNCTION("IFNA(SUM(FILTER('57 серия'!$B$6:$C$15,'57 серия'!$B$6:$B$15=$C27)), )"),20.25)</f>
        <v>20.25</v>
      </c>
      <c r="BY27" s="32" t="str">
        <f>IFERROR(__xludf.DUMMYFUNCTION("IFNA(SUM(FILTER('58 серия'!$B$6:$C$15,'58 серия'!$B$6:$B$15=$C27)), )"),"")</f>
        <v/>
      </c>
      <c r="BZ27" s="46">
        <f>IFERROR(__xludf.DUMMYFUNCTION("IFNA(SUM(FILTER('59 серия'!$B$6:$C$15,'59 серия'!$B$6:$B$15=C27)), )"),22.75)</f>
        <v>22.75</v>
      </c>
      <c r="CA27" s="44" t="str">
        <f>IFERROR(__xludf.DUMMYFUNCTION("IFNA(SUM(FILTER('60 серия'!$B$6:$C$15,'60 серия'!$B$6:$B$15=$C27)), )"),"")</f>
        <v/>
      </c>
      <c r="CB27" s="4"/>
    </row>
    <row r="28">
      <c r="A28" s="10"/>
      <c r="B28" s="27">
        <f t="shared" si="1"/>
        <v>22</v>
      </c>
      <c r="C28" s="45" t="s">
        <v>100</v>
      </c>
      <c r="D28" s="29">
        <f>'Игроки статистика'!B26</f>
        <v>50</v>
      </c>
      <c r="E28" s="30">
        <f t="shared" si="2"/>
        <v>205.75</v>
      </c>
      <c r="F28" s="31">
        <f t="shared" si="3"/>
        <v>20.575</v>
      </c>
      <c r="G28" s="46">
        <f t="shared" si="4"/>
        <v>2.915</v>
      </c>
      <c r="H28" s="46">
        <f>SUMIFS('Все игры'!C$3:C1011,'Все игры'!A$3:A1011,C28)</f>
        <v>60</v>
      </c>
      <c r="I28" s="46">
        <f t="shared" si="5"/>
        <v>143.25</v>
      </c>
      <c r="J28" s="47">
        <f>SUMIFS('Все игры'!F$3:F1011,'Все игры'!A$3:A1011,C28)</f>
        <v>0</v>
      </c>
      <c r="K28" s="48">
        <f>SUMIFS('Все игры'!G$3:G1011,'Все игры'!A$3:A1011,C28)</f>
        <v>2.5</v>
      </c>
      <c r="L28" s="35">
        <f>'Игроки статистика'!G26</f>
        <v>5</v>
      </c>
      <c r="M28" s="36">
        <f t="shared" si="6"/>
        <v>24</v>
      </c>
      <c r="N28" s="36">
        <f>SUM('Игроки статистика'!O26,'Игроки статистика'!Q26)</f>
        <v>6</v>
      </c>
      <c r="O28" s="37">
        <f>SUM('Игроки статистика'!P26,'Игроки статистика'!R26)</f>
        <v>6</v>
      </c>
      <c r="P28" s="38" t="str">
        <f>IFERROR(__xludf.DUMMYFUNCTION("IFNA(SUM(FILTER('Штрафы'!$D$5:$D1011,'Штрафы'!$C$5:$C1011=C28)), )"),"")</f>
        <v/>
      </c>
      <c r="Q28" s="38" t="str">
        <f>IFERROR(__xludf.DUMMYFUNCTION("IFNA(SUM(FILTER('Штрафы'!$F$5:$F1011,'Штрафы'!$C$5:$C1011=C28)), )"),"")</f>
        <v/>
      </c>
      <c r="R28" s="39"/>
      <c r="S28" s="40"/>
      <c r="T28" s="31" t="str">
        <f>IFERROR(__xludf.DUMMYFUNCTION("IFNA(SUM(FILTER('1 серия'!$B$6:$C$15,'1 серия'!$B$6:$B$15=C28)), )"),"")</f>
        <v/>
      </c>
      <c r="U28" s="32" t="str">
        <f>IFERROR(__xludf.DUMMYFUNCTION("IFNA(SUM(FILTER('2 серия'!$B$6:$C$15,'2 серия'!$B$6:$B$15=C28)), )
"),"")</f>
        <v/>
      </c>
      <c r="V28" s="32" t="str">
        <f>IFERROR(__xludf.DUMMYFUNCTION("IFNA(SUM(FILTER('3 серия'!$B$6:$C$15,'3 серия'!$B$6:$B$15=C28)), )
"),"")</f>
        <v/>
      </c>
      <c r="W28" s="32" t="str">
        <f>IFERROR(__xludf.DUMMYFUNCTION("IFNA(SUM(FILTER('4 серия'!$B$6:$C$15,'4 серия'!$B$6:$B$15=C28)), )"),"")</f>
        <v/>
      </c>
      <c r="X28" s="32" t="str">
        <f>IFERROR(__xludf.DUMMYFUNCTION("IFNA(SUM(FILTER('5 серия'!$B$6:$C$15,'5 серия'!$B$6:$B$15=C28)), )"),"")</f>
        <v/>
      </c>
      <c r="Y28" s="32" t="str">
        <f>IFERROR(__xludf.DUMMYFUNCTION("IFNA(SUM(FILTER('6 серия'!$B$6:$C$15,'6 серия'!$B$6:$B$15=C28)), )"),"")</f>
        <v/>
      </c>
      <c r="Z28" s="32" t="str">
        <f>IFERROR(__xludf.DUMMYFUNCTION("IFNA(SUM(FILTER('7 серия'!$B$6:$C$15,'7 серия'!$B$6:$B$15=C28)), )"),"")</f>
        <v/>
      </c>
      <c r="AA28" s="32" t="str">
        <f>IFERROR(__xludf.DUMMYFUNCTION("IFNA(SUM(FILTER('8 серия'!$B$6:$C$15,'8 серия'!$B$6:$B$15=C28)), )"),"")</f>
        <v/>
      </c>
      <c r="AB28" s="32" t="str">
        <f>IFERROR(__xludf.DUMMYFUNCTION("IFNA(SUM(FILTER('9 серия'!$B$7:$C$16,'9 серия'!$B$7:$B$16=C28)), )"),"")</f>
        <v/>
      </c>
      <c r="AC28" s="32" t="str">
        <f>IFERROR(__xludf.DUMMYFUNCTION("IFNA(SUM(FILTER('10 серия'!$B$6:$C$15,'10 серия'!$B$6:$B$15=C28)), )"),"")</f>
        <v/>
      </c>
      <c r="AD28" s="32" t="str">
        <f>IFERROR(__xludf.DUMMYFUNCTION("IFNA(SUM(FILTER('11 серия'!$B$6:$C$15,'11 серия'!$B$6:$B$15=C28)), )"),"")</f>
        <v/>
      </c>
      <c r="AE28" s="32" t="str">
        <f>IFERROR(__xludf.DUMMYFUNCTION("IFNA(SUM(FILTER('12 серия'!$B$6:$C$15,'12 серия'!$B$6:$B$15=C28)), )"),"")</f>
        <v/>
      </c>
      <c r="AF28" s="32" t="str">
        <f>IFERROR(__xludf.DUMMYFUNCTION("IFNA(SUM(FILTER('13 серия'!$B$6:$C$15,'13 серия'!$B$6:$B$15=C28)), )"),"")</f>
        <v/>
      </c>
      <c r="AG28" s="32" t="str">
        <f>IFERROR(__xludf.DUMMYFUNCTION("IFNA(SUM(FILTER('14 серия'!$B$6:$C$15,'14 серия'!$B$6:$B$15=C28)), )"),"")</f>
        <v/>
      </c>
      <c r="AH28" s="32" t="str">
        <f>IFERROR(__xludf.DUMMYFUNCTION("IFNA(SUM(FILTER('15 серия'!$B$6:$C$15,'15 серия'!$B$6:$B$15=C28)), )"),"")</f>
        <v/>
      </c>
      <c r="AI28" s="32" t="str">
        <f>IFERROR(__xludf.DUMMYFUNCTION("IFNA(SUM(FILTER('16 серия'!$B$6:$C$15,'16 серия'!$B$6:$B$15=C28)), )"),"")</f>
        <v/>
      </c>
      <c r="AJ28" s="32">
        <f>IFERROR(__xludf.DUMMYFUNCTION("IFNA(SUM(FILTER('17 серия'!$B$6:$C$15,'17 серия'!$B$6:$B$15=C28)), )"),11.5)</f>
        <v>11.5</v>
      </c>
      <c r="AK28" s="32">
        <f>IFERROR(__xludf.DUMMYFUNCTION("IFNA(SUM(FILTER('18 серия'!$B$6:$C$15,'18 серия'!$B$6:$B$15=C28)), )"),15.75)</f>
        <v>15.75</v>
      </c>
      <c r="AL28" s="32">
        <f>IFERROR(__xludf.DUMMYFUNCTION("IFNA(SUM(FILTER('19 серия'!$B$6:$C$15,'19 серия'!$B$6:$B$15=C28)), )"),23.25)</f>
        <v>23.25</v>
      </c>
      <c r="AM28" s="32">
        <f>IFERROR(__xludf.DUMMYFUNCTION("IFNA(SUM(FILTER('20 серия'!$B$6:$C$15,'20 серия'!$B$6:$B$15=C28)), )"),23.5)</f>
        <v>23.5</v>
      </c>
      <c r="AN28" s="32">
        <f>IFERROR(__xludf.DUMMYFUNCTION("IFNA(SUM(FILTER('21 серия'!$B$6:$C$15,'21 серия'!$B$6:$B$15=C28)), )"),22.5)</f>
        <v>22.5</v>
      </c>
      <c r="AO28" s="32" t="str">
        <f>IFERROR(__xludf.DUMMYFUNCTION("IFNA(SUM(FILTER('22 серия'!$B$6:$C$15,'22 серия'!$B$6:$B$15=C28)), )"),"")</f>
        <v/>
      </c>
      <c r="AP28" s="32" t="str">
        <f>IFERROR(__xludf.DUMMYFUNCTION("IFNA(SUM(FILTER('23 серия'!$B$6:$C$15,'23 серия'!$B$6:$B$15=C28)), )"),"")</f>
        <v/>
      </c>
      <c r="AQ28" s="32" t="str">
        <f>IFERROR(__xludf.DUMMYFUNCTION("IFNA(SUM(FILTER('24 серия'!$B$6:$C$15,'24 серия'!$B$6:$B$15=C28)), )"),"")</f>
        <v/>
      </c>
      <c r="AR28" s="32" t="str">
        <f>IFERROR(__xludf.DUMMYFUNCTION("IFNA(SUM(FILTER('25 серия'!$B$6:$C$15,'25 серия'!$B$6:$B$15=C28)), )"),"")</f>
        <v/>
      </c>
      <c r="AS28" s="32" t="str">
        <f>IFERROR(__xludf.DUMMYFUNCTION("IFNA(SUM(FILTER('26 серия'!$B$6:$C$15,'26 серия'!$B$6:$B$15=C28)), )"),"")</f>
        <v/>
      </c>
      <c r="AT28" s="32" t="str">
        <f>IFERROR(__xludf.DUMMYFUNCTION("IFNA(SUM(FILTER('27 серия'!$B$6:$C$15,'27 серия'!$B$6:$B$15=C28)), )"),"")</f>
        <v/>
      </c>
      <c r="AU28" s="32" t="str">
        <f>IFERROR(__xludf.DUMMYFUNCTION("IFNA(SUM(FILTER('28 серия'!$B$6:$C$15,'28 серия'!$B$6:$B$15=C28)), )"),"")</f>
        <v/>
      </c>
      <c r="AV28" s="32" t="str">
        <f>IFERROR(__xludf.DUMMYFUNCTION("IFNA(SUM(FILTER('29 серия'!$B$6:$C$15,'29 серия'!$B$6:$B$15=C28)), )"),"")</f>
        <v/>
      </c>
      <c r="AW28" s="32" t="str">
        <f>IFERROR(__xludf.DUMMYFUNCTION("IFNA(SUM(FILTER('30 серия'!$B$6:$C$15,'30 серия'!$B$6:$B$15=C28)), )"),"")</f>
        <v/>
      </c>
      <c r="AX28" s="32" t="str">
        <f>IFERROR(__xludf.DUMMYFUNCTION("IFNA(SUM(FILTER('31 серия'!$B$6:$C$15,'31 серия'!$B$6:$B$15=C28)), )"),"")</f>
        <v/>
      </c>
      <c r="AY28" s="32" t="str">
        <f>IFERROR(__xludf.DUMMYFUNCTION("IFNA(SUM(FILTER('32 серия'!$B$6:$C$15,'32 серия'!$B$6:$B$15=C28)), )"),"")</f>
        <v/>
      </c>
      <c r="AZ28" s="32" t="str">
        <f>IFERROR(__xludf.DUMMYFUNCTION("IFNA(SUM(FILTER('33 серия'!$B$6:$C$15,'33 серия'!$B$6:$B$15=C28)), )"),"")</f>
        <v/>
      </c>
      <c r="BA28" s="32" t="str">
        <f>IFERROR(__xludf.DUMMYFUNCTION("IFNA(SUM(FILTER('34 серия'!$B$6:$C$15,'34 серия'!$B$6:$B$15=C28)), )"),"")</f>
        <v/>
      </c>
      <c r="BB28" s="32" t="str">
        <f>IFERROR(__xludf.DUMMYFUNCTION("IFNA(SUM(FILTER('35 серия'!$B$6:$C$15,'35 серия'!$B$6:$B$15=C28)), )"),"")</f>
        <v/>
      </c>
      <c r="BC28" s="32" t="str">
        <f>IFERROR(__xludf.DUMMYFUNCTION("IFNA(SUM(FILTER('36 серия'!$B$6:$C$15,'36 серия'!$B$6:$B$15=C28)), )"),"")</f>
        <v/>
      </c>
      <c r="BD28" s="32" t="str">
        <f>IFERROR(__xludf.DUMMYFUNCTION("IFNA(SUM(FILTER('37 серия'!$B$6:$C$15,'37 серия'!$B$6:$B$15=C28)), )"),"")</f>
        <v/>
      </c>
      <c r="BE28" s="32" t="str">
        <f>IFERROR(__xludf.DUMMYFUNCTION("IFNA(SUM(FILTER('38 серия'!$B$6:$C$15,'38 серия'!$B$6:$B$15=C28)), )"),"")</f>
        <v/>
      </c>
      <c r="BF28" s="32" t="str">
        <f>IFERROR(__xludf.DUMMYFUNCTION("IFNA(SUM(FILTER('39 серия'!$B$6:$C$15,'39 серия'!$B$6:$B$15=C28)), )"),"")</f>
        <v/>
      </c>
      <c r="BG28" s="32" t="str">
        <f>IFERROR(__xludf.DUMMYFUNCTION("IFNA(SUM(FILTER('40 серия'!$B$6:$C$15,'40 серия'!$B$6:$B$15=C28)), )"),"")</f>
        <v/>
      </c>
      <c r="BH28" s="32" t="str">
        <f>IFERROR(__xludf.DUMMYFUNCTION("IFNA(SUM(FILTER('41 серия'!$B$6:$C$15,'41 серия'!$B$6:$B$15=C28)), )"),"")</f>
        <v/>
      </c>
      <c r="BI28" s="32" t="str">
        <f>IFERROR(__xludf.DUMMYFUNCTION("IFNA(SUM(FILTER('42 серия'!$B$6:$C$15,'42 серия'!$B$6:$B$15=C28)), )"),"")</f>
        <v/>
      </c>
      <c r="BJ28" s="32" t="str">
        <f>IFERROR(__xludf.DUMMYFUNCTION("IFNA(SUM(FILTER('43 серия'!$B$6:$C$15,'43 серия'!$B$6:$B$15=C28)), )"),"")</f>
        <v/>
      </c>
      <c r="BK28" s="32" t="str">
        <f>IFERROR(__xludf.DUMMYFUNCTION("IFNA(SUM(FILTER('44 серия'!$B$6:$C$15,'44 серия'!$B$6:$B$15=C28)), )"),"")</f>
        <v/>
      </c>
      <c r="BL28" s="32" t="str">
        <f>IFERROR(__xludf.DUMMYFUNCTION("IFNA(SUM(FILTER('45 серия'!$B$6:$C$15,'45 серия'!$B$6:$B$15=C28)), )"),"")</f>
        <v/>
      </c>
      <c r="BM28" s="32" t="str">
        <f>IFERROR(__xludf.DUMMYFUNCTION("IFNA(SUM(FILTER('46 серия'!$B$6:$C$15,'46 серия'!$B$6:$B$15=C28)), )"),"")</f>
        <v/>
      </c>
      <c r="BN28" s="32">
        <f>IFERROR(__xludf.DUMMYFUNCTION("IFNA(SUM(FILTER('47 серия'!$B$6:$C$15,'47 серия'!$B$6:$B$15=C28)), )"),21.0)</f>
        <v>21</v>
      </c>
      <c r="BO28" s="42">
        <f>IFERROR(__xludf.DUMMYFUNCTION("IFNA(SUM(FILTER('48 серия'!$B$6:$C$15,'48 серия'!$B$6:$B$15=$C28)), )"),28.0)</f>
        <v>28</v>
      </c>
      <c r="BP28" s="43">
        <f>IFERROR(__xludf.DUMMYFUNCTION("IFNA(SUM(FILTER('49 серия'!$B$6:$C$15,'49 серия'!$B$6:$B$15=$C28)), )"),20.75)</f>
        <v>20.75</v>
      </c>
      <c r="BQ28" s="43">
        <f>IFERROR(__xludf.DUMMYFUNCTION("IFNA(SUM(FILTER('50 серия'!$B$6:$C$15,'50 серия'!$B$6:$B$15=$C28)), )"),20.0)</f>
        <v>20</v>
      </c>
      <c r="BR28" s="43">
        <f>IFERROR(__xludf.DUMMYFUNCTION("IFNA(SUM(FILTER('51 серия'!$B$6:$C$15,'51 серия'!$B$6:$B$15=$C28)), )"),19.5)</f>
        <v>19.5</v>
      </c>
      <c r="BS28" s="49" t="str">
        <f>IFERROR(__xludf.DUMMYFUNCTION("IFNA(SUM(FILTER('52 серия'!$B$6:$C$15,'52 серия'!$B$6:$B$15=C28)), )"),"")</f>
        <v/>
      </c>
      <c r="BT28" s="32" t="str">
        <f>IFERROR(__xludf.DUMMYFUNCTION("IFNA(SUM(FILTER('53 серия'!$B$6:$C$15,'53 серия'!$B$6:$B$15=$C28)), )"),"")</f>
        <v/>
      </c>
      <c r="BU28" s="32" t="str">
        <f>IFERROR(__xludf.DUMMYFUNCTION("IFNA(SUM(FILTER('54 серия'!$B$6:$C$15,'54 серия'!$B$6:$B$15=$C28)), )"),"")</f>
        <v/>
      </c>
      <c r="BV28" s="32" t="str">
        <f>IFERROR(__xludf.DUMMYFUNCTION("IFNA(SUM(FILTER('55 серия'!$B$6:$C$15,'55 серия'!$B$6:$B$15=$C28)), )"),"")</f>
        <v/>
      </c>
      <c r="BW28" s="32" t="str">
        <f>IFERROR(__xludf.DUMMYFUNCTION("IFNA(SUM(FILTER('56 серия'!$B$6:$C$15,'56 серия'!$B$6:$B$15=$C28)), )"),"")</f>
        <v/>
      </c>
      <c r="BX28" s="32" t="str">
        <f>IFERROR(__xludf.DUMMYFUNCTION("IFNA(SUM(FILTER('57 серия'!$B$6:$C$15,'57 серия'!$B$6:$B$15=$C28)), )"),"")</f>
        <v/>
      </c>
      <c r="BY28" s="32" t="str">
        <f>IFERROR(__xludf.DUMMYFUNCTION("IFNA(SUM(FILTER('58 серия'!$B$6:$C$15,'58 серия'!$B$6:$B$15=$C28)), )"),"")</f>
        <v/>
      </c>
      <c r="BZ28" s="46" t="str">
        <f>IFERROR(__xludf.DUMMYFUNCTION("IFNA(SUM(FILTER('59 серия'!$B$6:$C$15,'59 серия'!$B$6:$B$15=C28)), )"),"")</f>
        <v/>
      </c>
      <c r="CA28" s="44" t="str">
        <f>IFERROR(__xludf.DUMMYFUNCTION("IFNA(SUM(FILTER('60 серия'!$B$6:$C$15,'60 серия'!$B$6:$B$15=$C28)), )"),"")</f>
        <v/>
      </c>
      <c r="CB28" s="4"/>
    </row>
    <row r="29">
      <c r="A29" s="10"/>
      <c r="B29" s="27">
        <f t="shared" si="1"/>
        <v>23</v>
      </c>
      <c r="C29" s="45" t="s">
        <v>101</v>
      </c>
      <c r="D29" s="29">
        <f>'Игроки статистика'!B27</f>
        <v>50</v>
      </c>
      <c r="E29" s="30">
        <f t="shared" si="2"/>
        <v>184</v>
      </c>
      <c r="F29" s="31">
        <f t="shared" si="3"/>
        <v>18.4</v>
      </c>
      <c r="G29" s="46">
        <f t="shared" si="4"/>
        <v>2.53</v>
      </c>
      <c r="H29" s="46">
        <f>SUMIFS('Все игры'!C$3:C1011,'Все игры'!A$3:A1011,C29)</f>
        <v>57.5</v>
      </c>
      <c r="I29" s="46">
        <f t="shared" si="5"/>
        <v>124.5</v>
      </c>
      <c r="J29" s="47">
        <f>SUMIFS('Все игры'!F$3:F1011,'Все игры'!A$3:A1011,C29)</f>
        <v>0</v>
      </c>
      <c r="K29" s="48">
        <f>SUMIFS('Все игры'!G$3:G1011,'Все игры'!A$3:A1011,C29)</f>
        <v>2</v>
      </c>
      <c r="L29" s="35">
        <f>'Игроки статистика'!G27</f>
        <v>4</v>
      </c>
      <c r="M29" s="36">
        <f t="shared" si="6"/>
        <v>23</v>
      </c>
      <c r="N29" s="36">
        <f>SUM('Игроки статистика'!O27,'Игроки статистика'!Q27)</f>
        <v>3</v>
      </c>
      <c r="O29" s="37">
        <f>SUM('Игроки статистика'!P27,'Игроки статистика'!R27)</f>
        <v>6</v>
      </c>
      <c r="P29" s="38" t="str">
        <f>IFERROR(__xludf.DUMMYFUNCTION("IFNA(SUM(FILTER('Штрафы'!$D$5:$D1011,'Штрафы'!$C$5:$C1011=C29)), )"),"")</f>
        <v/>
      </c>
      <c r="Q29" s="38" t="str">
        <f>IFERROR(__xludf.DUMMYFUNCTION("IFNA(SUM(FILTER('Штрафы'!$F$5:$F1011,'Штрафы'!$C$5:$C1011=C29)), )"),"")</f>
        <v/>
      </c>
      <c r="R29" s="39"/>
      <c r="S29" s="40"/>
      <c r="T29" s="31">
        <f>IFERROR(__xludf.DUMMYFUNCTION("IFNA(SUM(FILTER('1 серия'!$B$6:$C$15,'1 серия'!$B$6:$B$15=C29)), )"),17.0)</f>
        <v>17</v>
      </c>
      <c r="U29" s="32" t="str">
        <f>IFERROR(__xludf.DUMMYFUNCTION("IFNA(SUM(FILTER('2 серия'!$B$6:$C$15,'2 серия'!$B$6:$B$15=C29)), )
"),"")</f>
        <v/>
      </c>
      <c r="V29" s="32" t="str">
        <f>IFERROR(__xludf.DUMMYFUNCTION("IFNA(SUM(FILTER('3 серия'!$B$6:$C$15,'3 серия'!$B$6:$B$15=C29)), )
"),"")</f>
        <v/>
      </c>
      <c r="W29" s="32" t="str">
        <f>IFERROR(__xludf.DUMMYFUNCTION("IFNA(SUM(FILTER('4 серия'!$B$6:$C$15,'4 серия'!$B$6:$B$15=C29)), )"),"")</f>
        <v/>
      </c>
      <c r="X29" s="32" t="str">
        <f>IFERROR(__xludf.DUMMYFUNCTION("IFNA(SUM(FILTER('5 серия'!$B$6:$C$15,'5 серия'!$B$6:$B$15=C29)), )"),"")</f>
        <v/>
      </c>
      <c r="Y29" s="32">
        <f>IFERROR(__xludf.DUMMYFUNCTION("IFNA(SUM(FILTER('6 серия'!$B$6:$C$15,'6 серия'!$B$6:$B$15=C29)), )"),21.0)</f>
        <v>21</v>
      </c>
      <c r="Z29" s="32" t="str">
        <f>IFERROR(__xludf.DUMMYFUNCTION("IFNA(SUM(FILTER('7 серия'!$B$6:$C$15,'7 серия'!$B$6:$B$15=C29)), )"),"")</f>
        <v/>
      </c>
      <c r="AA29" s="32" t="str">
        <f>IFERROR(__xludf.DUMMYFUNCTION("IFNA(SUM(FILTER('8 серия'!$B$6:$C$15,'8 серия'!$B$6:$B$15=C29)), )"),"")</f>
        <v/>
      </c>
      <c r="AB29" s="32" t="str">
        <f>IFERROR(__xludf.DUMMYFUNCTION("IFNA(SUM(FILTER('9 серия'!$B$7:$C$16,'9 серия'!$B$7:$B$16=C29)), )"),"")</f>
        <v/>
      </c>
      <c r="AC29" s="32" t="str">
        <f>IFERROR(__xludf.DUMMYFUNCTION("IFNA(SUM(FILTER('10 серия'!$B$6:$C$15,'10 серия'!$B$6:$B$15=C29)), )"),"")</f>
        <v/>
      </c>
      <c r="AD29" s="32" t="str">
        <f>IFERROR(__xludf.DUMMYFUNCTION("IFNA(SUM(FILTER('11 серия'!$B$6:$C$15,'11 серия'!$B$6:$B$15=C29)), )"),"")</f>
        <v/>
      </c>
      <c r="AE29" s="32" t="str">
        <f>IFERROR(__xludf.DUMMYFUNCTION("IFNA(SUM(FILTER('12 серия'!$B$6:$C$15,'12 серия'!$B$6:$B$15=C29)), )"),"")</f>
        <v/>
      </c>
      <c r="AF29" s="32">
        <f>IFERROR(__xludf.DUMMYFUNCTION("IFNA(SUM(FILTER('13 серия'!$B$6:$C$15,'13 серия'!$B$6:$B$15=C29)), )"),20.5)</f>
        <v>20.5</v>
      </c>
      <c r="AG29" s="32" t="str">
        <f>IFERROR(__xludf.DUMMYFUNCTION("IFNA(SUM(FILTER('14 серия'!$B$6:$C$15,'14 серия'!$B$6:$B$15=C29)), )"),"")</f>
        <v/>
      </c>
      <c r="AH29" s="32">
        <f>IFERROR(__xludf.DUMMYFUNCTION("IFNA(SUM(FILTER('15 серия'!$B$6:$C$15,'15 серия'!$B$6:$B$15=C29)), )"),16.75)</f>
        <v>16.75</v>
      </c>
      <c r="AI29" s="32" t="str">
        <f>IFERROR(__xludf.DUMMYFUNCTION("IFNA(SUM(FILTER('16 серия'!$B$6:$C$15,'16 серия'!$B$6:$B$15=C29)), )"),"")</f>
        <v/>
      </c>
      <c r="AJ29" s="32" t="str">
        <f>IFERROR(__xludf.DUMMYFUNCTION("IFNA(SUM(FILTER('17 серия'!$B$6:$C$15,'17 серия'!$B$6:$B$15=C29)), )"),"")</f>
        <v/>
      </c>
      <c r="AK29" s="32" t="str">
        <f>IFERROR(__xludf.DUMMYFUNCTION("IFNA(SUM(FILTER('18 серия'!$B$6:$C$15,'18 серия'!$B$6:$B$15=C29)), )"),"")</f>
        <v/>
      </c>
      <c r="AL29" s="32" t="str">
        <f>IFERROR(__xludf.DUMMYFUNCTION("IFNA(SUM(FILTER('19 серия'!$B$6:$C$15,'19 серия'!$B$6:$B$15=C29)), )"),"")</f>
        <v/>
      </c>
      <c r="AM29" s="32" t="str">
        <f>IFERROR(__xludf.DUMMYFUNCTION("IFNA(SUM(FILTER('20 серия'!$B$6:$C$15,'20 серия'!$B$6:$B$15=C29)), )"),"")</f>
        <v/>
      </c>
      <c r="AN29" s="32">
        <f>IFERROR(__xludf.DUMMYFUNCTION("IFNA(SUM(FILTER('21 серия'!$B$6:$C$15,'21 серия'!$B$6:$B$15=C29)), )"),18.25)</f>
        <v>18.25</v>
      </c>
      <c r="AO29" s="32" t="str">
        <f>IFERROR(__xludf.DUMMYFUNCTION("IFNA(SUM(FILTER('22 серия'!$B$6:$C$15,'22 серия'!$B$6:$B$15=C29)), )"),"")</f>
        <v/>
      </c>
      <c r="AP29" s="32" t="str">
        <f>IFERROR(__xludf.DUMMYFUNCTION("IFNA(SUM(FILTER('23 серия'!$B$6:$C$15,'23 серия'!$B$6:$B$15=C29)), )"),"")</f>
        <v/>
      </c>
      <c r="AQ29" s="32" t="str">
        <f>IFERROR(__xludf.DUMMYFUNCTION("IFNA(SUM(FILTER('24 серия'!$B$6:$C$15,'24 серия'!$B$6:$B$15=C29)), )"),"")</f>
        <v/>
      </c>
      <c r="AR29" s="32" t="str">
        <f>IFERROR(__xludf.DUMMYFUNCTION("IFNA(SUM(FILTER('25 серия'!$B$6:$C$15,'25 серия'!$B$6:$B$15=C29)), )"),"")</f>
        <v/>
      </c>
      <c r="AS29" s="32" t="str">
        <f>IFERROR(__xludf.DUMMYFUNCTION("IFNA(SUM(FILTER('26 серия'!$B$6:$C$15,'26 серия'!$B$6:$B$15=C29)), )"),"")</f>
        <v/>
      </c>
      <c r="AT29" s="32" t="str">
        <f>IFERROR(__xludf.DUMMYFUNCTION("IFNA(SUM(FILTER('27 серия'!$B$6:$C$15,'27 серия'!$B$6:$B$15=C29)), )"),"")</f>
        <v/>
      </c>
      <c r="AU29" s="32">
        <f>IFERROR(__xludf.DUMMYFUNCTION("IFNA(SUM(FILTER('28 серия'!$B$6:$C$15,'28 серия'!$B$6:$B$15=C29)), )"),15.75)</f>
        <v>15.75</v>
      </c>
      <c r="AV29" s="32" t="str">
        <f>IFERROR(__xludf.DUMMYFUNCTION("IFNA(SUM(FILTER('29 серия'!$B$6:$C$15,'29 серия'!$B$6:$B$15=C29)), )"),"")</f>
        <v/>
      </c>
      <c r="AW29" s="32" t="str">
        <f>IFERROR(__xludf.DUMMYFUNCTION("IFNA(SUM(FILTER('30 серия'!$B$6:$C$15,'30 серия'!$B$6:$B$15=C29)), )"),"")</f>
        <v/>
      </c>
      <c r="AX29" s="32" t="str">
        <f>IFERROR(__xludf.DUMMYFUNCTION("IFNA(SUM(FILTER('31 серия'!$B$6:$C$15,'31 серия'!$B$6:$B$15=C29)), )"),"")</f>
        <v/>
      </c>
      <c r="AY29" s="32" t="str">
        <f>IFERROR(__xludf.DUMMYFUNCTION("IFNA(SUM(FILTER('32 серия'!$B$6:$C$15,'32 серия'!$B$6:$B$15=C29)), )"),"")</f>
        <v/>
      </c>
      <c r="AZ29" s="32" t="str">
        <f>IFERROR(__xludf.DUMMYFUNCTION("IFNA(SUM(FILTER('33 серия'!$B$6:$C$15,'33 серия'!$B$6:$B$15=C29)), )"),"")</f>
        <v/>
      </c>
      <c r="BA29" s="32" t="str">
        <f>IFERROR(__xludf.DUMMYFUNCTION("IFNA(SUM(FILTER('34 серия'!$B$6:$C$15,'34 серия'!$B$6:$B$15=C29)), )"),"")</f>
        <v/>
      </c>
      <c r="BB29" s="32" t="str">
        <f>IFERROR(__xludf.DUMMYFUNCTION("IFNA(SUM(FILTER('35 серия'!$B$6:$C$15,'35 серия'!$B$6:$B$15=C29)), )"),"")</f>
        <v/>
      </c>
      <c r="BC29" s="32" t="str">
        <f>IFERROR(__xludf.DUMMYFUNCTION("IFNA(SUM(FILTER('36 серия'!$B$6:$C$15,'36 серия'!$B$6:$B$15=C29)), )"),"")</f>
        <v/>
      </c>
      <c r="BD29" s="32" t="str">
        <f>IFERROR(__xludf.DUMMYFUNCTION("IFNA(SUM(FILTER('37 серия'!$B$6:$C$15,'37 серия'!$B$6:$B$15=C29)), )"),"")</f>
        <v/>
      </c>
      <c r="BE29" s="32" t="str">
        <f>IFERROR(__xludf.DUMMYFUNCTION("IFNA(SUM(FILTER('38 серия'!$B$6:$C$15,'38 серия'!$B$6:$B$15=C29)), )"),"")</f>
        <v/>
      </c>
      <c r="BF29" s="32" t="str">
        <f>IFERROR(__xludf.DUMMYFUNCTION("IFNA(SUM(FILTER('39 серия'!$B$6:$C$15,'39 серия'!$B$6:$B$15=C29)), )"),"")</f>
        <v/>
      </c>
      <c r="BG29" s="32" t="str">
        <f>IFERROR(__xludf.DUMMYFUNCTION("IFNA(SUM(FILTER('40 серия'!$B$6:$C$15,'40 серия'!$B$6:$B$15=C29)), )"),"")</f>
        <v/>
      </c>
      <c r="BH29" s="32" t="str">
        <f>IFERROR(__xludf.DUMMYFUNCTION("IFNA(SUM(FILTER('41 серия'!$B$6:$C$15,'41 серия'!$B$6:$B$15=C29)), )"),"")</f>
        <v/>
      </c>
      <c r="BI29" s="32">
        <f>IFERROR(__xludf.DUMMYFUNCTION("IFNA(SUM(FILTER('42 серия'!$B$6:$C$15,'42 серия'!$B$6:$B$15=C29)), )"),17.5)</f>
        <v>17.5</v>
      </c>
      <c r="BJ29" s="32" t="str">
        <f>IFERROR(__xludf.DUMMYFUNCTION("IFNA(SUM(FILTER('43 серия'!$B$6:$C$15,'43 серия'!$B$6:$B$15=C29)), )"),"")</f>
        <v/>
      </c>
      <c r="BK29" s="32" t="str">
        <f>IFERROR(__xludf.DUMMYFUNCTION("IFNA(SUM(FILTER('44 серия'!$B$6:$C$15,'44 серия'!$B$6:$B$15=C29)), )"),"")</f>
        <v/>
      </c>
      <c r="BL29" s="32" t="str">
        <f>IFERROR(__xludf.DUMMYFUNCTION("IFNA(SUM(FILTER('45 серия'!$B$6:$C$15,'45 серия'!$B$6:$B$15=C29)), )"),"")</f>
        <v/>
      </c>
      <c r="BM29" s="32" t="str">
        <f>IFERROR(__xludf.DUMMYFUNCTION("IFNA(SUM(FILTER('46 серия'!$B$6:$C$15,'46 серия'!$B$6:$B$15=C29)), )"),"")</f>
        <v/>
      </c>
      <c r="BN29" s="32">
        <f>IFERROR(__xludf.DUMMYFUNCTION("IFNA(SUM(FILTER('47 серия'!$B$6:$C$15,'47 серия'!$B$6:$B$15=C29)), )"),18.5)</f>
        <v>18.5</v>
      </c>
      <c r="BO29" s="42" t="str">
        <f>IFERROR(__xludf.DUMMYFUNCTION("IFNA(SUM(FILTER('48 серия'!$B$6:$C$15,'48 серия'!$B$6:$B$15=$C29)), )"),"")</f>
        <v/>
      </c>
      <c r="BP29" s="43" t="str">
        <f>IFERROR(__xludf.DUMMYFUNCTION("IFNA(SUM(FILTER('49 серия'!$B$6:$C$15,'49 серия'!$B$6:$B$15=$C29)), )"),"")</f>
        <v/>
      </c>
      <c r="BQ29" s="43" t="str">
        <f>IFERROR(__xludf.DUMMYFUNCTION("IFNA(SUM(FILTER('50 серия'!$B$6:$C$15,'50 серия'!$B$6:$B$15=$C29)), )"),"")</f>
        <v/>
      </c>
      <c r="BR29" s="43" t="str">
        <f>IFERROR(__xludf.DUMMYFUNCTION("IFNA(SUM(FILTER('51 серия'!$B$6:$C$15,'51 серия'!$B$6:$B$15=$C29)), )"),"")</f>
        <v/>
      </c>
      <c r="BS29" s="49" t="str">
        <f>IFERROR(__xludf.DUMMYFUNCTION("IFNA(SUM(FILTER('52 серия'!$B$6:$C$15,'52 серия'!$B$6:$B$15=C29)), )"),"")</f>
        <v/>
      </c>
      <c r="BT29" s="32" t="str">
        <f>IFERROR(__xludf.DUMMYFUNCTION("IFNA(SUM(FILTER('53 серия'!$B$6:$C$15,'53 серия'!$B$6:$B$15=$C29)), )"),"")</f>
        <v/>
      </c>
      <c r="BU29" s="32" t="str">
        <f>IFERROR(__xludf.DUMMYFUNCTION("IFNA(SUM(FILTER('54 серия'!$B$6:$C$15,'54 серия'!$B$6:$B$15=$C29)), )"),"")</f>
        <v/>
      </c>
      <c r="BV29" s="32" t="str">
        <f>IFERROR(__xludf.DUMMYFUNCTION("IFNA(SUM(FILTER('55 серия'!$B$6:$C$15,'55 серия'!$B$6:$B$15=$C29)), )"),"")</f>
        <v/>
      </c>
      <c r="BW29" s="32" t="str">
        <f>IFERROR(__xludf.DUMMYFUNCTION("IFNA(SUM(FILTER('56 серия'!$B$6:$C$15,'56 серия'!$B$6:$B$15=$C29)), )"),"")</f>
        <v/>
      </c>
      <c r="BX29" s="32" t="str">
        <f>IFERROR(__xludf.DUMMYFUNCTION("IFNA(SUM(FILTER('57 серия'!$B$6:$C$15,'57 серия'!$B$6:$B$15=$C29)), )"),"")</f>
        <v/>
      </c>
      <c r="BY29" s="32" t="str">
        <f>IFERROR(__xludf.DUMMYFUNCTION("IFNA(SUM(FILTER('58 серия'!$B$6:$C$15,'58 серия'!$B$6:$B$15=$C29)), )"),"")</f>
        <v/>
      </c>
      <c r="BZ29" s="46">
        <f>IFERROR(__xludf.DUMMYFUNCTION("IFNA(SUM(FILTER('59 серия'!$B$6:$C$15,'59 серия'!$B$6:$B$15=C29)), )"),14.5)</f>
        <v>14.5</v>
      </c>
      <c r="CA29" s="44">
        <f>IFERROR(__xludf.DUMMYFUNCTION("IFNA(SUM(FILTER('60 серия'!$B$6:$C$15,'60 серия'!$B$6:$B$15=$C29)), )"),24.25)</f>
        <v>24.25</v>
      </c>
      <c r="CB29" s="4"/>
    </row>
    <row r="30">
      <c r="A30" s="10"/>
      <c r="B30" s="27">
        <f t="shared" si="1"/>
        <v>24</v>
      </c>
      <c r="C30" s="45" t="s">
        <v>102</v>
      </c>
      <c r="D30" s="29">
        <f>'Игроки статистика'!B28</f>
        <v>50</v>
      </c>
      <c r="E30" s="30">
        <f t="shared" si="2"/>
        <v>185.75</v>
      </c>
      <c r="F30" s="31">
        <f t="shared" si="3"/>
        <v>18.575</v>
      </c>
      <c r="G30" s="46">
        <f t="shared" si="4"/>
        <v>2.765</v>
      </c>
      <c r="H30" s="46">
        <f>SUMIFS('Все игры'!C$3:C1011,'Все игры'!A$3:A1011,C30)</f>
        <v>47.5</v>
      </c>
      <c r="I30" s="46">
        <f t="shared" si="5"/>
        <v>134.25</v>
      </c>
      <c r="J30" s="47">
        <f>SUMIFS('Все игры'!F$3:F1011,'Все игры'!A$3:A1011,C30)</f>
        <v>0.5</v>
      </c>
      <c r="K30" s="48">
        <f>SUMIFS('Все игры'!G$3:G1011,'Все игры'!A$3:A1011,C30)</f>
        <v>3.5</v>
      </c>
      <c r="L30" s="35">
        <f>'Игроки статистика'!G28</f>
        <v>7</v>
      </c>
      <c r="M30" s="36">
        <f t="shared" si="6"/>
        <v>19</v>
      </c>
      <c r="N30" s="36">
        <f>SUM('Игроки статистика'!O28,'Игроки статистика'!Q28)</f>
        <v>7</v>
      </c>
      <c r="O30" s="37">
        <f>SUM('Игроки статистика'!P28,'Игроки статистика'!R28)</f>
        <v>5</v>
      </c>
      <c r="P30" s="38" t="str">
        <f>IFERROR(__xludf.DUMMYFUNCTION("IFNA(SUM(FILTER('Штрафы'!$D$5:$D1011,'Штрафы'!$C$5:$C1011=C30)), )"),"")</f>
        <v/>
      </c>
      <c r="Q30" s="38" t="str">
        <f>IFERROR(__xludf.DUMMYFUNCTION("IFNA(SUM(FILTER('Штрафы'!$F$5:$F1011,'Штрафы'!$C$5:$C1011=C30)), )"),"")</f>
        <v/>
      </c>
      <c r="R30" s="39"/>
      <c r="S30" s="40"/>
      <c r="T30" s="31" t="str">
        <f>IFERROR(__xludf.DUMMYFUNCTION("IFNA(SUM(FILTER('1 серия'!$B$6:$C$15,'1 серия'!$B$6:$B$15=C30)), )"),"")</f>
        <v/>
      </c>
      <c r="U30" s="32">
        <f>IFERROR(__xludf.DUMMYFUNCTION("IFNA(SUM(FILTER('2 серия'!$B$6:$C$15,'2 серия'!$B$6:$B$15=C30)), )
"),23.0)</f>
        <v>23</v>
      </c>
      <c r="V30" s="32" t="str">
        <f>IFERROR(__xludf.DUMMYFUNCTION("IFNA(SUM(FILTER('3 серия'!$B$6:$C$15,'3 серия'!$B$6:$B$15=C30)), )
"),"")</f>
        <v/>
      </c>
      <c r="W30" s="32">
        <f>IFERROR(__xludf.DUMMYFUNCTION("IFNA(SUM(FILTER('4 серия'!$B$6:$C$15,'4 серия'!$B$6:$B$15=C30)), )"),22.5)</f>
        <v>22.5</v>
      </c>
      <c r="X30" s="32" t="str">
        <f>IFERROR(__xludf.DUMMYFUNCTION("IFNA(SUM(FILTER('5 серия'!$B$6:$C$15,'5 серия'!$B$6:$B$15=C30)), )"),"")</f>
        <v/>
      </c>
      <c r="Y30" s="32" t="str">
        <f>IFERROR(__xludf.DUMMYFUNCTION("IFNA(SUM(FILTER('6 серия'!$B$6:$C$15,'6 серия'!$B$6:$B$15=C30)), )"),"")</f>
        <v/>
      </c>
      <c r="Z30" s="32" t="str">
        <f>IFERROR(__xludf.DUMMYFUNCTION("IFNA(SUM(FILTER('7 серия'!$B$6:$C$15,'7 серия'!$B$6:$B$15=C30)), )"),"")</f>
        <v/>
      </c>
      <c r="AA30" s="32" t="str">
        <f>IFERROR(__xludf.DUMMYFUNCTION("IFNA(SUM(FILTER('8 серия'!$B$6:$C$15,'8 серия'!$B$6:$B$15=C30)), )"),"")</f>
        <v/>
      </c>
      <c r="AB30" s="32" t="str">
        <f>IFERROR(__xludf.DUMMYFUNCTION("IFNA(SUM(FILTER('9 серия'!$B$7:$C$16,'9 серия'!$B$7:$B$16=C30)), )"),"")</f>
        <v/>
      </c>
      <c r="AC30" s="32" t="str">
        <f>IFERROR(__xludf.DUMMYFUNCTION("IFNA(SUM(FILTER('10 серия'!$B$6:$C$15,'10 серия'!$B$6:$B$15=C30)), )"),"")</f>
        <v/>
      </c>
      <c r="AD30" s="32" t="str">
        <f>IFERROR(__xludf.DUMMYFUNCTION("IFNA(SUM(FILTER('11 серия'!$B$6:$C$15,'11 серия'!$B$6:$B$15=C30)), )"),"")</f>
        <v/>
      </c>
      <c r="AE30" s="32" t="str">
        <f>IFERROR(__xludf.DUMMYFUNCTION("IFNA(SUM(FILTER('12 серия'!$B$6:$C$15,'12 серия'!$B$6:$B$15=C30)), )"),"")</f>
        <v/>
      </c>
      <c r="AF30" s="32">
        <f>IFERROR(__xludf.DUMMYFUNCTION("IFNA(SUM(FILTER('13 серия'!$B$6:$C$15,'13 серия'!$B$6:$B$15=C30)), )"),19.25)</f>
        <v>19.25</v>
      </c>
      <c r="AG30" s="32" t="str">
        <f>IFERROR(__xludf.DUMMYFUNCTION("IFNA(SUM(FILTER('14 серия'!$B$6:$C$15,'14 серия'!$B$6:$B$15=C30)), )"),"")</f>
        <v/>
      </c>
      <c r="AH30" s="32" t="str">
        <f>IFERROR(__xludf.DUMMYFUNCTION("IFNA(SUM(FILTER('15 серия'!$B$6:$C$15,'15 серия'!$B$6:$B$15=C30)), )"),"")</f>
        <v/>
      </c>
      <c r="AI30" s="32" t="str">
        <f>IFERROR(__xludf.DUMMYFUNCTION("IFNA(SUM(FILTER('16 серия'!$B$6:$C$15,'16 серия'!$B$6:$B$15=C30)), )"),"")</f>
        <v/>
      </c>
      <c r="AJ30" s="32" t="str">
        <f>IFERROR(__xludf.DUMMYFUNCTION("IFNA(SUM(FILTER('17 серия'!$B$6:$C$15,'17 серия'!$B$6:$B$15=C30)), )"),"")</f>
        <v/>
      </c>
      <c r="AK30" s="32" t="str">
        <f>IFERROR(__xludf.DUMMYFUNCTION("IFNA(SUM(FILTER('18 серия'!$B$6:$C$15,'18 серия'!$B$6:$B$15=C30)), )"),"")</f>
        <v/>
      </c>
      <c r="AL30" s="32" t="str">
        <f>IFERROR(__xludf.DUMMYFUNCTION("IFNA(SUM(FILTER('19 серия'!$B$6:$C$15,'19 серия'!$B$6:$B$15=C30)), )"),"")</f>
        <v/>
      </c>
      <c r="AM30" s="32">
        <f>IFERROR(__xludf.DUMMYFUNCTION("IFNA(SUM(FILTER('20 серия'!$B$6:$C$15,'20 серия'!$B$6:$B$15=C30)), )"),22.75)</f>
        <v>22.75</v>
      </c>
      <c r="AN30" s="32" t="str">
        <f>IFERROR(__xludf.DUMMYFUNCTION("IFNA(SUM(FILTER('21 серия'!$B$6:$C$15,'21 серия'!$B$6:$B$15=C30)), )"),"")</f>
        <v/>
      </c>
      <c r="AO30" s="32" t="str">
        <f>IFERROR(__xludf.DUMMYFUNCTION("IFNA(SUM(FILTER('22 серия'!$B$6:$C$15,'22 серия'!$B$6:$B$15=C30)), )"),"")</f>
        <v/>
      </c>
      <c r="AP30" s="32" t="str">
        <f>IFERROR(__xludf.DUMMYFUNCTION("IFNA(SUM(FILTER('23 серия'!$B$6:$C$15,'23 серия'!$B$6:$B$15=C30)), )"),"")</f>
        <v/>
      </c>
      <c r="AQ30" s="32">
        <f>IFERROR(__xludf.DUMMYFUNCTION("IFNA(SUM(FILTER('24 серия'!$B$6:$C$15,'24 серия'!$B$6:$B$15=C30)), )"),16.5)</f>
        <v>16.5</v>
      </c>
      <c r="AR30" s="32" t="str">
        <f>IFERROR(__xludf.DUMMYFUNCTION("IFNA(SUM(FILTER('25 серия'!$B$6:$C$15,'25 серия'!$B$6:$B$15=C30)), )"),"")</f>
        <v/>
      </c>
      <c r="AS30" s="32" t="str">
        <f>IFERROR(__xludf.DUMMYFUNCTION("IFNA(SUM(FILTER('26 серия'!$B$6:$C$15,'26 серия'!$B$6:$B$15=C30)), )"),"")</f>
        <v/>
      </c>
      <c r="AT30" s="32" t="str">
        <f>IFERROR(__xludf.DUMMYFUNCTION("IFNA(SUM(FILTER('27 серия'!$B$6:$C$15,'27 серия'!$B$6:$B$15=C30)), )"),"")</f>
        <v/>
      </c>
      <c r="AU30" s="32" t="str">
        <f>IFERROR(__xludf.DUMMYFUNCTION("IFNA(SUM(FILTER('28 серия'!$B$6:$C$15,'28 серия'!$B$6:$B$15=C30)), )"),"")</f>
        <v/>
      </c>
      <c r="AV30" s="32" t="str">
        <f>IFERROR(__xludf.DUMMYFUNCTION("IFNA(SUM(FILTER('29 серия'!$B$6:$C$15,'29 серия'!$B$6:$B$15=C30)), )"),"")</f>
        <v/>
      </c>
      <c r="AW30" s="32">
        <f>IFERROR(__xludf.DUMMYFUNCTION("IFNA(SUM(FILTER('30 серия'!$B$6:$C$15,'30 серия'!$B$6:$B$15=C30)), )"),16.0)</f>
        <v>16</v>
      </c>
      <c r="AX30" s="32" t="str">
        <f>IFERROR(__xludf.DUMMYFUNCTION("IFNA(SUM(FILTER('31 серия'!$B$6:$C$15,'31 серия'!$B$6:$B$15=C30)), )"),"")</f>
        <v/>
      </c>
      <c r="AY30" s="32" t="str">
        <f>IFERROR(__xludf.DUMMYFUNCTION("IFNA(SUM(FILTER('32 серия'!$B$6:$C$15,'32 серия'!$B$6:$B$15=C30)), )"),"")</f>
        <v/>
      </c>
      <c r="AZ30" s="32" t="str">
        <f>IFERROR(__xludf.DUMMYFUNCTION("IFNA(SUM(FILTER('33 серия'!$B$6:$C$15,'33 серия'!$B$6:$B$15=C30)), )"),"")</f>
        <v/>
      </c>
      <c r="BA30" s="32" t="str">
        <f>IFERROR(__xludf.DUMMYFUNCTION("IFNA(SUM(FILTER('34 серия'!$B$6:$C$15,'34 серия'!$B$6:$B$15=C30)), )"),"")</f>
        <v/>
      </c>
      <c r="BB30" s="32" t="str">
        <f>IFERROR(__xludf.DUMMYFUNCTION("IFNA(SUM(FILTER('35 серия'!$B$6:$C$15,'35 серия'!$B$6:$B$15=C30)), )"),"")</f>
        <v/>
      </c>
      <c r="BC30" s="32" t="str">
        <f>IFERROR(__xludf.DUMMYFUNCTION("IFNA(SUM(FILTER('36 серия'!$B$6:$C$15,'36 серия'!$B$6:$B$15=C30)), )"),"")</f>
        <v/>
      </c>
      <c r="BD30" s="32" t="str">
        <f>IFERROR(__xludf.DUMMYFUNCTION("IFNA(SUM(FILTER('37 серия'!$B$6:$C$15,'37 серия'!$B$6:$B$15=C30)), )"),"")</f>
        <v/>
      </c>
      <c r="BE30" s="32" t="str">
        <f>IFERROR(__xludf.DUMMYFUNCTION("IFNA(SUM(FILTER('38 серия'!$B$6:$C$15,'38 серия'!$B$6:$B$15=C30)), )"),"")</f>
        <v/>
      </c>
      <c r="BF30" s="32" t="str">
        <f>IFERROR(__xludf.DUMMYFUNCTION("IFNA(SUM(FILTER('39 серия'!$B$6:$C$15,'39 серия'!$B$6:$B$15=C30)), )"),"")</f>
        <v/>
      </c>
      <c r="BG30" s="32">
        <f>IFERROR(__xludf.DUMMYFUNCTION("IFNA(SUM(FILTER('40 серия'!$B$6:$C$15,'40 серия'!$B$6:$B$15=C30)), )"),24.75)</f>
        <v>24.75</v>
      </c>
      <c r="BH30" s="32" t="str">
        <f>IFERROR(__xludf.DUMMYFUNCTION("IFNA(SUM(FILTER('41 серия'!$B$6:$C$15,'41 серия'!$B$6:$B$15=C30)), )"),"")</f>
        <v/>
      </c>
      <c r="BI30" s="32" t="str">
        <f>IFERROR(__xludf.DUMMYFUNCTION("IFNA(SUM(FILTER('42 серия'!$B$6:$C$15,'42 серия'!$B$6:$B$15=C30)), )"),"")</f>
        <v/>
      </c>
      <c r="BJ30" s="32">
        <f>IFERROR(__xludf.DUMMYFUNCTION("IFNA(SUM(FILTER('43 серия'!$B$6:$C$15,'43 серия'!$B$6:$B$15=C30)), )"),16.5)</f>
        <v>16.5</v>
      </c>
      <c r="BK30" s="32" t="str">
        <f>IFERROR(__xludf.DUMMYFUNCTION("IFNA(SUM(FILTER('44 серия'!$B$6:$C$15,'44 серия'!$B$6:$B$15=C30)), )"),"")</f>
        <v/>
      </c>
      <c r="BL30" s="32" t="str">
        <f>IFERROR(__xludf.DUMMYFUNCTION("IFNA(SUM(FILTER('45 серия'!$B$6:$C$15,'45 серия'!$B$6:$B$15=C30)), )"),"")</f>
        <v/>
      </c>
      <c r="BM30" s="32" t="str">
        <f>IFERROR(__xludf.DUMMYFUNCTION("IFNA(SUM(FILTER('46 серия'!$B$6:$C$15,'46 серия'!$B$6:$B$15=C30)), )"),"")</f>
        <v/>
      </c>
      <c r="BN30" s="32" t="str">
        <f>IFERROR(__xludf.DUMMYFUNCTION("IFNA(SUM(FILTER('47 серия'!$B$6:$C$15,'47 серия'!$B$6:$B$15=C30)), )"),"")</f>
        <v/>
      </c>
      <c r="BO30" s="42" t="str">
        <f>IFERROR(__xludf.DUMMYFUNCTION("IFNA(SUM(FILTER('48 серия'!$B$6:$C$15,'48 серия'!$B$6:$B$15=$C30)), )"),"")</f>
        <v/>
      </c>
      <c r="BP30" s="43" t="str">
        <f>IFERROR(__xludf.DUMMYFUNCTION("IFNA(SUM(FILTER('49 серия'!$B$6:$C$15,'49 серия'!$B$6:$B$15=$C30)), )"),"")</f>
        <v/>
      </c>
      <c r="BQ30" s="43" t="str">
        <f>IFERROR(__xludf.DUMMYFUNCTION("IFNA(SUM(FILTER('50 серия'!$B$6:$C$15,'50 серия'!$B$6:$B$15=$C30)), )"),"")</f>
        <v/>
      </c>
      <c r="BR30" s="43" t="str">
        <f>IFERROR(__xludf.DUMMYFUNCTION("IFNA(SUM(FILTER('51 серия'!$B$6:$C$15,'51 серия'!$B$6:$B$15=$C30)), )"),"")</f>
        <v/>
      </c>
      <c r="BS30" s="49" t="str">
        <f>IFERROR(__xludf.DUMMYFUNCTION("IFNA(SUM(FILTER('52 серия'!$B$6:$C$15,'52 серия'!$B$6:$B$15=C30)), )"),"")</f>
        <v/>
      </c>
      <c r="BT30" s="32">
        <f>IFERROR(__xludf.DUMMYFUNCTION("IFNA(SUM(FILTER('53 серия'!$B$6:$C$15,'53 серия'!$B$6:$B$15=$C30)), )"),12.0)</f>
        <v>12</v>
      </c>
      <c r="BU30" s="32" t="str">
        <f>IFERROR(__xludf.DUMMYFUNCTION("IFNA(SUM(FILTER('54 серия'!$B$6:$C$15,'54 серия'!$B$6:$B$15=$C30)), )"),"")</f>
        <v/>
      </c>
      <c r="BV30" s="32" t="str">
        <f>IFERROR(__xludf.DUMMYFUNCTION("IFNA(SUM(FILTER('55 серия'!$B$6:$C$15,'55 серия'!$B$6:$B$15=$C30)), )"),"")</f>
        <v/>
      </c>
      <c r="BW30" s="32" t="str">
        <f>IFERROR(__xludf.DUMMYFUNCTION("IFNA(SUM(FILTER('56 серия'!$B$6:$C$15,'56 серия'!$B$6:$B$15=$C30)), )"),"")</f>
        <v/>
      </c>
      <c r="BX30" s="32" t="str">
        <f>IFERROR(__xludf.DUMMYFUNCTION("IFNA(SUM(FILTER('57 серия'!$B$6:$C$15,'57 серия'!$B$6:$B$15=$C30)), )"),"")</f>
        <v/>
      </c>
      <c r="BY30" s="32">
        <f>IFERROR(__xludf.DUMMYFUNCTION("IFNA(SUM(FILTER('58 серия'!$B$6:$C$15,'58 серия'!$B$6:$B$15=$C30)), )"),12.5)</f>
        <v>12.5</v>
      </c>
      <c r="BZ30" s="46" t="str">
        <f>IFERROR(__xludf.DUMMYFUNCTION("IFNA(SUM(FILTER('59 серия'!$B$6:$C$15,'59 серия'!$B$6:$B$15=C30)), )"),"")</f>
        <v/>
      </c>
      <c r="CA30" s="44" t="str">
        <f>IFERROR(__xludf.DUMMYFUNCTION("IFNA(SUM(FILTER('60 серия'!$B$6:$C$15,'60 серия'!$B$6:$B$15=$C30)), )"),"")</f>
        <v/>
      </c>
      <c r="CB30" s="4"/>
    </row>
    <row r="31">
      <c r="A31" s="10"/>
      <c r="B31" s="27">
        <f t="shared" si="1"/>
        <v>25</v>
      </c>
      <c r="C31" s="45" t="s">
        <v>103</v>
      </c>
      <c r="D31" s="29">
        <f>'Игроки статистика'!B29</f>
        <v>50</v>
      </c>
      <c r="E31" s="30">
        <f t="shared" si="2"/>
        <v>193.25</v>
      </c>
      <c r="F31" s="31">
        <f t="shared" si="3"/>
        <v>19.325</v>
      </c>
      <c r="G31" s="46">
        <f t="shared" si="4"/>
        <v>2.515</v>
      </c>
      <c r="H31" s="46">
        <f>SUMIFS('Все игры'!C$3:C1011,'Все игры'!A$3:A1011,C31)</f>
        <v>67.5</v>
      </c>
      <c r="I31" s="46">
        <f t="shared" si="5"/>
        <v>125.75</v>
      </c>
      <c r="J31" s="47">
        <f>SUMIFS('Все игры'!F$3:F1011,'Все игры'!A$3:A1011,C31)</f>
        <v>0</v>
      </c>
      <c r="K31" s="48">
        <f>SUMIFS('Все игры'!G$3:G1011,'Все игры'!A$3:A1011,C31)</f>
        <v>0</v>
      </c>
      <c r="L31" s="35">
        <f>'Игроки статистика'!G29</f>
        <v>0</v>
      </c>
      <c r="M31" s="36">
        <f t="shared" si="6"/>
        <v>27</v>
      </c>
      <c r="N31" s="36">
        <f>SUM('Игроки статистика'!O29,'Игроки статистика'!Q29)</f>
        <v>5</v>
      </c>
      <c r="O31" s="37">
        <f>SUM('Игроки статистика'!P29,'Игроки статистика'!R29)</f>
        <v>5</v>
      </c>
      <c r="P31" s="38" t="str">
        <f>IFERROR(__xludf.DUMMYFUNCTION("IFNA(SUM(FILTER('Штрафы'!$D$5:$D1011,'Штрафы'!$C$5:$C1011=C31)), )"),"")</f>
        <v/>
      </c>
      <c r="Q31" s="38" t="str">
        <f>IFERROR(__xludf.DUMMYFUNCTION("IFNA(SUM(FILTER('Штрафы'!$F$5:$F1011,'Штрафы'!$C$5:$C1011=C31)), )"),"")</f>
        <v/>
      </c>
      <c r="R31" s="39"/>
      <c r="S31" s="40"/>
      <c r="T31" s="31" t="str">
        <f>IFERROR(__xludf.DUMMYFUNCTION("IFNA(SUM(FILTER('1 серия'!$B$6:$C$15,'1 серия'!$B$6:$B$15=C31)), )"),"")</f>
        <v/>
      </c>
      <c r="U31" s="32" t="str">
        <f>IFERROR(__xludf.DUMMYFUNCTION("IFNA(SUM(FILTER('2 серия'!$B$6:$C$15,'2 серия'!$B$6:$B$15=C31)), )
"),"")</f>
        <v/>
      </c>
      <c r="V31" s="32" t="str">
        <f>IFERROR(__xludf.DUMMYFUNCTION("IFNA(SUM(FILTER('3 серия'!$B$6:$C$15,'3 серия'!$B$6:$B$15=C31)), )
"),"")</f>
        <v/>
      </c>
      <c r="W31" s="32" t="str">
        <f>IFERROR(__xludf.DUMMYFUNCTION("IFNA(SUM(FILTER('4 серия'!$B$6:$C$15,'4 серия'!$B$6:$B$15=C31)), )"),"")</f>
        <v/>
      </c>
      <c r="X31" s="32">
        <f>IFERROR(__xludf.DUMMYFUNCTION("IFNA(SUM(FILTER('5 серия'!$B$6:$C$15,'5 серия'!$B$6:$B$15=C31)), )"),14.0)</f>
        <v>14</v>
      </c>
      <c r="Y31" s="32" t="str">
        <f>IFERROR(__xludf.DUMMYFUNCTION("IFNA(SUM(FILTER('6 серия'!$B$6:$C$15,'6 серия'!$B$6:$B$15=C31)), )"),"")</f>
        <v/>
      </c>
      <c r="Z31" s="32">
        <f>IFERROR(__xludf.DUMMYFUNCTION("IFNA(SUM(FILTER('7 серия'!$B$6:$C$15,'7 серия'!$B$6:$B$15=C31)), )"),19.5)</f>
        <v>19.5</v>
      </c>
      <c r="AA31" s="32" t="str">
        <f>IFERROR(__xludf.DUMMYFUNCTION("IFNA(SUM(FILTER('8 серия'!$B$6:$C$15,'8 серия'!$B$6:$B$15=C31)), )"),"")</f>
        <v/>
      </c>
      <c r="AB31" s="32" t="str">
        <f>IFERROR(__xludf.DUMMYFUNCTION("IFNA(SUM(FILTER('9 серия'!$B$7:$C$16,'9 серия'!$B$7:$B$16=C31)), )"),"")</f>
        <v/>
      </c>
      <c r="AC31" s="32">
        <f>IFERROR(__xludf.DUMMYFUNCTION("IFNA(SUM(FILTER('10 серия'!$B$6:$C$15,'10 серия'!$B$6:$B$15=C31)), )"),22.5)</f>
        <v>22.5</v>
      </c>
      <c r="AD31" s="32" t="str">
        <f>IFERROR(__xludf.DUMMYFUNCTION("IFNA(SUM(FILTER('11 серия'!$B$6:$C$15,'11 серия'!$B$6:$B$15=C31)), )"),"")</f>
        <v/>
      </c>
      <c r="AE31" s="32" t="str">
        <f>IFERROR(__xludf.DUMMYFUNCTION("IFNA(SUM(FILTER('12 серия'!$B$6:$C$15,'12 серия'!$B$6:$B$15=C31)), )"),"")</f>
        <v/>
      </c>
      <c r="AF31" s="32" t="str">
        <f>IFERROR(__xludf.DUMMYFUNCTION("IFNA(SUM(FILTER('13 серия'!$B$6:$C$15,'13 серия'!$B$6:$B$15=C31)), )"),"")</f>
        <v/>
      </c>
      <c r="AG31" s="32" t="str">
        <f>IFERROR(__xludf.DUMMYFUNCTION("IFNA(SUM(FILTER('14 серия'!$B$6:$C$15,'14 серия'!$B$6:$B$15=C31)), )"),"")</f>
        <v/>
      </c>
      <c r="AH31" s="32" t="str">
        <f>IFERROR(__xludf.DUMMYFUNCTION("IFNA(SUM(FILTER('15 серия'!$B$6:$C$15,'15 серия'!$B$6:$B$15=C31)), )"),"")</f>
        <v/>
      </c>
      <c r="AI31" s="32" t="str">
        <f>IFERROR(__xludf.DUMMYFUNCTION("IFNA(SUM(FILTER('16 серия'!$B$6:$C$15,'16 серия'!$B$6:$B$15=C31)), )"),"")</f>
        <v/>
      </c>
      <c r="AJ31" s="32" t="str">
        <f>IFERROR(__xludf.DUMMYFUNCTION("IFNA(SUM(FILTER('17 серия'!$B$6:$C$15,'17 серия'!$B$6:$B$15=C31)), )"),"")</f>
        <v/>
      </c>
      <c r="AK31" s="32" t="str">
        <f>IFERROR(__xludf.DUMMYFUNCTION("IFNA(SUM(FILTER('18 серия'!$B$6:$C$15,'18 серия'!$B$6:$B$15=C31)), )"),"")</f>
        <v/>
      </c>
      <c r="AL31" s="32" t="str">
        <f>IFERROR(__xludf.DUMMYFUNCTION("IFNA(SUM(FILTER('19 серия'!$B$6:$C$15,'19 серия'!$B$6:$B$15=C31)), )"),"")</f>
        <v/>
      </c>
      <c r="AM31" s="32" t="str">
        <f>IFERROR(__xludf.DUMMYFUNCTION("IFNA(SUM(FILTER('20 серия'!$B$6:$C$15,'20 серия'!$B$6:$B$15=C31)), )"),"")</f>
        <v/>
      </c>
      <c r="AN31" s="32" t="str">
        <f>IFERROR(__xludf.DUMMYFUNCTION("IFNA(SUM(FILTER('21 серия'!$B$6:$C$15,'21 серия'!$B$6:$B$15=C31)), )"),"")</f>
        <v/>
      </c>
      <c r="AO31" s="32" t="str">
        <f>IFERROR(__xludf.DUMMYFUNCTION("IFNA(SUM(FILTER('22 серия'!$B$6:$C$15,'22 серия'!$B$6:$B$15=C31)), )"),"")</f>
        <v/>
      </c>
      <c r="AP31" s="32">
        <f>IFERROR(__xludf.DUMMYFUNCTION("IFNA(SUM(FILTER('23 серия'!$B$6:$C$15,'23 серия'!$B$6:$B$15=C31)), )"),13.5)</f>
        <v>13.5</v>
      </c>
      <c r="AQ31" s="32" t="str">
        <f>IFERROR(__xludf.DUMMYFUNCTION("IFNA(SUM(FILTER('24 серия'!$B$6:$C$15,'24 серия'!$B$6:$B$15=C31)), )"),"")</f>
        <v/>
      </c>
      <c r="AR31" s="32" t="str">
        <f>IFERROR(__xludf.DUMMYFUNCTION("IFNA(SUM(FILTER('25 серия'!$B$6:$C$15,'25 серия'!$B$6:$B$15=C31)), )"),"")</f>
        <v/>
      </c>
      <c r="AS31" s="32" t="str">
        <f>IFERROR(__xludf.DUMMYFUNCTION("IFNA(SUM(FILTER('26 серия'!$B$6:$C$15,'26 серия'!$B$6:$B$15=C31)), )"),"")</f>
        <v/>
      </c>
      <c r="AT31" s="32" t="str">
        <f>IFERROR(__xludf.DUMMYFUNCTION("IFNA(SUM(FILTER('27 серия'!$B$6:$C$15,'27 серия'!$B$6:$B$15=C31)), )"),"")</f>
        <v/>
      </c>
      <c r="AU31" s="32">
        <f>IFERROR(__xludf.DUMMYFUNCTION("IFNA(SUM(FILTER('28 серия'!$B$6:$C$15,'28 серия'!$B$6:$B$15=C31)), )"),18.75)</f>
        <v>18.75</v>
      </c>
      <c r="AV31" s="32" t="str">
        <f>IFERROR(__xludf.DUMMYFUNCTION("IFNA(SUM(FILTER('29 серия'!$B$6:$C$15,'29 серия'!$B$6:$B$15=C31)), )"),"")</f>
        <v/>
      </c>
      <c r="AW31" s="32" t="str">
        <f>IFERROR(__xludf.DUMMYFUNCTION("IFNA(SUM(FILTER('30 серия'!$B$6:$C$15,'30 серия'!$B$6:$B$15=C31)), )"),"")</f>
        <v/>
      </c>
      <c r="AX31" s="32" t="str">
        <f>IFERROR(__xludf.DUMMYFUNCTION("IFNA(SUM(FILTER('31 серия'!$B$6:$C$15,'31 серия'!$B$6:$B$15=C31)), )"),"")</f>
        <v/>
      </c>
      <c r="AY31" s="32" t="str">
        <f>IFERROR(__xludf.DUMMYFUNCTION("IFNA(SUM(FILTER('32 серия'!$B$6:$C$15,'32 серия'!$B$6:$B$15=C31)), )"),"")</f>
        <v/>
      </c>
      <c r="AZ31" s="32" t="str">
        <f>IFERROR(__xludf.DUMMYFUNCTION("IFNA(SUM(FILTER('33 серия'!$B$6:$C$15,'33 серия'!$B$6:$B$15=C31)), )"),"")</f>
        <v/>
      </c>
      <c r="BA31" s="32" t="str">
        <f>IFERROR(__xludf.DUMMYFUNCTION("IFNA(SUM(FILTER('34 серия'!$B$6:$C$15,'34 серия'!$B$6:$B$15=C31)), )"),"")</f>
        <v/>
      </c>
      <c r="BB31" s="32">
        <f>IFERROR(__xludf.DUMMYFUNCTION("IFNA(SUM(FILTER('35 серия'!$B$6:$C$15,'35 серия'!$B$6:$B$15=C31)), )"),20.5)</f>
        <v>20.5</v>
      </c>
      <c r="BC31" s="32" t="str">
        <f>IFERROR(__xludf.DUMMYFUNCTION("IFNA(SUM(FILTER('36 серия'!$B$6:$C$15,'36 серия'!$B$6:$B$15=C31)), )"),"")</f>
        <v/>
      </c>
      <c r="BD31" s="32" t="str">
        <f>IFERROR(__xludf.DUMMYFUNCTION("IFNA(SUM(FILTER('37 серия'!$B$6:$C$15,'37 серия'!$B$6:$B$15=C31)), )"),"")</f>
        <v/>
      </c>
      <c r="BE31" s="32" t="str">
        <f>IFERROR(__xludf.DUMMYFUNCTION("IFNA(SUM(FILTER('38 серия'!$B$6:$C$15,'38 серия'!$B$6:$B$15=C31)), )"),"")</f>
        <v/>
      </c>
      <c r="BF31" s="32">
        <f>IFERROR(__xludf.DUMMYFUNCTION("IFNA(SUM(FILTER('39 серия'!$B$6:$C$15,'39 серия'!$B$6:$B$15=C31)), )"),19.0)</f>
        <v>19</v>
      </c>
      <c r="BG31" s="32" t="str">
        <f>IFERROR(__xludf.DUMMYFUNCTION("IFNA(SUM(FILTER('40 серия'!$B$6:$C$15,'40 серия'!$B$6:$B$15=C31)), )"),"")</f>
        <v/>
      </c>
      <c r="BH31" s="32" t="str">
        <f>IFERROR(__xludf.DUMMYFUNCTION("IFNA(SUM(FILTER('41 серия'!$B$6:$C$15,'41 серия'!$B$6:$B$15=C31)), )"),"")</f>
        <v/>
      </c>
      <c r="BI31" s="32" t="str">
        <f>IFERROR(__xludf.DUMMYFUNCTION("IFNA(SUM(FILTER('42 серия'!$B$6:$C$15,'42 серия'!$B$6:$B$15=C31)), )"),"")</f>
        <v/>
      </c>
      <c r="BJ31" s="32" t="str">
        <f>IFERROR(__xludf.DUMMYFUNCTION("IFNA(SUM(FILTER('43 серия'!$B$6:$C$15,'43 серия'!$B$6:$B$15=C31)), )"),"")</f>
        <v/>
      </c>
      <c r="BK31" s="32" t="str">
        <f>IFERROR(__xludf.DUMMYFUNCTION("IFNA(SUM(FILTER('44 серия'!$B$6:$C$15,'44 серия'!$B$6:$B$15=C31)), )"),"")</f>
        <v/>
      </c>
      <c r="BL31" s="32" t="str">
        <f>IFERROR(__xludf.DUMMYFUNCTION("IFNA(SUM(FILTER('45 серия'!$B$6:$C$15,'45 серия'!$B$6:$B$15=C31)), )"),"")</f>
        <v/>
      </c>
      <c r="BM31" s="32">
        <f>IFERROR(__xludf.DUMMYFUNCTION("IFNA(SUM(FILTER('46 серия'!$B$6:$C$15,'46 серия'!$B$6:$B$15=C31)), )"),24.25)</f>
        <v>24.25</v>
      </c>
      <c r="BN31" s="32" t="str">
        <f>IFERROR(__xludf.DUMMYFUNCTION("IFNA(SUM(FILTER('47 серия'!$B$6:$C$15,'47 серия'!$B$6:$B$15=C31)), )"),"")</f>
        <v/>
      </c>
      <c r="BO31" s="42" t="str">
        <f>IFERROR(__xludf.DUMMYFUNCTION("IFNA(SUM(FILTER('48 серия'!$B$6:$C$15,'48 серия'!$B$6:$B$15=$C31)), )"),"")</f>
        <v/>
      </c>
      <c r="BP31" s="43" t="str">
        <f>IFERROR(__xludf.DUMMYFUNCTION("IFNA(SUM(FILTER('49 серия'!$B$6:$C$15,'49 серия'!$B$6:$B$15=$C31)), )"),"")</f>
        <v/>
      </c>
      <c r="BQ31" s="43" t="str">
        <f>IFERROR(__xludf.DUMMYFUNCTION("IFNA(SUM(FILTER('50 серия'!$B$6:$C$15,'50 серия'!$B$6:$B$15=$C31)), )"),"")</f>
        <v/>
      </c>
      <c r="BR31" s="43">
        <f>IFERROR(__xludf.DUMMYFUNCTION("IFNA(SUM(FILTER('51 серия'!$B$6:$C$15,'51 серия'!$B$6:$B$15=$C31)), )"),21.75)</f>
        <v>21.75</v>
      </c>
      <c r="BS31" s="49" t="str">
        <f>IFERROR(__xludf.DUMMYFUNCTION("IFNA(SUM(FILTER('52 серия'!$B$6:$C$15,'52 серия'!$B$6:$B$15=C31)), )"),"")</f>
        <v/>
      </c>
      <c r="BT31" s="32" t="str">
        <f>IFERROR(__xludf.DUMMYFUNCTION("IFNA(SUM(FILTER('53 серия'!$B$6:$C$15,'53 серия'!$B$6:$B$15=$C31)), )"),"")</f>
        <v/>
      </c>
      <c r="BU31" s="32" t="str">
        <f>IFERROR(__xludf.DUMMYFUNCTION("IFNA(SUM(FILTER('54 серия'!$B$6:$C$15,'54 серия'!$B$6:$B$15=$C31)), )"),"")</f>
        <v/>
      </c>
      <c r="BV31" s="32">
        <f>IFERROR(__xludf.DUMMYFUNCTION("IFNA(SUM(FILTER('55 серия'!$B$6:$C$15,'55 серия'!$B$6:$B$15=$C31)), )"),19.5)</f>
        <v>19.5</v>
      </c>
      <c r="BW31" s="32" t="str">
        <f>IFERROR(__xludf.DUMMYFUNCTION("IFNA(SUM(FILTER('56 серия'!$B$6:$C$15,'56 серия'!$B$6:$B$15=$C31)), )"),"")</f>
        <v/>
      </c>
      <c r="BX31" s="32" t="str">
        <f>IFERROR(__xludf.DUMMYFUNCTION("IFNA(SUM(FILTER('57 серия'!$B$6:$C$15,'57 серия'!$B$6:$B$15=$C31)), )"),"")</f>
        <v/>
      </c>
      <c r="BY31" s="32" t="str">
        <f>IFERROR(__xludf.DUMMYFUNCTION("IFNA(SUM(FILTER('58 серия'!$B$6:$C$15,'58 серия'!$B$6:$B$15=$C31)), )"),"")</f>
        <v/>
      </c>
      <c r="BZ31" s="46" t="str">
        <f>IFERROR(__xludf.DUMMYFUNCTION("IFNA(SUM(FILTER('59 серия'!$B$6:$C$15,'59 серия'!$B$6:$B$15=C31)), )"),"")</f>
        <v/>
      </c>
      <c r="CA31" s="44" t="str">
        <f>IFERROR(__xludf.DUMMYFUNCTION("IFNA(SUM(FILTER('60 серия'!$B$6:$C$15,'60 серия'!$B$6:$B$15=$C31)), )"),"")</f>
        <v/>
      </c>
      <c r="CB31" s="4"/>
    </row>
    <row r="32">
      <c r="A32" s="10"/>
      <c r="B32" s="27">
        <f t="shared" si="1"/>
        <v>26</v>
      </c>
      <c r="C32" s="45" t="s">
        <v>104</v>
      </c>
      <c r="D32" s="29">
        <f>'Игроки статистика'!B30</f>
        <v>50</v>
      </c>
      <c r="E32" s="30">
        <f t="shared" si="2"/>
        <v>200.5</v>
      </c>
      <c r="F32" s="31">
        <f t="shared" si="3"/>
        <v>20.05</v>
      </c>
      <c r="G32" s="46">
        <f t="shared" si="4"/>
        <v>2.71</v>
      </c>
      <c r="H32" s="46">
        <f>SUMIFS('Все игры'!C$3:C1011,'Все игры'!A$3:A1011,C32)</f>
        <v>65</v>
      </c>
      <c r="I32" s="46">
        <f t="shared" si="5"/>
        <v>133</v>
      </c>
      <c r="J32" s="47">
        <f>SUMIFS('Все игры'!F$3:F1011,'Все игры'!A$3:A1011,C32)</f>
        <v>0.5</v>
      </c>
      <c r="K32" s="48">
        <f>SUMIFS('Все игры'!G$3:G1011,'Все игры'!A$3:A1011,C32)</f>
        <v>2</v>
      </c>
      <c r="L32" s="35">
        <f>'Игроки статистика'!G30</f>
        <v>4</v>
      </c>
      <c r="M32" s="36">
        <f t="shared" si="6"/>
        <v>26</v>
      </c>
      <c r="N32" s="36">
        <f>SUM('Игроки статистика'!O30,'Игроки статистика'!Q30)</f>
        <v>6</v>
      </c>
      <c r="O32" s="37">
        <f>SUM('Игроки статистика'!P30,'Игроки статистика'!R30)</f>
        <v>3</v>
      </c>
      <c r="P32" s="38" t="str">
        <f>IFERROR(__xludf.DUMMYFUNCTION("IFNA(SUM(FILTER('Штрафы'!$D$5:$D1011,'Штрафы'!$C$5:$C1011=C32)), )"),"")</f>
        <v/>
      </c>
      <c r="Q32" s="38" t="str">
        <f>IFERROR(__xludf.DUMMYFUNCTION("IFNA(SUM(FILTER('Штрафы'!$F$5:$F1011,'Штрафы'!$C$5:$C1011=C32)), )"),"")</f>
        <v/>
      </c>
      <c r="R32" s="39"/>
      <c r="S32" s="40"/>
      <c r="T32" s="31">
        <f>IFERROR(__xludf.DUMMYFUNCTION("IFNA(SUM(FILTER('1 серия'!$B$6:$C$15,'1 серия'!$B$6:$B$15=C32)), )"),21.0)</f>
        <v>21</v>
      </c>
      <c r="U32" s="32" t="str">
        <f>IFERROR(__xludf.DUMMYFUNCTION("IFNA(SUM(FILTER('2 серия'!$B$6:$C$15,'2 серия'!$B$6:$B$15=C32)), )
"),"")</f>
        <v/>
      </c>
      <c r="V32" s="32" t="str">
        <f>IFERROR(__xludf.DUMMYFUNCTION("IFNA(SUM(FILTER('3 серия'!$B$6:$C$15,'3 серия'!$B$6:$B$15=C32)), )
"),"")</f>
        <v/>
      </c>
      <c r="W32" s="32" t="str">
        <f>IFERROR(__xludf.DUMMYFUNCTION("IFNA(SUM(FILTER('4 серия'!$B$6:$C$15,'4 серия'!$B$6:$B$15=C32)), )"),"")</f>
        <v/>
      </c>
      <c r="X32" s="32" t="str">
        <f>IFERROR(__xludf.DUMMYFUNCTION("IFNA(SUM(FILTER('5 серия'!$B$6:$C$15,'5 серия'!$B$6:$B$15=C32)), )"),"")</f>
        <v/>
      </c>
      <c r="Y32" s="32" t="str">
        <f>IFERROR(__xludf.DUMMYFUNCTION("IFNA(SUM(FILTER('6 серия'!$B$6:$C$15,'6 серия'!$B$6:$B$15=C32)), )"),"")</f>
        <v/>
      </c>
      <c r="Z32" s="32" t="str">
        <f>IFERROR(__xludf.DUMMYFUNCTION("IFNA(SUM(FILTER('7 серия'!$B$6:$C$15,'7 серия'!$B$6:$B$15=C32)), )"),"")</f>
        <v/>
      </c>
      <c r="AA32" s="32" t="str">
        <f>IFERROR(__xludf.DUMMYFUNCTION("IFNA(SUM(FILTER('8 серия'!$B$6:$C$15,'8 серия'!$B$6:$B$15=C32)), )"),"")</f>
        <v/>
      </c>
      <c r="AB32" s="32" t="str">
        <f>IFERROR(__xludf.DUMMYFUNCTION("IFNA(SUM(FILTER('9 серия'!$B$7:$C$16,'9 серия'!$B$7:$B$16=C32)), )"),"")</f>
        <v/>
      </c>
      <c r="AC32" s="32" t="str">
        <f>IFERROR(__xludf.DUMMYFUNCTION("IFNA(SUM(FILTER('10 серия'!$B$6:$C$15,'10 серия'!$B$6:$B$15=C32)), )"),"")</f>
        <v/>
      </c>
      <c r="AD32" s="32" t="str">
        <f>IFERROR(__xludf.DUMMYFUNCTION("IFNA(SUM(FILTER('11 серия'!$B$6:$C$15,'11 серия'!$B$6:$B$15=C32)), )"),"")</f>
        <v/>
      </c>
      <c r="AE32" s="32" t="str">
        <f>IFERROR(__xludf.DUMMYFUNCTION("IFNA(SUM(FILTER('12 серия'!$B$6:$C$15,'12 серия'!$B$6:$B$15=C32)), )"),"")</f>
        <v/>
      </c>
      <c r="AF32" s="32">
        <f>IFERROR(__xludf.DUMMYFUNCTION("IFNA(SUM(FILTER('13 серия'!$B$6:$C$15,'13 серия'!$B$6:$B$15=C32)), )"),15.75)</f>
        <v>15.75</v>
      </c>
      <c r="AG32" s="32" t="str">
        <f>IFERROR(__xludf.DUMMYFUNCTION("IFNA(SUM(FILTER('14 серия'!$B$6:$C$15,'14 серия'!$B$6:$B$15=C32)), )"),"")</f>
        <v/>
      </c>
      <c r="AH32" s="32">
        <f>IFERROR(__xludf.DUMMYFUNCTION("IFNA(SUM(FILTER('15 серия'!$B$6:$C$15,'15 серия'!$B$6:$B$15=C32)), )"),24.75)</f>
        <v>24.75</v>
      </c>
      <c r="AI32" s="32">
        <f>IFERROR(__xludf.DUMMYFUNCTION("IFNA(SUM(FILTER('16 серия'!$B$6:$C$15,'16 серия'!$B$6:$B$15=C32)), )"),21.0)</f>
        <v>21</v>
      </c>
      <c r="AJ32" s="32" t="str">
        <f>IFERROR(__xludf.DUMMYFUNCTION("IFNA(SUM(FILTER('17 серия'!$B$6:$C$15,'17 серия'!$B$6:$B$15=C32)), )"),"")</f>
        <v/>
      </c>
      <c r="AK32" s="32" t="str">
        <f>IFERROR(__xludf.DUMMYFUNCTION("IFNA(SUM(FILTER('18 серия'!$B$6:$C$15,'18 серия'!$B$6:$B$15=C32)), )"),"")</f>
        <v/>
      </c>
      <c r="AL32" s="32" t="str">
        <f>IFERROR(__xludf.DUMMYFUNCTION("IFNA(SUM(FILTER('19 серия'!$B$6:$C$15,'19 серия'!$B$6:$B$15=C32)), )"),"")</f>
        <v/>
      </c>
      <c r="AM32" s="32" t="str">
        <f>IFERROR(__xludf.DUMMYFUNCTION("IFNA(SUM(FILTER('20 серия'!$B$6:$C$15,'20 серия'!$B$6:$B$15=C32)), )"),"")</f>
        <v/>
      </c>
      <c r="AN32" s="32" t="str">
        <f>IFERROR(__xludf.DUMMYFUNCTION("IFNA(SUM(FILTER('21 серия'!$B$6:$C$15,'21 серия'!$B$6:$B$15=C32)), )"),"")</f>
        <v/>
      </c>
      <c r="AO32" s="32" t="str">
        <f>IFERROR(__xludf.DUMMYFUNCTION("IFNA(SUM(FILTER('22 серия'!$B$6:$C$15,'22 серия'!$B$6:$B$15=C32)), )"),"")</f>
        <v/>
      </c>
      <c r="AP32" s="32" t="str">
        <f>IFERROR(__xludf.DUMMYFUNCTION("IFNA(SUM(FILTER('23 серия'!$B$6:$C$15,'23 серия'!$B$6:$B$15=C32)), )"),"")</f>
        <v/>
      </c>
      <c r="AQ32" s="32">
        <f>IFERROR(__xludf.DUMMYFUNCTION("IFNA(SUM(FILTER('24 серия'!$B$6:$C$15,'24 серия'!$B$6:$B$15=C32)), )"),18.25)</f>
        <v>18.25</v>
      </c>
      <c r="AR32" s="32" t="str">
        <f>IFERROR(__xludf.DUMMYFUNCTION("IFNA(SUM(FILTER('25 серия'!$B$6:$C$15,'25 серия'!$B$6:$B$15=C32)), )"),"")</f>
        <v/>
      </c>
      <c r="AS32" s="32" t="str">
        <f>IFERROR(__xludf.DUMMYFUNCTION("IFNA(SUM(FILTER('26 серия'!$B$6:$C$15,'26 серия'!$B$6:$B$15=C32)), )"),"")</f>
        <v/>
      </c>
      <c r="AT32" s="32" t="str">
        <f>IFERROR(__xludf.DUMMYFUNCTION("IFNA(SUM(FILTER('27 серия'!$B$6:$C$15,'27 серия'!$B$6:$B$15=C32)), )"),"")</f>
        <v/>
      </c>
      <c r="AU32" s="32" t="str">
        <f>IFERROR(__xludf.DUMMYFUNCTION("IFNA(SUM(FILTER('28 серия'!$B$6:$C$15,'28 серия'!$B$6:$B$15=C32)), )"),"")</f>
        <v/>
      </c>
      <c r="AV32" s="32" t="str">
        <f>IFERROR(__xludf.DUMMYFUNCTION("IFNA(SUM(FILTER('29 серия'!$B$6:$C$15,'29 серия'!$B$6:$B$15=C32)), )"),"")</f>
        <v/>
      </c>
      <c r="AW32" s="32" t="str">
        <f>IFERROR(__xludf.DUMMYFUNCTION("IFNA(SUM(FILTER('30 серия'!$B$6:$C$15,'30 серия'!$B$6:$B$15=C32)), )"),"")</f>
        <v/>
      </c>
      <c r="AX32" s="32" t="str">
        <f>IFERROR(__xludf.DUMMYFUNCTION("IFNA(SUM(FILTER('31 серия'!$B$6:$C$15,'31 серия'!$B$6:$B$15=C32)), )"),"")</f>
        <v/>
      </c>
      <c r="AY32" s="32" t="str">
        <f>IFERROR(__xludf.DUMMYFUNCTION("IFNA(SUM(FILTER('32 серия'!$B$6:$C$15,'32 серия'!$B$6:$B$15=C32)), )"),"")</f>
        <v/>
      </c>
      <c r="AZ32" s="32" t="str">
        <f>IFERROR(__xludf.DUMMYFUNCTION("IFNA(SUM(FILTER('33 серия'!$B$6:$C$15,'33 серия'!$B$6:$B$15=C32)), )"),"")</f>
        <v/>
      </c>
      <c r="BA32" s="32" t="str">
        <f>IFERROR(__xludf.DUMMYFUNCTION("IFNA(SUM(FILTER('34 серия'!$B$6:$C$15,'34 серия'!$B$6:$B$15=C32)), )"),"")</f>
        <v/>
      </c>
      <c r="BB32" s="32" t="str">
        <f>IFERROR(__xludf.DUMMYFUNCTION("IFNA(SUM(FILTER('35 серия'!$B$6:$C$15,'35 серия'!$B$6:$B$15=C32)), )"),"")</f>
        <v/>
      </c>
      <c r="BC32" s="32">
        <f>IFERROR(__xludf.DUMMYFUNCTION("IFNA(SUM(FILTER('36 серия'!$B$6:$C$15,'36 серия'!$B$6:$B$15=C32)), )"),21.25)</f>
        <v>21.25</v>
      </c>
      <c r="BD32" s="32" t="str">
        <f>IFERROR(__xludf.DUMMYFUNCTION("IFNA(SUM(FILTER('37 серия'!$B$6:$C$15,'37 серия'!$B$6:$B$15=C32)), )"),"")</f>
        <v/>
      </c>
      <c r="BE32" s="32" t="str">
        <f>IFERROR(__xludf.DUMMYFUNCTION("IFNA(SUM(FILTER('38 серия'!$B$6:$C$15,'38 серия'!$B$6:$B$15=C32)), )"),"")</f>
        <v/>
      </c>
      <c r="BF32" s="32">
        <f>IFERROR(__xludf.DUMMYFUNCTION("IFNA(SUM(FILTER('39 серия'!$B$6:$C$15,'39 серия'!$B$6:$B$15=C32)), )"),25.5)</f>
        <v>25.5</v>
      </c>
      <c r="BG32" s="32" t="str">
        <f>IFERROR(__xludf.DUMMYFUNCTION("IFNA(SUM(FILTER('40 серия'!$B$6:$C$15,'40 серия'!$B$6:$B$15=C32)), )"),"")</f>
        <v/>
      </c>
      <c r="BH32" s="32" t="str">
        <f>IFERROR(__xludf.DUMMYFUNCTION("IFNA(SUM(FILTER('41 серия'!$B$6:$C$15,'41 серия'!$B$6:$B$15=C32)), )"),"")</f>
        <v/>
      </c>
      <c r="BI32" s="32">
        <f>IFERROR(__xludf.DUMMYFUNCTION("IFNA(SUM(FILTER('42 серия'!$B$6:$C$15,'42 серия'!$B$6:$B$15=C32)), )"),17.25)</f>
        <v>17.25</v>
      </c>
      <c r="BJ32" s="32" t="str">
        <f>IFERROR(__xludf.DUMMYFUNCTION("IFNA(SUM(FILTER('43 серия'!$B$6:$C$15,'43 серия'!$B$6:$B$15=C32)), )"),"")</f>
        <v/>
      </c>
      <c r="BK32" s="32">
        <f>IFERROR(__xludf.DUMMYFUNCTION("IFNA(SUM(FILTER('44 серия'!$B$6:$C$15,'44 серия'!$B$6:$B$15=C32)), )"),19.0)</f>
        <v>19</v>
      </c>
      <c r="BL32" s="32" t="str">
        <f>IFERROR(__xludf.DUMMYFUNCTION("IFNA(SUM(FILTER('45 серия'!$B$6:$C$15,'45 серия'!$B$6:$B$15=C32)), )"),"")</f>
        <v/>
      </c>
      <c r="BM32" s="32" t="str">
        <f>IFERROR(__xludf.DUMMYFUNCTION("IFNA(SUM(FILTER('46 серия'!$B$6:$C$15,'46 серия'!$B$6:$B$15=C32)), )"),"")</f>
        <v/>
      </c>
      <c r="BN32" s="32" t="str">
        <f>IFERROR(__xludf.DUMMYFUNCTION("IFNA(SUM(FILTER('47 серия'!$B$6:$C$15,'47 серия'!$B$6:$B$15=C32)), )"),"")</f>
        <v/>
      </c>
      <c r="BO32" s="42" t="str">
        <f>IFERROR(__xludf.DUMMYFUNCTION("IFNA(SUM(FILTER('48 серия'!$B$6:$C$15,'48 серия'!$B$6:$B$15=$C32)), )"),"")</f>
        <v/>
      </c>
      <c r="BP32" s="43" t="str">
        <f>IFERROR(__xludf.DUMMYFUNCTION("IFNA(SUM(FILTER('49 серия'!$B$6:$C$15,'49 серия'!$B$6:$B$15=$C32)), )"),"")</f>
        <v/>
      </c>
      <c r="BQ32" s="43" t="str">
        <f>IFERROR(__xludf.DUMMYFUNCTION("IFNA(SUM(FILTER('50 серия'!$B$6:$C$15,'50 серия'!$B$6:$B$15=$C32)), )"),"")</f>
        <v/>
      </c>
      <c r="BR32" s="43" t="str">
        <f>IFERROR(__xludf.DUMMYFUNCTION("IFNA(SUM(FILTER('51 серия'!$B$6:$C$15,'51 серия'!$B$6:$B$15=$C32)), )"),"")</f>
        <v/>
      </c>
      <c r="BS32" s="49" t="str">
        <f>IFERROR(__xludf.DUMMYFUNCTION("IFNA(SUM(FILTER('52 серия'!$B$6:$C$15,'52 серия'!$B$6:$B$15=C32)), )"),"")</f>
        <v/>
      </c>
      <c r="BT32" s="32" t="str">
        <f>IFERROR(__xludf.DUMMYFUNCTION("IFNA(SUM(FILTER('53 серия'!$B$6:$C$15,'53 серия'!$B$6:$B$15=$C32)), )"),"")</f>
        <v/>
      </c>
      <c r="BU32" s="32" t="str">
        <f>IFERROR(__xludf.DUMMYFUNCTION("IFNA(SUM(FILTER('54 серия'!$B$6:$C$15,'54 серия'!$B$6:$B$15=$C32)), )"),"")</f>
        <v/>
      </c>
      <c r="BV32" s="32" t="str">
        <f>IFERROR(__xludf.DUMMYFUNCTION("IFNA(SUM(FILTER('55 серия'!$B$6:$C$15,'55 серия'!$B$6:$B$15=$C32)), )"),"")</f>
        <v/>
      </c>
      <c r="BW32" s="32" t="str">
        <f>IFERROR(__xludf.DUMMYFUNCTION("IFNA(SUM(FILTER('56 серия'!$B$6:$C$15,'56 серия'!$B$6:$B$15=$C32)), )"),"")</f>
        <v/>
      </c>
      <c r="BX32" s="32" t="str">
        <f>IFERROR(__xludf.DUMMYFUNCTION("IFNA(SUM(FILTER('57 серия'!$B$6:$C$15,'57 серия'!$B$6:$B$15=$C32)), )"),"")</f>
        <v/>
      </c>
      <c r="BY32" s="32" t="str">
        <f>IFERROR(__xludf.DUMMYFUNCTION("IFNA(SUM(FILTER('58 серия'!$B$6:$C$15,'58 серия'!$B$6:$B$15=$C32)), )"),"")</f>
        <v/>
      </c>
      <c r="BZ32" s="46">
        <f>IFERROR(__xludf.DUMMYFUNCTION("IFNA(SUM(FILTER('59 серия'!$B$6:$C$15,'59 серия'!$B$6:$B$15=C32)), )"),16.75)</f>
        <v>16.75</v>
      </c>
      <c r="CA32" s="44" t="str">
        <f>IFERROR(__xludf.DUMMYFUNCTION("IFNA(SUM(FILTER('60 серия'!$B$6:$C$15,'60 серия'!$B$6:$B$15=$C32)), )"),"")</f>
        <v/>
      </c>
      <c r="CB32" s="4"/>
    </row>
    <row r="33">
      <c r="A33" s="10"/>
      <c r="B33" s="27">
        <f t="shared" si="1"/>
        <v>27</v>
      </c>
      <c r="C33" s="45" t="s">
        <v>105</v>
      </c>
      <c r="D33" s="29">
        <f>'Игроки статистика'!B31</f>
        <v>50</v>
      </c>
      <c r="E33" s="30">
        <f t="shared" si="2"/>
        <v>183.5</v>
      </c>
      <c r="F33" s="31">
        <f t="shared" si="3"/>
        <v>18.35</v>
      </c>
      <c r="G33" s="46">
        <f t="shared" si="4"/>
        <v>2.57</v>
      </c>
      <c r="H33" s="46">
        <f>SUMIFS('Все игры'!C$3:C1011,'Все игры'!A$3:A1011,C33)</f>
        <v>55</v>
      </c>
      <c r="I33" s="46">
        <f t="shared" si="5"/>
        <v>123.5</v>
      </c>
      <c r="J33" s="47">
        <f>SUMIFS('Все игры'!F$3:F1011,'Все игры'!A$3:A1011,C33)</f>
        <v>0</v>
      </c>
      <c r="K33" s="48">
        <f>SUMIFS('Все игры'!G$3:G1011,'Все игры'!A$3:A1011,C33)</f>
        <v>5</v>
      </c>
      <c r="L33" s="35">
        <f>'Игроки статистика'!G31</f>
        <v>8</v>
      </c>
      <c r="M33" s="36">
        <f t="shared" si="6"/>
        <v>22</v>
      </c>
      <c r="N33" s="36">
        <f>SUM('Игроки статистика'!O31,'Игроки статистика'!Q31)</f>
        <v>3</v>
      </c>
      <c r="O33" s="37">
        <f>SUM('Игроки статистика'!P31,'Игроки статистика'!R31)</f>
        <v>7</v>
      </c>
      <c r="P33" s="38" t="str">
        <f>IFERROR(__xludf.DUMMYFUNCTION("IFNA(SUM(FILTER('Штрафы'!$D$5:$D1011,'Штрафы'!$C$5:$C1011=C33)), )"),"")</f>
        <v/>
      </c>
      <c r="Q33" s="38" t="str">
        <f>IFERROR(__xludf.DUMMYFUNCTION("IFNA(SUM(FILTER('Штрафы'!$F$5:$F1011,'Штрафы'!$C$5:$C1011=C33)), )"),"")</f>
        <v/>
      </c>
      <c r="R33" s="39"/>
      <c r="S33" s="40"/>
      <c r="T33" s="31">
        <f>IFERROR(__xludf.DUMMYFUNCTION("IFNA(SUM(FILTER('1 серия'!$B$6:$C$15,'1 серия'!$B$6:$B$15=C33)), )"),14.75)</f>
        <v>14.75</v>
      </c>
      <c r="U33" s="32" t="str">
        <f>IFERROR(__xludf.DUMMYFUNCTION("IFNA(SUM(FILTER('2 серия'!$B$6:$C$15,'2 серия'!$B$6:$B$15=C33)), )
"),"")</f>
        <v/>
      </c>
      <c r="V33" s="32" t="str">
        <f>IFERROR(__xludf.DUMMYFUNCTION("IFNA(SUM(FILTER('3 серия'!$B$6:$C$15,'3 серия'!$B$6:$B$15=C33)), )
"),"")</f>
        <v/>
      </c>
      <c r="W33" s="32" t="str">
        <f>IFERROR(__xludf.DUMMYFUNCTION("IFNA(SUM(FILTER('4 серия'!$B$6:$C$15,'4 серия'!$B$6:$B$15=C33)), )"),"")</f>
        <v/>
      </c>
      <c r="X33" s="32">
        <f>IFERROR(__xludf.DUMMYFUNCTION("IFNA(SUM(FILTER('5 серия'!$B$6:$C$15,'5 серия'!$B$6:$B$15=C33)), )"),22.5)</f>
        <v>22.5</v>
      </c>
      <c r="Y33" s="32" t="str">
        <f>IFERROR(__xludf.DUMMYFUNCTION("IFNA(SUM(FILTER('6 серия'!$B$6:$C$15,'6 серия'!$B$6:$B$15=C33)), )"),"")</f>
        <v/>
      </c>
      <c r="Z33" s="32" t="str">
        <f>IFERROR(__xludf.DUMMYFUNCTION("IFNA(SUM(FILTER('7 серия'!$B$6:$C$15,'7 серия'!$B$6:$B$15=C33)), )"),"")</f>
        <v/>
      </c>
      <c r="AA33" s="32" t="str">
        <f>IFERROR(__xludf.DUMMYFUNCTION("IFNA(SUM(FILTER('8 серия'!$B$6:$C$15,'8 серия'!$B$6:$B$15=C33)), )"),"")</f>
        <v/>
      </c>
      <c r="AB33" s="32" t="str">
        <f>IFERROR(__xludf.DUMMYFUNCTION("IFNA(SUM(FILTER('9 серия'!$B$7:$C$16,'9 серия'!$B$7:$B$16=C33)), )"),"")</f>
        <v/>
      </c>
      <c r="AC33" s="32" t="str">
        <f>IFERROR(__xludf.DUMMYFUNCTION("IFNA(SUM(FILTER('10 серия'!$B$6:$C$15,'10 серия'!$B$6:$B$15=C33)), )"),"")</f>
        <v/>
      </c>
      <c r="AD33" s="32" t="str">
        <f>IFERROR(__xludf.DUMMYFUNCTION("IFNA(SUM(FILTER('11 серия'!$B$6:$C$15,'11 серия'!$B$6:$B$15=C33)), )"),"")</f>
        <v/>
      </c>
      <c r="AE33" s="32" t="str">
        <f>IFERROR(__xludf.DUMMYFUNCTION("IFNA(SUM(FILTER('12 серия'!$B$6:$C$15,'12 серия'!$B$6:$B$15=C33)), )"),"")</f>
        <v/>
      </c>
      <c r="AF33" s="32" t="str">
        <f>IFERROR(__xludf.DUMMYFUNCTION("IFNA(SUM(FILTER('13 серия'!$B$6:$C$15,'13 серия'!$B$6:$B$15=C33)), )"),"")</f>
        <v/>
      </c>
      <c r="AG33" s="32" t="str">
        <f>IFERROR(__xludf.DUMMYFUNCTION("IFNA(SUM(FILTER('14 серия'!$B$6:$C$15,'14 серия'!$B$6:$B$15=C33)), )"),"")</f>
        <v/>
      </c>
      <c r="AH33" s="32">
        <f>IFERROR(__xludf.DUMMYFUNCTION("IFNA(SUM(FILTER('15 серия'!$B$6:$C$15,'15 серия'!$B$6:$B$15=C33)), )"),10.75)</f>
        <v>10.75</v>
      </c>
      <c r="AI33" s="32" t="str">
        <f>IFERROR(__xludf.DUMMYFUNCTION("IFNA(SUM(FILTER('16 серия'!$B$6:$C$15,'16 серия'!$B$6:$B$15=C33)), )"),"")</f>
        <v/>
      </c>
      <c r="AJ33" s="32" t="str">
        <f>IFERROR(__xludf.DUMMYFUNCTION("IFNA(SUM(FILTER('17 серия'!$B$6:$C$15,'17 серия'!$B$6:$B$15=C33)), )"),"")</f>
        <v/>
      </c>
      <c r="AK33" s="32" t="str">
        <f>IFERROR(__xludf.DUMMYFUNCTION("IFNA(SUM(FILTER('18 серия'!$B$6:$C$15,'18 серия'!$B$6:$B$15=C33)), )"),"")</f>
        <v/>
      </c>
      <c r="AL33" s="32">
        <f>IFERROR(__xludf.DUMMYFUNCTION("IFNA(SUM(FILTER('19 серия'!$B$6:$C$15,'19 серия'!$B$6:$B$15=C33)), )"),15.5)</f>
        <v>15.5</v>
      </c>
      <c r="AM33" s="32" t="str">
        <f>IFERROR(__xludf.DUMMYFUNCTION("IFNA(SUM(FILTER('20 серия'!$B$6:$C$15,'20 серия'!$B$6:$B$15=C33)), )"),"")</f>
        <v/>
      </c>
      <c r="AN33" s="32" t="str">
        <f>IFERROR(__xludf.DUMMYFUNCTION("IFNA(SUM(FILTER('21 серия'!$B$6:$C$15,'21 серия'!$B$6:$B$15=C33)), )"),"")</f>
        <v/>
      </c>
      <c r="AO33" s="32" t="str">
        <f>IFERROR(__xludf.DUMMYFUNCTION("IFNA(SUM(FILTER('22 серия'!$B$6:$C$15,'22 серия'!$B$6:$B$15=C33)), )"),"")</f>
        <v/>
      </c>
      <c r="AP33" s="32" t="str">
        <f>IFERROR(__xludf.DUMMYFUNCTION("IFNA(SUM(FILTER('23 серия'!$B$6:$C$15,'23 серия'!$B$6:$B$15=C33)), )"),"")</f>
        <v/>
      </c>
      <c r="AQ33" s="32" t="str">
        <f>IFERROR(__xludf.DUMMYFUNCTION("IFNA(SUM(FILTER('24 серия'!$B$6:$C$15,'24 серия'!$B$6:$B$15=C33)), )"),"")</f>
        <v/>
      </c>
      <c r="AR33" s="32">
        <f>IFERROR(__xludf.DUMMYFUNCTION("IFNA(SUM(FILTER('25 серия'!$B$6:$C$15,'25 серия'!$B$6:$B$15=C33)), )"),19.75)</f>
        <v>19.75</v>
      </c>
      <c r="AS33" s="32" t="str">
        <f>IFERROR(__xludf.DUMMYFUNCTION("IFNA(SUM(FILTER('26 серия'!$B$6:$C$15,'26 серия'!$B$6:$B$15=C33)), )"),"")</f>
        <v/>
      </c>
      <c r="AT33" s="32" t="str">
        <f>IFERROR(__xludf.DUMMYFUNCTION("IFNA(SUM(FILTER('27 серия'!$B$6:$C$15,'27 серия'!$B$6:$B$15=C33)), )"),"")</f>
        <v/>
      </c>
      <c r="AU33" s="32">
        <f>IFERROR(__xludf.DUMMYFUNCTION("IFNA(SUM(FILTER('28 серия'!$B$6:$C$15,'28 серия'!$B$6:$B$15=C33)), )"),20.5)</f>
        <v>20.5</v>
      </c>
      <c r="AV33" s="32" t="str">
        <f>IFERROR(__xludf.DUMMYFUNCTION("IFNA(SUM(FILTER('29 серия'!$B$6:$C$15,'29 серия'!$B$6:$B$15=C33)), )"),"")</f>
        <v/>
      </c>
      <c r="AW33" s="32" t="str">
        <f>IFERROR(__xludf.DUMMYFUNCTION("IFNA(SUM(FILTER('30 серия'!$B$6:$C$15,'30 серия'!$B$6:$B$15=C33)), )"),"")</f>
        <v/>
      </c>
      <c r="AX33" s="32" t="str">
        <f>IFERROR(__xludf.DUMMYFUNCTION("IFNA(SUM(FILTER('31 серия'!$B$6:$C$15,'31 серия'!$B$6:$B$15=C33)), )"),"")</f>
        <v/>
      </c>
      <c r="AY33" s="32" t="str">
        <f>IFERROR(__xludf.DUMMYFUNCTION("IFNA(SUM(FILTER('32 серия'!$B$6:$C$15,'32 серия'!$B$6:$B$15=C33)), )"),"")</f>
        <v/>
      </c>
      <c r="AZ33" s="32" t="str">
        <f>IFERROR(__xludf.DUMMYFUNCTION("IFNA(SUM(FILTER('33 серия'!$B$6:$C$15,'33 серия'!$B$6:$B$15=C33)), )"),"")</f>
        <v/>
      </c>
      <c r="BA33" s="32">
        <f>IFERROR(__xludf.DUMMYFUNCTION("IFNA(SUM(FILTER('34 серия'!$B$6:$C$15,'34 серия'!$B$6:$B$15=C33)), )"),22.5)</f>
        <v>22.5</v>
      </c>
      <c r="BB33" s="32" t="str">
        <f>IFERROR(__xludf.DUMMYFUNCTION("IFNA(SUM(FILTER('35 серия'!$B$6:$C$15,'35 серия'!$B$6:$B$15=C33)), )"),"")</f>
        <v/>
      </c>
      <c r="BC33" s="32" t="str">
        <f>IFERROR(__xludf.DUMMYFUNCTION("IFNA(SUM(FILTER('36 серия'!$B$6:$C$15,'36 серия'!$B$6:$B$15=C33)), )"),"")</f>
        <v/>
      </c>
      <c r="BD33" s="32" t="str">
        <f>IFERROR(__xludf.DUMMYFUNCTION("IFNA(SUM(FILTER('37 серия'!$B$6:$C$15,'37 серия'!$B$6:$B$15=C33)), )"),"")</f>
        <v/>
      </c>
      <c r="BE33" s="32" t="str">
        <f>IFERROR(__xludf.DUMMYFUNCTION("IFNA(SUM(FILTER('38 серия'!$B$6:$C$15,'38 серия'!$B$6:$B$15=C33)), )"),"")</f>
        <v/>
      </c>
      <c r="BF33" s="32">
        <f>IFERROR(__xludf.DUMMYFUNCTION("IFNA(SUM(FILTER('39 серия'!$B$6:$C$15,'39 серия'!$B$6:$B$15=C33)), )"),17.25)</f>
        <v>17.25</v>
      </c>
      <c r="BG33" s="32" t="str">
        <f>IFERROR(__xludf.DUMMYFUNCTION("IFNA(SUM(FILTER('40 серия'!$B$6:$C$15,'40 серия'!$B$6:$B$15=C33)), )"),"")</f>
        <v/>
      </c>
      <c r="BH33" s="32" t="str">
        <f>IFERROR(__xludf.DUMMYFUNCTION("IFNA(SUM(FILTER('41 серия'!$B$6:$C$15,'41 серия'!$B$6:$B$15=C33)), )"),"")</f>
        <v/>
      </c>
      <c r="BI33" s="32" t="str">
        <f>IFERROR(__xludf.DUMMYFUNCTION("IFNA(SUM(FILTER('42 серия'!$B$6:$C$15,'42 серия'!$B$6:$B$15=C33)), )"),"")</f>
        <v/>
      </c>
      <c r="BJ33" s="32" t="str">
        <f>IFERROR(__xludf.DUMMYFUNCTION("IFNA(SUM(FILTER('43 серия'!$B$6:$C$15,'43 серия'!$B$6:$B$15=C33)), )"),"")</f>
        <v/>
      </c>
      <c r="BK33" s="32" t="str">
        <f>IFERROR(__xludf.DUMMYFUNCTION("IFNA(SUM(FILTER('44 серия'!$B$6:$C$15,'44 серия'!$B$6:$B$15=C33)), )"),"")</f>
        <v/>
      </c>
      <c r="BL33" s="32" t="str">
        <f>IFERROR(__xludf.DUMMYFUNCTION("IFNA(SUM(FILTER('45 серия'!$B$6:$C$15,'45 серия'!$B$6:$B$15=C33)), )"),"")</f>
        <v/>
      </c>
      <c r="BM33" s="32" t="str">
        <f>IFERROR(__xludf.DUMMYFUNCTION("IFNA(SUM(FILTER('46 серия'!$B$6:$C$15,'46 серия'!$B$6:$B$15=C33)), )"),"")</f>
        <v/>
      </c>
      <c r="BN33" s="32" t="str">
        <f>IFERROR(__xludf.DUMMYFUNCTION("IFNA(SUM(FILTER('47 серия'!$B$6:$C$15,'47 серия'!$B$6:$B$15=C33)), )"),"")</f>
        <v/>
      </c>
      <c r="BO33" s="42" t="str">
        <f>IFERROR(__xludf.DUMMYFUNCTION("IFNA(SUM(FILTER('48 серия'!$B$6:$C$15,'48 серия'!$B$6:$B$15=$C33)), )"),"")</f>
        <v/>
      </c>
      <c r="BP33" s="43" t="str">
        <f>IFERROR(__xludf.DUMMYFUNCTION("IFNA(SUM(FILTER('49 серия'!$B$6:$C$15,'49 серия'!$B$6:$B$15=$C33)), )"),"")</f>
        <v/>
      </c>
      <c r="BQ33" s="43">
        <f>IFERROR(__xludf.DUMMYFUNCTION("IFNA(SUM(FILTER('50 серия'!$B$6:$C$15,'50 серия'!$B$6:$B$15=$C33)), )"),21.0)</f>
        <v>21</v>
      </c>
      <c r="BR33" s="43" t="str">
        <f>IFERROR(__xludf.DUMMYFUNCTION("IFNA(SUM(FILTER('51 серия'!$B$6:$C$15,'51 серия'!$B$6:$B$15=$C33)), )"),"")</f>
        <v/>
      </c>
      <c r="BS33" s="49" t="str">
        <f>IFERROR(__xludf.DUMMYFUNCTION("IFNA(SUM(FILTER('52 серия'!$B$6:$C$15,'52 серия'!$B$6:$B$15=C33)), )"),"")</f>
        <v/>
      </c>
      <c r="BT33" s="32" t="str">
        <f>IFERROR(__xludf.DUMMYFUNCTION("IFNA(SUM(FILTER('53 серия'!$B$6:$C$15,'53 серия'!$B$6:$B$15=$C33)), )"),"")</f>
        <v/>
      </c>
      <c r="BU33" s="32">
        <f>IFERROR(__xludf.DUMMYFUNCTION("IFNA(SUM(FILTER('54 серия'!$B$6:$C$15,'54 серия'!$B$6:$B$15=$C33)), )"),19.0)</f>
        <v>19</v>
      </c>
      <c r="BV33" s="32" t="str">
        <f>IFERROR(__xludf.DUMMYFUNCTION("IFNA(SUM(FILTER('55 серия'!$B$6:$C$15,'55 серия'!$B$6:$B$15=$C33)), )"),"")</f>
        <v/>
      </c>
      <c r="BW33" s="32" t="str">
        <f>IFERROR(__xludf.DUMMYFUNCTION("IFNA(SUM(FILTER('56 серия'!$B$6:$C$15,'56 серия'!$B$6:$B$15=$C33)), )"),"")</f>
        <v/>
      </c>
      <c r="BX33" s="32" t="str">
        <f>IFERROR(__xludf.DUMMYFUNCTION("IFNA(SUM(FILTER('57 серия'!$B$6:$C$15,'57 серия'!$B$6:$B$15=$C33)), )"),"")</f>
        <v/>
      </c>
      <c r="BY33" s="32" t="str">
        <f>IFERROR(__xludf.DUMMYFUNCTION("IFNA(SUM(FILTER('58 серия'!$B$6:$C$15,'58 серия'!$B$6:$B$15=$C33)), )"),"")</f>
        <v/>
      </c>
      <c r="BZ33" s="46" t="str">
        <f>IFERROR(__xludf.DUMMYFUNCTION("IFNA(SUM(FILTER('59 серия'!$B$6:$C$15,'59 серия'!$B$6:$B$15=C33)), )"),"")</f>
        <v/>
      </c>
      <c r="CA33" s="44" t="str">
        <f>IFERROR(__xludf.DUMMYFUNCTION("IFNA(SUM(FILTER('60 серия'!$B$6:$C$15,'60 серия'!$B$6:$B$15=$C33)), )"),"")</f>
        <v/>
      </c>
      <c r="CB33" s="4"/>
    </row>
    <row r="34">
      <c r="A34" s="10"/>
      <c r="B34" s="27">
        <f t="shared" si="1"/>
        <v>28</v>
      </c>
      <c r="C34" s="45" t="s">
        <v>106</v>
      </c>
      <c r="D34" s="29">
        <f>'Игроки статистика'!B32</f>
        <v>50</v>
      </c>
      <c r="E34" s="30">
        <f t="shared" si="2"/>
        <v>207</v>
      </c>
      <c r="F34" s="31">
        <f t="shared" si="3"/>
        <v>20.7</v>
      </c>
      <c r="G34" s="46">
        <f t="shared" si="4"/>
        <v>2.89</v>
      </c>
      <c r="H34" s="46">
        <f>SUMIFS('Все игры'!C$3:C1011,'Все игры'!A$3:A1011,C34)</f>
        <v>62.5</v>
      </c>
      <c r="I34" s="46">
        <f t="shared" si="5"/>
        <v>142</v>
      </c>
      <c r="J34" s="47">
        <f>SUMIFS('Все игры'!F$3:F1011,'Все игры'!A$3:A1011,C34)</f>
        <v>1</v>
      </c>
      <c r="K34" s="48">
        <f>SUMIFS('Все игры'!G$3:G1011,'Все игры'!A$3:A1011,C34)</f>
        <v>1.5</v>
      </c>
      <c r="L34" s="35">
        <f>'Игроки статистика'!G32</f>
        <v>3</v>
      </c>
      <c r="M34" s="36">
        <f t="shared" si="6"/>
        <v>25</v>
      </c>
      <c r="N34" s="36">
        <f>SUM('Игроки статистика'!O32,'Игроки статистика'!Q32)</f>
        <v>4</v>
      </c>
      <c r="O34" s="37">
        <f>SUM('Игроки статистика'!P32,'Игроки статистика'!R32)</f>
        <v>3</v>
      </c>
      <c r="P34" s="38" t="str">
        <f>IFERROR(__xludf.DUMMYFUNCTION("IFNA(SUM(FILTER('Штрафы'!$D$5:$D1011,'Штрафы'!$C$5:$C1011=C34)), )"),"")</f>
        <v/>
      </c>
      <c r="Q34" s="38" t="str">
        <f>IFERROR(__xludf.DUMMYFUNCTION("IFNA(SUM(FILTER('Штрафы'!$F$5:$F1011,'Штрафы'!$C$5:$C1011=C34)), )"),"")</f>
        <v/>
      </c>
      <c r="R34" s="39"/>
      <c r="S34" s="40"/>
      <c r="T34" s="31">
        <f>IFERROR(__xludf.DUMMYFUNCTION("IFNA(SUM(FILTER('1 серия'!$B$6:$C$15,'1 серия'!$B$6:$B$15=C34)), )"),20.0)</f>
        <v>20</v>
      </c>
      <c r="U34" s="32" t="str">
        <f>IFERROR(__xludf.DUMMYFUNCTION("IFNA(SUM(FILTER('2 серия'!$B$6:$C$15,'2 серия'!$B$6:$B$15=C34)), )
"),"")</f>
        <v/>
      </c>
      <c r="V34" s="32" t="str">
        <f>IFERROR(__xludf.DUMMYFUNCTION("IFNA(SUM(FILTER('3 серия'!$B$6:$C$15,'3 серия'!$B$6:$B$15=C34)), )
"),"")</f>
        <v/>
      </c>
      <c r="W34" s="32" t="str">
        <f>IFERROR(__xludf.DUMMYFUNCTION("IFNA(SUM(FILTER('4 серия'!$B$6:$C$15,'4 серия'!$B$6:$B$15=C34)), )"),"")</f>
        <v/>
      </c>
      <c r="X34" s="32">
        <f>IFERROR(__xludf.DUMMYFUNCTION("IFNA(SUM(FILTER('5 серия'!$B$6:$C$15,'5 серия'!$B$6:$B$15=C34)), )"),19.25)</f>
        <v>19.25</v>
      </c>
      <c r="Y34" s="32" t="str">
        <f>IFERROR(__xludf.DUMMYFUNCTION("IFNA(SUM(FILTER('6 серия'!$B$6:$C$15,'6 серия'!$B$6:$B$15=C34)), )"),"")</f>
        <v/>
      </c>
      <c r="Z34" s="32" t="str">
        <f>IFERROR(__xludf.DUMMYFUNCTION("IFNA(SUM(FILTER('7 серия'!$B$6:$C$15,'7 серия'!$B$6:$B$15=C34)), )"),"")</f>
        <v/>
      </c>
      <c r="AA34" s="32" t="str">
        <f>IFERROR(__xludf.DUMMYFUNCTION("IFNA(SUM(FILTER('8 серия'!$B$6:$C$15,'8 серия'!$B$6:$B$15=C34)), )"),"")</f>
        <v/>
      </c>
      <c r="AB34" s="32" t="str">
        <f>IFERROR(__xludf.DUMMYFUNCTION("IFNA(SUM(FILTER('9 серия'!$B$7:$C$16,'9 серия'!$B$7:$B$16=C34)), )"),"")</f>
        <v/>
      </c>
      <c r="AC34" s="32" t="str">
        <f>IFERROR(__xludf.DUMMYFUNCTION("IFNA(SUM(FILTER('10 серия'!$B$6:$C$15,'10 серия'!$B$6:$B$15=C34)), )"),"")</f>
        <v/>
      </c>
      <c r="AD34" s="32">
        <f>IFERROR(__xludf.DUMMYFUNCTION("IFNA(SUM(FILTER('11 серия'!$B$6:$C$15,'11 серия'!$B$6:$B$15=C34)), )"),18.25)</f>
        <v>18.25</v>
      </c>
      <c r="AE34" s="32" t="str">
        <f>IFERROR(__xludf.DUMMYFUNCTION("IFNA(SUM(FILTER('12 серия'!$B$6:$C$15,'12 серия'!$B$6:$B$15=C34)), )"),"")</f>
        <v/>
      </c>
      <c r="AF34" s="32" t="str">
        <f>IFERROR(__xludf.DUMMYFUNCTION("IFNA(SUM(FILTER('13 серия'!$B$6:$C$15,'13 серия'!$B$6:$B$15=C34)), )"),"")</f>
        <v/>
      </c>
      <c r="AG34" s="32" t="str">
        <f>IFERROR(__xludf.DUMMYFUNCTION("IFNA(SUM(FILTER('14 серия'!$B$6:$C$15,'14 серия'!$B$6:$B$15=C34)), )"),"")</f>
        <v/>
      </c>
      <c r="AH34" s="32" t="str">
        <f>IFERROR(__xludf.DUMMYFUNCTION("IFNA(SUM(FILTER('15 серия'!$B$6:$C$15,'15 серия'!$B$6:$B$15=C34)), )"),"")</f>
        <v/>
      </c>
      <c r="AI34" s="32" t="str">
        <f>IFERROR(__xludf.DUMMYFUNCTION("IFNA(SUM(FILTER('16 серия'!$B$6:$C$15,'16 серия'!$B$6:$B$15=C34)), )"),"")</f>
        <v/>
      </c>
      <c r="AJ34" s="32" t="str">
        <f>IFERROR(__xludf.DUMMYFUNCTION("IFNA(SUM(FILTER('17 серия'!$B$6:$C$15,'17 серия'!$B$6:$B$15=C34)), )"),"")</f>
        <v/>
      </c>
      <c r="AK34" s="32" t="str">
        <f>IFERROR(__xludf.DUMMYFUNCTION("IFNA(SUM(FILTER('18 серия'!$B$6:$C$15,'18 серия'!$B$6:$B$15=C34)), )"),"")</f>
        <v/>
      </c>
      <c r="AL34" s="32" t="str">
        <f>IFERROR(__xludf.DUMMYFUNCTION("IFNA(SUM(FILTER('19 серия'!$B$6:$C$15,'19 серия'!$B$6:$B$15=C34)), )"),"")</f>
        <v/>
      </c>
      <c r="AM34" s="32" t="str">
        <f>IFERROR(__xludf.DUMMYFUNCTION("IFNA(SUM(FILTER('20 серия'!$B$6:$C$15,'20 серия'!$B$6:$B$15=C34)), )"),"")</f>
        <v/>
      </c>
      <c r="AN34" s="32" t="str">
        <f>IFERROR(__xludf.DUMMYFUNCTION("IFNA(SUM(FILTER('21 серия'!$B$6:$C$15,'21 серия'!$B$6:$B$15=C34)), )"),"")</f>
        <v/>
      </c>
      <c r="AO34" s="32" t="str">
        <f>IFERROR(__xludf.DUMMYFUNCTION("IFNA(SUM(FILTER('22 серия'!$B$6:$C$15,'22 серия'!$B$6:$B$15=C34)), )"),"")</f>
        <v/>
      </c>
      <c r="AP34" s="32" t="str">
        <f>IFERROR(__xludf.DUMMYFUNCTION("IFNA(SUM(FILTER('23 серия'!$B$6:$C$15,'23 серия'!$B$6:$B$15=C34)), )"),"")</f>
        <v/>
      </c>
      <c r="AQ34" s="32">
        <f>IFERROR(__xludf.DUMMYFUNCTION("IFNA(SUM(FILTER('24 серия'!$B$6:$C$15,'24 серия'!$B$6:$B$15=C34)), )"),21.5)</f>
        <v>21.5</v>
      </c>
      <c r="AR34" s="32" t="str">
        <f>IFERROR(__xludf.DUMMYFUNCTION("IFNA(SUM(FILTER('25 серия'!$B$6:$C$15,'25 серия'!$B$6:$B$15=C34)), )"),"")</f>
        <v/>
      </c>
      <c r="AS34" s="32">
        <f>IFERROR(__xludf.DUMMYFUNCTION("IFNA(SUM(FILTER('26 серия'!$B$6:$C$15,'26 серия'!$B$6:$B$15=C34)), )"),26.25)</f>
        <v>26.25</v>
      </c>
      <c r="AT34" s="32" t="str">
        <f>IFERROR(__xludf.DUMMYFUNCTION("IFNA(SUM(FILTER('27 серия'!$B$6:$C$15,'27 серия'!$B$6:$B$15=C34)), )"),"")</f>
        <v/>
      </c>
      <c r="AU34" s="32" t="str">
        <f>IFERROR(__xludf.DUMMYFUNCTION("IFNA(SUM(FILTER('28 серия'!$B$6:$C$15,'28 серия'!$B$6:$B$15=C34)), )"),"")</f>
        <v/>
      </c>
      <c r="AV34" s="32" t="str">
        <f>IFERROR(__xludf.DUMMYFUNCTION("IFNA(SUM(FILTER('29 серия'!$B$6:$C$15,'29 серия'!$B$6:$B$15=C34)), )"),"")</f>
        <v/>
      </c>
      <c r="AW34" s="32" t="str">
        <f>IFERROR(__xludf.DUMMYFUNCTION("IFNA(SUM(FILTER('30 серия'!$B$6:$C$15,'30 серия'!$B$6:$B$15=C34)), )"),"")</f>
        <v/>
      </c>
      <c r="AX34" s="32" t="str">
        <f>IFERROR(__xludf.DUMMYFUNCTION("IFNA(SUM(FILTER('31 серия'!$B$6:$C$15,'31 серия'!$B$6:$B$15=C34)), )"),"")</f>
        <v/>
      </c>
      <c r="AY34" s="32" t="str">
        <f>IFERROR(__xludf.DUMMYFUNCTION("IFNA(SUM(FILTER('32 серия'!$B$6:$C$15,'32 серия'!$B$6:$B$15=C34)), )"),"")</f>
        <v/>
      </c>
      <c r="AZ34" s="32" t="str">
        <f>IFERROR(__xludf.DUMMYFUNCTION("IFNA(SUM(FILTER('33 серия'!$B$6:$C$15,'33 серия'!$B$6:$B$15=C34)), )"),"")</f>
        <v/>
      </c>
      <c r="BA34" s="32">
        <f>IFERROR(__xludf.DUMMYFUNCTION("IFNA(SUM(FILTER('34 серия'!$B$6:$C$15,'34 серия'!$B$6:$B$15=C34)), )"),21.5)</f>
        <v>21.5</v>
      </c>
      <c r="BB34" s="32" t="str">
        <f>IFERROR(__xludf.DUMMYFUNCTION("IFNA(SUM(FILTER('35 серия'!$B$6:$C$15,'35 серия'!$B$6:$B$15=C34)), )"),"")</f>
        <v/>
      </c>
      <c r="BC34" s="32">
        <f>IFERROR(__xludf.DUMMYFUNCTION("IFNA(SUM(FILTER('36 серия'!$B$6:$C$15,'36 серия'!$B$6:$B$15=C34)), )"),20.75)</f>
        <v>20.75</v>
      </c>
      <c r="BD34" s="32" t="str">
        <f>IFERROR(__xludf.DUMMYFUNCTION("IFNA(SUM(FILTER('37 серия'!$B$6:$C$15,'37 серия'!$B$6:$B$15=C34)), )"),"")</f>
        <v/>
      </c>
      <c r="BE34" s="32" t="str">
        <f>IFERROR(__xludf.DUMMYFUNCTION("IFNA(SUM(FILTER('38 серия'!$B$6:$C$15,'38 серия'!$B$6:$B$15=C34)), )"),"")</f>
        <v/>
      </c>
      <c r="BF34" s="32" t="str">
        <f>IFERROR(__xludf.DUMMYFUNCTION("IFNA(SUM(FILTER('39 серия'!$B$6:$C$15,'39 серия'!$B$6:$B$15=C34)), )"),"")</f>
        <v/>
      </c>
      <c r="BG34" s="32" t="str">
        <f>IFERROR(__xludf.DUMMYFUNCTION("IFNA(SUM(FILTER('40 серия'!$B$6:$C$15,'40 серия'!$B$6:$B$15=C34)), )"),"")</f>
        <v/>
      </c>
      <c r="BH34" s="32" t="str">
        <f>IFERROR(__xludf.DUMMYFUNCTION("IFNA(SUM(FILTER('41 серия'!$B$6:$C$15,'41 серия'!$B$6:$B$15=C34)), )"),"")</f>
        <v/>
      </c>
      <c r="BI34" s="32" t="str">
        <f>IFERROR(__xludf.DUMMYFUNCTION("IFNA(SUM(FILTER('42 серия'!$B$6:$C$15,'42 серия'!$B$6:$B$15=C34)), )"),"")</f>
        <v/>
      </c>
      <c r="BJ34" s="32">
        <f>IFERROR(__xludf.DUMMYFUNCTION("IFNA(SUM(FILTER('43 серия'!$B$6:$C$15,'43 серия'!$B$6:$B$15=C34)), )"),13.75)</f>
        <v>13.75</v>
      </c>
      <c r="BK34" s="32" t="str">
        <f>IFERROR(__xludf.DUMMYFUNCTION("IFNA(SUM(FILTER('44 серия'!$B$6:$C$15,'44 серия'!$B$6:$B$15=C34)), )"),"")</f>
        <v/>
      </c>
      <c r="BL34" s="32" t="str">
        <f>IFERROR(__xludf.DUMMYFUNCTION("IFNA(SUM(FILTER('45 серия'!$B$6:$C$15,'45 серия'!$B$6:$B$15=C34)), )"),"")</f>
        <v/>
      </c>
      <c r="BM34" s="32">
        <f>IFERROR(__xludf.DUMMYFUNCTION("IFNA(SUM(FILTER('46 серия'!$B$6:$C$15,'46 серия'!$B$6:$B$15=C34)), )"),28.5)</f>
        <v>28.5</v>
      </c>
      <c r="BN34" s="32" t="str">
        <f>IFERROR(__xludf.DUMMYFUNCTION("IFNA(SUM(FILTER('47 серия'!$B$6:$C$15,'47 серия'!$B$6:$B$15=C34)), )"),"")</f>
        <v/>
      </c>
      <c r="BO34" s="42" t="str">
        <f>IFERROR(__xludf.DUMMYFUNCTION("IFNA(SUM(FILTER('48 серия'!$B$6:$C$15,'48 серия'!$B$6:$B$15=$C34)), )"),"")</f>
        <v/>
      </c>
      <c r="BP34" s="43" t="str">
        <f>IFERROR(__xludf.DUMMYFUNCTION("IFNA(SUM(FILTER('49 серия'!$B$6:$C$15,'49 серия'!$B$6:$B$15=$C34)), )"),"")</f>
        <v/>
      </c>
      <c r="BQ34" s="43" t="str">
        <f>IFERROR(__xludf.DUMMYFUNCTION("IFNA(SUM(FILTER('50 серия'!$B$6:$C$15,'50 серия'!$B$6:$B$15=$C34)), )"),"")</f>
        <v/>
      </c>
      <c r="BR34" s="43" t="str">
        <f>IFERROR(__xludf.DUMMYFUNCTION("IFNA(SUM(FILTER('51 серия'!$B$6:$C$15,'51 серия'!$B$6:$B$15=$C34)), )"),"")</f>
        <v/>
      </c>
      <c r="BS34" s="49" t="str">
        <f>IFERROR(__xludf.DUMMYFUNCTION("IFNA(SUM(FILTER('52 серия'!$B$6:$C$15,'52 серия'!$B$6:$B$15=C34)), )"),"")</f>
        <v/>
      </c>
      <c r="BT34" s="32" t="str">
        <f>IFERROR(__xludf.DUMMYFUNCTION("IFNA(SUM(FILTER('53 серия'!$B$6:$C$15,'53 серия'!$B$6:$B$15=$C34)), )"),"")</f>
        <v/>
      </c>
      <c r="BU34" s="32">
        <f>IFERROR(__xludf.DUMMYFUNCTION("IFNA(SUM(FILTER('54 серия'!$B$6:$C$15,'54 серия'!$B$6:$B$15=$C34)), )"),17.25)</f>
        <v>17.25</v>
      </c>
      <c r="BV34" s="32" t="str">
        <f>IFERROR(__xludf.DUMMYFUNCTION("IFNA(SUM(FILTER('55 серия'!$B$6:$C$15,'55 серия'!$B$6:$B$15=$C34)), )"),"")</f>
        <v/>
      </c>
      <c r="BW34" s="32" t="str">
        <f>IFERROR(__xludf.DUMMYFUNCTION("IFNA(SUM(FILTER('56 серия'!$B$6:$C$15,'56 серия'!$B$6:$B$15=$C34)), )"),"")</f>
        <v/>
      </c>
      <c r="BX34" s="32" t="str">
        <f>IFERROR(__xludf.DUMMYFUNCTION("IFNA(SUM(FILTER('57 серия'!$B$6:$C$15,'57 серия'!$B$6:$B$15=$C34)), )"),"")</f>
        <v/>
      </c>
      <c r="BY34" s="32" t="str">
        <f>IFERROR(__xludf.DUMMYFUNCTION("IFNA(SUM(FILTER('58 серия'!$B$6:$C$15,'58 серия'!$B$6:$B$15=$C34)), )"),"")</f>
        <v/>
      </c>
      <c r="BZ34" s="46" t="str">
        <f>IFERROR(__xludf.DUMMYFUNCTION("IFNA(SUM(FILTER('59 серия'!$B$6:$C$15,'59 серия'!$B$6:$B$15=C34)), )"),"")</f>
        <v/>
      </c>
      <c r="CA34" s="44" t="str">
        <f>IFERROR(__xludf.DUMMYFUNCTION("IFNA(SUM(FILTER('60 серия'!$B$6:$C$15,'60 серия'!$B$6:$B$15=$C34)), )"),"")</f>
        <v/>
      </c>
      <c r="CB34" s="4"/>
    </row>
    <row r="35">
      <c r="A35" s="10"/>
      <c r="B35" s="27">
        <f t="shared" si="1"/>
        <v>29</v>
      </c>
      <c r="C35" s="45" t="s">
        <v>107</v>
      </c>
      <c r="D35" s="29">
        <f>'Игроки статистика'!B33</f>
        <v>50</v>
      </c>
      <c r="E35" s="30">
        <f t="shared" si="2"/>
        <v>223</v>
      </c>
      <c r="F35" s="31">
        <f t="shared" si="3"/>
        <v>22.3</v>
      </c>
      <c r="G35" s="46">
        <f t="shared" si="4"/>
        <v>3.16</v>
      </c>
      <c r="H35" s="46">
        <f>SUMIFS('Все игры'!C$3:C1011,'Все игры'!A$3:A1011,C35)</f>
        <v>65</v>
      </c>
      <c r="I35" s="46">
        <f t="shared" si="5"/>
        <v>147</v>
      </c>
      <c r="J35" s="47">
        <f>SUMIFS('Все игры'!F$3:F1011,'Все игры'!A$3:A1011,C35)</f>
        <v>2.5</v>
      </c>
      <c r="K35" s="48">
        <f>SUMIFS('Все игры'!G$3:G1011,'Все игры'!A$3:A1011,C35)</f>
        <v>8.5</v>
      </c>
      <c r="L35" s="35">
        <f>'Игроки статистика'!G33</f>
        <v>13</v>
      </c>
      <c r="M35" s="36">
        <f t="shared" si="6"/>
        <v>26</v>
      </c>
      <c r="N35" s="36">
        <f>SUM('Игроки статистика'!O33,'Игроки статистика'!Q33)</f>
        <v>6</v>
      </c>
      <c r="O35" s="37">
        <f>SUM('Игроки статистика'!P33,'Игроки статистика'!R33)</f>
        <v>5</v>
      </c>
      <c r="P35" s="38" t="str">
        <f>IFERROR(__xludf.DUMMYFUNCTION("IFNA(SUM(FILTER('Штрафы'!$D$5:$D1011,'Штрафы'!$C$5:$C1011=C35)), )"),"")</f>
        <v/>
      </c>
      <c r="Q35" s="38" t="str">
        <f>IFERROR(__xludf.DUMMYFUNCTION("IFNA(SUM(FILTER('Штрафы'!$F$5:$F1011,'Штрафы'!$C$5:$C1011=C35)), )"),"")</f>
        <v/>
      </c>
      <c r="R35" s="39"/>
      <c r="S35" s="40"/>
      <c r="T35" s="31" t="str">
        <f>IFERROR(__xludf.DUMMYFUNCTION("IFNA(SUM(FILTER('1 серия'!$B$6:$C$15,'1 серия'!$B$6:$B$15=C35)), )"),"")</f>
        <v/>
      </c>
      <c r="U35" s="32" t="str">
        <f>IFERROR(__xludf.DUMMYFUNCTION("IFNA(SUM(FILTER('2 серия'!$B$6:$C$15,'2 серия'!$B$6:$B$15=C35)), )
"),"")</f>
        <v/>
      </c>
      <c r="V35" s="32" t="str">
        <f>IFERROR(__xludf.DUMMYFUNCTION("IFNA(SUM(FILTER('3 серия'!$B$6:$C$15,'3 серия'!$B$6:$B$15=C35)), )
"),"")</f>
        <v/>
      </c>
      <c r="W35" s="32" t="str">
        <f>IFERROR(__xludf.DUMMYFUNCTION("IFNA(SUM(FILTER('4 серия'!$B$6:$C$15,'4 серия'!$B$6:$B$15=C35)), )"),"")</f>
        <v/>
      </c>
      <c r="X35" s="32" t="str">
        <f>IFERROR(__xludf.DUMMYFUNCTION("IFNA(SUM(FILTER('5 серия'!$B$6:$C$15,'5 серия'!$B$6:$B$15=C35)), )"),"")</f>
        <v/>
      </c>
      <c r="Y35" s="32" t="str">
        <f>IFERROR(__xludf.DUMMYFUNCTION("IFNA(SUM(FILTER('6 серия'!$B$6:$C$15,'6 серия'!$B$6:$B$15=C35)), )"),"")</f>
        <v/>
      </c>
      <c r="Z35" s="32">
        <f>IFERROR(__xludf.DUMMYFUNCTION("IFNA(SUM(FILTER('7 серия'!$B$6:$C$15,'7 серия'!$B$6:$B$15=C35)), )"),30.75)</f>
        <v>30.75</v>
      </c>
      <c r="AA35" s="32">
        <f>IFERROR(__xludf.DUMMYFUNCTION("IFNA(SUM(FILTER('8 серия'!$B$6:$C$15,'8 серия'!$B$6:$B$15=C35)), )"),20.5)</f>
        <v>20.5</v>
      </c>
      <c r="AB35" s="32">
        <f>IFERROR(__xludf.DUMMYFUNCTION("IFNA(SUM(FILTER('9 серия'!$B$7:$C$16,'9 серия'!$B$7:$B$16=C35)), )"),24.75)</f>
        <v>24.75</v>
      </c>
      <c r="AC35" s="32">
        <f>IFERROR(__xludf.DUMMYFUNCTION("IFNA(SUM(FILTER('10 серия'!$B$6:$C$15,'10 серия'!$B$6:$B$15=C35)), )"),19.0)</f>
        <v>19</v>
      </c>
      <c r="AD35" s="32">
        <f>IFERROR(__xludf.DUMMYFUNCTION("IFNA(SUM(FILTER('11 серия'!$B$6:$C$15,'11 серия'!$B$6:$B$15=C35)), )"),29.0)</f>
        <v>29</v>
      </c>
      <c r="AE35" s="32">
        <f>IFERROR(__xludf.DUMMYFUNCTION("IFNA(SUM(FILTER('12 серия'!$B$6:$C$15,'12 серия'!$B$6:$B$15=C35)), )"),16.25)</f>
        <v>16.25</v>
      </c>
      <c r="AF35" s="32" t="str">
        <f>IFERROR(__xludf.DUMMYFUNCTION("IFNA(SUM(FILTER('13 серия'!$B$6:$C$15,'13 серия'!$B$6:$B$15=C35)), )"),"")</f>
        <v/>
      </c>
      <c r="AG35" s="32" t="str">
        <f>IFERROR(__xludf.DUMMYFUNCTION("IFNA(SUM(FILTER('14 серия'!$B$6:$C$15,'14 серия'!$B$6:$B$15=C35)), )"),"")</f>
        <v/>
      </c>
      <c r="AH35" s="32" t="str">
        <f>IFERROR(__xludf.DUMMYFUNCTION("IFNA(SUM(FILTER('15 серия'!$B$6:$C$15,'15 серия'!$B$6:$B$15=C35)), )"),"")</f>
        <v/>
      </c>
      <c r="AI35" s="32" t="str">
        <f>IFERROR(__xludf.DUMMYFUNCTION("IFNA(SUM(FILTER('16 серия'!$B$6:$C$15,'16 серия'!$B$6:$B$15=C35)), )"),"")</f>
        <v/>
      </c>
      <c r="AJ35" s="32" t="str">
        <f>IFERROR(__xludf.DUMMYFUNCTION("IFNA(SUM(FILTER('17 серия'!$B$6:$C$15,'17 серия'!$B$6:$B$15=C35)), )"),"")</f>
        <v/>
      </c>
      <c r="AK35" s="32" t="str">
        <f>IFERROR(__xludf.DUMMYFUNCTION("IFNA(SUM(FILTER('18 серия'!$B$6:$C$15,'18 серия'!$B$6:$B$15=C35)), )"),"")</f>
        <v/>
      </c>
      <c r="AL35" s="32" t="str">
        <f>IFERROR(__xludf.DUMMYFUNCTION("IFNA(SUM(FILTER('19 серия'!$B$6:$C$15,'19 серия'!$B$6:$B$15=C35)), )"),"")</f>
        <v/>
      </c>
      <c r="AM35" s="32" t="str">
        <f>IFERROR(__xludf.DUMMYFUNCTION("IFNA(SUM(FILTER('20 серия'!$B$6:$C$15,'20 серия'!$B$6:$B$15=C35)), )"),"")</f>
        <v/>
      </c>
      <c r="AN35" s="32" t="str">
        <f>IFERROR(__xludf.DUMMYFUNCTION("IFNA(SUM(FILTER('21 серия'!$B$6:$C$15,'21 серия'!$B$6:$B$15=C35)), )"),"")</f>
        <v/>
      </c>
      <c r="AO35" s="32" t="str">
        <f>IFERROR(__xludf.DUMMYFUNCTION("IFNA(SUM(FILTER('22 серия'!$B$6:$C$15,'22 серия'!$B$6:$B$15=C35)), )"),"")</f>
        <v/>
      </c>
      <c r="AP35" s="32" t="str">
        <f>IFERROR(__xludf.DUMMYFUNCTION("IFNA(SUM(FILTER('23 серия'!$B$6:$C$15,'23 серия'!$B$6:$B$15=C35)), )"),"")</f>
        <v/>
      </c>
      <c r="AQ35" s="32" t="str">
        <f>IFERROR(__xludf.DUMMYFUNCTION("IFNA(SUM(FILTER('24 серия'!$B$6:$C$15,'24 серия'!$B$6:$B$15=C35)), )"),"")</f>
        <v/>
      </c>
      <c r="AR35" s="32" t="str">
        <f>IFERROR(__xludf.DUMMYFUNCTION("IFNA(SUM(FILTER('25 серия'!$B$6:$C$15,'25 серия'!$B$6:$B$15=C35)), )"),"")</f>
        <v/>
      </c>
      <c r="AS35" s="32" t="str">
        <f>IFERROR(__xludf.DUMMYFUNCTION("IFNA(SUM(FILTER('26 серия'!$B$6:$C$15,'26 серия'!$B$6:$B$15=C35)), )"),"")</f>
        <v/>
      </c>
      <c r="AT35" s="32" t="str">
        <f>IFERROR(__xludf.DUMMYFUNCTION("IFNA(SUM(FILTER('27 серия'!$B$6:$C$15,'27 серия'!$B$6:$B$15=C35)), )"),"")</f>
        <v/>
      </c>
      <c r="AU35" s="32" t="str">
        <f>IFERROR(__xludf.DUMMYFUNCTION("IFNA(SUM(FILTER('28 серия'!$B$6:$C$15,'28 серия'!$B$6:$B$15=C35)), )"),"")</f>
        <v/>
      </c>
      <c r="AV35" s="32" t="str">
        <f>IFERROR(__xludf.DUMMYFUNCTION("IFNA(SUM(FILTER('29 серия'!$B$6:$C$15,'29 серия'!$B$6:$B$15=C35)), )"),"")</f>
        <v/>
      </c>
      <c r="AW35" s="32" t="str">
        <f>IFERROR(__xludf.DUMMYFUNCTION("IFNA(SUM(FILTER('30 серия'!$B$6:$C$15,'30 серия'!$B$6:$B$15=C35)), )"),"")</f>
        <v/>
      </c>
      <c r="AX35" s="32" t="str">
        <f>IFERROR(__xludf.DUMMYFUNCTION("IFNA(SUM(FILTER('31 серия'!$B$6:$C$15,'31 серия'!$B$6:$B$15=C35)), )"),"")</f>
        <v/>
      </c>
      <c r="AY35" s="32" t="str">
        <f>IFERROR(__xludf.DUMMYFUNCTION("IFNA(SUM(FILTER('32 серия'!$B$6:$C$15,'32 серия'!$B$6:$B$15=C35)), )"),"")</f>
        <v/>
      </c>
      <c r="AZ35" s="32" t="str">
        <f>IFERROR(__xludf.DUMMYFUNCTION("IFNA(SUM(FILTER('33 серия'!$B$6:$C$15,'33 серия'!$B$6:$B$15=C35)), )"),"")</f>
        <v/>
      </c>
      <c r="BA35" s="32" t="str">
        <f>IFERROR(__xludf.DUMMYFUNCTION("IFNA(SUM(FILTER('34 серия'!$B$6:$C$15,'34 серия'!$B$6:$B$15=C35)), )"),"")</f>
        <v/>
      </c>
      <c r="BB35" s="32" t="str">
        <f>IFERROR(__xludf.DUMMYFUNCTION("IFNA(SUM(FILTER('35 серия'!$B$6:$C$15,'35 серия'!$B$6:$B$15=C35)), )"),"")</f>
        <v/>
      </c>
      <c r="BC35" s="32" t="str">
        <f>IFERROR(__xludf.DUMMYFUNCTION("IFNA(SUM(FILTER('36 серия'!$B$6:$C$15,'36 серия'!$B$6:$B$15=C35)), )"),"")</f>
        <v/>
      </c>
      <c r="BD35" s="32" t="str">
        <f>IFERROR(__xludf.DUMMYFUNCTION("IFNA(SUM(FILTER('37 серия'!$B$6:$C$15,'37 серия'!$B$6:$B$15=C35)), )"),"")</f>
        <v/>
      </c>
      <c r="BE35" s="32" t="str">
        <f>IFERROR(__xludf.DUMMYFUNCTION("IFNA(SUM(FILTER('38 серия'!$B$6:$C$15,'38 серия'!$B$6:$B$15=C35)), )"),"")</f>
        <v/>
      </c>
      <c r="BF35" s="32" t="str">
        <f>IFERROR(__xludf.DUMMYFUNCTION("IFNA(SUM(FILTER('39 серия'!$B$6:$C$15,'39 серия'!$B$6:$B$15=C35)), )"),"")</f>
        <v/>
      </c>
      <c r="BG35" s="32" t="str">
        <f>IFERROR(__xludf.DUMMYFUNCTION("IFNA(SUM(FILTER('40 серия'!$B$6:$C$15,'40 серия'!$B$6:$B$15=C35)), )"),"")</f>
        <v/>
      </c>
      <c r="BH35" s="32" t="str">
        <f>IFERROR(__xludf.DUMMYFUNCTION("IFNA(SUM(FILTER('41 серия'!$B$6:$C$15,'41 серия'!$B$6:$B$15=C35)), )"),"")</f>
        <v/>
      </c>
      <c r="BI35" s="32" t="str">
        <f>IFERROR(__xludf.DUMMYFUNCTION("IFNA(SUM(FILTER('42 серия'!$B$6:$C$15,'42 серия'!$B$6:$B$15=C35)), )"),"")</f>
        <v/>
      </c>
      <c r="BJ35" s="32" t="str">
        <f>IFERROR(__xludf.DUMMYFUNCTION("IFNA(SUM(FILTER('43 серия'!$B$6:$C$15,'43 серия'!$B$6:$B$15=C35)), )"),"")</f>
        <v/>
      </c>
      <c r="BK35" s="32" t="str">
        <f>IFERROR(__xludf.DUMMYFUNCTION("IFNA(SUM(FILTER('44 серия'!$B$6:$C$15,'44 серия'!$B$6:$B$15=C35)), )"),"")</f>
        <v/>
      </c>
      <c r="BL35" s="32" t="str">
        <f>IFERROR(__xludf.DUMMYFUNCTION("IFNA(SUM(FILTER('45 серия'!$B$6:$C$15,'45 серия'!$B$6:$B$15=C35)), )"),"")</f>
        <v/>
      </c>
      <c r="BM35" s="32" t="str">
        <f>IFERROR(__xludf.DUMMYFUNCTION("IFNA(SUM(FILTER('46 серия'!$B$6:$C$15,'46 серия'!$B$6:$B$15=C35)), )"),"")</f>
        <v/>
      </c>
      <c r="BN35" s="32" t="str">
        <f>IFERROR(__xludf.DUMMYFUNCTION("IFNA(SUM(FILTER('47 серия'!$B$6:$C$15,'47 серия'!$B$6:$B$15=C35)), )"),"")</f>
        <v/>
      </c>
      <c r="BO35" s="42">
        <f>IFERROR(__xludf.DUMMYFUNCTION("IFNA(SUM(FILTER('48 серия'!$B$6:$C$15,'48 серия'!$B$6:$B$15=$C35)), )"),22.5)</f>
        <v>22.5</v>
      </c>
      <c r="BP35" s="43">
        <f>IFERROR(__xludf.DUMMYFUNCTION("IFNA(SUM(FILTER('49 серия'!$B$6:$C$15,'49 серия'!$B$6:$B$15=$C35)), )"),23.75)</f>
        <v>23.75</v>
      </c>
      <c r="BQ35" s="43">
        <f>IFERROR(__xludf.DUMMYFUNCTION("IFNA(SUM(FILTER('50 серия'!$B$6:$C$15,'50 серия'!$B$6:$B$15=$C35)), )"),15.0)</f>
        <v>15</v>
      </c>
      <c r="BR35" s="43">
        <f>IFERROR(__xludf.DUMMYFUNCTION("IFNA(SUM(FILTER('51 серия'!$B$6:$C$15,'51 серия'!$B$6:$B$15=$C35)), )"),21.5)</f>
        <v>21.5</v>
      </c>
      <c r="BS35" s="49" t="str">
        <f>IFERROR(__xludf.DUMMYFUNCTION("IFNA(SUM(FILTER('52 серия'!$B$6:$C$15,'52 серия'!$B$6:$B$15=C35)), )"),"")</f>
        <v/>
      </c>
      <c r="BT35" s="32" t="str">
        <f>IFERROR(__xludf.DUMMYFUNCTION("IFNA(SUM(FILTER('53 серия'!$B$6:$C$15,'53 серия'!$B$6:$B$15=$C35)), )"),"")</f>
        <v/>
      </c>
      <c r="BU35" s="32" t="str">
        <f>IFERROR(__xludf.DUMMYFUNCTION("IFNA(SUM(FILTER('54 серия'!$B$6:$C$15,'54 серия'!$B$6:$B$15=$C35)), )"),"")</f>
        <v/>
      </c>
      <c r="BV35" s="32" t="str">
        <f>IFERROR(__xludf.DUMMYFUNCTION("IFNA(SUM(FILTER('55 серия'!$B$6:$C$15,'55 серия'!$B$6:$B$15=$C35)), )"),"")</f>
        <v/>
      </c>
      <c r="BW35" s="32" t="str">
        <f>IFERROR(__xludf.DUMMYFUNCTION("IFNA(SUM(FILTER('56 серия'!$B$6:$C$15,'56 серия'!$B$6:$B$15=$C35)), )"),"")</f>
        <v/>
      </c>
      <c r="BX35" s="32" t="str">
        <f>IFERROR(__xludf.DUMMYFUNCTION("IFNA(SUM(FILTER('57 серия'!$B$6:$C$15,'57 серия'!$B$6:$B$15=$C35)), )"),"")</f>
        <v/>
      </c>
      <c r="BY35" s="32" t="str">
        <f>IFERROR(__xludf.DUMMYFUNCTION("IFNA(SUM(FILTER('58 серия'!$B$6:$C$15,'58 серия'!$B$6:$B$15=$C35)), )"),"")</f>
        <v/>
      </c>
      <c r="BZ35" s="46" t="str">
        <f>IFERROR(__xludf.DUMMYFUNCTION("IFNA(SUM(FILTER('59 серия'!$B$6:$C$15,'59 серия'!$B$6:$B$15=C35)), )"),"")</f>
        <v/>
      </c>
      <c r="CA35" s="44" t="str">
        <f>IFERROR(__xludf.DUMMYFUNCTION("IFNA(SUM(FILTER('60 серия'!$B$6:$C$15,'60 серия'!$B$6:$B$15=$C35)), )"),"")</f>
        <v/>
      </c>
      <c r="CB35" s="4"/>
    </row>
    <row r="36">
      <c r="A36" s="10"/>
      <c r="B36" s="27">
        <f t="shared" si="1"/>
        <v>30</v>
      </c>
      <c r="C36" s="45" t="s">
        <v>108</v>
      </c>
      <c r="D36" s="29">
        <f>'Игроки статистика'!B34</f>
        <v>50</v>
      </c>
      <c r="E36" s="30">
        <f t="shared" si="2"/>
        <v>208.5</v>
      </c>
      <c r="F36" s="31">
        <f t="shared" si="3"/>
        <v>20.85</v>
      </c>
      <c r="G36" s="46">
        <f t="shared" si="4"/>
        <v>2.92</v>
      </c>
      <c r="H36" s="46">
        <f>SUMIFS('Все игры'!C$3:C1011,'Все игры'!A$3:A1011,C36)</f>
        <v>62.5</v>
      </c>
      <c r="I36" s="46">
        <f t="shared" si="5"/>
        <v>140.5</v>
      </c>
      <c r="J36" s="47">
        <f>SUMIFS('Все игры'!F$3:F1011,'Все игры'!A$3:A1011,C36)</f>
        <v>1.5</v>
      </c>
      <c r="K36" s="48">
        <f>SUMIFS('Все игры'!G$3:G1011,'Все игры'!A$3:A1011,C36)</f>
        <v>4</v>
      </c>
      <c r="L36" s="35">
        <f>'Игроки статистика'!G34</f>
        <v>7</v>
      </c>
      <c r="M36" s="36">
        <f t="shared" si="6"/>
        <v>25</v>
      </c>
      <c r="N36" s="36">
        <f>SUM('Игроки статистика'!O34,'Игроки статистика'!Q34)</f>
        <v>4</v>
      </c>
      <c r="O36" s="37">
        <f>SUM('Игроки статистика'!P34,'Игроки статистика'!R34)</f>
        <v>7</v>
      </c>
      <c r="P36" s="38" t="str">
        <f>IFERROR(__xludf.DUMMYFUNCTION("IFNA(SUM(FILTER('Штрафы'!$D$5:$D1011,'Штрафы'!$C$5:$C1011=C36)), )"),"")</f>
        <v/>
      </c>
      <c r="Q36" s="38" t="str">
        <f>IFERROR(__xludf.DUMMYFUNCTION("IFNA(SUM(FILTER('Штрафы'!$F$5:$F1011,'Штрафы'!$C$5:$C1011=C36)), )"),"")</f>
        <v/>
      </c>
      <c r="R36" s="39"/>
      <c r="S36" s="40"/>
      <c r="T36" s="31" t="str">
        <f>IFERROR(__xludf.DUMMYFUNCTION("IFNA(SUM(FILTER('1 серия'!$B$6:$C$15,'1 серия'!$B$6:$B$15=C36)), )"),"")</f>
        <v/>
      </c>
      <c r="U36" s="32" t="str">
        <f>IFERROR(__xludf.DUMMYFUNCTION("IFNA(SUM(FILTER('2 серия'!$B$6:$C$15,'2 серия'!$B$6:$B$15=C36)), )
"),"")</f>
        <v/>
      </c>
      <c r="V36" s="32" t="str">
        <f>IFERROR(__xludf.DUMMYFUNCTION("IFNA(SUM(FILTER('3 серия'!$B$6:$C$15,'3 серия'!$B$6:$B$15=C36)), )
"),"")</f>
        <v/>
      </c>
      <c r="W36" s="32" t="str">
        <f>IFERROR(__xludf.DUMMYFUNCTION("IFNA(SUM(FILTER('4 серия'!$B$6:$C$15,'4 серия'!$B$6:$B$15=C36)), )"),"")</f>
        <v/>
      </c>
      <c r="X36" s="32">
        <f>IFERROR(__xludf.DUMMYFUNCTION("IFNA(SUM(FILTER('5 серия'!$B$6:$C$15,'5 серия'!$B$6:$B$15=C36)), )"),15.25)</f>
        <v>15.25</v>
      </c>
      <c r="Y36" s="32">
        <f>IFERROR(__xludf.DUMMYFUNCTION("IFNA(SUM(FILTER('6 серия'!$B$6:$C$15,'6 серия'!$B$6:$B$15=C36)), )"),19.0)</f>
        <v>19</v>
      </c>
      <c r="Z36" s="32" t="str">
        <f>IFERROR(__xludf.DUMMYFUNCTION("IFNA(SUM(FILTER('7 серия'!$B$6:$C$15,'7 серия'!$B$6:$B$15=C36)), )"),"")</f>
        <v/>
      </c>
      <c r="AA36" s="32" t="str">
        <f>IFERROR(__xludf.DUMMYFUNCTION("IFNA(SUM(FILTER('8 серия'!$B$6:$C$15,'8 серия'!$B$6:$B$15=C36)), )"),"")</f>
        <v/>
      </c>
      <c r="AB36" s="32" t="str">
        <f>IFERROR(__xludf.DUMMYFUNCTION("IFNA(SUM(FILTER('9 серия'!$B$7:$C$16,'9 серия'!$B$7:$B$16=C36)), )"),"")</f>
        <v/>
      </c>
      <c r="AC36" s="32" t="str">
        <f>IFERROR(__xludf.DUMMYFUNCTION("IFNA(SUM(FILTER('10 серия'!$B$6:$C$15,'10 серия'!$B$6:$B$15=C36)), )"),"")</f>
        <v/>
      </c>
      <c r="AD36" s="32" t="str">
        <f>IFERROR(__xludf.DUMMYFUNCTION("IFNA(SUM(FILTER('11 серия'!$B$6:$C$15,'11 серия'!$B$6:$B$15=C36)), )"),"")</f>
        <v/>
      </c>
      <c r="AE36" s="32" t="str">
        <f>IFERROR(__xludf.DUMMYFUNCTION("IFNA(SUM(FILTER('12 серия'!$B$6:$C$15,'12 серия'!$B$6:$B$15=C36)), )"),"")</f>
        <v/>
      </c>
      <c r="AF36" s="32" t="str">
        <f>IFERROR(__xludf.DUMMYFUNCTION("IFNA(SUM(FILTER('13 серия'!$B$6:$C$15,'13 серия'!$B$6:$B$15=C36)), )"),"")</f>
        <v/>
      </c>
      <c r="AG36" s="32" t="str">
        <f>IFERROR(__xludf.DUMMYFUNCTION("IFNA(SUM(FILTER('14 серия'!$B$6:$C$15,'14 серия'!$B$6:$B$15=C36)), )"),"")</f>
        <v/>
      </c>
      <c r="AH36" s="32" t="str">
        <f>IFERROR(__xludf.DUMMYFUNCTION("IFNA(SUM(FILTER('15 серия'!$B$6:$C$15,'15 серия'!$B$6:$B$15=C36)), )"),"")</f>
        <v/>
      </c>
      <c r="AI36" s="32" t="str">
        <f>IFERROR(__xludf.DUMMYFUNCTION("IFNA(SUM(FILTER('16 серия'!$B$6:$C$15,'16 серия'!$B$6:$B$15=C36)), )"),"")</f>
        <v/>
      </c>
      <c r="AJ36" s="32">
        <f>IFERROR(__xludf.DUMMYFUNCTION("IFNA(SUM(FILTER('17 серия'!$B$6:$C$15,'17 серия'!$B$6:$B$15=C36)), )"),18.5)</f>
        <v>18.5</v>
      </c>
      <c r="AK36" s="32">
        <f>IFERROR(__xludf.DUMMYFUNCTION("IFNA(SUM(FILTER('18 серия'!$B$6:$C$15,'18 серия'!$B$6:$B$15=C36)), )"),26.5)</f>
        <v>26.5</v>
      </c>
      <c r="AL36" s="32">
        <f>IFERROR(__xludf.DUMMYFUNCTION("IFNA(SUM(FILTER('19 серия'!$B$6:$C$15,'19 серия'!$B$6:$B$15=C36)), )"),21.25)</f>
        <v>21.25</v>
      </c>
      <c r="AM36" s="32" t="str">
        <f>IFERROR(__xludf.DUMMYFUNCTION("IFNA(SUM(FILTER('20 серия'!$B$6:$C$15,'20 серия'!$B$6:$B$15=C36)), )"),"")</f>
        <v/>
      </c>
      <c r="AN36" s="32" t="str">
        <f>IFERROR(__xludf.DUMMYFUNCTION("IFNA(SUM(FILTER('21 серия'!$B$6:$C$15,'21 серия'!$B$6:$B$15=C36)), )"),"")</f>
        <v/>
      </c>
      <c r="AO36" s="32" t="str">
        <f>IFERROR(__xludf.DUMMYFUNCTION("IFNA(SUM(FILTER('22 серия'!$B$6:$C$15,'22 серия'!$B$6:$B$15=C36)), )"),"")</f>
        <v/>
      </c>
      <c r="AP36" s="32" t="str">
        <f>IFERROR(__xludf.DUMMYFUNCTION("IFNA(SUM(FILTER('23 серия'!$B$6:$C$15,'23 серия'!$B$6:$B$15=C36)), )"),"")</f>
        <v/>
      </c>
      <c r="AQ36" s="32" t="str">
        <f>IFERROR(__xludf.DUMMYFUNCTION("IFNA(SUM(FILTER('24 серия'!$B$6:$C$15,'24 серия'!$B$6:$B$15=C36)), )"),"")</f>
        <v/>
      </c>
      <c r="AR36" s="32" t="str">
        <f>IFERROR(__xludf.DUMMYFUNCTION("IFNA(SUM(FILTER('25 серия'!$B$6:$C$15,'25 серия'!$B$6:$B$15=C36)), )"),"")</f>
        <v/>
      </c>
      <c r="AS36" s="32" t="str">
        <f>IFERROR(__xludf.DUMMYFUNCTION("IFNA(SUM(FILTER('26 серия'!$B$6:$C$15,'26 серия'!$B$6:$B$15=C36)), )"),"")</f>
        <v/>
      </c>
      <c r="AT36" s="32" t="str">
        <f>IFERROR(__xludf.DUMMYFUNCTION("IFNA(SUM(FILTER('27 серия'!$B$6:$C$15,'27 серия'!$B$6:$B$15=C36)), )"),"")</f>
        <v/>
      </c>
      <c r="AU36" s="32" t="str">
        <f>IFERROR(__xludf.DUMMYFUNCTION("IFNA(SUM(FILTER('28 серия'!$B$6:$C$15,'28 серия'!$B$6:$B$15=C36)), )"),"")</f>
        <v/>
      </c>
      <c r="AV36" s="32" t="str">
        <f>IFERROR(__xludf.DUMMYFUNCTION("IFNA(SUM(FILTER('29 серия'!$B$6:$C$15,'29 серия'!$B$6:$B$15=C36)), )"),"")</f>
        <v/>
      </c>
      <c r="AW36" s="32" t="str">
        <f>IFERROR(__xludf.DUMMYFUNCTION("IFNA(SUM(FILTER('30 серия'!$B$6:$C$15,'30 серия'!$B$6:$B$15=C36)), )"),"")</f>
        <v/>
      </c>
      <c r="AX36" s="32" t="str">
        <f>IFERROR(__xludf.DUMMYFUNCTION("IFNA(SUM(FILTER('31 серия'!$B$6:$C$15,'31 серия'!$B$6:$B$15=C36)), )"),"")</f>
        <v/>
      </c>
      <c r="AY36" s="32" t="str">
        <f>IFERROR(__xludf.DUMMYFUNCTION("IFNA(SUM(FILTER('32 серия'!$B$6:$C$15,'32 серия'!$B$6:$B$15=C36)), )"),"")</f>
        <v/>
      </c>
      <c r="AZ36" s="32" t="str">
        <f>IFERROR(__xludf.DUMMYFUNCTION("IFNA(SUM(FILTER('33 серия'!$B$6:$C$15,'33 серия'!$B$6:$B$15=C36)), )"),"")</f>
        <v/>
      </c>
      <c r="BA36" s="32" t="str">
        <f>IFERROR(__xludf.DUMMYFUNCTION("IFNA(SUM(FILTER('34 серия'!$B$6:$C$15,'34 серия'!$B$6:$B$15=C36)), )"),"")</f>
        <v/>
      </c>
      <c r="BB36" s="32" t="str">
        <f>IFERROR(__xludf.DUMMYFUNCTION("IFNA(SUM(FILTER('35 серия'!$B$6:$C$15,'35 серия'!$B$6:$B$15=C36)), )"),"")</f>
        <v/>
      </c>
      <c r="BC36" s="32" t="str">
        <f>IFERROR(__xludf.DUMMYFUNCTION("IFNA(SUM(FILTER('36 серия'!$B$6:$C$15,'36 серия'!$B$6:$B$15=C36)), )"),"")</f>
        <v/>
      </c>
      <c r="BD36" s="32" t="str">
        <f>IFERROR(__xludf.DUMMYFUNCTION("IFNA(SUM(FILTER('37 серия'!$B$6:$C$15,'37 серия'!$B$6:$B$15=C36)), )"),"")</f>
        <v/>
      </c>
      <c r="BE36" s="32" t="str">
        <f>IFERROR(__xludf.DUMMYFUNCTION("IFNA(SUM(FILTER('38 серия'!$B$6:$C$15,'38 серия'!$B$6:$B$15=C36)), )"),"")</f>
        <v/>
      </c>
      <c r="BF36" s="32" t="str">
        <f>IFERROR(__xludf.DUMMYFUNCTION("IFNA(SUM(FILTER('39 серия'!$B$6:$C$15,'39 серия'!$B$6:$B$15=C36)), )"),"")</f>
        <v/>
      </c>
      <c r="BG36" s="32" t="str">
        <f>IFERROR(__xludf.DUMMYFUNCTION("IFNA(SUM(FILTER('40 серия'!$B$6:$C$15,'40 серия'!$B$6:$B$15=C36)), )"),"")</f>
        <v/>
      </c>
      <c r="BH36" s="32" t="str">
        <f>IFERROR(__xludf.DUMMYFUNCTION("IFNA(SUM(FILTER('41 серия'!$B$6:$C$15,'41 серия'!$B$6:$B$15=C36)), )"),"")</f>
        <v/>
      </c>
      <c r="BI36" s="32" t="str">
        <f>IFERROR(__xludf.DUMMYFUNCTION("IFNA(SUM(FILTER('42 серия'!$B$6:$C$15,'42 серия'!$B$6:$B$15=C36)), )"),"")</f>
        <v/>
      </c>
      <c r="BJ36" s="32">
        <f>IFERROR(__xludf.DUMMYFUNCTION("IFNA(SUM(FILTER('43 серия'!$B$6:$C$15,'43 серия'!$B$6:$B$15=C36)), )"),21.25)</f>
        <v>21.25</v>
      </c>
      <c r="BK36" s="32">
        <f>IFERROR(__xludf.DUMMYFUNCTION("IFNA(SUM(FILTER('44 серия'!$B$6:$C$15,'44 серия'!$B$6:$B$15=C36)), )"),21.5)</f>
        <v>21.5</v>
      </c>
      <c r="BL36" s="32">
        <f>IFERROR(__xludf.DUMMYFUNCTION("IFNA(SUM(FILTER('45 серия'!$B$6:$C$15,'45 серия'!$B$6:$B$15=C36)), )"),21.25)</f>
        <v>21.25</v>
      </c>
      <c r="BM36" s="32">
        <f>IFERROR(__xludf.DUMMYFUNCTION("IFNA(SUM(FILTER('46 серия'!$B$6:$C$15,'46 серия'!$B$6:$B$15=C36)), )"),20.5)</f>
        <v>20.5</v>
      </c>
      <c r="BN36" s="32">
        <f>IFERROR(__xludf.DUMMYFUNCTION("IFNA(SUM(FILTER('47 серия'!$B$6:$C$15,'47 серия'!$B$6:$B$15=C36)), )"),23.5)</f>
        <v>23.5</v>
      </c>
      <c r="BO36" s="42" t="str">
        <f>IFERROR(__xludf.DUMMYFUNCTION("IFNA(SUM(FILTER('48 серия'!$B$6:$C$15,'48 серия'!$B$6:$B$15=$C36)), )"),"")</f>
        <v/>
      </c>
      <c r="BP36" s="43" t="str">
        <f>IFERROR(__xludf.DUMMYFUNCTION("IFNA(SUM(FILTER('49 серия'!$B$6:$C$15,'49 серия'!$B$6:$B$15=$C36)), )"),"")</f>
        <v/>
      </c>
      <c r="BQ36" s="43" t="str">
        <f>IFERROR(__xludf.DUMMYFUNCTION("IFNA(SUM(FILTER('50 серия'!$B$6:$C$15,'50 серия'!$B$6:$B$15=$C36)), )"),"")</f>
        <v/>
      </c>
      <c r="BR36" s="43" t="str">
        <f>IFERROR(__xludf.DUMMYFUNCTION("IFNA(SUM(FILTER('51 серия'!$B$6:$C$15,'51 серия'!$B$6:$B$15=$C36)), )"),"")</f>
        <v/>
      </c>
      <c r="BS36" s="49" t="str">
        <f>IFERROR(__xludf.DUMMYFUNCTION("IFNA(SUM(FILTER('52 серия'!$B$6:$C$15,'52 серия'!$B$6:$B$15=C36)), )"),"")</f>
        <v/>
      </c>
      <c r="BT36" s="32" t="str">
        <f>IFERROR(__xludf.DUMMYFUNCTION("IFNA(SUM(FILTER('53 серия'!$B$6:$C$15,'53 серия'!$B$6:$B$15=$C36)), )"),"")</f>
        <v/>
      </c>
      <c r="BU36" s="32" t="str">
        <f>IFERROR(__xludf.DUMMYFUNCTION("IFNA(SUM(FILTER('54 серия'!$B$6:$C$15,'54 серия'!$B$6:$B$15=$C36)), )"),"")</f>
        <v/>
      </c>
      <c r="BV36" s="32" t="str">
        <f>IFERROR(__xludf.DUMMYFUNCTION("IFNA(SUM(FILTER('55 серия'!$B$6:$C$15,'55 серия'!$B$6:$B$15=$C36)), )"),"")</f>
        <v/>
      </c>
      <c r="BW36" s="32" t="str">
        <f>IFERROR(__xludf.DUMMYFUNCTION("IFNA(SUM(FILTER('56 серия'!$B$6:$C$15,'56 серия'!$B$6:$B$15=$C36)), )"),"")</f>
        <v/>
      </c>
      <c r="BX36" s="32" t="str">
        <f>IFERROR(__xludf.DUMMYFUNCTION("IFNA(SUM(FILTER('57 серия'!$B$6:$C$15,'57 серия'!$B$6:$B$15=$C36)), )"),"")</f>
        <v/>
      </c>
      <c r="BY36" s="32" t="str">
        <f>IFERROR(__xludf.DUMMYFUNCTION("IFNA(SUM(FILTER('58 серия'!$B$6:$C$15,'58 серия'!$B$6:$B$15=$C36)), )"),"")</f>
        <v/>
      </c>
      <c r="BZ36" s="46" t="str">
        <f>IFERROR(__xludf.DUMMYFUNCTION("IFNA(SUM(FILTER('59 серия'!$B$6:$C$15,'59 серия'!$B$6:$B$15=C36)), )"),"")</f>
        <v/>
      </c>
      <c r="CA36" s="44" t="str">
        <f>IFERROR(__xludf.DUMMYFUNCTION("IFNA(SUM(FILTER('60 серия'!$B$6:$C$15,'60 серия'!$B$6:$B$15=$C36)), )"),"")</f>
        <v/>
      </c>
      <c r="CB36" s="4"/>
    </row>
    <row r="37">
      <c r="A37" s="10"/>
      <c r="B37" s="27">
        <f t="shared" si="1"/>
        <v>31</v>
      </c>
      <c r="C37" s="45" t="s">
        <v>109</v>
      </c>
      <c r="D37" s="29">
        <f>'Игроки статистика'!B35</f>
        <v>50</v>
      </c>
      <c r="E37" s="30">
        <f t="shared" si="2"/>
        <v>189.75</v>
      </c>
      <c r="F37" s="31">
        <f t="shared" si="3"/>
        <v>18.975</v>
      </c>
      <c r="G37" s="46">
        <f t="shared" si="4"/>
        <v>2.745</v>
      </c>
      <c r="H37" s="46">
        <f>SUMIFS('Все игры'!C$3:C1011,'Все игры'!A$3:A1011,C37)</f>
        <v>52.5</v>
      </c>
      <c r="I37" s="46">
        <f t="shared" si="5"/>
        <v>135.75</v>
      </c>
      <c r="J37" s="47">
        <f>SUMIFS('Все игры'!F$3:F1011,'Все игры'!A$3:A1011,C37)</f>
        <v>0</v>
      </c>
      <c r="K37" s="48">
        <f>SUMIFS('Все игры'!G$3:G1011,'Все игры'!A$3:A1011,C37)</f>
        <v>1.5</v>
      </c>
      <c r="L37" s="35">
        <f>'Игроки статистика'!G35</f>
        <v>3</v>
      </c>
      <c r="M37" s="36">
        <f t="shared" si="6"/>
        <v>21</v>
      </c>
      <c r="N37" s="36">
        <f>SUM('Игроки статистика'!O35,'Игроки статистика'!Q35)</f>
        <v>0</v>
      </c>
      <c r="O37" s="37">
        <f>SUM('Игроки статистика'!P35,'Игроки статистика'!R35)</f>
        <v>5</v>
      </c>
      <c r="P37" s="38" t="str">
        <f>IFERROR(__xludf.DUMMYFUNCTION("IFNA(SUM(FILTER('Штрафы'!$D$5:$D1011,'Штрафы'!$C$5:$C1011=C37)), )"),"")</f>
        <v/>
      </c>
      <c r="Q37" s="38" t="str">
        <f>IFERROR(__xludf.DUMMYFUNCTION("IFNA(SUM(FILTER('Штрафы'!$F$5:$F1011,'Штрафы'!$C$5:$C1011=C37)), )"),"")</f>
        <v/>
      </c>
      <c r="R37" s="39"/>
      <c r="S37" s="40"/>
      <c r="T37" s="31" t="str">
        <f>IFERROR(__xludf.DUMMYFUNCTION("IFNA(SUM(FILTER('1 серия'!$B$6:$C$15,'1 серия'!$B$6:$B$15=C37)), )"),"")</f>
        <v/>
      </c>
      <c r="U37" s="32" t="str">
        <f>IFERROR(__xludf.DUMMYFUNCTION("IFNA(SUM(FILTER('2 серия'!$B$6:$C$15,'2 серия'!$B$6:$B$15=C37)), )
"),"")</f>
        <v/>
      </c>
      <c r="V37" s="32" t="str">
        <f>IFERROR(__xludf.DUMMYFUNCTION("IFNA(SUM(FILTER('3 серия'!$B$6:$C$15,'3 серия'!$B$6:$B$15=C37)), )
"),"")</f>
        <v/>
      </c>
      <c r="W37" s="32" t="str">
        <f>IFERROR(__xludf.DUMMYFUNCTION("IFNA(SUM(FILTER('4 серия'!$B$6:$C$15,'4 серия'!$B$6:$B$15=C37)), )"),"")</f>
        <v/>
      </c>
      <c r="X37" s="32" t="str">
        <f>IFERROR(__xludf.DUMMYFUNCTION("IFNA(SUM(FILTER('5 серия'!$B$6:$C$15,'5 серия'!$B$6:$B$15=C37)), )"),"")</f>
        <v/>
      </c>
      <c r="Y37" s="32" t="str">
        <f>IFERROR(__xludf.DUMMYFUNCTION("IFNA(SUM(FILTER('6 серия'!$B$6:$C$15,'6 серия'!$B$6:$B$15=C37)), )"),"")</f>
        <v/>
      </c>
      <c r="Z37" s="32" t="str">
        <f>IFERROR(__xludf.DUMMYFUNCTION("IFNA(SUM(FILTER('7 серия'!$B$6:$C$15,'7 серия'!$B$6:$B$15=C37)), )"),"")</f>
        <v/>
      </c>
      <c r="AA37" s="32" t="str">
        <f>IFERROR(__xludf.DUMMYFUNCTION("IFNA(SUM(FILTER('8 серия'!$B$6:$C$15,'8 серия'!$B$6:$B$15=C37)), )"),"")</f>
        <v/>
      </c>
      <c r="AB37" s="32" t="str">
        <f>IFERROR(__xludf.DUMMYFUNCTION("IFNA(SUM(FILTER('9 серия'!$B$7:$C$16,'9 серия'!$B$7:$B$16=C37)), )"),"")</f>
        <v/>
      </c>
      <c r="AC37" s="32" t="str">
        <f>IFERROR(__xludf.DUMMYFUNCTION("IFNA(SUM(FILTER('10 серия'!$B$6:$C$15,'10 серия'!$B$6:$B$15=C37)), )"),"")</f>
        <v/>
      </c>
      <c r="AD37" s="32" t="str">
        <f>IFERROR(__xludf.DUMMYFUNCTION("IFNA(SUM(FILTER('11 серия'!$B$6:$C$15,'11 серия'!$B$6:$B$15=C37)), )"),"")</f>
        <v/>
      </c>
      <c r="AE37" s="32" t="str">
        <f>IFERROR(__xludf.DUMMYFUNCTION("IFNA(SUM(FILTER('12 серия'!$B$6:$C$15,'12 серия'!$B$6:$B$15=C37)), )"),"")</f>
        <v/>
      </c>
      <c r="AF37" s="32" t="str">
        <f>IFERROR(__xludf.DUMMYFUNCTION("IFNA(SUM(FILTER('13 серия'!$B$6:$C$15,'13 серия'!$B$6:$B$15=C37)), )"),"")</f>
        <v/>
      </c>
      <c r="AG37" s="32" t="str">
        <f>IFERROR(__xludf.DUMMYFUNCTION("IFNA(SUM(FILTER('14 серия'!$B$6:$C$15,'14 серия'!$B$6:$B$15=C37)), )"),"")</f>
        <v/>
      </c>
      <c r="AH37" s="32" t="str">
        <f>IFERROR(__xludf.DUMMYFUNCTION("IFNA(SUM(FILTER('15 серия'!$B$6:$C$15,'15 серия'!$B$6:$B$15=C37)), )"),"")</f>
        <v/>
      </c>
      <c r="AI37" s="32" t="str">
        <f>IFERROR(__xludf.DUMMYFUNCTION("IFNA(SUM(FILTER('16 серия'!$B$6:$C$15,'16 серия'!$B$6:$B$15=C37)), )"),"")</f>
        <v/>
      </c>
      <c r="AJ37" s="32" t="str">
        <f>IFERROR(__xludf.DUMMYFUNCTION("IFNA(SUM(FILTER('17 серия'!$B$6:$C$15,'17 серия'!$B$6:$B$15=C37)), )"),"")</f>
        <v/>
      </c>
      <c r="AK37" s="32" t="str">
        <f>IFERROR(__xludf.DUMMYFUNCTION("IFNA(SUM(FILTER('18 серия'!$B$6:$C$15,'18 серия'!$B$6:$B$15=C37)), )"),"")</f>
        <v/>
      </c>
      <c r="AL37" s="32" t="str">
        <f>IFERROR(__xludf.DUMMYFUNCTION("IFNA(SUM(FILTER('19 серия'!$B$6:$C$15,'19 серия'!$B$6:$B$15=C37)), )"),"")</f>
        <v/>
      </c>
      <c r="AM37" s="32" t="str">
        <f>IFERROR(__xludf.DUMMYFUNCTION("IFNA(SUM(FILTER('20 серия'!$B$6:$C$15,'20 серия'!$B$6:$B$15=C37)), )"),"")</f>
        <v/>
      </c>
      <c r="AN37" s="32">
        <f>IFERROR(__xludf.DUMMYFUNCTION("IFNA(SUM(FILTER('21 серия'!$B$6:$C$15,'21 серия'!$B$6:$B$15=C37)), )"),21.25)</f>
        <v>21.25</v>
      </c>
      <c r="AO37" s="32">
        <f>IFERROR(__xludf.DUMMYFUNCTION("IFNA(SUM(FILTER('22 серия'!$B$6:$C$15,'22 серия'!$B$6:$B$15=C37)), )"),21.25)</f>
        <v>21.25</v>
      </c>
      <c r="AP37" s="32" t="str">
        <f>IFERROR(__xludf.DUMMYFUNCTION("IFNA(SUM(FILTER('23 серия'!$B$6:$C$15,'23 серия'!$B$6:$B$15=C37)), )"),"")</f>
        <v/>
      </c>
      <c r="AQ37" s="32" t="str">
        <f>IFERROR(__xludf.DUMMYFUNCTION("IFNA(SUM(FILTER('24 серия'!$B$6:$C$15,'24 серия'!$B$6:$B$15=C37)), )"),"")</f>
        <v/>
      </c>
      <c r="AR37" s="32" t="str">
        <f>IFERROR(__xludf.DUMMYFUNCTION("IFNA(SUM(FILTER('25 серия'!$B$6:$C$15,'25 серия'!$B$6:$B$15=C37)), )"),"")</f>
        <v/>
      </c>
      <c r="AS37" s="32" t="str">
        <f>IFERROR(__xludf.DUMMYFUNCTION("IFNA(SUM(FILTER('26 серия'!$B$6:$C$15,'26 серия'!$B$6:$B$15=C37)), )"),"")</f>
        <v/>
      </c>
      <c r="AT37" s="32" t="str">
        <f>IFERROR(__xludf.DUMMYFUNCTION("IFNA(SUM(FILTER('27 серия'!$B$6:$C$15,'27 серия'!$B$6:$B$15=C37)), )"),"")</f>
        <v/>
      </c>
      <c r="AU37" s="32" t="str">
        <f>IFERROR(__xludf.DUMMYFUNCTION("IFNA(SUM(FILTER('28 серия'!$B$6:$C$15,'28 серия'!$B$6:$B$15=C37)), )"),"")</f>
        <v/>
      </c>
      <c r="AV37" s="32">
        <f>IFERROR(__xludf.DUMMYFUNCTION("IFNA(SUM(FILTER('29 серия'!$B$6:$C$15,'29 серия'!$B$6:$B$15=C37)), )"),14.0)</f>
        <v>14</v>
      </c>
      <c r="AW37" s="32">
        <f>IFERROR(__xludf.DUMMYFUNCTION("IFNA(SUM(FILTER('30 серия'!$B$6:$C$15,'30 серия'!$B$6:$B$15=C37)), )"),18.75)</f>
        <v>18.75</v>
      </c>
      <c r="AX37" s="32">
        <f>IFERROR(__xludf.DUMMYFUNCTION("IFNA(SUM(FILTER('31 серия'!$B$6:$C$15,'31 серия'!$B$6:$B$15=C37)), )"),12.0)</f>
        <v>12</v>
      </c>
      <c r="AY37" s="32">
        <f>IFERROR(__xludf.DUMMYFUNCTION("IFNA(SUM(FILTER('32 серия'!$B$6:$C$15,'32 серия'!$B$6:$B$15=C37)), )"),13.75)</f>
        <v>13.75</v>
      </c>
      <c r="AZ37" s="32" t="str">
        <f>IFERROR(__xludf.DUMMYFUNCTION("IFNA(SUM(FILTER('33 серия'!$B$6:$C$15,'33 серия'!$B$6:$B$15=C37)), )"),"")</f>
        <v/>
      </c>
      <c r="BA37" s="32" t="str">
        <f>IFERROR(__xludf.DUMMYFUNCTION("IFNA(SUM(FILTER('34 серия'!$B$6:$C$15,'34 серия'!$B$6:$B$15=C37)), )"),"")</f>
        <v/>
      </c>
      <c r="BB37" s="32" t="str">
        <f>IFERROR(__xludf.DUMMYFUNCTION("IFNA(SUM(FILTER('35 серия'!$B$6:$C$15,'35 серия'!$B$6:$B$15=C37)), )"),"")</f>
        <v/>
      </c>
      <c r="BC37" s="32" t="str">
        <f>IFERROR(__xludf.DUMMYFUNCTION("IFNA(SUM(FILTER('36 серия'!$B$6:$C$15,'36 серия'!$B$6:$B$15=C37)), )"),"")</f>
        <v/>
      </c>
      <c r="BD37" s="32" t="str">
        <f>IFERROR(__xludf.DUMMYFUNCTION("IFNA(SUM(FILTER('37 серия'!$B$6:$C$15,'37 серия'!$B$6:$B$15=C37)), )"),"")</f>
        <v/>
      </c>
      <c r="BE37" s="32">
        <f>IFERROR(__xludf.DUMMYFUNCTION("IFNA(SUM(FILTER('38 серия'!$B$6:$C$15,'38 серия'!$B$6:$B$15=C37)), )"),18.0)</f>
        <v>18</v>
      </c>
      <c r="BF37" s="32">
        <f>IFERROR(__xludf.DUMMYFUNCTION("IFNA(SUM(FILTER('39 серия'!$B$6:$C$15,'39 серия'!$B$6:$B$15=C37)), )"),26.5)</f>
        <v>26.5</v>
      </c>
      <c r="BG37" s="32">
        <f>IFERROR(__xludf.DUMMYFUNCTION("IFNA(SUM(FILTER('40 серия'!$B$6:$C$15,'40 серия'!$B$6:$B$15=C37)), )"),15.25)</f>
        <v>15.25</v>
      </c>
      <c r="BH37" s="32">
        <f>IFERROR(__xludf.DUMMYFUNCTION("IFNA(SUM(FILTER('41 серия'!$B$6:$C$15,'41 серия'!$B$6:$B$15=C37)), )"),29.0)</f>
        <v>29</v>
      </c>
      <c r="BI37" s="32" t="str">
        <f>IFERROR(__xludf.DUMMYFUNCTION("IFNA(SUM(FILTER('42 серия'!$B$6:$C$15,'42 серия'!$B$6:$B$15=C37)), )"),"")</f>
        <v/>
      </c>
      <c r="BJ37" s="32" t="str">
        <f>IFERROR(__xludf.DUMMYFUNCTION("IFNA(SUM(FILTER('43 серия'!$B$6:$C$15,'43 серия'!$B$6:$B$15=C37)), )"),"")</f>
        <v/>
      </c>
      <c r="BK37" s="32" t="str">
        <f>IFERROR(__xludf.DUMMYFUNCTION("IFNA(SUM(FILTER('44 серия'!$B$6:$C$15,'44 серия'!$B$6:$B$15=C37)), )"),"")</f>
        <v/>
      </c>
      <c r="BL37" s="32" t="str">
        <f>IFERROR(__xludf.DUMMYFUNCTION("IFNA(SUM(FILTER('45 серия'!$B$6:$C$15,'45 серия'!$B$6:$B$15=C37)), )"),"")</f>
        <v/>
      </c>
      <c r="BM37" s="32" t="str">
        <f>IFERROR(__xludf.DUMMYFUNCTION("IFNA(SUM(FILTER('46 серия'!$B$6:$C$15,'46 серия'!$B$6:$B$15=C37)), )"),"")</f>
        <v/>
      </c>
      <c r="BN37" s="32" t="str">
        <f>IFERROR(__xludf.DUMMYFUNCTION("IFNA(SUM(FILTER('47 серия'!$B$6:$C$15,'47 серия'!$B$6:$B$15=C37)), )"),"")</f>
        <v/>
      </c>
      <c r="BO37" s="42" t="str">
        <f>IFERROR(__xludf.DUMMYFUNCTION("IFNA(SUM(FILTER('48 серия'!$B$6:$C$15,'48 серия'!$B$6:$B$15=$C37)), )"),"")</f>
        <v/>
      </c>
      <c r="BP37" s="43" t="str">
        <f>IFERROR(__xludf.DUMMYFUNCTION("IFNA(SUM(FILTER('49 серия'!$B$6:$C$15,'49 серия'!$B$6:$B$15=$C37)), )"),"")</f>
        <v/>
      </c>
      <c r="BQ37" s="43" t="str">
        <f>IFERROR(__xludf.DUMMYFUNCTION("IFNA(SUM(FILTER('50 серия'!$B$6:$C$15,'50 серия'!$B$6:$B$15=$C37)), )"),"")</f>
        <v/>
      </c>
      <c r="BR37" s="43" t="str">
        <f>IFERROR(__xludf.DUMMYFUNCTION("IFNA(SUM(FILTER('51 серия'!$B$6:$C$15,'51 серия'!$B$6:$B$15=$C37)), )"),"")</f>
        <v/>
      </c>
      <c r="BS37" s="49" t="str">
        <f>IFERROR(__xludf.DUMMYFUNCTION("IFNA(SUM(FILTER('52 серия'!$B$6:$C$15,'52 серия'!$B$6:$B$15=C37)), )"),"")</f>
        <v/>
      </c>
      <c r="BT37" s="32" t="str">
        <f>IFERROR(__xludf.DUMMYFUNCTION("IFNA(SUM(FILTER('53 серия'!$B$6:$C$15,'53 серия'!$B$6:$B$15=$C37)), )"),"")</f>
        <v/>
      </c>
      <c r="BU37" s="32" t="str">
        <f>IFERROR(__xludf.DUMMYFUNCTION("IFNA(SUM(FILTER('54 серия'!$B$6:$C$15,'54 серия'!$B$6:$B$15=$C37)), )"),"")</f>
        <v/>
      </c>
      <c r="BV37" s="32" t="str">
        <f>IFERROR(__xludf.DUMMYFUNCTION("IFNA(SUM(FILTER('55 серия'!$B$6:$C$15,'55 серия'!$B$6:$B$15=$C37)), )"),"")</f>
        <v/>
      </c>
      <c r="BW37" s="32" t="str">
        <f>IFERROR(__xludf.DUMMYFUNCTION("IFNA(SUM(FILTER('56 серия'!$B$6:$C$15,'56 серия'!$B$6:$B$15=$C37)), )"),"")</f>
        <v/>
      </c>
      <c r="BX37" s="32" t="str">
        <f>IFERROR(__xludf.DUMMYFUNCTION("IFNA(SUM(FILTER('57 серия'!$B$6:$C$15,'57 серия'!$B$6:$B$15=$C37)), )"),"")</f>
        <v/>
      </c>
      <c r="BY37" s="32" t="str">
        <f>IFERROR(__xludf.DUMMYFUNCTION("IFNA(SUM(FILTER('58 серия'!$B$6:$C$15,'58 серия'!$B$6:$B$15=$C37)), )"),"")</f>
        <v/>
      </c>
      <c r="BZ37" s="46" t="str">
        <f>IFERROR(__xludf.DUMMYFUNCTION("IFNA(SUM(FILTER('59 серия'!$B$6:$C$15,'59 серия'!$B$6:$B$15=C37)), )"),"")</f>
        <v/>
      </c>
      <c r="CA37" s="44" t="str">
        <f>IFERROR(__xludf.DUMMYFUNCTION("IFNA(SUM(FILTER('60 серия'!$B$6:$C$15,'60 серия'!$B$6:$B$15=$C37)), )"),"")</f>
        <v/>
      </c>
      <c r="CB37" s="4"/>
    </row>
    <row r="38">
      <c r="A38" s="10"/>
      <c r="B38" s="27">
        <f t="shared" si="1"/>
        <v>32</v>
      </c>
      <c r="C38" s="28" t="s">
        <v>110</v>
      </c>
      <c r="D38" s="29">
        <f>'Игроки статистика'!B36</f>
        <v>50</v>
      </c>
      <c r="E38" s="30">
        <f t="shared" si="2"/>
        <v>212.75</v>
      </c>
      <c r="F38" s="31">
        <f t="shared" si="3"/>
        <v>21.275</v>
      </c>
      <c r="G38" s="46">
        <f t="shared" si="4"/>
        <v>2.855</v>
      </c>
      <c r="H38" s="46">
        <f>SUMIFS('Все игры'!C$3:C1011,'Все игры'!A$3:A1011,C38)</f>
        <v>70</v>
      </c>
      <c r="I38" s="46">
        <f t="shared" si="5"/>
        <v>140.25</v>
      </c>
      <c r="J38" s="47">
        <f>SUMIFS('Все игры'!F$3:F1011,'Все игры'!A$3:A1011,C38)</f>
        <v>0.5</v>
      </c>
      <c r="K38" s="48">
        <f>SUMIFS('Все игры'!G$3:G1011,'Все игры'!A$3:A1011,C38)</f>
        <v>2</v>
      </c>
      <c r="L38" s="35">
        <f>'Игроки статистика'!G36</f>
        <v>3</v>
      </c>
      <c r="M38" s="36">
        <f t="shared" si="6"/>
        <v>28</v>
      </c>
      <c r="N38" s="36">
        <f>SUM('Игроки статистика'!O36,'Игроки статистика'!Q36)</f>
        <v>6</v>
      </c>
      <c r="O38" s="37">
        <f>SUM('Игроки статистика'!P36,'Игроки статистика'!R36)</f>
        <v>5</v>
      </c>
      <c r="P38" s="38" t="str">
        <f>IFERROR(__xludf.DUMMYFUNCTION("IFNA(SUM(FILTER('Штрафы'!$D$5:$D1011,'Штрафы'!$C$5:$C1011=C38)), )"),"")</f>
        <v/>
      </c>
      <c r="Q38" s="38" t="str">
        <f>IFERROR(__xludf.DUMMYFUNCTION("IFNA(SUM(FILTER('Штрафы'!$F$5:$F1011,'Штрафы'!$C$5:$C1011=C38)), )"),"")</f>
        <v/>
      </c>
      <c r="R38" s="39"/>
      <c r="S38" s="50"/>
      <c r="T38" s="31" t="str">
        <f>IFERROR(__xludf.DUMMYFUNCTION("IFNA(SUM(FILTER('1 серия'!$B$6:$C$15,'1 серия'!$B$6:$B$15=C38)), )"),"")</f>
        <v/>
      </c>
      <c r="U38" s="32">
        <f>IFERROR(__xludf.DUMMYFUNCTION("IFNA(SUM(FILTER('2 серия'!$B$6:$C$15,'2 серия'!$B$6:$B$15=C38)), )
"),25.25)</f>
        <v>25.25</v>
      </c>
      <c r="V38" s="32" t="str">
        <f>IFERROR(__xludf.DUMMYFUNCTION("IFNA(SUM(FILTER('3 серия'!$B$6:$C$15,'3 серия'!$B$6:$B$15=C38)), )
"),"")</f>
        <v/>
      </c>
      <c r="W38" s="32" t="str">
        <f>IFERROR(__xludf.DUMMYFUNCTION("IFNA(SUM(FILTER('4 серия'!$B$6:$C$15,'4 серия'!$B$6:$B$15=C38)), )"),"")</f>
        <v/>
      </c>
      <c r="X38" s="32" t="str">
        <f>IFERROR(__xludf.DUMMYFUNCTION("IFNA(SUM(FILTER('5 серия'!$B$6:$C$15,'5 серия'!$B$6:$B$15=C38)), )"),"")</f>
        <v/>
      </c>
      <c r="Y38" s="32" t="str">
        <f>IFERROR(__xludf.DUMMYFUNCTION("IFNA(SUM(FILTER('6 серия'!$B$6:$C$15,'6 серия'!$B$6:$B$15=C38)), )"),"")</f>
        <v/>
      </c>
      <c r="Z38" s="32">
        <f>IFERROR(__xludf.DUMMYFUNCTION("IFNA(SUM(FILTER('7 серия'!$B$6:$C$15,'7 серия'!$B$6:$B$15=C38)), )"),18.75)</f>
        <v>18.75</v>
      </c>
      <c r="AA38" s="32" t="str">
        <f>IFERROR(__xludf.DUMMYFUNCTION("IFNA(SUM(FILTER('8 серия'!$B$6:$C$15,'8 серия'!$B$6:$B$15=C38)), )"),"")</f>
        <v/>
      </c>
      <c r="AB38" s="32" t="str">
        <f>IFERROR(__xludf.DUMMYFUNCTION("IFNA(SUM(FILTER('9 серия'!$B$7:$C$16,'9 серия'!$B$7:$B$16=C38)), )"),"")</f>
        <v/>
      </c>
      <c r="AC38" s="32" t="str">
        <f>IFERROR(__xludf.DUMMYFUNCTION("IFNA(SUM(FILTER('10 серия'!$B$6:$C$15,'10 серия'!$B$6:$B$15=C38)), )"),"")</f>
        <v/>
      </c>
      <c r="AD38" s="32" t="str">
        <f>IFERROR(__xludf.DUMMYFUNCTION("IFNA(SUM(FILTER('11 серия'!$B$6:$C$15,'11 серия'!$B$6:$B$15=C38)), )"),"")</f>
        <v/>
      </c>
      <c r="AE38" s="32" t="str">
        <f>IFERROR(__xludf.DUMMYFUNCTION("IFNA(SUM(FILTER('12 серия'!$B$6:$C$15,'12 серия'!$B$6:$B$15=C38)), )"),"")</f>
        <v/>
      </c>
      <c r="AF38" s="32">
        <f>IFERROR(__xludf.DUMMYFUNCTION("IFNA(SUM(FILTER('13 серия'!$B$6:$C$15,'13 серия'!$B$6:$B$15=C38)), )"),17.0)</f>
        <v>17</v>
      </c>
      <c r="AG38" s="32" t="str">
        <f>IFERROR(__xludf.DUMMYFUNCTION("IFNA(SUM(FILTER('14 серия'!$B$6:$C$15,'14 серия'!$B$6:$B$15=C38)), )"),"")</f>
        <v/>
      </c>
      <c r="AH38" s="32" t="str">
        <f>IFERROR(__xludf.DUMMYFUNCTION("IFNA(SUM(FILTER('15 серия'!$B$6:$C$15,'15 серия'!$B$6:$B$15=C38)), )"),"")</f>
        <v/>
      </c>
      <c r="AI38" s="32">
        <f>IFERROR(__xludf.DUMMYFUNCTION("IFNA(SUM(FILTER('16 серия'!$B$6:$C$15,'16 серия'!$B$6:$B$15=C38)), )"),25.0)</f>
        <v>25</v>
      </c>
      <c r="AJ38" s="32" t="str">
        <f>IFERROR(__xludf.DUMMYFUNCTION("IFNA(SUM(FILTER('17 серия'!$B$6:$C$15,'17 серия'!$B$6:$B$15=C38)), )"),"")</f>
        <v/>
      </c>
      <c r="AK38" s="32" t="str">
        <f>IFERROR(__xludf.DUMMYFUNCTION("IFNA(SUM(FILTER('18 серия'!$B$6:$C$15,'18 серия'!$B$6:$B$15=C38)), )"),"")</f>
        <v/>
      </c>
      <c r="AL38" s="32" t="str">
        <f>IFERROR(__xludf.DUMMYFUNCTION("IFNA(SUM(FILTER('19 серия'!$B$6:$C$15,'19 серия'!$B$6:$B$15=C38)), )"),"")</f>
        <v/>
      </c>
      <c r="AM38" s="32" t="str">
        <f>IFERROR(__xludf.DUMMYFUNCTION("IFNA(SUM(FILTER('20 серия'!$B$6:$C$15,'20 серия'!$B$6:$B$15=C38)), )"),"")</f>
        <v/>
      </c>
      <c r="AN38" s="32" t="str">
        <f>IFERROR(__xludf.DUMMYFUNCTION("IFNA(SUM(FILTER('21 серия'!$B$6:$C$15,'21 серия'!$B$6:$B$15=C38)), )"),"")</f>
        <v/>
      </c>
      <c r="AO38" s="32" t="str">
        <f>IFERROR(__xludf.DUMMYFUNCTION("IFNA(SUM(FILTER('22 серия'!$B$6:$C$15,'22 серия'!$B$6:$B$15=C38)), )"),"")</f>
        <v/>
      </c>
      <c r="AP38" s="32">
        <f>IFERROR(__xludf.DUMMYFUNCTION("IFNA(SUM(FILTER('23 серия'!$B$6:$C$15,'23 серия'!$B$6:$B$15=C38)), )"),15.0)</f>
        <v>15</v>
      </c>
      <c r="AQ38" s="32" t="str">
        <f>IFERROR(__xludf.DUMMYFUNCTION("IFNA(SUM(FILTER('24 серия'!$B$6:$C$15,'24 серия'!$B$6:$B$15=C38)), )"),"")</f>
        <v/>
      </c>
      <c r="AR38" s="32" t="str">
        <f>IFERROR(__xludf.DUMMYFUNCTION("IFNA(SUM(FILTER('25 серия'!$B$6:$C$15,'25 серия'!$B$6:$B$15=C38)), )"),"")</f>
        <v/>
      </c>
      <c r="AS38" s="32" t="str">
        <f>IFERROR(__xludf.DUMMYFUNCTION("IFNA(SUM(FILTER('26 серия'!$B$6:$C$15,'26 серия'!$B$6:$B$15=C38)), )"),"")</f>
        <v/>
      </c>
      <c r="AT38" s="32" t="str">
        <f>IFERROR(__xludf.DUMMYFUNCTION("IFNA(SUM(FILTER('27 серия'!$B$6:$C$15,'27 серия'!$B$6:$B$15=C38)), )"),"")</f>
        <v/>
      </c>
      <c r="AU38" s="32">
        <f>IFERROR(__xludf.DUMMYFUNCTION("IFNA(SUM(FILTER('28 серия'!$B$6:$C$15,'28 серия'!$B$6:$B$15=C38)), )"),24.25)</f>
        <v>24.25</v>
      </c>
      <c r="AV38" s="32" t="str">
        <f>IFERROR(__xludf.DUMMYFUNCTION("IFNA(SUM(FILTER('29 серия'!$B$6:$C$15,'29 серия'!$B$6:$B$15=C38)), )"),"")</f>
        <v/>
      </c>
      <c r="AW38" s="32" t="str">
        <f>IFERROR(__xludf.DUMMYFUNCTION("IFNA(SUM(FILTER('30 серия'!$B$6:$C$15,'30 серия'!$B$6:$B$15=C38)), )"),"")</f>
        <v/>
      </c>
      <c r="AX38" s="32" t="str">
        <f>IFERROR(__xludf.DUMMYFUNCTION("IFNA(SUM(FILTER('31 серия'!$B$6:$C$15,'31 серия'!$B$6:$B$15=C38)), )"),"")</f>
        <v/>
      </c>
      <c r="AY38" s="32" t="str">
        <f>IFERROR(__xludf.DUMMYFUNCTION("IFNA(SUM(FILTER('32 серия'!$B$6:$C$15,'32 серия'!$B$6:$B$15=C38)), )"),"")</f>
        <v/>
      </c>
      <c r="AZ38" s="32" t="str">
        <f>IFERROR(__xludf.DUMMYFUNCTION("IFNA(SUM(FILTER('33 серия'!$B$6:$C$15,'33 серия'!$B$6:$B$15=C38)), )"),"")</f>
        <v/>
      </c>
      <c r="BA38" s="32" t="str">
        <f>IFERROR(__xludf.DUMMYFUNCTION("IFNA(SUM(FILTER('34 серия'!$B$6:$C$15,'34 серия'!$B$6:$B$15=C38)), )"),"")</f>
        <v/>
      </c>
      <c r="BB38" s="32" t="str">
        <f>IFERROR(__xludf.DUMMYFUNCTION("IFNA(SUM(FILTER('35 серия'!$B$6:$C$15,'35 серия'!$B$6:$B$15=C38)), )"),"")</f>
        <v/>
      </c>
      <c r="BC38" s="32">
        <f>IFERROR(__xludf.DUMMYFUNCTION("IFNA(SUM(FILTER('36 серия'!$B$6:$C$15,'36 серия'!$B$6:$B$15=C38)), )"),24.0)</f>
        <v>24</v>
      </c>
      <c r="BD38" s="32" t="str">
        <f>IFERROR(__xludf.DUMMYFUNCTION("IFNA(SUM(FILTER('37 серия'!$B$6:$C$15,'37 серия'!$B$6:$B$15=C38)), )"),"")</f>
        <v/>
      </c>
      <c r="BE38" s="32">
        <f>IFERROR(__xludf.DUMMYFUNCTION("IFNA(SUM(FILTER('38 серия'!$B$6:$C$15,'38 серия'!$B$6:$B$15=C38)), )"),20.5)</f>
        <v>20.5</v>
      </c>
      <c r="BF38" s="32" t="str">
        <f>IFERROR(__xludf.DUMMYFUNCTION("IFNA(SUM(FILTER('39 серия'!$B$6:$C$15,'39 серия'!$B$6:$B$15=C38)), )"),"")</f>
        <v/>
      </c>
      <c r="BG38" s="32" t="str">
        <f>IFERROR(__xludf.DUMMYFUNCTION("IFNA(SUM(FILTER('40 серия'!$B$6:$C$15,'40 серия'!$B$6:$B$15=C38)), )"),"")</f>
        <v/>
      </c>
      <c r="BH38" s="32" t="str">
        <f>IFERROR(__xludf.DUMMYFUNCTION("IFNA(SUM(FILTER('41 серия'!$B$6:$C$15,'41 серия'!$B$6:$B$15=C38)), )"),"")</f>
        <v/>
      </c>
      <c r="BI38" s="32" t="str">
        <f>IFERROR(__xludf.DUMMYFUNCTION("IFNA(SUM(FILTER('42 серия'!$B$6:$C$15,'42 серия'!$B$6:$B$15=C38)), )"),"")</f>
        <v/>
      </c>
      <c r="BJ38" s="32" t="str">
        <f>IFERROR(__xludf.DUMMYFUNCTION("IFNA(SUM(FILTER('43 серия'!$B$6:$C$15,'43 серия'!$B$6:$B$15=C38)), )"),"")</f>
        <v/>
      </c>
      <c r="BK38" s="32" t="str">
        <f>IFERROR(__xludf.DUMMYFUNCTION("IFNA(SUM(FILTER('44 серия'!$B$6:$C$15,'44 серия'!$B$6:$B$15=C38)), )"),"")</f>
        <v/>
      </c>
      <c r="BL38" s="32" t="str">
        <f>IFERROR(__xludf.DUMMYFUNCTION("IFNA(SUM(FILTER('45 серия'!$B$6:$C$15,'45 серия'!$B$6:$B$15=C38)), )"),"")</f>
        <v/>
      </c>
      <c r="BM38" s="32" t="str">
        <f>IFERROR(__xludf.DUMMYFUNCTION("IFNA(SUM(FILTER('46 серия'!$B$6:$C$15,'46 серия'!$B$6:$B$15=C38)), )"),"")</f>
        <v/>
      </c>
      <c r="BN38" s="32" t="str">
        <f>IFERROR(__xludf.DUMMYFUNCTION("IFNA(SUM(FILTER('47 серия'!$B$6:$C$15,'47 серия'!$B$6:$B$15=C38)), )"),"")</f>
        <v/>
      </c>
      <c r="BO38" s="42">
        <f>IFERROR(__xludf.DUMMYFUNCTION("IFNA(SUM(FILTER('48 серия'!$B$6:$C$15,'48 серия'!$B$6:$B$15=$C38)), )"),25.25)</f>
        <v>25.25</v>
      </c>
      <c r="BP38" s="43" t="str">
        <f>IFERROR(__xludf.DUMMYFUNCTION("IFNA(SUM(FILTER('49 серия'!$B$6:$C$15,'49 серия'!$B$6:$B$15=$C38)), )"),"")</f>
        <v/>
      </c>
      <c r="BQ38" s="43" t="str">
        <f>IFERROR(__xludf.DUMMYFUNCTION("IFNA(SUM(FILTER('50 серия'!$B$6:$C$15,'50 серия'!$B$6:$B$15=$C38)), )"),"")</f>
        <v/>
      </c>
      <c r="BR38" s="43" t="str">
        <f>IFERROR(__xludf.DUMMYFUNCTION("IFNA(SUM(FILTER('51 серия'!$B$6:$C$15,'51 серия'!$B$6:$B$15=$C38)), )"),"")</f>
        <v/>
      </c>
      <c r="BS38" s="49" t="str">
        <f>IFERROR(__xludf.DUMMYFUNCTION("IFNA(SUM(FILTER('52 серия'!$B$6:$C$15,'52 серия'!$B$6:$B$15=C38)), )"),"")</f>
        <v/>
      </c>
      <c r="BT38" s="32" t="str">
        <f>IFERROR(__xludf.DUMMYFUNCTION("IFNA(SUM(FILTER('53 серия'!$B$6:$C$15,'53 серия'!$B$6:$B$15=$C38)), )"),"")</f>
        <v/>
      </c>
      <c r="BU38" s="32" t="str">
        <f>IFERROR(__xludf.DUMMYFUNCTION("IFNA(SUM(FILTER('54 серия'!$B$6:$C$15,'54 серия'!$B$6:$B$15=$C38)), )"),"")</f>
        <v/>
      </c>
      <c r="BV38" s="32" t="str">
        <f>IFERROR(__xludf.DUMMYFUNCTION("IFNA(SUM(FILTER('55 серия'!$B$6:$C$15,'55 серия'!$B$6:$B$15=$C38)), )"),"")</f>
        <v/>
      </c>
      <c r="BW38" s="32" t="str">
        <f>IFERROR(__xludf.DUMMYFUNCTION("IFNA(SUM(FILTER('56 серия'!$B$6:$C$15,'56 серия'!$B$6:$B$15=$C38)), )"),"")</f>
        <v/>
      </c>
      <c r="BX38" s="32" t="str">
        <f>IFERROR(__xludf.DUMMYFUNCTION("IFNA(SUM(FILTER('57 серия'!$B$6:$C$15,'57 серия'!$B$6:$B$15=$C38)), )"),"")</f>
        <v/>
      </c>
      <c r="BY38" s="32">
        <f>IFERROR(__xludf.DUMMYFUNCTION("IFNA(SUM(FILTER('58 серия'!$B$6:$C$15,'58 серия'!$B$6:$B$15=$C38)), )"),17.75)</f>
        <v>17.75</v>
      </c>
      <c r="BZ38" s="46" t="str">
        <f>IFERROR(__xludf.DUMMYFUNCTION("IFNA(SUM(FILTER('59 серия'!$B$6:$C$15,'59 серия'!$B$6:$B$15=C38)), )"),"")</f>
        <v/>
      </c>
      <c r="CA38" s="44" t="str">
        <f>IFERROR(__xludf.DUMMYFUNCTION("IFNA(SUM(FILTER('60 серия'!$B$6:$C$15,'60 серия'!$B$6:$B$15=$C38)), )"),"")</f>
        <v/>
      </c>
      <c r="CB38" s="4"/>
    </row>
    <row r="39">
      <c r="A39" s="10"/>
      <c r="B39" s="27">
        <f t="shared" si="1"/>
        <v>33</v>
      </c>
      <c r="C39" s="45" t="s">
        <v>111</v>
      </c>
      <c r="D39" s="29">
        <f>'Игроки статистика'!B37</f>
        <v>50</v>
      </c>
      <c r="E39" s="30">
        <f t="shared" si="2"/>
        <v>211</v>
      </c>
      <c r="F39" s="31">
        <f t="shared" si="3"/>
        <v>21.1</v>
      </c>
      <c r="G39" s="46">
        <f t="shared" si="4"/>
        <v>3.02</v>
      </c>
      <c r="H39" s="46">
        <f>SUMIFS('Все игры'!C$3:C1011,'Все игры'!A$3:A1011,C39)</f>
        <v>60</v>
      </c>
      <c r="I39" s="46">
        <f t="shared" si="5"/>
        <v>146.5</v>
      </c>
      <c r="J39" s="47">
        <f>SUMIFS('Все игры'!F$3:F1011,'Все игры'!A$3:A1011,C39)</f>
        <v>1</v>
      </c>
      <c r="K39" s="48">
        <f>SUMIFS('Все игры'!G$3:G1011,'Все игры'!A$3:A1011,C39)</f>
        <v>3.5</v>
      </c>
      <c r="L39" s="35">
        <f>'Игроки статистика'!G37</f>
        <v>7</v>
      </c>
      <c r="M39" s="36">
        <f t="shared" si="6"/>
        <v>24</v>
      </c>
      <c r="N39" s="36">
        <f>SUM('Игроки статистика'!O37,'Игроки статистика'!Q37)</f>
        <v>6</v>
      </c>
      <c r="O39" s="37">
        <f>SUM('Игроки статистика'!P37,'Игроки статистика'!R37)</f>
        <v>6</v>
      </c>
      <c r="P39" s="38" t="str">
        <f>IFERROR(__xludf.DUMMYFUNCTION("IFNA(SUM(FILTER('Штрафы'!$D$5:$D1011,'Штрафы'!$C$5:$C1011=C39)), )"),"")</f>
        <v/>
      </c>
      <c r="Q39" s="38" t="str">
        <f>IFERROR(__xludf.DUMMYFUNCTION("IFNA(SUM(FILTER('Штрафы'!$F$5:$F1011,'Штрафы'!$C$5:$C1011=C39)), )"),"")</f>
        <v/>
      </c>
      <c r="R39" s="39"/>
      <c r="S39" s="40"/>
      <c r="T39" s="31" t="str">
        <f>IFERROR(__xludf.DUMMYFUNCTION("IFNA(SUM(FILTER('1 серия'!$B$6:$C$15,'1 серия'!$B$6:$B$15=C39)), )"),"")</f>
        <v/>
      </c>
      <c r="U39" s="32" t="str">
        <f>IFERROR(__xludf.DUMMYFUNCTION("IFNA(SUM(FILTER('2 серия'!$B$6:$C$15,'2 серия'!$B$6:$B$15=C39)), )
"),"")</f>
        <v/>
      </c>
      <c r="V39" s="32" t="str">
        <f>IFERROR(__xludf.DUMMYFUNCTION("IFNA(SUM(FILTER('3 серия'!$B$6:$C$15,'3 серия'!$B$6:$B$15=C39)), )
"),"")</f>
        <v/>
      </c>
      <c r="W39" s="32" t="str">
        <f>IFERROR(__xludf.DUMMYFUNCTION("IFNA(SUM(FILTER('4 серия'!$B$6:$C$15,'4 серия'!$B$6:$B$15=C39)), )"),"")</f>
        <v/>
      </c>
      <c r="X39" s="32" t="str">
        <f>IFERROR(__xludf.DUMMYFUNCTION("IFNA(SUM(FILTER('5 серия'!$B$6:$C$15,'5 серия'!$B$6:$B$15=C39)), )"),"")</f>
        <v/>
      </c>
      <c r="Y39" s="32" t="str">
        <f>IFERROR(__xludf.DUMMYFUNCTION("IFNA(SUM(FILTER('6 серия'!$B$6:$C$15,'6 серия'!$B$6:$B$15=C39)), )"),"")</f>
        <v/>
      </c>
      <c r="Z39" s="32" t="str">
        <f>IFERROR(__xludf.DUMMYFUNCTION("IFNA(SUM(FILTER('7 серия'!$B$6:$C$15,'7 серия'!$B$6:$B$15=C39)), )"),"")</f>
        <v/>
      </c>
      <c r="AA39" s="32" t="str">
        <f>IFERROR(__xludf.DUMMYFUNCTION("IFNA(SUM(FILTER('8 серия'!$B$6:$C$15,'8 серия'!$B$6:$B$15=C39)), )"),"")</f>
        <v/>
      </c>
      <c r="AB39" s="32" t="str">
        <f>IFERROR(__xludf.DUMMYFUNCTION("IFNA(SUM(FILTER('9 серия'!$B$7:$C$16,'9 серия'!$B$7:$B$16=C39)), )"),"")</f>
        <v/>
      </c>
      <c r="AC39" s="32" t="str">
        <f>IFERROR(__xludf.DUMMYFUNCTION("IFNA(SUM(FILTER('10 серия'!$B$6:$C$15,'10 серия'!$B$6:$B$15=C39)), )"),"")</f>
        <v/>
      </c>
      <c r="AD39" s="32" t="str">
        <f>IFERROR(__xludf.DUMMYFUNCTION("IFNA(SUM(FILTER('11 серия'!$B$6:$C$15,'11 серия'!$B$6:$B$15=C39)), )"),"")</f>
        <v/>
      </c>
      <c r="AE39" s="32" t="str">
        <f>IFERROR(__xludf.DUMMYFUNCTION("IFNA(SUM(FILTER('12 серия'!$B$6:$C$15,'12 серия'!$B$6:$B$15=C39)), )"),"")</f>
        <v/>
      </c>
      <c r="AF39" s="32">
        <f>IFERROR(__xludf.DUMMYFUNCTION("IFNA(SUM(FILTER('13 серия'!$B$6:$C$15,'13 серия'!$B$6:$B$15=C39)), )"),13.75)</f>
        <v>13.75</v>
      </c>
      <c r="AG39" s="32">
        <f>IFERROR(__xludf.DUMMYFUNCTION("IFNA(SUM(FILTER('14 серия'!$B$6:$C$15,'14 серия'!$B$6:$B$15=C39)), )"),18.75)</f>
        <v>18.75</v>
      </c>
      <c r="AH39" s="32">
        <f>IFERROR(__xludf.DUMMYFUNCTION("IFNA(SUM(FILTER('15 серия'!$B$6:$C$15,'15 серия'!$B$6:$B$15=C39)), )"),26.0)</f>
        <v>26</v>
      </c>
      <c r="AI39" s="32">
        <f>IFERROR(__xludf.DUMMYFUNCTION("IFNA(SUM(FILTER('16 серия'!$B$6:$C$15,'16 серия'!$B$6:$B$15=C39)), )"),23.5)</f>
        <v>23.5</v>
      </c>
      <c r="AJ39" s="32">
        <f>IFERROR(__xludf.DUMMYFUNCTION("IFNA(SUM(FILTER('17 серия'!$B$6:$C$15,'17 серия'!$B$6:$B$15=C39)), )"),23.75)</f>
        <v>23.75</v>
      </c>
      <c r="AK39" s="32" t="str">
        <f>IFERROR(__xludf.DUMMYFUNCTION("IFNA(SUM(FILTER('18 серия'!$B$6:$C$15,'18 серия'!$B$6:$B$15=C39)), )"),"")</f>
        <v/>
      </c>
      <c r="AL39" s="32" t="str">
        <f>IFERROR(__xludf.DUMMYFUNCTION("IFNA(SUM(FILTER('19 серия'!$B$6:$C$15,'19 серия'!$B$6:$B$15=C39)), )"),"")</f>
        <v/>
      </c>
      <c r="AM39" s="32" t="str">
        <f>IFERROR(__xludf.DUMMYFUNCTION("IFNA(SUM(FILTER('20 серия'!$B$6:$C$15,'20 серия'!$B$6:$B$15=C39)), )"),"")</f>
        <v/>
      </c>
      <c r="AN39" s="32" t="str">
        <f>IFERROR(__xludf.DUMMYFUNCTION("IFNA(SUM(FILTER('21 серия'!$B$6:$C$15,'21 серия'!$B$6:$B$15=C39)), )"),"")</f>
        <v/>
      </c>
      <c r="AO39" s="32" t="str">
        <f>IFERROR(__xludf.DUMMYFUNCTION("IFNA(SUM(FILTER('22 серия'!$B$6:$C$15,'22 серия'!$B$6:$B$15=C39)), )"),"")</f>
        <v/>
      </c>
      <c r="AP39" s="32" t="str">
        <f>IFERROR(__xludf.DUMMYFUNCTION("IFNA(SUM(FILTER('23 серия'!$B$6:$C$15,'23 серия'!$B$6:$B$15=C39)), )"),"")</f>
        <v/>
      </c>
      <c r="AQ39" s="32" t="str">
        <f>IFERROR(__xludf.DUMMYFUNCTION("IFNA(SUM(FILTER('24 серия'!$B$6:$C$15,'24 серия'!$B$6:$B$15=C39)), )"),"")</f>
        <v/>
      </c>
      <c r="AR39" s="32" t="str">
        <f>IFERROR(__xludf.DUMMYFUNCTION("IFNA(SUM(FILTER('25 серия'!$B$6:$C$15,'25 серия'!$B$6:$B$15=C39)), )"),"")</f>
        <v/>
      </c>
      <c r="AS39" s="32" t="str">
        <f>IFERROR(__xludf.DUMMYFUNCTION("IFNA(SUM(FILTER('26 серия'!$B$6:$C$15,'26 серия'!$B$6:$B$15=C39)), )"),"")</f>
        <v/>
      </c>
      <c r="AT39" s="32" t="str">
        <f>IFERROR(__xludf.DUMMYFUNCTION("IFNA(SUM(FILTER('27 серия'!$B$6:$C$15,'27 серия'!$B$6:$B$15=C39)), )"),"")</f>
        <v/>
      </c>
      <c r="AU39" s="32" t="str">
        <f>IFERROR(__xludf.DUMMYFUNCTION("IFNA(SUM(FILTER('28 серия'!$B$6:$C$15,'28 серия'!$B$6:$B$15=C39)), )"),"")</f>
        <v/>
      </c>
      <c r="AV39" s="32" t="str">
        <f>IFERROR(__xludf.DUMMYFUNCTION("IFNA(SUM(FILTER('29 серия'!$B$6:$C$15,'29 серия'!$B$6:$B$15=C39)), )"),"")</f>
        <v/>
      </c>
      <c r="AW39" s="32" t="str">
        <f>IFERROR(__xludf.DUMMYFUNCTION("IFNA(SUM(FILTER('30 серия'!$B$6:$C$15,'30 серия'!$B$6:$B$15=C39)), )"),"")</f>
        <v/>
      </c>
      <c r="AX39" s="32" t="str">
        <f>IFERROR(__xludf.DUMMYFUNCTION("IFNA(SUM(FILTER('31 серия'!$B$6:$C$15,'31 серия'!$B$6:$B$15=C39)), )"),"")</f>
        <v/>
      </c>
      <c r="AY39" s="32" t="str">
        <f>IFERROR(__xludf.DUMMYFUNCTION("IFNA(SUM(FILTER('32 серия'!$B$6:$C$15,'32 серия'!$B$6:$B$15=C39)), )"),"")</f>
        <v/>
      </c>
      <c r="AZ39" s="32" t="str">
        <f>IFERROR(__xludf.DUMMYFUNCTION("IFNA(SUM(FILTER('33 серия'!$B$6:$C$15,'33 серия'!$B$6:$B$15=C39)), )"),"")</f>
        <v/>
      </c>
      <c r="BA39" s="32" t="str">
        <f>IFERROR(__xludf.DUMMYFUNCTION("IFNA(SUM(FILTER('34 серия'!$B$6:$C$15,'34 серия'!$B$6:$B$15=C39)), )"),"")</f>
        <v/>
      </c>
      <c r="BB39" s="32" t="str">
        <f>IFERROR(__xludf.DUMMYFUNCTION("IFNA(SUM(FILTER('35 серия'!$B$6:$C$15,'35 серия'!$B$6:$B$15=C39)), )"),"")</f>
        <v/>
      </c>
      <c r="BC39" s="32" t="str">
        <f>IFERROR(__xludf.DUMMYFUNCTION("IFNA(SUM(FILTER('36 серия'!$B$6:$C$15,'36 серия'!$B$6:$B$15=C39)), )"),"")</f>
        <v/>
      </c>
      <c r="BD39" s="32" t="str">
        <f>IFERROR(__xludf.DUMMYFUNCTION("IFNA(SUM(FILTER('37 серия'!$B$6:$C$15,'37 серия'!$B$6:$B$15=C39)), )"),"")</f>
        <v/>
      </c>
      <c r="BE39" s="32" t="str">
        <f>IFERROR(__xludf.DUMMYFUNCTION("IFNA(SUM(FILTER('38 серия'!$B$6:$C$15,'38 серия'!$B$6:$B$15=C39)), )"),"")</f>
        <v/>
      </c>
      <c r="BF39" s="32" t="str">
        <f>IFERROR(__xludf.DUMMYFUNCTION("IFNA(SUM(FILTER('39 серия'!$B$6:$C$15,'39 серия'!$B$6:$B$15=C39)), )"),"")</f>
        <v/>
      </c>
      <c r="BG39" s="32" t="str">
        <f>IFERROR(__xludf.DUMMYFUNCTION("IFNA(SUM(FILTER('40 серия'!$B$6:$C$15,'40 серия'!$B$6:$B$15=C39)), )"),"")</f>
        <v/>
      </c>
      <c r="BH39" s="32" t="str">
        <f>IFERROR(__xludf.DUMMYFUNCTION("IFNA(SUM(FILTER('41 серия'!$B$6:$C$15,'41 серия'!$B$6:$B$15=C39)), )"),"")</f>
        <v/>
      </c>
      <c r="BI39" s="32">
        <f>IFERROR(__xludf.DUMMYFUNCTION("IFNA(SUM(FILTER('42 серия'!$B$6:$C$15,'42 серия'!$B$6:$B$15=C39)), )"),20.0)</f>
        <v>20</v>
      </c>
      <c r="BJ39" s="32">
        <f>IFERROR(__xludf.DUMMYFUNCTION("IFNA(SUM(FILTER('43 серия'!$B$6:$C$15,'43 серия'!$B$6:$B$15=C39)), )"),22.25)</f>
        <v>22.25</v>
      </c>
      <c r="BK39" s="32">
        <f>IFERROR(__xludf.DUMMYFUNCTION("IFNA(SUM(FILTER('44 серия'!$B$6:$C$15,'44 серия'!$B$6:$B$15=C39)), )"),21.75)</f>
        <v>21.75</v>
      </c>
      <c r="BL39" s="32">
        <f>IFERROR(__xludf.DUMMYFUNCTION("IFNA(SUM(FILTER('45 серия'!$B$6:$C$15,'45 серия'!$B$6:$B$15=C39)), )"),16.0)</f>
        <v>16</v>
      </c>
      <c r="BM39" s="32">
        <f>IFERROR(__xludf.DUMMYFUNCTION("IFNA(SUM(FILTER('46 серия'!$B$6:$C$15,'46 серия'!$B$6:$B$15=C39)), )"),25.25)</f>
        <v>25.25</v>
      </c>
      <c r="BN39" s="32" t="str">
        <f>IFERROR(__xludf.DUMMYFUNCTION("IFNA(SUM(FILTER('47 серия'!$B$6:$C$15,'47 серия'!$B$6:$B$15=C39)), )"),"")</f>
        <v/>
      </c>
      <c r="BO39" s="42" t="str">
        <f>IFERROR(__xludf.DUMMYFUNCTION("IFNA(SUM(FILTER('48 серия'!$B$6:$C$15,'48 серия'!$B$6:$B$15=$C39)), )"),"")</f>
        <v/>
      </c>
      <c r="BP39" s="43" t="str">
        <f>IFERROR(__xludf.DUMMYFUNCTION("IFNA(SUM(FILTER('49 серия'!$B$6:$C$15,'49 серия'!$B$6:$B$15=$C39)), )"),"")</f>
        <v/>
      </c>
      <c r="BQ39" s="43" t="str">
        <f>IFERROR(__xludf.DUMMYFUNCTION("IFNA(SUM(FILTER('50 серия'!$B$6:$C$15,'50 серия'!$B$6:$B$15=$C39)), )"),"")</f>
        <v/>
      </c>
      <c r="BR39" s="43" t="str">
        <f>IFERROR(__xludf.DUMMYFUNCTION("IFNA(SUM(FILTER('51 серия'!$B$6:$C$15,'51 серия'!$B$6:$B$15=$C39)), )"),"")</f>
        <v/>
      </c>
      <c r="BS39" s="49" t="str">
        <f>IFERROR(__xludf.DUMMYFUNCTION("IFNA(SUM(FILTER('52 серия'!$B$6:$C$15,'52 серия'!$B$6:$B$15=C39)), )"),"")</f>
        <v/>
      </c>
      <c r="BT39" s="32" t="str">
        <f>IFERROR(__xludf.DUMMYFUNCTION("IFNA(SUM(FILTER('53 серия'!$B$6:$C$15,'53 серия'!$B$6:$B$15=$C39)), )"),"")</f>
        <v/>
      </c>
      <c r="BU39" s="32" t="str">
        <f>IFERROR(__xludf.DUMMYFUNCTION("IFNA(SUM(FILTER('54 серия'!$B$6:$C$15,'54 серия'!$B$6:$B$15=$C39)), )"),"")</f>
        <v/>
      </c>
      <c r="BV39" s="32" t="str">
        <f>IFERROR(__xludf.DUMMYFUNCTION("IFNA(SUM(FILTER('55 серия'!$B$6:$C$15,'55 серия'!$B$6:$B$15=$C39)), )"),"")</f>
        <v/>
      </c>
      <c r="BW39" s="32" t="str">
        <f>IFERROR(__xludf.DUMMYFUNCTION("IFNA(SUM(FILTER('56 серия'!$B$6:$C$15,'56 серия'!$B$6:$B$15=$C39)), )"),"")</f>
        <v/>
      </c>
      <c r="BX39" s="32" t="str">
        <f>IFERROR(__xludf.DUMMYFUNCTION("IFNA(SUM(FILTER('57 серия'!$B$6:$C$15,'57 серия'!$B$6:$B$15=$C39)), )"),"")</f>
        <v/>
      </c>
      <c r="BY39" s="32" t="str">
        <f>IFERROR(__xludf.DUMMYFUNCTION("IFNA(SUM(FILTER('58 серия'!$B$6:$C$15,'58 серия'!$B$6:$B$15=$C39)), )"),"")</f>
        <v/>
      </c>
      <c r="BZ39" s="46" t="str">
        <f>IFERROR(__xludf.DUMMYFUNCTION("IFNA(SUM(FILTER('59 серия'!$B$6:$C$15,'59 серия'!$B$6:$B$15=C39)), )"),"")</f>
        <v/>
      </c>
      <c r="CA39" s="44" t="str">
        <f>IFERROR(__xludf.DUMMYFUNCTION("IFNA(SUM(FILTER('60 серия'!$B$6:$C$15,'60 серия'!$B$6:$B$15=$C39)), )"),"")</f>
        <v/>
      </c>
      <c r="CB39" s="4"/>
    </row>
    <row r="40">
      <c r="A40" s="10"/>
      <c r="B40" s="27">
        <f t="shared" si="1"/>
        <v>34</v>
      </c>
      <c r="C40" s="45" t="s">
        <v>112</v>
      </c>
      <c r="D40" s="29">
        <f>'Игроки статистика'!B38</f>
        <v>50</v>
      </c>
      <c r="E40" s="30">
        <f t="shared" si="2"/>
        <v>208.25</v>
      </c>
      <c r="F40" s="31">
        <f t="shared" si="3"/>
        <v>20.825</v>
      </c>
      <c r="G40" s="46">
        <f t="shared" si="4"/>
        <v>2.715</v>
      </c>
      <c r="H40" s="46">
        <f>SUMIFS('Все игры'!C$3:C1011,'Все игры'!A$3:A1011,C40)</f>
        <v>72.5</v>
      </c>
      <c r="I40" s="46">
        <f t="shared" si="5"/>
        <v>133.75</v>
      </c>
      <c r="J40" s="47">
        <f>SUMIFS('Все игры'!F$3:F1011,'Все игры'!A$3:A1011,C40)</f>
        <v>0</v>
      </c>
      <c r="K40" s="48">
        <f>SUMIFS('Все игры'!G$3:G1011,'Все игры'!A$3:A1011,C40)</f>
        <v>2</v>
      </c>
      <c r="L40" s="35">
        <f>'Игроки статистика'!G38</f>
        <v>4</v>
      </c>
      <c r="M40" s="36">
        <f t="shared" si="6"/>
        <v>29</v>
      </c>
      <c r="N40" s="36">
        <f>SUM('Игроки статистика'!O38,'Игроки статистика'!Q38)</f>
        <v>5</v>
      </c>
      <c r="O40" s="37">
        <f>SUM('Игроки статистика'!P38,'Игроки статистика'!R38)</f>
        <v>8</v>
      </c>
      <c r="P40" s="38" t="str">
        <f>IFERROR(__xludf.DUMMYFUNCTION("IFNA(SUM(FILTER('Штрафы'!$D$5:$D1011,'Штрафы'!$C$5:$C1011=C40)), )"),"")</f>
        <v/>
      </c>
      <c r="Q40" s="38" t="str">
        <f>IFERROR(__xludf.DUMMYFUNCTION("IFNA(SUM(FILTER('Штрафы'!$F$5:$F1011,'Штрафы'!$C$5:$C1011=C40)), )"),"")</f>
        <v/>
      </c>
      <c r="R40" s="39"/>
      <c r="S40" s="40"/>
      <c r="T40" s="31">
        <f>IFERROR(__xludf.DUMMYFUNCTION("IFNA(SUM(FILTER('1 серия'!$B$6:$C$15,'1 серия'!$B$6:$B$15=C40)), )"),17.75)</f>
        <v>17.75</v>
      </c>
      <c r="U40" s="32" t="str">
        <f>IFERROR(__xludf.DUMMYFUNCTION("IFNA(SUM(FILTER('2 серия'!$B$6:$C$15,'2 серия'!$B$6:$B$15=C40)), )
"),"")</f>
        <v/>
      </c>
      <c r="V40" s="32" t="str">
        <f>IFERROR(__xludf.DUMMYFUNCTION("IFNA(SUM(FILTER('3 серия'!$B$6:$C$15,'3 серия'!$B$6:$B$15=C40)), )
"),"")</f>
        <v/>
      </c>
      <c r="W40" s="32" t="str">
        <f>IFERROR(__xludf.DUMMYFUNCTION("IFNA(SUM(FILTER('4 серия'!$B$6:$C$15,'4 серия'!$B$6:$B$15=C40)), )"),"")</f>
        <v/>
      </c>
      <c r="X40" s="32">
        <f>IFERROR(__xludf.DUMMYFUNCTION("IFNA(SUM(FILTER('5 серия'!$B$6:$C$15,'5 серия'!$B$6:$B$15=C40)), )"),17.5)</f>
        <v>17.5</v>
      </c>
      <c r="Y40" s="32" t="str">
        <f>IFERROR(__xludf.DUMMYFUNCTION("IFNA(SUM(FILTER('6 серия'!$B$6:$C$15,'6 серия'!$B$6:$B$15=C40)), )"),"")</f>
        <v/>
      </c>
      <c r="Z40" s="32" t="str">
        <f>IFERROR(__xludf.DUMMYFUNCTION("IFNA(SUM(FILTER('7 серия'!$B$6:$C$15,'7 серия'!$B$6:$B$15=C40)), )"),"")</f>
        <v/>
      </c>
      <c r="AA40" s="32" t="str">
        <f>IFERROR(__xludf.DUMMYFUNCTION("IFNA(SUM(FILTER('8 серия'!$B$6:$C$15,'8 серия'!$B$6:$B$15=C40)), )"),"")</f>
        <v/>
      </c>
      <c r="AB40" s="32" t="str">
        <f>IFERROR(__xludf.DUMMYFUNCTION("IFNA(SUM(FILTER('9 серия'!$B$7:$C$16,'9 серия'!$B$7:$B$16=C40)), )"),"")</f>
        <v/>
      </c>
      <c r="AC40" s="32" t="str">
        <f>IFERROR(__xludf.DUMMYFUNCTION("IFNA(SUM(FILTER('10 серия'!$B$6:$C$15,'10 серия'!$B$6:$B$15=C40)), )"),"")</f>
        <v/>
      </c>
      <c r="AD40" s="32" t="str">
        <f>IFERROR(__xludf.DUMMYFUNCTION("IFNA(SUM(FILTER('11 серия'!$B$6:$C$15,'11 серия'!$B$6:$B$15=C40)), )"),"")</f>
        <v/>
      </c>
      <c r="AE40" s="32" t="str">
        <f>IFERROR(__xludf.DUMMYFUNCTION("IFNA(SUM(FILTER('12 серия'!$B$6:$C$15,'12 серия'!$B$6:$B$15=C40)), )"),"")</f>
        <v/>
      </c>
      <c r="AF40" s="32" t="str">
        <f>IFERROR(__xludf.DUMMYFUNCTION("IFNA(SUM(FILTER('13 серия'!$B$6:$C$15,'13 серия'!$B$6:$B$15=C40)), )"),"")</f>
        <v/>
      </c>
      <c r="AG40" s="32" t="str">
        <f>IFERROR(__xludf.DUMMYFUNCTION("IFNA(SUM(FILTER('14 серия'!$B$6:$C$15,'14 серия'!$B$6:$B$15=C40)), )"),"")</f>
        <v/>
      </c>
      <c r="AH40" s="32" t="str">
        <f>IFERROR(__xludf.DUMMYFUNCTION("IFNA(SUM(FILTER('15 серия'!$B$6:$C$15,'15 серия'!$B$6:$B$15=C40)), )"),"")</f>
        <v/>
      </c>
      <c r="AI40" s="32" t="str">
        <f>IFERROR(__xludf.DUMMYFUNCTION("IFNA(SUM(FILTER('16 серия'!$B$6:$C$15,'16 серия'!$B$6:$B$15=C40)), )"),"")</f>
        <v/>
      </c>
      <c r="AJ40" s="32" t="str">
        <f>IFERROR(__xludf.DUMMYFUNCTION("IFNA(SUM(FILTER('17 серия'!$B$6:$C$15,'17 серия'!$B$6:$B$15=C40)), )"),"")</f>
        <v/>
      </c>
      <c r="AK40" s="32" t="str">
        <f>IFERROR(__xludf.DUMMYFUNCTION("IFNA(SUM(FILTER('18 серия'!$B$6:$C$15,'18 серия'!$B$6:$B$15=C40)), )"),"")</f>
        <v/>
      </c>
      <c r="AL40" s="32" t="str">
        <f>IFERROR(__xludf.DUMMYFUNCTION("IFNA(SUM(FILTER('19 серия'!$B$6:$C$15,'19 серия'!$B$6:$B$15=C40)), )"),"")</f>
        <v/>
      </c>
      <c r="AM40" s="32" t="str">
        <f>IFERROR(__xludf.DUMMYFUNCTION("IFNA(SUM(FILTER('20 серия'!$B$6:$C$15,'20 серия'!$B$6:$B$15=C40)), )"),"")</f>
        <v/>
      </c>
      <c r="AN40" s="32">
        <f>IFERROR(__xludf.DUMMYFUNCTION("IFNA(SUM(FILTER('21 серия'!$B$6:$C$15,'21 серия'!$B$6:$B$15=C40)), )"),16.5)</f>
        <v>16.5</v>
      </c>
      <c r="AO40" s="32" t="str">
        <f>IFERROR(__xludf.DUMMYFUNCTION("IFNA(SUM(FILTER('22 серия'!$B$6:$C$15,'22 серия'!$B$6:$B$15=C40)), )"),"")</f>
        <v/>
      </c>
      <c r="AP40" s="32" t="str">
        <f>IFERROR(__xludf.DUMMYFUNCTION("IFNA(SUM(FILTER('23 серия'!$B$6:$C$15,'23 серия'!$B$6:$B$15=C40)), )"),"")</f>
        <v/>
      </c>
      <c r="AQ40" s="32" t="str">
        <f>IFERROR(__xludf.DUMMYFUNCTION("IFNA(SUM(FILTER('24 серия'!$B$6:$C$15,'24 серия'!$B$6:$B$15=C40)), )"),"")</f>
        <v/>
      </c>
      <c r="AR40" s="32" t="str">
        <f>IFERROR(__xludf.DUMMYFUNCTION("IFNA(SUM(FILTER('25 серия'!$B$6:$C$15,'25 серия'!$B$6:$B$15=C40)), )"),"")</f>
        <v/>
      </c>
      <c r="AS40" s="32" t="str">
        <f>IFERROR(__xludf.DUMMYFUNCTION("IFNA(SUM(FILTER('26 серия'!$B$6:$C$15,'26 серия'!$B$6:$B$15=C40)), )"),"")</f>
        <v/>
      </c>
      <c r="AT40" s="32" t="str">
        <f>IFERROR(__xludf.DUMMYFUNCTION("IFNA(SUM(FILTER('27 серия'!$B$6:$C$15,'27 серия'!$B$6:$B$15=C40)), )"),"")</f>
        <v/>
      </c>
      <c r="AU40" s="32" t="str">
        <f>IFERROR(__xludf.DUMMYFUNCTION("IFNA(SUM(FILTER('28 серия'!$B$6:$C$15,'28 серия'!$B$6:$B$15=C40)), )"),"")</f>
        <v/>
      </c>
      <c r="AV40" s="32" t="str">
        <f>IFERROR(__xludf.DUMMYFUNCTION("IFNA(SUM(FILTER('29 серия'!$B$6:$C$15,'29 серия'!$B$6:$B$15=C40)), )"),"")</f>
        <v/>
      </c>
      <c r="AW40" s="32" t="str">
        <f>IFERROR(__xludf.DUMMYFUNCTION("IFNA(SUM(FILTER('30 серия'!$B$6:$C$15,'30 серия'!$B$6:$B$15=C40)), )"),"")</f>
        <v/>
      </c>
      <c r="AX40" s="32">
        <f>IFERROR(__xludf.DUMMYFUNCTION("IFNA(SUM(FILTER('31 серия'!$B$6:$C$15,'31 серия'!$B$6:$B$15=C40)), )"),21.25)</f>
        <v>21.25</v>
      </c>
      <c r="AY40" s="32" t="str">
        <f>IFERROR(__xludf.DUMMYFUNCTION("IFNA(SUM(FILTER('32 серия'!$B$6:$C$15,'32 серия'!$B$6:$B$15=C40)), )"),"")</f>
        <v/>
      </c>
      <c r="AZ40" s="32" t="str">
        <f>IFERROR(__xludf.DUMMYFUNCTION("IFNA(SUM(FILTER('33 серия'!$B$6:$C$15,'33 серия'!$B$6:$B$15=C40)), )"),"")</f>
        <v/>
      </c>
      <c r="BA40" s="32" t="str">
        <f>IFERROR(__xludf.DUMMYFUNCTION("IFNA(SUM(FILTER('34 серия'!$B$6:$C$15,'34 серия'!$B$6:$B$15=C40)), )"),"")</f>
        <v/>
      </c>
      <c r="BB40" s="32" t="str">
        <f>IFERROR(__xludf.DUMMYFUNCTION("IFNA(SUM(FILTER('35 серия'!$B$6:$C$15,'35 серия'!$B$6:$B$15=C40)), )"),"")</f>
        <v/>
      </c>
      <c r="BC40" s="32" t="str">
        <f>IFERROR(__xludf.DUMMYFUNCTION("IFNA(SUM(FILTER('36 серия'!$B$6:$C$15,'36 серия'!$B$6:$B$15=C40)), )"),"")</f>
        <v/>
      </c>
      <c r="BD40" s="32" t="str">
        <f>IFERROR(__xludf.DUMMYFUNCTION("IFNA(SUM(FILTER('37 серия'!$B$6:$C$15,'37 серия'!$B$6:$B$15=C40)), )"),"")</f>
        <v/>
      </c>
      <c r="BE40" s="32" t="str">
        <f>IFERROR(__xludf.DUMMYFUNCTION("IFNA(SUM(FILTER('38 серия'!$B$6:$C$15,'38 серия'!$B$6:$B$15=C40)), )"),"")</f>
        <v/>
      </c>
      <c r="BF40" s="32">
        <f>IFERROR(__xludf.DUMMYFUNCTION("IFNA(SUM(FILTER('39 серия'!$B$6:$C$15,'39 серия'!$B$6:$B$15=C40)), )"),21.75)</f>
        <v>21.75</v>
      </c>
      <c r="BG40" s="32" t="str">
        <f>IFERROR(__xludf.DUMMYFUNCTION("IFNA(SUM(FILTER('40 серия'!$B$6:$C$15,'40 серия'!$B$6:$B$15=C40)), )"),"")</f>
        <v/>
      </c>
      <c r="BH40" s="32">
        <f>IFERROR(__xludf.DUMMYFUNCTION("IFNA(SUM(FILTER('41 серия'!$B$6:$C$15,'41 серия'!$B$6:$B$15=C40)), )"),21.5)</f>
        <v>21.5</v>
      </c>
      <c r="BI40" s="32">
        <f>IFERROR(__xludf.DUMMYFUNCTION("IFNA(SUM(FILTER('42 серия'!$B$6:$C$15,'42 серия'!$B$6:$B$15=C40)), )"),26.5)</f>
        <v>26.5</v>
      </c>
      <c r="BJ40" s="32" t="str">
        <f>IFERROR(__xludf.DUMMYFUNCTION("IFNA(SUM(FILTER('43 серия'!$B$6:$C$15,'43 серия'!$B$6:$B$15=C40)), )"),"")</f>
        <v/>
      </c>
      <c r="BK40" s="32" t="str">
        <f>IFERROR(__xludf.DUMMYFUNCTION("IFNA(SUM(FILTER('44 серия'!$B$6:$C$15,'44 серия'!$B$6:$B$15=C40)), )"),"")</f>
        <v/>
      </c>
      <c r="BL40" s="32" t="str">
        <f>IFERROR(__xludf.DUMMYFUNCTION("IFNA(SUM(FILTER('45 серия'!$B$6:$C$15,'45 серия'!$B$6:$B$15=C40)), )"),"")</f>
        <v/>
      </c>
      <c r="BM40" s="32" t="str">
        <f>IFERROR(__xludf.DUMMYFUNCTION("IFNA(SUM(FILTER('46 серия'!$B$6:$C$15,'46 серия'!$B$6:$B$15=C40)), )"),"")</f>
        <v/>
      </c>
      <c r="BN40" s="32">
        <f>IFERROR(__xludf.DUMMYFUNCTION("IFNA(SUM(FILTER('47 серия'!$B$6:$C$15,'47 серия'!$B$6:$B$15=C40)), )"),22.75)</f>
        <v>22.75</v>
      </c>
      <c r="BO40" s="42" t="str">
        <f>IFERROR(__xludf.DUMMYFUNCTION("IFNA(SUM(FILTER('48 серия'!$B$6:$C$15,'48 серия'!$B$6:$B$15=$C40)), )"),"")</f>
        <v/>
      </c>
      <c r="BP40" s="43" t="str">
        <f>IFERROR(__xludf.DUMMYFUNCTION("IFNA(SUM(FILTER('49 серия'!$B$6:$C$15,'49 серия'!$B$6:$B$15=$C40)), )"),"")</f>
        <v/>
      </c>
      <c r="BQ40" s="43" t="str">
        <f>IFERROR(__xludf.DUMMYFUNCTION("IFNA(SUM(FILTER('50 серия'!$B$6:$C$15,'50 серия'!$B$6:$B$15=$C40)), )"),"")</f>
        <v/>
      </c>
      <c r="BR40" s="43" t="str">
        <f>IFERROR(__xludf.DUMMYFUNCTION("IFNA(SUM(FILTER('51 серия'!$B$6:$C$15,'51 серия'!$B$6:$B$15=$C40)), )"),"")</f>
        <v/>
      </c>
      <c r="BS40" s="49" t="str">
        <f>IFERROR(__xludf.DUMMYFUNCTION("IFNA(SUM(FILTER('52 серия'!$B$6:$C$15,'52 серия'!$B$6:$B$15=C40)), )"),"")</f>
        <v/>
      </c>
      <c r="BT40" s="32" t="str">
        <f>IFERROR(__xludf.DUMMYFUNCTION("IFNA(SUM(FILTER('53 серия'!$B$6:$C$15,'53 серия'!$B$6:$B$15=$C40)), )"),"")</f>
        <v/>
      </c>
      <c r="BU40" s="32" t="str">
        <f>IFERROR(__xludf.DUMMYFUNCTION("IFNA(SUM(FILTER('54 серия'!$B$6:$C$15,'54 серия'!$B$6:$B$15=$C40)), )"),"")</f>
        <v/>
      </c>
      <c r="BV40" s="32" t="str">
        <f>IFERROR(__xludf.DUMMYFUNCTION("IFNA(SUM(FILTER('55 серия'!$B$6:$C$15,'55 серия'!$B$6:$B$15=$C40)), )"),"")</f>
        <v/>
      </c>
      <c r="BW40" s="32">
        <f>IFERROR(__xludf.DUMMYFUNCTION("IFNA(SUM(FILTER('56 серия'!$B$6:$C$15,'56 серия'!$B$6:$B$15=$C40)), )"),20.75)</f>
        <v>20.75</v>
      </c>
      <c r="BX40" s="32" t="str">
        <f>IFERROR(__xludf.DUMMYFUNCTION("IFNA(SUM(FILTER('57 серия'!$B$6:$C$15,'57 серия'!$B$6:$B$15=$C40)), )"),"")</f>
        <v/>
      </c>
      <c r="BY40" s="32" t="str">
        <f>IFERROR(__xludf.DUMMYFUNCTION("IFNA(SUM(FILTER('58 серия'!$B$6:$C$15,'58 серия'!$B$6:$B$15=$C40)), )"),"")</f>
        <v/>
      </c>
      <c r="BZ40" s="46" t="str">
        <f>IFERROR(__xludf.DUMMYFUNCTION("IFNA(SUM(FILTER('59 серия'!$B$6:$C$15,'59 серия'!$B$6:$B$15=C40)), )"),"")</f>
        <v/>
      </c>
      <c r="CA40" s="44">
        <f>IFERROR(__xludf.DUMMYFUNCTION("IFNA(SUM(FILTER('60 серия'!$B$6:$C$15,'60 серия'!$B$6:$B$15=$C40)), )"),22.0)</f>
        <v>22</v>
      </c>
      <c r="CB40" s="4"/>
    </row>
    <row r="41">
      <c r="A41" s="10"/>
      <c r="B41" s="27">
        <f t="shared" si="1"/>
        <v>35</v>
      </c>
      <c r="C41" s="45" t="s">
        <v>113</v>
      </c>
      <c r="D41" s="29">
        <f>'Игроки статистика'!B39</f>
        <v>50</v>
      </c>
      <c r="E41" s="30">
        <f t="shared" si="2"/>
        <v>209.75</v>
      </c>
      <c r="F41" s="31">
        <f t="shared" si="3"/>
        <v>20.975</v>
      </c>
      <c r="G41" s="46">
        <f t="shared" si="4"/>
        <v>3.145</v>
      </c>
      <c r="H41" s="46">
        <f>SUMIFS('Все игры'!C$3:C1011,'Все игры'!A$3:A1011,C41)</f>
        <v>52.5</v>
      </c>
      <c r="I41" s="46">
        <f t="shared" si="5"/>
        <v>149.75</v>
      </c>
      <c r="J41" s="47">
        <f>SUMIFS('Все игры'!F$3:F1011,'Все игры'!A$3:A1011,C41)</f>
        <v>1</v>
      </c>
      <c r="K41" s="48">
        <f>SUMIFS('Все игры'!G$3:G1011,'Все игры'!A$3:A1011,C41)</f>
        <v>6.5</v>
      </c>
      <c r="L41" s="35">
        <f>'Игроки статистика'!G39</f>
        <v>11</v>
      </c>
      <c r="M41" s="36">
        <f t="shared" si="6"/>
        <v>21</v>
      </c>
      <c r="N41" s="36">
        <f>SUM('Игроки статистика'!O39,'Игроки статистика'!Q39)</f>
        <v>5</v>
      </c>
      <c r="O41" s="37">
        <f>SUM('Игроки статистика'!P39,'Игроки статистика'!R39)</f>
        <v>6</v>
      </c>
      <c r="P41" s="38" t="str">
        <f>IFERROR(__xludf.DUMMYFUNCTION("IFNA(SUM(FILTER('Штрафы'!$D$5:$D1011,'Штрафы'!$C$5:$C1011=C41)), )"),"")</f>
        <v/>
      </c>
      <c r="Q41" s="38" t="str">
        <f>IFERROR(__xludf.DUMMYFUNCTION("IFNA(SUM(FILTER('Штрафы'!$F$5:$F1011,'Штрафы'!$C$5:$C1011=C41)), )"),"")</f>
        <v/>
      </c>
      <c r="R41" s="39"/>
      <c r="S41" s="40"/>
      <c r="T41" s="31" t="str">
        <f>IFERROR(__xludf.DUMMYFUNCTION("IFNA(SUM(FILTER('1 серия'!$B$6:$C$15,'1 серия'!$B$6:$B$15=C41)), )"),"")</f>
        <v/>
      </c>
      <c r="U41" s="32" t="str">
        <f>IFERROR(__xludf.DUMMYFUNCTION("IFNA(SUM(FILTER('2 серия'!$B$6:$C$15,'2 серия'!$B$6:$B$15=C41)), )
"),"")</f>
        <v/>
      </c>
      <c r="V41" s="32" t="str">
        <f>IFERROR(__xludf.DUMMYFUNCTION("IFNA(SUM(FILTER('3 серия'!$B$6:$C$15,'3 серия'!$B$6:$B$15=C41)), )
"),"")</f>
        <v/>
      </c>
      <c r="W41" s="32" t="str">
        <f>IFERROR(__xludf.DUMMYFUNCTION("IFNA(SUM(FILTER('4 серия'!$B$6:$C$15,'4 серия'!$B$6:$B$15=C41)), )"),"")</f>
        <v/>
      </c>
      <c r="X41" s="32" t="str">
        <f>IFERROR(__xludf.DUMMYFUNCTION("IFNA(SUM(FILTER('5 серия'!$B$6:$C$15,'5 серия'!$B$6:$B$15=C41)), )"),"")</f>
        <v/>
      </c>
      <c r="Y41" s="32" t="str">
        <f>IFERROR(__xludf.DUMMYFUNCTION("IFNA(SUM(FILTER('6 серия'!$B$6:$C$15,'6 серия'!$B$6:$B$15=C41)), )"),"")</f>
        <v/>
      </c>
      <c r="Z41" s="32" t="str">
        <f>IFERROR(__xludf.DUMMYFUNCTION("IFNA(SUM(FILTER('7 серия'!$B$6:$C$15,'7 серия'!$B$6:$B$15=C41)), )"),"")</f>
        <v/>
      </c>
      <c r="AA41" s="32" t="str">
        <f>IFERROR(__xludf.DUMMYFUNCTION("IFNA(SUM(FILTER('8 серия'!$B$6:$C$15,'8 серия'!$B$6:$B$15=C41)), )"),"")</f>
        <v/>
      </c>
      <c r="AB41" s="32" t="str">
        <f>IFERROR(__xludf.DUMMYFUNCTION("IFNA(SUM(FILTER('9 серия'!$B$7:$C$16,'9 серия'!$B$7:$B$16=C41)), )"),"")</f>
        <v/>
      </c>
      <c r="AC41" s="32" t="str">
        <f>IFERROR(__xludf.DUMMYFUNCTION("IFNA(SUM(FILTER('10 серия'!$B$6:$C$15,'10 серия'!$B$6:$B$15=C41)), )"),"")</f>
        <v/>
      </c>
      <c r="AD41" s="32" t="str">
        <f>IFERROR(__xludf.DUMMYFUNCTION("IFNA(SUM(FILTER('11 серия'!$B$6:$C$15,'11 серия'!$B$6:$B$15=C41)), )"),"")</f>
        <v/>
      </c>
      <c r="AE41" s="32" t="str">
        <f>IFERROR(__xludf.DUMMYFUNCTION("IFNA(SUM(FILTER('12 серия'!$B$6:$C$15,'12 серия'!$B$6:$B$15=C41)), )"),"")</f>
        <v/>
      </c>
      <c r="AF41" s="32" t="str">
        <f>IFERROR(__xludf.DUMMYFUNCTION("IFNA(SUM(FILTER('13 серия'!$B$6:$C$15,'13 серия'!$B$6:$B$15=C41)), )"),"")</f>
        <v/>
      </c>
      <c r="AG41" s="32" t="str">
        <f>IFERROR(__xludf.DUMMYFUNCTION("IFNA(SUM(FILTER('14 серия'!$B$6:$C$15,'14 серия'!$B$6:$B$15=C41)), )"),"")</f>
        <v/>
      </c>
      <c r="AH41" s="32" t="str">
        <f>IFERROR(__xludf.DUMMYFUNCTION("IFNA(SUM(FILTER('15 серия'!$B$6:$C$15,'15 серия'!$B$6:$B$15=C41)), )"),"")</f>
        <v/>
      </c>
      <c r="AI41" s="32">
        <f>IFERROR(__xludf.DUMMYFUNCTION("IFNA(SUM(FILTER('16 серия'!$B$6:$C$15,'16 серия'!$B$6:$B$15=C41)), )"),21.0)</f>
        <v>21</v>
      </c>
      <c r="AJ41" s="32" t="str">
        <f>IFERROR(__xludf.DUMMYFUNCTION("IFNA(SUM(FILTER('17 серия'!$B$6:$C$15,'17 серия'!$B$6:$B$15=C41)), )"),"")</f>
        <v/>
      </c>
      <c r="AK41" s="32" t="str">
        <f>IFERROR(__xludf.DUMMYFUNCTION("IFNA(SUM(FILTER('18 серия'!$B$6:$C$15,'18 серия'!$B$6:$B$15=C41)), )"),"")</f>
        <v/>
      </c>
      <c r="AL41" s="32">
        <f>IFERROR(__xludf.DUMMYFUNCTION("IFNA(SUM(FILTER('19 серия'!$B$6:$C$15,'19 серия'!$B$6:$B$15=C41)), )"),14.75)</f>
        <v>14.75</v>
      </c>
      <c r="AM41" s="32" t="str">
        <f>IFERROR(__xludf.DUMMYFUNCTION("IFNA(SUM(FILTER('20 серия'!$B$6:$C$15,'20 серия'!$B$6:$B$15=C41)), )"),"")</f>
        <v/>
      </c>
      <c r="AN41" s="32">
        <f>IFERROR(__xludf.DUMMYFUNCTION("IFNA(SUM(FILTER('21 серия'!$B$6:$C$15,'21 серия'!$B$6:$B$15=C41)), )"),19.5)</f>
        <v>19.5</v>
      </c>
      <c r="AO41" s="32">
        <f>IFERROR(__xludf.DUMMYFUNCTION("IFNA(SUM(FILTER('22 серия'!$B$6:$C$15,'22 серия'!$B$6:$B$15=C41)), )"),22.0)</f>
        <v>22</v>
      </c>
      <c r="AP41" s="32">
        <f>IFERROR(__xludf.DUMMYFUNCTION("IFNA(SUM(FILTER('23 серия'!$B$6:$C$15,'23 серия'!$B$6:$B$15=C41)), )"),25.75)</f>
        <v>25.75</v>
      </c>
      <c r="AQ41" s="32" t="str">
        <f>IFERROR(__xludf.DUMMYFUNCTION("IFNA(SUM(FILTER('24 серия'!$B$6:$C$15,'24 серия'!$B$6:$B$15=C41)), )"),"")</f>
        <v/>
      </c>
      <c r="AR41" s="32" t="str">
        <f>IFERROR(__xludf.DUMMYFUNCTION("IFNA(SUM(FILTER('25 серия'!$B$6:$C$15,'25 серия'!$B$6:$B$15=C41)), )"),"")</f>
        <v/>
      </c>
      <c r="AS41" s="32">
        <f>IFERROR(__xludf.DUMMYFUNCTION("IFNA(SUM(FILTER('26 серия'!$B$6:$C$15,'26 серия'!$B$6:$B$15=C41)), )"),18.75)</f>
        <v>18.75</v>
      </c>
      <c r="AT41" s="32" t="str">
        <f>IFERROR(__xludf.DUMMYFUNCTION("IFNA(SUM(FILTER('27 серия'!$B$6:$C$15,'27 серия'!$B$6:$B$15=C41)), )"),"")</f>
        <v/>
      </c>
      <c r="AU41" s="32" t="str">
        <f>IFERROR(__xludf.DUMMYFUNCTION("IFNA(SUM(FILTER('28 серия'!$B$6:$C$15,'28 серия'!$B$6:$B$15=C41)), )"),"")</f>
        <v/>
      </c>
      <c r="AV41" s="32" t="str">
        <f>IFERROR(__xludf.DUMMYFUNCTION("IFNA(SUM(FILTER('29 серия'!$B$6:$C$15,'29 серия'!$B$6:$B$15=C41)), )"),"")</f>
        <v/>
      </c>
      <c r="AW41" s="32" t="str">
        <f>IFERROR(__xludf.DUMMYFUNCTION("IFNA(SUM(FILTER('30 серия'!$B$6:$C$15,'30 серия'!$B$6:$B$15=C41)), )"),"")</f>
        <v/>
      </c>
      <c r="AX41" s="32" t="str">
        <f>IFERROR(__xludf.DUMMYFUNCTION("IFNA(SUM(FILTER('31 серия'!$B$6:$C$15,'31 серия'!$B$6:$B$15=C41)), )"),"")</f>
        <v/>
      </c>
      <c r="AY41" s="32" t="str">
        <f>IFERROR(__xludf.DUMMYFUNCTION("IFNA(SUM(FILTER('32 серия'!$B$6:$C$15,'32 серия'!$B$6:$B$15=C41)), )"),"")</f>
        <v/>
      </c>
      <c r="AZ41" s="32">
        <f>IFERROR(__xludf.DUMMYFUNCTION("IFNA(SUM(FILTER('33 серия'!$B$6:$C$15,'33 серия'!$B$6:$B$15=C41)), )"),21.75)</f>
        <v>21.75</v>
      </c>
      <c r="BA41" s="32" t="str">
        <f>IFERROR(__xludf.DUMMYFUNCTION("IFNA(SUM(FILTER('34 серия'!$B$6:$C$15,'34 серия'!$B$6:$B$15=C41)), )"),"")</f>
        <v/>
      </c>
      <c r="BB41" s="32" t="str">
        <f>IFERROR(__xludf.DUMMYFUNCTION("IFNA(SUM(FILTER('35 серия'!$B$6:$C$15,'35 серия'!$B$6:$B$15=C41)), )"),"")</f>
        <v/>
      </c>
      <c r="BC41" s="32" t="str">
        <f>IFERROR(__xludf.DUMMYFUNCTION("IFNA(SUM(FILTER('36 серия'!$B$6:$C$15,'36 серия'!$B$6:$B$15=C41)), )"),"")</f>
        <v/>
      </c>
      <c r="BD41" s="32">
        <f>IFERROR(__xludf.DUMMYFUNCTION("IFNA(SUM(FILTER('37 серия'!$B$6:$C$15,'37 серия'!$B$6:$B$15=C41)), )"),20.5)</f>
        <v>20.5</v>
      </c>
      <c r="BE41" s="32" t="str">
        <f>IFERROR(__xludf.DUMMYFUNCTION("IFNA(SUM(FILTER('38 серия'!$B$6:$C$15,'38 серия'!$B$6:$B$15=C41)), )"),"")</f>
        <v/>
      </c>
      <c r="BF41" s="32" t="str">
        <f>IFERROR(__xludf.DUMMYFUNCTION("IFNA(SUM(FILTER('39 серия'!$B$6:$C$15,'39 серия'!$B$6:$B$15=C41)), )"),"")</f>
        <v/>
      </c>
      <c r="BG41" s="32" t="str">
        <f>IFERROR(__xludf.DUMMYFUNCTION("IFNA(SUM(FILTER('40 серия'!$B$6:$C$15,'40 серия'!$B$6:$B$15=C41)), )"),"")</f>
        <v/>
      </c>
      <c r="BH41" s="32">
        <f>IFERROR(__xludf.DUMMYFUNCTION("IFNA(SUM(FILTER('41 серия'!$B$6:$C$15,'41 серия'!$B$6:$B$15=C41)), )"),24.25)</f>
        <v>24.25</v>
      </c>
      <c r="BI41" s="32" t="str">
        <f>IFERROR(__xludf.DUMMYFUNCTION("IFNA(SUM(FILTER('42 серия'!$B$6:$C$15,'42 серия'!$B$6:$B$15=C41)), )"),"")</f>
        <v/>
      </c>
      <c r="BJ41" s="32" t="str">
        <f>IFERROR(__xludf.DUMMYFUNCTION("IFNA(SUM(FILTER('43 серия'!$B$6:$C$15,'43 серия'!$B$6:$B$15=C41)), )"),"")</f>
        <v/>
      </c>
      <c r="BK41" s="32" t="str">
        <f>IFERROR(__xludf.DUMMYFUNCTION("IFNA(SUM(FILTER('44 серия'!$B$6:$C$15,'44 серия'!$B$6:$B$15=C41)), )"),"")</f>
        <v/>
      </c>
      <c r="BL41" s="32">
        <f>IFERROR(__xludf.DUMMYFUNCTION("IFNA(SUM(FILTER('45 серия'!$B$6:$C$15,'45 серия'!$B$6:$B$15=C41)), )"),21.5)</f>
        <v>21.5</v>
      </c>
      <c r="BM41" s="32" t="str">
        <f>IFERROR(__xludf.DUMMYFUNCTION("IFNA(SUM(FILTER('46 серия'!$B$6:$C$15,'46 серия'!$B$6:$B$15=C41)), )"),"")</f>
        <v/>
      </c>
      <c r="BN41" s="32" t="str">
        <f>IFERROR(__xludf.DUMMYFUNCTION("IFNA(SUM(FILTER('47 серия'!$B$6:$C$15,'47 серия'!$B$6:$B$15=C41)), )"),"")</f>
        <v/>
      </c>
      <c r="BO41" s="42" t="str">
        <f>IFERROR(__xludf.DUMMYFUNCTION("IFNA(SUM(FILTER('48 серия'!$B$6:$C$15,'48 серия'!$B$6:$B$15=$C41)), )"),"")</f>
        <v/>
      </c>
      <c r="BP41" s="43" t="str">
        <f>IFERROR(__xludf.DUMMYFUNCTION("IFNA(SUM(FILTER('49 серия'!$B$6:$C$15,'49 серия'!$B$6:$B$15=$C41)), )"),"")</f>
        <v/>
      </c>
      <c r="BQ41" s="43" t="str">
        <f>IFERROR(__xludf.DUMMYFUNCTION("IFNA(SUM(FILTER('50 серия'!$B$6:$C$15,'50 серия'!$B$6:$B$15=$C41)), )"),"")</f>
        <v/>
      </c>
      <c r="BR41" s="43" t="str">
        <f>IFERROR(__xludf.DUMMYFUNCTION("IFNA(SUM(FILTER('51 серия'!$B$6:$C$15,'51 серия'!$B$6:$B$15=$C41)), )"),"")</f>
        <v/>
      </c>
      <c r="BS41" s="49" t="str">
        <f>IFERROR(__xludf.DUMMYFUNCTION("IFNA(SUM(FILTER('52 серия'!$B$6:$C$15,'52 серия'!$B$6:$B$15=C41)), )"),"")</f>
        <v/>
      </c>
      <c r="BT41" s="32" t="str">
        <f>IFERROR(__xludf.DUMMYFUNCTION("IFNA(SUM(FILTER('53 серия'!$B$6:$C$15,'53 серия'!$B$6:$B$15=$C41)), )"),"")</f>
        <v/>
      </c>
      <c r="BU41" s="32" t="str">
        <f>IFERROR(__xludf.DUMMYFUNCTION("IFNA(SUM(FILTER('54 серия'!$B$6:$C$15,'54 серия'!$B$6:$B$15=$C41)), )"),"")</f>
        <v/>
      </c>
      <c r="BV41" s="32" t="str">
        <f>IFERROR(__xludf.DUMMYFUNCTION("IFNA(SUM(FILTER('55 серия'!$B$6:$C$15,'55 серия'!$B$6:$B$15=$C41)), )"),"")</f>
        <v/>
      </c>
      <c r="BW41" s="32" t="str">
        <f>IFERROR(__xludf.DUMMYFUNCTION("IFNA(SUM(FILTER('56 серия'!$B$6:$C$15,'56 серия'!$B$6:$B$15=$C41)), )"),"")</f>
        <v/>
      </c>
      <c r="BX41" s="32" t="str">
        <f>IFERROR(__xludf.DUMMYFUNCTION("IFNA(SUM(FILTER('57 серия'!$B$6:$C$15,'57 серия'!$B$6:$B$15=$C41)), )"),"")</f>
        <v/>
      </c>
      <c r="BY41" s="32" t="str">
        <f>IFERROR(__xludf.DUMMYFUNCTION("IFNA(SUM(FILTER('58 серия'!$B$6:$C$15,'58 серия'!$B$6:$B$15=$C41)), )"),"")</f>
        <v/>
      </c>
      <c r="BZ41" s="46" t="str">
        <f>IFERROR(__xludf.DUMMYFUNCTION("IFNA(SUM(FILTER('59 серия'!$B$6:$C$15,'59 серия'!$B$6:$B$15=C41)), )"),"")</f>
        <v/>
      </c>
      <c r="CA41" s="44" t="str">
        <f>IFERROR(__xludf.DUMMYFUNCTION("IFNA(SUM(FILTER('60 серия'!$B$6:$C$15,'60 серия'!$B$6:$B$15=$C41)), )"),"")</f>
        <v/>
      </c>
      <c r="CB41" s="4"/>
    </row>
    <row r="42">
      <c r="A42" s="10"/>
      <c r="B42" s="27">
        <f t="shared" si="1"/>
        <v>36</v>
      </c>
      <c r="C42" s="52" t="s">
        <v>114</v>
      </c>
      <c r="D42" s="29">
        <f>'Игроки статистика'!B40</f>
        <v>50</v>
      </c>
      <c r="E42" s="30">
        <f t="shared" si="2"/>
        <v>224.25</v>
      </c>
      <c r="F42" s="31">
        <f t="shared" si="3"/>
        <v>22.425</v>
      </c>
      <c r="G42" s="46">
        <f t="shared" si="4"/>
        <v>3.085</v>
      </c>
      <c r="H42" s="46">
        <f>SUMIFS('Все игры'!C$3:C1011,'Все игры'!A$3:A1011,C42)</f>
        <v>70</v>
      </c>
      <c r="I42" s="46">
        <f t="shared" si="5"/>
        <v>148.25</v>
      </c>
      <c r="J42" s="47">
        <f>SUMIFS('Все игры'!F$3:F1011,'Все игры'!A$3:A1011,C42)</f>
        <v>2</v>
      </c>
      <c r="K42" s="48">
        <f>SUMIFS('Все игры'!G$3:G1011,'Все игры'!A$3:A1011,C42)</f>
        <v>4</v>
      </c>
      <c r="L42" s="35">
        <f>'Игроки статистика'!G40</f>
        <v>8</v>
      </c>
      <c r="M42" s="36">
        <f t="shared" si="6"/>
        <v>28</v>
      </c>
      <c r="N42" s="36">
        <f>SUM('Игроки статистика'!O40,'Игроки статистика'!Q40)</f>
        <v>5</v>
      </c>
      <c r="O42" s="37">
        <f>SUM('Игроки статистика'!P40,'Игроки статистика'!R40)</f>
        <v>4</v>
      </c>
      <c r="P42" s="38" t="str">
        <f>IFERROR(__xludf.DUMMYFUNCTION("IFNA(SUM(FILTER('Штрафы'!$D$5:$D1011,'Штрафы'!$C$5:$C1011=C42)), )"),"")</f>
        <v/>
      </c>
      <c r="Q42" s="38" t="str">
        <f>IFERROR(__xludf.DUMMYFUNCTION("IFNA(SUM(FILTER('Штрафы'!$F$5:$F1011,'Штрафы'!$C$5:$C1011=C42)), )"),"")</f>
        <v/>
      </c>
      <c r="R42" s="39"/>
      <c r="S42" s="40"/>
      <c r="T42" s="31" t="str">
        <f>IFERROR(__xludf.DUMMYFUNCTION("IFNA(SUM(FILTER('1 серия'!$B$6:$C$15,'1 серия'!$B$6:$B$15=C42)), )"),"")</f>
        <v/>
      </c>
      <c r="U42" s="32" t="str">
        <f>IFERROR(__xludf.DUMMYFUNCTION("IFNA(SUM(FILTER('2 серия'!$B$6:$C$15,'2 серия'!$B$6:$B$15=C42)), )
"),"")</f>
        <v/>
      </c>
      <c r="V42" s="32" t="str">
        <f>IFERROR(__xludf.DUMMYFUNCTION("IFNA(SUM(FILTER('3 серия'!$B$6:$C$15,'3 серия'!$B$6:$B$15=C42)), )
"),"")</f>
        <v/>
      </c>
      <c r="W42" s="32" t="str">
        <f>IFERROR(__xludf.DUMMYFUNCTION("IFNA(SUM(FILTER('4 серия'!$B$6:$C$15,'4 серия'!$B$6:$B$15=C42)), )"),"")</f>
        <v/>
      </c>
      <c r="X42" s="32" t="str">
        <f>IFERROR(__xludf.DUMMYFUNCTION("IFNA(SUM(FILTER('5 серия'!$B$6:$C$15,'5 серия'!$B$6:$B$15=C42)), )"),"")</f>
        <v/>
      </c>
      <c r="Y42" s="32" t="str">
        <f>IFERROR(__xludf.DUMMYFUNCTION("IFNA(SUM(FILTER('6 серия'!$B$6:$C$15,'6 серия'!$B$6:$B$15=C42)), )"),"")</f>
        <v/>
      </c>
      <c r="Z42" s="32" t="str">
        <f>IFERROR(__xludf.DUMMYFUNCTION("IFNA(SUM(FILTER('7 серия'!$B$6:$C$15,'7 серия'!$B$6:$B$15=C42)), )"),"")</f>
        <v/>
      </c>
      <c r="AA42" s="32" t="str">
        <f>IFERROR(__xludf.DUMMYFUNCTION("IFNA(SUM(FILTER('8 серия'!$B$6:$C$15,'8 серия'!$B$6:$B$15=C42)), )"),"")</f>
        <v/>
      </c>
      <c r="AB42" s="32" t="str">
        <f>IFERROR(__xludf.DUMMYFUNCTION("IFNA(SUM(FILTER('9 серия'!$B$7:$C$16,'9 серия'!$B$7:$B$16=C42)), )"),"")</f>
        <v/>
      </c>
      <c r="AC42" s="32" t="str">
        <f>IFERROR(__xludf.DUMMYFUNCTION("IFNA(SUM(FILTER('10 серия'!$B$6:$C$15,'10 серия'!$B$6:$B$15=C42)), )"),"")</f>
        <v/>
      </c>
      <c r="AD42" s="32" t="str">
        <f>IFERROR(__xludf.DUMMYFUNCTION("IFNA(SUM(FILTER('11 серия'!$B$6:$C$15,'11 серия'!$B$6:$B$15=C42)), )"),"")</f>
        <v/>
      </c>
      <c r="AE42" s="32" t="str">
        <f>IFERROR(__xludf.DUMMYFUNCTION("IFNA(SUM(FILTER('12 серия'!$B$6:$C$15,'12 серия'!$B$6:$B$15=C42)), )"),"")</f>
        <v/>
      </c>
      <c r="AF42" s="32" t="str">
        <f>IFERROR(__xludf.DUMMYFUNCTION("IFNA(SUM(FILTER('13 серия'!$B$6:$C$15,'13 серия'!$B$6:$B$15=C42)), )"),"")</f>
        <v/>
      </c>
      <c r="AG42" s="32" t="str">
        <f>IFERROR(__xludf.DUMMYFUNCTION("IFNA(SUM(FILTER('14 серия'!$B$6:$C$15,'14 серия'!$B$6:$B$15=C42)), )"),"")</f>
        <v/>
      </c>
      <c r="AH42" s="32" t="str">
        <f>IFERROR(__xludf.DUMMYFUNCTION("IFNA(SUM(FILTER('15 серия'!$B$6:$C$15,'15 серия'!$B$6:$B$15=C42)), )"),"")</f>
        <v/>
      </c>
      <c r="AI42" s="32" t="str">
        <f>IFERROR(__xludf.DUMMYFUNCTION("IFNA(SUM(FILTER('16 серия'!$B$6:$C$15,'16 серия'!$B$6:$B$15=C42)), )"),"")</f>
        <v/>
      </c>
      <c r="AJ42" s="32" t="str">
        <f>IFERROR(__xludf.DUMMYFUNCTION("IFNA(SUM(FILTER('17 серия'!$B$6:$C$15,'17 серия'!$B$6:$B$15=C42)), )"),"")</f>
        <v/>
      </c>
      <c r="AK42" s="32">
        <f>IFERROR(__xludf.DUMMYFUNCTION("IFNA(SUM(FILTER('18 серия'!$B$6:$C$15,'18 серия'!$B$6:$B$15=C42)), )"),18.25)</f>
        <v>18.25</v>
      </c>
      <c r="AL42" s="32">
        <f>IFERROR(__xludf.DUMMYFUNCTION("IFNA(SUM(FILTER('19 серия'!$B$6:$C$15,'19 серия'!$B$6:$B$15=C42)), )"),22.75)</f>
        <v>22.75</v>
      </c>
      <c r="AM42" s="32">
        <f>IFERROR(__xludf.DUMMYFUNCTION("IFNA(SUM(FILTER('20 серия'!$B$6:$C$15,'20 серия'!$B$6:$B$15=C42)), )"),20.5)</f>
        <v>20.5</v>
      </c>
      <c r="AN42" s="32">
        <f>IFERROR(__xludf.DUMMYFUNCTION("IFNA(SUM(FILTER('21 серия'!$B$6:$C$15,'21 серия'!$B$6:$B$15=C42)), )"),29.0)</f>
        <v>29</v>
      </c>
      <c r="AO42" s="32">
        <f>IFERROR(__xludf.DUMMYFUNCTION("IFNA(SUM(FILTER('22 серия'!$B$6:$C$15,'22 серия'!$B$6:$B$15=C42)), )"),19.25)</f>
        <v>19.25</v>
      </c>
      <c r="AP42" s="32" t="str">
        <f>IFERROR(__xludf.DUMMYFUNCTION("IFNA(SUM(FILTER('23 серия'!$B$6:$C$15,'23 серия'!$B$6:$B$15=C42)), )"),"")</f>
        <v/>
      </c>
      <c r="AQ42" s="32" t="str">
        <f>IFERROR(__xludf.DUMMYFUNCTION("IFNA(SUM(FILTER('24 серия'!$B$6:$C$15,'24 серия'!$B$6:$B$15=C42)), )"),"")</f>
        <v/>
      </c>
      <c r="AR42" s="32" t="str">
        <f>IFERROR(__xludf.DUMMYFUNCTION("IFNA(SUM(FILTER('25 серия'!$B$6:$C$15,'25 серия'!$B$6:$B$15=C42)), )"),"")</f>
        <v/>
      </c>
      <c r="AS42" s="32" t="str">
        <f>IFERROR(__xludf.DUMMYFUNCTION("IFNA(SUM(FILTER('26 серия'!$B$6:$C$15,'26 серия'!$B$6:$B$15=C42)), )"),"")</f>
        <v/>
      </c>
      <c r="AT42" s="32" t="str">
        <f>IFERROR(__xludf.DUMMYFUNCTION("IFNA(SUM(FILTER('27 серия'!$B$6:$C$15,'27 серия'!$B$6:$B$15=C42)), )"),"")</f>
        <v/>
      </c>
      <c r="AU42" s="32" t="str">
        <f>IFERROR(__xludf.DUMMYFUNCTION("IFNA(SUM(FILTER('28 серия'!$B$6:$C$15,'28 серия'!$B$6:$B$15=C42)), )"),"")</f>
        <v/>
      </c>
      <c r="AV42" s="32" t="str">
        <f>IFERROR(__xludf.DUMMYFUNCTION("IFNA(SUM(FILTER('29 серия'!$B$6:$C$15,'29 серия'!$B$6:$B$15=C42)), )"),"")</f>
        <v/>
      </c>
      <c r="AW42" s="32" t="str">
        <f>IFERROR(__xludf.DUMMYFUNCTION("IFNA(SUM(FILTER('30 серия'!$B$6:$C$15,'30 серия'!$B$6:$B$15=C42)), )"),"")</f>
        <v/>
      </c>
      <c r="AX42" s="32" t="str">
        <f>IFERROR(__xludf.DUMMYFUNCTION("IFNA(SUM(FILTER('31 серия'!$B$6:$C$15,'31 серия'!$B$6:$B$15=C42)), )"),"")</f>
        <v/>
      </c>
      <c r="AY42" s="32" t="str">
        <f>IFERROR(__xludf.DUMMYFUNCTION("IFNA(SUM(FILTER('32 серия'!$B$6:$C$15,'32 серия'!$B$6:$B$15=C42)), )"),"")</f>
        <v/>
      </c>
      <c r="AZ42" s="32" t="str">
        <f>IFERROR(__xludf.DUMMYFUNCTION("IFNA(SUM(FILTER('33 серия'!$B$6:$C$15,'33 серия'!$B$6:$B$15=C42)), )"),"")</f>
        <v/>
      </c>
      <c r="BA42" s="32" t="str">
        <f>IFERROR(__xludf.DUMMYFUNCTION("IFNA(SUM(FILTER('34 серия'!$B$6:$C$15,'34 серия'!$B$6:$B$15=C42)), )"),"")</f>
        <v/>
      </c>
      <c r="BB42" s="32" t="str">
        <f>IFERROR(__xludf.DUMMYFUNCTION("IFNA(SUM(FILTER('35 серия'!$B$6:$C$15,'35 серия'!$B$6:$B$15=C42)), )"),"")</f>
        <v/>
      </c>
      <c r="BC42" s="32" t="str">
        <f>IFERROR(__xludf.DUMMYFUNCTION("IFNA(SUM(FILTER('36 серия'!$B$6:$C$15,'36 серия'!$B$6:$B$15=C42)), )"),"")</f>
        <v/>
      </c>
      <c r="BD42" s="32" t="str">
        <f>IFERROR(__xludf.DUMMYFUNCTION("IFNA(SUM(FILTER('37 серия'!$B$6:$C$15,'37 серия'!$B$6:$B$15=C42)), )"),"")</f>
        <v/>
      </c>
      <c r="BE42" s="32" t="str">
        <f>IFERROR(__xludf.DUMMYFUNCTION("IFNA(SUM(FILTER('38 серия'!$B$6:$C$15,'38 серия'!$B$6:$B$15=C42)), )"),"")</f>
        <v/>
      </c>
      <c r="BF42" s="32" t="str">
        <f>IFERROR(__xludf.DUMMYFUNCTION("IFNA(SUM(FILTER('39 серия'!$B$6:$C$15,'39 серия'!$B$6:$B$15=C42)), )"),"")</f>
        <v/>
      </c>
      <c r="BG42" s="32" t="str">
        <f>IFERROR(__xludf.DUMMYFUNCTION("IFNA(SUM(FILTER('40 серия'!$B$6:$C$15,'40 серия'!$B$6:$B$15=C42)), )"),"")</f>
        <v/>
      </c>
      <c r="BH42" s="32" t="str">
        <f>IFERROR(__xludf.DUMMYFUNCTION("IFNA(SUM(FILTER('41 серия'!$B$6:$C$15,'41 серия'!$B$6:$B$15=C42)), )"),"")</f>
        <v/>
      </c>
      <c r="BI42" s="32" t="str">
        <f>IFERROR(__xludf.DUMMYFUNCTION("IFNA(SUM(FILTER('42 серия'!$B$6:$C$15,'42 серия'!$B$6:$B$15=C42)), )"),"")</f>
        <v/>
      </c>
      <c r="BJ42" s="32" t="str">
        <f>IFERROR(__xludf.DUMMYFUNCTION("IFNA(SUM(FILTER('43 серия'!$B$6:$C$15,'43 серия'!$B$6:$B$15=C42)), )"),"")</f>
        <v/>
      </c>
      <c r="BK42" s="32" t="str">
        <f>IFERROR(__xludf.DUMMYFUNCTION("IFNA(SUM(FILTER('44 серия'!$B$6:$C$15,'44 серия'!$B$6:$B$15=C42)), )"),"")</f>
        <v/>
      </c>
      <c r="BL42" s="32" t="str">
        <f>IFERROR(__xludf.DUMMYFUNCTION("IFNA(SUM(FILTER('45 серия'!$B$6:$C$15,'45 серия'!$B$6:$B$15=C42)), )"),"")</f>
        <v/>
      </c>
      <c r="BM42" s="32" t="str">
        <f>IFERROR(__xludf.DUMMYFUNCTION("IFNA(SUM(FILTER('46 серия'!$B$6:$C$15,'46 серия'!$B$6:$B$15=C42)), )"),"")</f>
        <v/>
      </c>
      <c r="BN42" s="32" t="str">
        <f>IFERROR(__xludf.DUMMYFUNCTION("IFNA(SUM(FILTER('47 серия'!$B$6:$C$15,'47 серия'!$B$6:$B$15=C42)), )"),"")</f>
        <v/>
      </c>
      <c r="BO42" s="42" t="str">
        <f>IFERROR(__xludf.DUMMYFUNCTION("IFNA(SUM(FILTER('48 серия'!$B$6:$C$15,'48 серия'!$B$6:$B$15=$C42)), )"),"")</f>
        <v/>
      </c>
      <c r="BP42" s="43" t="str">
        <f>IFERROR(__xludf.DUMMYFUNCTION("IFNA(SUM(FILTER('49 серия'!$B$6:$C$15,'49 серия'!$B$6:$B$15=$C42)), )"),"")</f>
        <v/>
      </c>
      <c r="BQ42" s="43" t="str">
        <f>IFERROR(__xludf.DUMMYFUNCTION("IFNA(SUM(FILTER('50 серия'!$B$6:$C$15,'50 серия'!$B$6:$B$15=$C42)), )"),"")</f>
        <v/>
      </c>
      <c r="BR42" s="43" t="str">
        <f>IFERROR(__xludf.DUMMYFUNCTION("IFNA(SUM(FILTER('51 серия'!$B$6:$C$15,'51 серия'!$B$6:$B$15=$C42)), )"),"")</f>
        <v/>
      </c>
      <c r="BS42" s="49" t="str">
        <f>IFERROR(__xludf.DUMMYFUNCTION("IFNA(SUM(FILTER('52 серия'!$B$6:$C$15,'52 серия'!$B$6:$B$15=C42)), )"),"")</f>
        <v/>
      </c>
      <c r="BT42" s="32">
        <f>IFERROR(__xludf.DUMMYFUNCTION("IFNA(SUM(FILTER('53 серия'!$B$6:$C$15,'53 серия'!$B$6:$B$15=$C42)), )"),22.25)</f>
        <v>22.25</v>
      </c>
      <c r="BU42" s="32">
        <f>IFERROR(__xludf.DUMMYFUNCTION("IFNA(SUM(FILTER('54 серия'!$B$6:$C$15,'54 серия'!$B$6:$B$15=$C42)), )"),19.5)</f>
        <v>19.5</v>
      </c>
      <c r="BV42" s="32">
        <f>IFERROR(__xludf.DUMMYFUNCTION("IFNA(SUM(FILTER('55 серия'!$B$6:$C$15,'55 серия'!$B$6:$B$15=$C42)), )"),27.75)</f>
        <v>27.75</v>
      </c>
      <c r="BW42" s="32">
        <f>IFERROR(__xludf.DUMMYFUNCTION("IFNA(SUM(FILTER('56 серия'!$B$6:$C$15,'56 серия'!$B$6:$B$15=$C42)), )"),22.0)</f>
        <v>22</v>
      </c>
      <c r="BX42" s="32">
        <f>IFERROR(__xludf.DUMMYFUNCTION("IFNA(SUM(FILTER('57 серия'!$B$6:$C$15,'57 серия'!$B$6:$B$15=$C42)), )"),23.0)</f>
        <v>23</v>
      </c>
      <c r="BY42" s="32" t="str">
        <f>IFERROR(__xludf.DUMMYFUNCTION("IFNA(SUM(FILTER('58 серия'!$B$6:$C$15,'58 серия'!$B$6:$B$15=$C42)), )"),"")</f>
        <v/>
      </c>
      <c r="BZ42" s="46" t="str">
        <f>IFERROR(__xludf.DUMMYFUNCTION("IFNA(SUM(FILTER('59 серия'!$B$6:$C$15,'59 серия'!$B$6:$B$15=C42)), )"),"")</f>
        <v/>
      </c>
      <c r="CA42" s="44" t="str">
        <f>IFERROR(__xludf.DUMMYFUNCTION("IFNA(SUM(FILTER('60 серия'!$B$6:$C$15,'60 серия'!$B$6:$B$15=$C42)), )"),"")</f>
        <v/>
      </c>
      <c r="CB42" s="4"/>
    </row>
    <row r="43">
      <c r="A43" s="10"/>
      <c r="B43" s="27">
        <f t="shared" si="1"/>
        <v>37</v>
      </c>
      <c r="C43" s="45" t="s">
        <v>115</v>
      </c>
      <c r="D43" s="29">
        <f>'Игроки статистика'!B41</f>
        <v>50</v>
      </c>
      <c r="E43" s="30">
        <f t="shared" si="2"/>
        <v>195.5</v>
      </c>
      <c r="F43" s="31">
        <f t="shared" si="3"/>
        <v>19.55</v>
      </c>
      <c r="G43" s="46">
        <f t="shared" si="4"/>
        <v>2.66</v>
      </c>
      <c r="H43" s="46">
        <f>SUMIFS('Все игры'!C$3:C1011,'Все игры'!A$3:A1011,C43)</f>
        <v>62.5</v>
      </c>
      <c r="I43" s="46">
        <f t="shared" si="5"/>
        <v>132.5</v>
      </c>
      <c r="J43" s="47">
        <f>SUMIFS('Все игры'!F$3:F1011,'Все игры'!A$3:A1011,C43)</f>
        <v>0</v>
      </c>
      <c r="K43" s="48">
        <f>SUMIFS('Все игры'!G$3:G1011,'Все игры'!A$3:A1011,C43)</f>
        <v>0.5</v>
      </c>
      <c r="L43" s="35">
        <f>'Игроки статистика'!G41</f>
        <v>1</v>
      </c>
      <c r="M43" s="36">
        <f t="shared" si="6"/>
        <v>25</v>
      </c>
      <c r="N43" s="36">
        <f>SUM('Игроки статистика'!O41,'Игроки статистика'!Q41)</f>
        <v>9</v>
      </c>
      <c r="O43" s="37">
        <f>SUM('Игроки статистика'!P41,'Игроки статистика'!R41)</f>
        <v>1</v>
      </c>
      <c r="P43" s="38" t="str">
        <f>IFERROR(__xludf.DUMMYFUNCTION("IFNA(SUM(FILTER('Штрафы'!$D$5:$D1011,'Штрафы'!$C$5:$C1011=C43)), )"),"")</f>
        <v/>
      </c>
      <c r="Q43" s="38" t="str">
        <f>IFERROR(__xludf.DUMMYFUNCTION("IFNA(SUM(FILTER('Штрафы'!$F$5:$F1011,'Штрафы'!$C$5:$C1011=C43)), )"),"")</f>
        <v/>
      </c>
      <c r="R43" s="39"/>
      <c r="S43" s="40"/>
      <c r="T43" s="31" t="str">
        <f>IFERROR(__xludf.DUMMYFUNCTION("IFNA(SUM(FILTER('1 серия'!$B$6:$C$15,'1 серия'!$B$6:$B$15=C43)), )"),"")</f>
        <v/>
      </c>
      <c r="U43" s="32" t="str">
        <f>IFERROR(__xludf.DUMMYFUNCTION("IFNA(SUM(FILTER('2 серия'!$B$6:$C$15,'2 серия'!$B$6:$B$15=C43)), )
"),"")</f>
        <v/>
      </c>
      <c r="V43" s="32" t="str">
        <f>IFERROR(__xludf.DUMMYFUNCTION("IFNA(SUM(FILTER('3 серия'!$B$6:$C$15,'3 серия'!$B$6:$B$15=C43)), )
"),"")</f>
        <v/>
      </c>
      <c r="W43" s="32" t="str">
        <f>IFERROR(__xludf.DUMMYFUNCTION("IFNA(SUM(FILTER('4 серия'!$B$6:$C$15,'4 серия'!$B$6:$B$15=C43)), )"),"")</f>
        <v/>
      </c>
      <c r="X43" s="32" t="str">
        <f>IFERROR(__xludf.DUMMYFUNCTION("IFNA(SUM(FILTER('5 серия'!$B$6:$C$15,'5 серия'!$B$6:$B$15=C43)), )"),"")</f>
        <v/>
      </c>
      <c r="Y43" s="32" t="str">
        <f>IFERROR(__xludf.DUMMYFUNCTION("IFNA(SUM(FILTER('6 серия'!$B$6:$C$15,'6 серия'!$B$6:$B$15=C43)), )"),"")</f>
        <v/>
      </c>
      <c r="Z43" s="32" t="str">
        <f>IFERROR(__xludf.DUMMYFUNCTION("IFNA(SUM(FILTER('7 серия'!$B$6:$C$15,'7 серия'!$B$6:$B$15=C43)), )"),"")</f>
        <v/>
      </c>
      <c r="AA43" s="32" t="str">
        <f>IFERROR(__xludf.DUMMYFUNCTION("IFNA(SUM(FILTER('8 серия'!$B$6:$C$15,'8 серия'!$B$6:$B$15=C43)), )"),"")</f>
        <v/>
      </c>
      <c r="AB43" s="32" t="str">
        <f>IFERROR(__xludf.DUMMYFUNCTION("IFNA(SUM(FILTER('9 серия'!$B$7:$C$16,'9 серия'!$B$7:$B$16=C43)), )"),"")</f>
        <v/>
      </c>
      <c r="AC43" s="32" t="str">
        <f>IFERROR(__xludf.DUMMYFUNCTION("IFNA(SUM(FILTER('10 серия'!$B$6:$C$15,'10 серия'!$B$6:$B$15=C43)), )"),"")</f>
        <v/>
      </c>
      <c r="AD43" s="32" t="str">
        <f>IFERROR(__xludf.DUMMYFUNCTION("IFNA(SUM(FILTER('11 серия'!$B$6:$C$15,'11 серия'!$B$6:$B$15=C43)), )"),"")</f>
        <v/>
      </c>
      <c r="AE43" s="32" t="str">
        <f>IFERROR(__xludf.DUMMYFUNCTION("IFNA(SUM(FILTER('12 серия'!$B$6:$C$15,'12 серия'!$B$6:$B$15=C43)), )"),"")</f>
        <v/>
      </c>
      <c r="AF43" s="32" t="str">
        <f>IFERROR(__xludf.DUMMYFUNCTION("IFNA(SUM(FILTER('13 серия'!$B$6:$C$15,'13 серия'!$B$6:$B$15=C43)), )"),"")</f>
        <v/>
      </c>
      <c r="AG43" s="32" t="str">
        <f>IFERROR(__xludf.DUMMYFUNCTION("IFNA(SUM(FILTER('14 серия'!$B$6:$C$15,'14 серия'!$B$6:$B$15=C43)), )"),"")</f>
        <v/>
      </c>
      <c r="AH43" s="32" t="str">
        <f>IFERROR(__xludf.DUMMYFUNCTION("IFNA(SUM(FILTER('15 серия'!$B$6:$C$15,'15 серия'!$B$6:$B$15=C43)), )"),"")</f>
        <v/>
      </c>
      <c r="AI43" s="32" t="str">
        <f>IFERROR(__xludf.DUMMYFUNCTION("IFNA(SUM(FILTER('16 серия'!$B$6:$C$15,'16 серия'!$B$6:$B$15=C43)), )"),"")</f>
        <v/>
      </c>
      <c r="AJ43" s="32" t="str">
        <f>IFERROR(__xludf.DUMMYFUNCTION("IFNA(SUM(FILTER('17 серия'!$B$6:$C$15,'17 серия'!$B$6:$B$15=C43)), )"),"")</f>
        <v/>
      </c>
      <c r="AK43" s="32" t="str">
        <f>IFERROR(__xludf.DUMMYFUNCTION("IFNA(SUM(FILTER('18 серия'!$B$6:$C$15,'18 серия'!$B$6:$B$15=C43)), )"),"")</f>
        <v/>
      </c>
      <c r="AL43" s="32" t="str">
        <f>IFERROR(__xludf.DUMMYFUNCTION("IFNA(SUM(FILTER('19 серия'!$B$6:$C$15,'19 серия'!$B$6:$B$15=C43)), )"),"")</f>
        <v/>
      </c>
      <c r="AM43" s="32" t="str">
        <f>IFERROR(__xludf.DUMMYFUNCTION("IFNA(SUM(FILTER('20 серия'!$B$6:$C$15,'20 серия'!$B$6:$B$15=C43)), )"),"")</f>
        <v/>
      </c>
      <c r="AN43" s="32" t="str">
        <f>IFERROR(__xludf.DUMMYFUNCTION("IFNA(SUM(FILTER('21 серия'!$B$6:$C$15,'21 серия'!$B$6:$B$15=C43)), )"),"")</f>
        <v/>
      </c>
      <c r="AO43" s="32" t="str">
        <f>IFERROR(__xludf.DUMMYFUNCTION("IFNA(SUM(FILTER('22 серия'!$B$6:$C$15,'22 серия'!$B$6:$B$15=C43)), )"),"")</f>
        <v/>
      </c>
      <c r="AP43" s="32" t="str">
        <f>IFERROR(__xludf.DUMMYFUNCTION("IFNA(SUM(FILTER('23 серия'!$B$6:$C$15,'23 серия'!$B$6:$B$15=C43)), )"),"")</f>
        <v/>
      </c>
      <c r="AQ43" s="32" t="str">
        <f>IFERROR(__xludf.DUMMYFUNCTION("IFNA(SUM(FILTER('24 серия'!$B$6:$C$15,'24 серия'!$B$6:$B$15=C43)), )"),"")</f>
        <v/>
      </c>
      <c r="AR43" s="32" t="str">
        <f>IFERROR(__xludf.DUMMYFUNCTION("IFNA(SUM(FILTER('25 серия'!$B$6:$C$15,'25 серия'!$B$6:$B$15=C43)), )"),"")</f>
        <v/>
      </c>
      <c r="AS43" s="32" t="str">
        <f>IFERROR(__xludf.DUMMYFUNCTION("IFNA(SUM(FILTER('26 серия'!$B$6:$C$15,'26 серия'!$B$6:$B$15=C43)), )"),"")</f>
        <v/>
      </c>
      <c r="AT43" s="32" t="str">
        <f>IFERROR(__xludf.DUMMYFUNCTION("IFNA(SUM(FILTER('27 серия'!$B$6:$C$15,'27 серия'!$B$6:$B$15=C43)), )"),"")</f>
        <v/>
      </c>
      <c r="AU43" s="32" t="str">
        <f>IFERROR(__xludf.DUMMYFUNCTION("IFNA(SUM(FILTER('28 серия'!$B$6:$C$15,'28 серия'!$B$6:$B$15=C43)), )"),"")</f>
        <v/>
      </c>
      <c r="AV43" s="32" t="str">
        <f>IFERROR(__xludf.DUMMYFUNCTION("IFNA(SUM(FILTER('29 серия'!$B$6:$C$15,'29 серия'!$B$6:$B$15=C43)), )"),"")</f>
        <v/>
      </c>
      <c r="AW43" s="32" t="str">
        <f>IFERROR(__xludf.DUMMYFUNCTION("IFNA(SUM(FILTER('30 серия'!$B$6:$C$15,'30 серия'!$B$6:$B$15=C43)), )"),"")</f>
        <v/>
      </c>
      <c r="AX43" s="32" t="str">
        <f>IFERROR(__xludf.DUMMYFUNCTION("IFNA(SUM(FILTER('31 серия'!$B$6:$C$15,'31 серия'!$B$6:$B$15=C43)), )"),"")</f>
        <v/>
      </c>
      <c r="AY43" s="32" t="str">
        <f>IFERROR(__xludf.DUMMYFUNCTION("IFNA(SUM(FILTER('32 серия'!$B$6:$C$15,'32 серия'!$B$6:$B$15=C43)), )"),"")</f>
        <v/>
      </c>
      <c r="AZ43" s="32">
        <f>IFERROR(__xludf.DUMMYFUNCTION("IFNA(SUM(FILTER('33 серия'!$B$6:$C$15,'33 серия'!$B$6:$B$15=C43)), )"),15.5)</f>
        <v>15.5</v>
      </c>
      <c r="BA43" s="32">
        <f>IFERROR(__xludf.DUMMYFUNCTION("IFNA(SUM(FILTER('34 серия'!$B$6:$C$15,'34 серия'!$B$6:$B$15=C43)), )"),18.75)</f>
        <v>18.75</v>
      </c>
      <c r="BB43" s="32">
        <f>IFERROR(__xludf.DUMMYFUNCTION("IFNA(SUM(FILTER('35 серия'!$B$6:$C$15,'35 серия'!$B$6:$B$15=C43)), )"),24.75)</f>
        <v>24.75</v>
      </c>
      <c r="BC43" s="32">
        <f>IFERROR(__xludf.DUMMYFUNCTION("IFNA(SUM(FILTER('36 серия'!$B$6:$C$15,'36 серия'!$B$6:$B$15=C43)), )"),16.0)</f>
        <v>16</v>
      </c>
      <c r="BD43" s="32">
        <f>IFERROR(__xludf.DUMMYFUNCTION("IFNA(SUM(FILTER('37 серия'!$B$6:$C$15,'37 серия'!$B$6:$B$15=C43)), )"),17.25)</f>
        <v>17.25</v>
      </c>
      <c r="BE43" s="32" t="str">
        <f>IFERROR(__xludf.DUMMYFUNCTION("IFNA(SUM(FILTER('38 серия'!$B$6:$C$15,'38 серия'!$B$6:$B$15=C43)), )"),"")</f>
        <v/>
      </c>
      <c r="BF43" s="32" t="str">
        <f>IFERROR(__xludf.DUMMYFUNCTION("IFNA(SUM(FILTER('39 серия'!$B$6:$C$15,'39 серия'!$B$6:$B$15=C43)), )"),"")</f>
        <v/>
      </c>
      <c r="BG43" s="32" t="str">
        <f>IFERROR(__xludf.DUMMYFUNCTION("IFNA(SUM(FILTER('40 серия'!$B$6:$C$15,'40 серия'!$B$6:$B$15=C43)), )"),"")</f>
        <v/>
      </c>
      <c r="BH43" s="32" t="str">
        <f>IFERROR(__xludf.DUMMYFUNCTION("IFNA(SUM(FILTER('41 серия'!$B$6:$C$15,'41 серия'!$B$6:$B$15=C43)), )"),"")</f>
        <v/>
      </c>
      <c r="BI43" s="32" t="str">
        <f>IFERROR(__xludf.DUMMYFUNCTION("IFNA(SUM(FILTER('42 серия'!$B$6:$C$15,'42 серия'!$B$6:$B$15=C43)), )"),"")</f>
        <v/>
      </c>
      <c r="BJ43" s="32" t="str">
        <f>IFERROR(__xludf.DUMMYFUNCTION("IFNA(SUM(FILTER('43 серия'!$B$6:$C$15,'43 серия'!$B$6:$B$15=C43)), )"),"")</f>
        <v/>
      </c>
      <c r="BK43" s="32" t="str">
        <f>IFERROR(__xludf.DUMMYFUNCTION("IFNA(SUM(FILTER('44 серия'!$B$6:$C$15,'44 серия'!$B$6:$B$15=C43)), )"),"")</f>
        <v/>
      </c>
      <c r="BL43" s="32" t="str">
        <f>IFERROR(__xludf.DUMMYFUNCTION("IFNA(SUM(FILTER('45 серия'!$B$6:$C$15,'45 серия'!$B$6:$B$15=C43)), )"),"")</f>
        <v/>
      </c>
      <c r="BM43" s="32" t="str">
        <f>IFERROR(__xludf.DUMMYFUNCTION("IFNA(SUM(FILTER('46 серия'!$B$6:$C$15,'46 серия'!$B$6:$B$15=C43)), )"),"")</f>
        <v/>
      </c>
      <c r="BN43" s="32" t="str">
        <f>IFERROR(__xludf.DUMMYFUNCTION("IFNA(SUM(FILTER('47 серия'!$B$6:$C$15,'47 серия'!$B$6:$B$15=C43)), )"),"")</f>
        <v/>
      </c>
      <c r="BO43" s="42" t="str">
        <f>IFERROR(__xludf.DUMMYFUNCTION("IFNA(SUM(FILTER('48 серия'!$B$6:$C$15,'48 серия'!$B$6:$B$15=$C43)), )"),"")</f>
        <v/>
      </c>
      <c r="BP43" s="43" t="str">
        <f>IFERROR(__xludf.DUMMYFUNCTION("IFNA(SUM(FILTER('49 серия'!$B$6:$C$15,'49 серия'!$B$6:$B$15=$C43)), )"),"")</f>
        <v/>
      </c>
      <c r="BQ43" s="43" t="str">
        <f>IFERROR(__xludf.DUMMYFUNCTION("IFNA(SUM(FILTER('50 серия'!$B$6:$C$15,'50 серия'!$B$6:$B$15=$C43)), )"),"")</f>
        <v/>
      </c>
      <c r="BR43" s="43" t="str">
        <f>IFERROR(__xludf.DUMMYFUNCTION("IFNA(SUM(FILTER('51 серия'!$B$6:$C$15,'51 серия'!$B$6:$B$15=$C43)), )"),"")</f>
        <v/>
      </c>
      <c r="BS43" s="49">
        <f>IFERROR(__xludf.DUMMYFUNCTION("IFNA(SUM(FILTER('52 серия'!$B$6:$C$15,'52 серия'!$B$6:$B$15=C43)), )"),21.25)</f>
        <v>21.25</v>
      </c>
      <c r="BT43" s="32">
        <f>IFERROR(__xludf.DUMMYFUNCTION("IFNA(SUM(FILTER('53 серия'!$B$6:$C$15,'53 серия'!$B$6:$B$15=$C43)), )"),16.0)</f>
        <v>16</v>
      </c>
      <c r="BU43" s="32">
        <f>IFERROR(__xludf.DUMMYFUNCTION("IFNA(SUM(FILTER('54 серия'!$B$6:$C$15,'54 серия'!$B$6:$B$15=$C43)), )"),21.25)</f>
        <v>21.25</v>
      </c>
      <c r="BV43" s="32">
        <f>IFERROR(__xludf.DUMMYFUNCTION("IFNA(SUM(FILTER('55 серия'!$B$6:$C$15,'55 серия'!$B$6:$B$15=$C43)), )"),25.0)</f>
        <v>25</v>
      </c>
      <c r="BW43" s="32">
        <f>IFERROR(__xludf.DUMMYFUNCTION("IFNA(SUM(FILTER('56 серия'!$B$6:$C$15,'56 серия'!$B$6:$B$15=$C43)), )"),19.75)</f>
        <v>19.75</v>
      </c>
      <c r="BX43" s="32" t="str">
        <f>IFERROR(__xludf.DUMMYFUNCTION("IFNA(SUM(FILTER('57 серия'!$B$6:$C$15,'57 серия'!$B$6:$B$15=$C43)), )"),"")</f>
        <v/>
      </c>
      <c r="BY43" s="32" t="str">
        <f>IFERROR(__xludf.DUMMYFUNCTION("IFNA(SUM(FILTER('58 серия'!$B$6:$C$15,'58 серия'!$B$6:$B$15=$C43)), )"),"")</f>
        <v/>
      </c>
      <c r="BZ43" s="46" t="str">
        <f>IFERROR(__xludf.DUMMYFUNCTION("IFNA(SUM(FILTER('59 серия'!$B$6:$C$15,'59 серия'!$B$6:$B$15=C43)), )"),"")</f>
        <v/>
      </c>
      <c r="CA43" s="44" t="str">
        <f>IFERROR(__xludf.DUMMYFUNCTION("IFNA(SUM(FILTER('60 серия'!$B$6:$C$15,'60 серия'!$B$6:$B$15=$C43)), )"),"")</f>
        <v/>
      </c>
      <c r="CB43" s="4"/>
    </row>
    <row r="44">
      <c r="A44" s="10"/>
      <c r="B44" s="27">
        <f t="shared" si="1"/>
        <v>38</v>
      </c>
      <c r="C44" s="45" t="s">
        <v>116</v>
      </c>
      <c r="D44" s="29">
        <f>'Игроки статистика'!B42</f>
        <v>50</v>
      </c>
      <c r="E44" s="30">
        <f t="shared" si="2"/>
        <v>213.25</v>
      </c>
      <c r="F44" s="31">
        <f t="shared" si="3"/>
        <v>21.325</v>
      </c>
      <c r="G44" s="46">
        <f t="shared" si="4"/>
        <v>2.915</v>
      </c>
      <c r="H44" s="46">
        <f>SUMIFS('Все игры'!C$3:C1011,'Все игры'!A$3:A1011,C44)</f>
        <v>67.5</v>
      </c>
      <c r="I44" s="46">
        <f t="shared" si="5"/>
        <v>141.25</v>
      </c>
      <c r="J44" s="47">
        <f>SUMIFS('Все игры'!F$3:F1011,'Все игры'!A$3:A1011,C44)</f>
        <v>1.5</v>
      </c>
      <c r="K44" s="48">
        <f>SUMIFS('Все игры'!G$3:G1011,'Все игры'!A$3:A1011,C44)</f>
        <v>3</v>
      </c>
      <c r="L44" s="35">
        <f>'Игроки статистика'!G42</f>
        <v>5</v>
      </c>
      <c r="M44" s="36">
        <f t="shared" si="6"/>
        <v>27</v>
      </c>
      <c r="N44" s="36">
        <f>SUM('Игроки статистика'!O42,'Игроки статистика'!Q42)</f>
        <v>8</v>
      </c>
      <c r="O44" s="37">
        <f>SUM('Игроки статистика'!P42,'Игроки статистика'!R42)</f>
        <v>6</v>
      </c>
      <c r="P44" s="38" t="str">
        <f>IFERROR(__xludf.DUMMYFUNCTION("IFNA(SUM(FILTER('Штрафы'!$D$5:$D1011,'Штрафы'!$C$5:$C1011=C44)), )"),"")</f>
        <v/>
      </c>
      <c r="Q44" s="38" t="str">
        <f>IFERROR(__xludf.DUMMYFUNCTION("IFNA(SUM(FILTER('Штрафы'!$F$5:$F1011,'Штрафы'!$C$5:$C1011=C44)), )"),"")</f>
        <v/>
      </c>
      <c r="R44" s="39"/>
      <c r="S44" s="40"/>
      <c r="T44" s="31" t="str">
        <f>IFERROR(__xludf.DUMMYFUNCTION("IFNA(SUM(FILTER('1 серия'!$B$6:$C$15,'1 серия'!$B$6:$B$15=C44)), )"),"")</f>
        <v/>
      </c>
      <c r="U44" s="32">
        <f>IFERROR(__xludf.DUMMYFUNCTION("IFNA(SUM(FILTER('2 серия'!$B$6:$C$15,'2 серия'!$B$6:$B$15=C44)), )
"),23.75)</f>
        <v>23.75</v>
      </c>
      <c r="V44" s="32" t="str">
        <f>IFERROR(__xludf.DUMMYFUNCTION("IFNA(SUM(FILTER('3 серия'!$B$6:$C$15,'3 серия'!$B$6:$B$15=C44)), )
"),"")</f>
        <v/>
      </c>
      <c r="W44" s="32" t="str">
        <f>IFERROR(__xludf.DUMMYFUNCTION("IFNA(SUM(FILTER('4 серия'!$B$6:$C$15,'4 серия'!$B$6:$B$15=C44)), )"),"")</f>
        <v/>
      </c>
      <c r="X44" s="32" t="str">
        <f>IFERROR(__xludf.DUMMYFUNCTION("IFNA(SUM(FILTER('5 серия'!$B$6:$C$15,'5 серия'!$B$6:$B$15=C44)), )"),"")</f>
        <v/>
      </c>
      <c r="Y44" s="32">
        <f>IFERROR(__xludf.DUMMYFUNCTION("IFNA(SUM(FILTER('6 серия'!$B$6:$C$15,'6 серия'!$B$6:$B$15=C44)), )"),29.0)</f>
        <v>29</v>
      </c>
      <c r="Z44" s="32" t="str">
        <f>IFERROR(__xludf.DUMMYFUNCTION("IFNA(SUM(FILTER('7 серия'!$B$6:$C$15,'7 серия'!$B$6:$B$15=C44)), )"),"")</f>
        <v/>
      </c>
      <c r="AA44" s="32">
        <f>IFERROR(__xludf.DUMMYFUNCTION("IFNA(SUM(FILTER('8 серия'!$B$6:$C$15,'8 серия'!$B$6:$B$15=C44)), )"),25.25)</f>
        <v>25.25</v>
      </c>
      <c r="AB44" s="32" t="str">
        <f>IFERROR(__xludf.DUMMYFUNCTION("IFNA(SUM(FILTER('9 серия'!$B$7:$C$16,'9 серия'!$B$7:$B$16=C44)), )"),"")</f>
        <v/>
      </c>
      <c r="AC44" s="32" t="str">
        <f>IFERROR(__xludf.DUMMYFUNCTION("IFNA(SUM(FILTER('10 серия'!$B$6:$C$15,'10 серия'!$B$6:$B$15=C44)), )"),"")</f>
        <v/>
      </c>
      <c r="AD44" s="32" t="str">
        <f>IFERROR(__xludf.DUMMYFUNCTION("IFNA(SUM(FILTER('11 серия'!$B$6:$C$15,'11 серия'!$B$6:$B$15=C44)), )"),"")</f>
        <v/>
      </c>
      <c r="AE44" s="32">
        <f>IFERROR(__xludf.DUMMYFUNCTION("IFNA(SUM(FILTER('12 серия'!$B$6:$C$15,'12 серия'!$B$6:$B$15=C44)), )"),15.5)</f>
        <v>15.5</v>
      </c>
      <c r="AF44" s="32" t="str">
        <f>IFERROR(__xludf.DUMMYFUNCTION("IFNA(SUM(FILTER('13 серия'!$B$6:$C$15,'13 серия'!$B$6:$B$15=C44)), )"),"")</f>
        <v/>
      </c>
      <c r="AG44" s="32" t="str">
        <f>IFERROR(__xludf.DUMMYFUNCTION("IFNA(SUM(FILTER('14 серия'!$B$6:$C$15,'14 серия'!$B$6:$B$15=C44)), )"),"")</f>
        <v/>
      </c>
      <c r="AH44" s="32" t="str">
        <f>IFERROR(__xludf.DUMMYFUNCTION("IFNA(SUM(FILTER('15 серия'!$B$6:$C$15,'15 серия'!$B$6:$B$15=C44)), )"),"")</f>
        <v/>
      </c>
      <c r="AI44" s="32" t="str">
        <f>IFERROR(__xludf.DUMMYFUNCTION("IFNA(SUM(FILTER('16 серия'!$B$6:$C$15,'16 серия'!$B$6:$B$15=C44)), )"),"")</f>
        <v/>
      </c>
      <c r="AJ44" s="32" t="str">
        <f>IFERROR(__xludf.DUMMYFUNCTION("IFNA(SUM(FILTER('17 серия'!$B$6:$C$15,'17 серия'!$B$6:$B$15=C44)), )"),"")</f>
        <v/>
      </c>
      <c r="AK44" s="32" t="str">
        <f>IFERROR(__xludf.DUMMYFUNCTION("IFNA(SUM(FILTER('18 серия'!$B$6:$C$15,'18 серия'!$B$6:$B$15=C44)), )"),"")</f>
        <v/>
      </c>
      <c r="AL44" s="32" t="str">
        <f>IFERROR(__xludf.DUMMYFUNCTION("IFNA(SUM(FILTER('19 серия'!$B$6:$C$15,'19 серия'!$B$6:$B$15=C44)), )"),"")</f>
        <v/>
      </c>
      <c r="AM44" s="32" t="str">
        <f>IFERROR(__xludf.DUMMYFUNCTION("IFNA(SUM(FILTER('20 серия'!$B$6:$C$15,'20 серия'!$B$6:$B$15=C44)), )"),"")</f>
        <v/>
      </c>
      <c r="AN44" s="32" t="str">
        <f>IFERROR(__xludf.DUMMYFUNCTION("IFNA(SUM(FILTER('21 серия'!$B$6:$C$15,'21 серия'!$B$6:$B$15=C44)), )"),"")</f>
        <v/>
      </c>
      <c r="AO44" s="32" t="str">
        <f>IFERROR(__xludf.DUMMYFUNCTION("IFNA(SUM(FILTER('22 серия'!$B$6:$C$15,'22 серия'!$B$6:$B$15=C44)), )"),"")</f>
        <v/>
      </c>
      <c r="AP44" s="32" t="str">
        <f>IFERROR(__xludf.DUMMYFUNCTION("IFNA(SUM(FILTER('23 серия'!$B$6:$C$15,'23 серия'!$B$6:$B$15=C44)), )"),"")</f>
        <v/>
      </c>
      <c r="AQ44" s="32" t="str">
        <f>IFERROR(__xludf.DUMMYFUNCTION("IFNA(SUM(FILTER('24 серия'!$B$6:$C$15,'24 серия'!$B$6:$B$15=C44)), )"),"")</f>
        <v/>
      </c>
      <c r="AR44" s="32" t="str">
        <f>IFERROR(__xludf.DUMMYFUNCTION("IFNA(SUM(FILTER('25 серия'!$B$6:$C$15,'25 серия'!$B$6:$B$15=C44)), )"),"")</f>
        <v/>
      </c>
      <c r="AS44" s="32" t="str">
        <f>IFERROR(__xludf.DUMMYFUNCTION("IFNA(SUM(FILTER('26 серия'!$B$6:$C$15,'26 серия'!$B$6:$B$15=C44)), )"),"")</f>
        <v/>
      </c>
      <c r="AT44" s="32" t="str">
        <f>IFERROR(__xludf.DUMMYFUNCTION("IFNA(SUM(FILTER('27 серия'!$B$6:$C$15,'27 серия'!$B$6:$B$15=C44)), )"),"")</f>
        <v/>
      </c>
      <c r="AU44" s="32" t="str">
        <f>IFERROR(__xludf.DUMMYFUNCTION("IFNA(SUM(FILTER('28 серия'!$B$6:$C$15,'28 серия'!$B$6:$B$15=C44)), )"),"")</f>
        <v/>
      </c>
      <c r="AV44" s="32">
        <f>IFERROR(__xludf.DUMMYFUNCTION("IFNA(SUM(FILTER('29 серия'!$B$6:$C$15,'29 серия'!$B$6:$B$15=C44)), )"),19.0)</f>
        <v>19</v>
      </c>
      <c r="AW44" s="32" t="str">
        <f>IFERROR(__xludf.DUMMYFUNCTION("IFNA(SUM(FILTER('30 серия'!$B$6:$C$15,'30 серия'!$B$6:$B$15=C44)), )"),"")</f>
        <v/>
      </c>
      <c r="AX44" s="32" t="str">
        <f>IFERROR(__xludf.DUMMYFUNCTION("IFNA(SUM(FILTER('31 серия'!$B$6:$C$15,'31 серия'!$B$6:$B$15=C44)), )"),"")</f>
        <v/>
      </c>
      <c r="AY44" s="32" t="str">
        <f>IFERROR(__xludf.DUMMYFUNCTION("IFNA(SUM(FILTER('32 серия'!$B$6:$C$15,'32 серия'!$B$6:$B$15=C44)), )"),"")</f>
        <v/>
      </c>
      <c r="AZ44" s="32" t="str">
        <f>IFERROR(__xludf.DUMMYFUNCTION("IFNA(SUM(FILTER('33 серия'!$B$6:$C$15,'33 серия'!$B$6:$B$15=C44)), )"),"")</f>
        <v/>
      </c>
      <c r="BA44" s="32" t="str">
        <f>IFERROR(__xludf.DUMMYFUNCTION("IFNA(SUM(FILTER('34 серия'!$B$6:$C$15,'34 серия'!$B$6:$B$15=C44)), )"),"")</f>
        <v/>
      </c>
      <c r="BB44" s="32" t="str">
        <f>IFERROR(__xludf.DUMMYFUNCTION("IFNA(SUM(FILTER('35 серия'!$B$6:$C$15,'35 серия'!$B$6:$B$15=C44)), )"),"")</f>
        <v/>
      </c>
      <c r="BC44" s="32" t="str">
        <f>IFERROR(__xludf.DUMMYFUNCTION("IFNA(SUM(FILTER('36 серия'!$B$6:$C$15,'36 серия'!$B$6:$B$15=C44)), )"),"")</f>
        <v/>
      </c>
      <c r="BD44" s="32" t="str">
        <f>IFERROR(__xludf.DUMMYFUNCTION("IFNA(SUM(FILTER('37 серия'!$B$6:$C$15,'37 серия'!$B$6:$B$15=C44)), )"),"")</f>
        <v/>
      </c>
      <c r="BE44" s="32">
        <f>IFERROR(__xludf.DUMMYFUNCTION("IFNA(SUM(FILTER('38 серия'!$B$6:$C$15,'38 серия'!$B$6:$B$15=C44)), )"),25.25)</f>
        <v>25.25</v>
      </c>
      <c r="BF44" s="32" t="str">
        <f>IFERROR(__xludf.DUMMYFUNCTION("IFNA(SUM(FILTER('39 серия'!$B$6:$C$15,'39 серия'!$B$6:$B$15=C44)), )"),"")</f>
        <v/>
      </c>
      <c r="BG44" s="32" t="str">
        <f>IFERROR(__xludf.DUMMYFUNCTION("IFNA(SUM(FILTER('40 серия'!$B$6:$C$15,'40 серия'!$B$6:$B$15=C44)), )"),"")</f>
        <v/>
      </c>
      <c r="BH44" s="32" t="str">
        <f>IFERROR(__xludf.DUMMYFUNCTION("IFNA(SUM(FILTER('41 серия'!$B$6:$C$15,'41 серия'!$B$6:$B$15=C44)), )"),"")</f>
        <v/>
      </c>
      <c r="BI44" s="32" t="str">
        <f>IFERROR(__xludf.DUMMYFUNCTION("IFNA(SUM(FILTER('42 серия'!$B$6:$C$15,'42 серия'!$B$6:$B$15=C44)), )"),"")</f>
        <v/>
      </c>
      <c r="BJ44" s="32" t="str">
        <f>IFERROR(__xludf.DUMMYFUNCTION("IFNA(SUM(FILTER('43 серия'!$B$6:$C$15,'43 серия'!$B$6:$B$15=C44)), )"),"")</f>
        <v/>
      </c>
      <c r="BK44" s="32">
        <f>IFERROR(__xludf.DUMMYFUNCTION("IFNA(SUM(FILTER('44 серия'!$B$6:$C$15,'44 серия'!$B$6:$B$15=C44)), )"),13.0)</f>
        <v>13</v>
      </c>
      <c r="BL44" s="32" t="str">
        <f>IFERROR(__xludf.DUMMYFUNCTION("IFNA(SUM(FILTER('45 серия'!$B$6:$C$15,'45 серия'!$B$6:$B$15=C44)), )"),"")</f>
        <v/>
      </c>
      <c r="BM44" s="32" t="str">
        <f>IFERROR(__xludf.DUMMYFUNCTION("IFNA(SUM(FILTER('46 серия'!$B$6:$C$15,'46 серия'!$B$6:$B$15=C44)), )"),"")</f>
        <v/>
      </c>
      <c r="BN44" s="32" t="str">
        <f>IFERROR(__xludf.DUMMYFUNCTION("IFNA(SUM(FILTER('47 серия'!$B$6:$C$15,'47 серия'!$B$6:$B$15=C44)), )"),"")</f>
        <v/>
      </c>
      <c r="BO44" s="42" t="str">
        <f>IFERROR(__xludf.DUMMYFUNCTION("IFNA(SUM(FILTER('48 серия'!$B$6:$C$15,'48 серия'!$B$6:$B$15=$C44)), )"),"")</f>
        <v/>
      </c>
      <c r="BP44" s="43" t="str">
        <f>IFERROR(__xludf.DUMMYFUNCTION("IFNA(SUM(FILTER('49 серия'!$B$6:$C$15,'49 серия'!$B$6:$B$15=$C44)), )"),"")</f>
        <v/>
      </c>
      <c r="BQ44" s="43" t="str">
        <f>IFERROR(__xludf.DUMMYFUNCTION("IFNA(SUM(FILTER('50 серия'!$B$6:$C$15,'50 серия'!$B$6:$B$15=$C44)), )"),"")</f>
        <v/>
      </c>
      <c r="BR44" s="43" t="str">
        <f>IFERROR(__xludf.DUMMYFUNCTION("IFNA(SUM(FILTER('51 серия'!$B$6:$C$15,'51 серия'!$B$6:$B$15=$C44)), )"),"")</f>
        <v/>
      </c>
      <c r="BS44" s="49">
        <f>IFERROR(__xludf.DUMMYFUNCTION("IFNA(SUM(FILTER('52 серия'!$B$6:$C$15,'52 серия'!$B$6:$B$15=C44)), )"),21.25)</f>
        <v>21.25</v>
      </c>
      <c r="BT44" s="32">
        <f>IFERROR(__xludf.DUMMYFUNCTION("IFNA(SUM(FILTER('53 серия'!$B$6:$C$15,'53 серия'!$B$6:$B$15=$C44)), )"),17.5)</f>
        <v>17.5</v>
      </c>
      <c r="BU44" s="32" t="str">
        <f>IFERROR(__xludf.DUMMYFUNCTION("IFNA(SUM(FILTER('54 серия'!$B$6:$C$15,'54 серия'!$B$6:$B$15=$C44)), )"),"")</f>
        <v/>
      </c>
      <c r="BV44" s="32" t="str">
        <f>IFERROR(__xludf.DUMMYFUNCTION("IFNA(SUM(FILTER('55 серия'!$B$6:$C$15,'55 серия'!$B$6:$B$15=$C44)), )"),"")</f>
        <v/>
      </c>
      <c r="BW44" s="32" t="str">
        <f>IFERROR(__xludf.DUMMYFUNCTION("IFNA(SUM(FILTER('56 серия'!$B$6:$C$15,'56 серия'!$B$6:$B$15=$C44)), )"),"")</f>
        <v/>
      </c>
      <c r="BX44" s="32">
        <f>IFERROR(__xludf.DUMMYFUNCTION("IFNA(SUM(FILTER('57 серия'!$B$6:$C$15,'57 серия'!$B$6:$B$15=$C44)), )"),23.75)</f>
        <v>23.75</v>
      </c>
      <c r="BY44" s="32" t="str">
        <f>IFERROR(__xludf.DUMMYFUNCTION("IFNA(SUM(FILTER('58 серия'!$B$6:$C$15,'58 серия'!$B$6:$B$15=$C44)), )"),"")</f>
        <v/>
      </c>
      <c r="BZ44" s="46" t="str">
        <f>IFERROR(__xludf.DUMMYFUNCTION("IFNA(SUM(FILTER('59 серия'!$B$6:$C$15,'59 серия'!$B$6:$B$15=C44)), )"),"")</f>
        <v/>
      </c>
      <c r="CA44" s="44" t="str">
        <f>IFERROR(__xludf.DUMMYFUNCTION("IFNA(SUM(FILTER('60 серия'!$B$6:$C$15,'60 серия'!$B$6:$B$15=$C44)), )"),"")</f>
        <v/>
      </c>
      <c r="CB44" s="4"/>
    </row>
    <row r="45">
      <c r="A45" s="10"/>
      <c r="B45" s="27">
        <f t="shared" si="1"/>
        <v>39</v>
      </c>
      <c r="C45" s="45" t="s">
        <v>117</v>
      </c>
      <c r="D45" s="29">
        <f>'Игроки статистика'!B43</f>
        <v>50</v>
      </c>
      <c r="E45" s="30">
        <f t="shared" si="2"/>
        <v>181.75</v>
      </c>
      <c r="F45" s="31">
        <f t="shared" si="3"/>
        <v>18.175</v>
      </c>
      <c r="G45" s="46">
        <f t="shared" si="4"/>
        <v>2.635</v>
      </c>
      <c r="H45" s="46">
        <f>SUMIFS('Все игры'!C$3:C1011,'Все игры'!A$3:A1011,C45)</f>
        <v>50</v>
      </c>
      <c r="I45" s="46">
        <f t="shared" si="5"/>
        <v>127.75</v>
      </c>
      <c r="J45" s="47">
        <f>SUMIFS('Все игры'!F$3:F1011,'Все игры'!A$3:A1011,C45)</f>
        <v>0.5</v>
      </c>
      <c r="K45" s="48">
        <f>SUMIFS('Все игры'!G$3:G1011,'Все игры'!A$3:A1011,C45)</f>
        <v>3.5</v>
      </c>
      <c r="L45" s="35">
        <f>'Игроки статистика'!G43</f>
        <v>7</v>
      </c>
      <c r="M45" s="36">
        <f t="shared" si="6"/>
        <v>20</v>
      </c>
      <c r="N45" s="36">
        <f>SUM('Игроки статистика'!O43,'Игроки статистика'!Q43)</f>
        <v>5</v>
      </c>
      <c r="O45" s="37">
        <f>SUM('Игроки статистика'!P43,'Игроки статистика'!R43)</f>
        <v>2</v>
      </c>
      <c r="P45" s="38" t="str">
        <f>IFERROR(__xludf.DUMMYFUNCTION("IFNA(SUM(FILTER('Штрафы'!$D$5:$D1011,'Штрафы'!$C$5:$C1011=C45)), )"),"")</f>
        <v/>
      </c>
      <c r="Q45" s="38" t="str">
        <f>IFERROR(__xludf.DUMMYFUNCTION("IFNA(SUM(FILTER('Штрафы'!$F$5:$F1011,'Штрафы'!$C$5:$C1011=C45)), )"),"")</f>
        <v/>
      </c>
      <c r="R45" s="39"/>
      <c r="S45" s="40"/>
      <c r="T45" s="31" t="str">
        <f>IFERROR(__xludf.DUMMYFUNCTION("IFNA(SUM(FILTER('1 серия'!$B$6:$C$15,'1 серия'!$B$6:$B$15=C45)), )"),"")</f>
        <v/>
      </c>
      <c r="U45" s="32" t="str">
        <f>IFERROR(__xludf.DUMMYFUNCTION("IFNA(SUM(FILTER('2 серия'!$B$6:$C$15,'2 серия'!$B$6:$B$15=C45)), )
"),"")</f>
        <v/>
      </c>
      <c r="V45" s="32">
        <f>IFERROR(__xludf.DUMMYFUNCTION("IFNA(SUM(FILTER('3 серия'!$B$6:$C$15,'3 серия'!$B$6:$B$15=C45)), )
"),14.5)</f>
        <v>14.5</v>
      </c>
      <c r="W45" s="32" t="str">
        <f>IFERROR(__xludf.DUMMYFUNCTION("IFNA(SUM(FILTER('4 серия'!$B$6:$C$15,'4 серия'!$B$6:$B$15=C45)), )"),"")</f>
        <v/>
      </c>
      <c r="X45" s="32" t="str">
        <f>IFERROR(__xludf.DUMMYFUNCTION("IFNA(SUM(FILTER('5 серия'!$B$6:$C$15,'5 серия'!$B$6:$B$15=C45)), )"),"")</f>
        <v/>
      </c>
      <c r="Y45" s="32" t="str">
        <f>IFERROR(__xludf.DUMMYFUNCTION("IFNA(SUM(FILTER('6 серия'!$B$6:$C$15,'6 серия'!$B$6:$B$15=C45)), )"),"")</f>
        <v/>
      </c>
      <c r="Z45" s="32" t="str">
        <f>IFERROR(__xludf.DUMMYFUNCTION("IFNA(SUM(FILTER('7 серия'!$B$6:$C$15,'7 серия'!$B$6:$B$15=C45)), )"),"")</f>
        <v/>
      </c>
      <c r="AA45" s="32" t="str">
        <f>IFERROR(__xludf.DUMMYFUNCTION("IFNA(SUM(FILTER('8 серия'!$B$6:$C$15,'8 серия'!$B$6:$B$15=C45)), )"),"")</f>
        <v/>
      </c>
      <c r="AB45" s="32">
        <f>IFERROR(__xludf.DUMMYFUNCTION("IFNA(SUM(FILTER('9 серия'!$B$7:$C$16,'9 серия'!$B$7:$B$16=C45)), )"),20.5)</f>
        <v>20.5</v>
      </c>
      <c r="AC45" s="32" t="str">
        <f>IFERROR(__xludf.DUMMYFUNCTION("IFNA(SUM(FILTER('10 серия'!$B$6:$C$15,'10 серия'!$B$6:$B$15=C45)), )"),"")</f>
        <v/>
      </c>
      <c r="AD45" s="32" t="str">
        <f>IFERROR(__xludf.DUMMYFUNCTION("IFNA(SUM(FILTER('11 серия'!$B$6:$C$15,'11 серия'!$B$6:$B$15=C45)), )"),"")</f>
        <v/>
      </c>
      <c r="AE45" s="32" t="str">
        <f>IFERROR(__xludf.DUMMYFUNCTION("IFNA(SUM(FILTER('12 серия'!$B$6:$C$15,'12 серия'!$B$6:$B$15=C45)), )"),"")</f>
        <v/>
      </c>
      <c r="AF45" s="32" t="str">
        <f>IFERROR(__xludf.DUMMYFUNCTION("IFNA(SUM(FILTER('13 серия'!$B$6:$C$15,'13 серия'!$B$6:$B$15=C45)), )"),"")</f>
        <v/>
      </c>
      <c r="AG45" s="32" t="str">
        <f>IFERROR(__xludf.DUMMYFUNCTION("IFNA(SUM(FILTER('14 серия'!$B$6:$C$15,'14 серия'!$B$6:$B$15=C45)), )"),"")</f>
        <v/>
      </c>
      <c r="AH45" s="32" t="str">
        <f>IFERROR(__xludf.DUMMYFUNCTION("IFNA(SUM(FILTER('15 серия'!$B$6:$C$15,'15 серия'!$B$6:$B$15=C45)), )"),"")</f>
        <v/>
      </c>
      <c r="AI45" s="32" t="str">
        <f>IFERROR(__xludf.DUMMYFUNCTION("IFNA(SUM(FILTER('16 серия'!$B$6:$C$15,'16 серия'!$B$6:$B$15=C45)), )"),"")</f>
        <v/>
      </c>
      <c r="AJ45" s="32" t="str">
        <f>IFERROR(__xludf.DUMMYFUNCTION("IFNA(SUM(FILTER('17 серия'!$B$6:$C$15,'17 серия'!$B$6:$B$15=C45)), )"),"")</f>
        <v/>
      </c>
      <c r="AK45" s="32" t="str">
        <f>IFERROR(__xludf.DUMMYFUNCTION("IFNA(SUM(FILTER('18 серия'!$B$6:$C$15,'18 серия'!$B$6:$B$15=C45)), )"),"")</f>
        <v/>
      </c>
      <c r="AL45" s="32" t="str">
        <f>IFERROR(__xludf.DUMMYFUNCTION("IFNA(SUM(FILTER('19 серия'!$B$6:$C$15,'19 серия'!$B$6:$B$15=C45)), )"),"")</f>
        <v/>
      </c>
      <c r="AM45" s="32">
        <f>IFERROR(__xludf.DUMMYFUNCTION("IFNA(SUM(FILTER('20 серия'!$B$6:$C$15,'20 серия'!$B$6:$B$15=C45)), )"),21.0)</f>
        <v>21</v>
      </c>
      <c r="AN45" s="32" t="str">
        <f>IFERROR(__xludf.DUMMYFUNCTION("IFNA(SUM(FILTER('21 серия'!$B$6:$C$15,'21 серия'!$B$6:$B$15=C45)), )"),"")</f>
        <v/>
      </c>
      <c r="AO45" s="32" t="str">
        <f>IFERROR(__xludf.DUMMYFUNCTION("IFNA(SUM(FILTER('22 серия'!$B$6:$C$15,'22 серия'!$B$6:$B$15=C45)), )"),"")</f>
        <v/>
      </c>
      <c r="AP45" s="32" t="str">
        <f>IFERROR(__xludf.DUMMYFUNCTION("IFNA(SUM(FILTER('23 серия'!$B$6:$C$15,'23 серия'!$B$6:$B$15=C45)), )"),"")</f>
        <v/>
      </c>
      <c r="AQ45" s="32" t="str">
        <f>IFERROR(__xludf.DUMMYFUNCTION("IFNA(SUM(FILTER('24 серия'!$B$6:$C$15,'24 серия'!$B$6:$B$15=C45)), )"),"")</f>
        <v/>
      </c>
      <c r="AR45" s="32" t="str">
        <f>IFERROR(__xludf.DUMMYFUNCTION("IFNA(SUM(FILTER('25 серия'!$B$6:$C$15,'25 серия'!$B$6:$B$15=C45)), )"),"")</f>
        <v/>
      </c>
      <c r="AS45" s="32" t="str">
        <f>IFERROR(__xludf.DUMMYFUNCTION("IFNA(SUM(FILTER('26 серия'!$B$6:$C$15,'26 серия'!$B$6:$B$15=C45)), )"),"")</f>
        <v/>
      </c>
      <c r="AT45" s="32" t="str">
        <f>IFERROR(__xludf.DUMMYFUNCTION("IFNA(SUM(FILTER('27 серия'!$B$6:$C$15,'27 серия'!$B$6:$B$15=C45)), )"),"")</f>
        <v/>
      </c>
      <c r="AU45" s="32" t="str">
        <f>IFERROR(__xludf.DUMMYFUNCTION("IFNA(SUM(FILTER('28 серия'!$B$6:$C$15,'28 серия'!$B$6:$B$15=C45)), )"),"")</f>
        <v/>
      </c>
      <c r="AV45" s="32" t="str">
        <f>IFERROR(__xludf.DUMMYFUNCTION("IFNA(SUM(FILTER('29 серия'!$B$6:$C$15,'29 серия'!$B$6:$B$15=C45)), )"),"")</f>
        <v/>
      </c>
      <c r="AW45" s="32" t="str">
        <f>IFERROR(__xludf.DUMMYFUNCTION("IFNA(SUM(FILTER('30 серия'!$B$6:$C$15,'30 серия'!$B$6:$B$15=C45)), )"),"")</f>
        <v/>
      </c>
      <c r="AX45" s="32" t="str">
        <f>IFERROR(__xludf.DUMMYFUNCTION("IFNA(SUM(FILTER('31 серия'!$B$6:$C$15,'31 серия'!$B$6:$B$15=C45)), )"),"")</f>
        <v/>
      </c>
      <c r="AY45" s="32" t="str">
        <f>IFERROR(__xludf.DUMMYFUNCTION("IFNA(SUM(FILTER('32 серия'!$B$6:$C$15,'32 серия'!$B$6:$B$15=C45)), )"),"")</f>
        <v/>
      </c>
      <c r="AZ45" s="32" t="str">
        <f>IFERROR(__xludf.DUMMYFUNCTION("IFNA(SUM(FILTER('33 серия'!$B$6:$C$15,'33 серия'!$B$6:$B$15=C45)), )"),"")</f>
        <v/>
      </c>
      <c r="BA45" s="32" t="str">
        <f>IFERROR(__xludf.DUMMYFUNCTION("IFNA(SUM(FILTER('34 серия'!$B$6:$C$15,'34 серия'!$B$6:$B$15=C45)), )"),"")</f>
        <v/>
      </c>
      <c r="BB45" s="32" t="str">
        <f>IFERROR(__xludf.DUMMYFUNCTION("IFNA(SUM(FILTER('35 серия'!$B$6:$C$15,'35 серия'!$B$6:$B$15=C45)), )"),"")</f>
        <v/>
      </c>
      <c r="BC45" s="32" t="str">
        <f>IFERROR(__xludf.DUMMYFUNCTION("IFNA(SUM(FILTER('36 серия'!$B$6:$C$15,'36 серия'!$B$6:$B$15=C45)), )"),"")</f>
        <v/>
      </c>
      <c r="BD45" s="32" t="str">
        <f>IFERROR(__xludf.DUMMYFUNCTION("IFNA(SUM(FILTER('37 серия'!$B$6:$C$15,'37 серия'!$B$6:$B$15=C45)), )"),"")</f>
        <v/>
      </c>
      <c r="BE45" s="32">
        <f>IFERROR(__xludf.DUMMYFUNCTION("IFNA(SUM(FILTER('38 серия'!$B$6:$C$15,'38 серия'!$B$6:$B$15=C45)), )"),17.0)</f>
        <v>17</v>
      </c>
      <c r="BF45" s="32">
        <f>IFERROR(__xludf.DUMMYFUNCTION("IFNA(SUM(FILTER('39 серия'!$B$6:$C$15,'39 серия'!$B$6:$B$15=C45)), )"),16.75)</f>
        <v>16.75</v>
      </c>
      <c r="BG45" s="32" t="str">
        <f>IFERROR(__xludf.DUMMYFUNCTION("IFNA(SUM(FILTER('40 серия'!$B$6:$C$15,'40 серия'!$B$6:$B$15=C45)), )"),"")</f>
        <v/>
      </c>
      <c r="BH45" s="32" t="str">
        <f>IFERROR(__xludf.DUMMYFUNCTION("IFNA(SUM(FILTER('41 серия'!$B$6:$C$15,'41 серия'!$B$6:$B$15=C45)), )"),"")</f>
        <v/>
      </c>
      <c r="BI45" s="32" t="str">
        <f>IFERROR(__xludf.DUMMYFUNCTION("IFNA(SUM(FILTER('42 серия'!$B$6:$C$15,'42 серия'!$B$6:$B$15=C45)), )"),"")</f>
        <v/>
      </c>
      <c r="BJ45" s="32" t="str">
        <f>IFERROR(__xludf.DUMMYFUNCTION("IFNA(SUM(FILTER('43 серия'!$B$6:$C$15,'43 серия'!$B$6:$B$15=C45)), )"),"")</f>
        <v/>
      </c>
      <c r="BK45" s="32">
        <f>IFERROR(__xludf.DUMMYFUNCTION("IFNA(SUM(FILTER('44 серия'!$B$6:$C$15,'44 серия'!$B$6:$B$15=C45)), )"),18.75)</f>
        <v>18.75</v>
      </c>
      <c r="BL45" s="32">
        <f>IFERROR(__xludf.DUMMYFUNCTION("IFNA(SUM(FILTER('45 серия'!$B$6:$C$15,'45 серия'!$B$6:$B$15=C45)), )"),14.75)</f>
        <v>14.75</v>
      </c>
      <c r="BM45" s="32" t="str">
        <f>IFERROR(__xludf.DUMMYFUNCTION("IFNA(SUM(FILTER('46 серия'!$B$6:$C$15,'46 серия'!$B$6:$B$15=C45)), )"),"")</f>
        <v/>
      </c>
      <c r="BN45" s="32" t="str">
        <f>IFERROR(__xludf.DUMMYFUNCTION("IFNA(SUM(FILTER('47 серия'!$B$6:$C$15,'47 серия'!$B$6:$B$15=C45)), )"),"")</f>
        <v/>
      </c>
      <c r="BO45" s="42" t="str">
        <f>IFERROR(__xludf.DUMMYFUNCTION("IFNA(SUM(FILTER('48 серия'!$B$6:$C$15,'48 серия'!$B$6:$B$15=$C45)), )"),"")</f>
        <v/>
      </c>
      <c r="BP45" s="43" t="str">
        <f>IFERROR(__xludf.DUMMYFUNCTION("IFNA(SUM(FILTER('49 серия'!$B$6:$C$15,'49 серия'!$B$6:$B$15=$C45)), )"),"")</f>
        <v/>
      </c>
      <c r="BQ45" s="43" t="str">
        <f>IFERROR(__xludf.DUMMYFUNCTION("IFNA(SUM(FILTER('50 серия'!$B$6:$C$15,'50 серия'!$B$6:$B$15=$C45)), )"),"")</f>
        <v/>
      </c>
      <c r="BR45" s="43" t="str">
        <f>IFERROR(__xludf.DUMMYFUNCTION("IFNA(SUM(FILTER('51 серия'!$B$6:$C$15,'51 серия'!$B$6:$B$15=$C45)), )"),"")</f>
        <v/>
      </c>
      <c r="BS45" s="49">
        <f>IFERROR(__xludf.DUMMYFUNCTION("IFNA(SUM(FILTER('52 серия'!$B$6:$C$15,'52 серия'!$B$6:$B$15=C45)), )"),14.5)</f>
        <v>14.5</v>
      </c>
      <c r="BT45" s="32" t="str">
        <f>IFERROR(__xludf.DUMMYFUNCTION("IFNA(SUM(FILTER('53 серия'!$B$6:$C$15,'53 серия'!$B$6:$B$15=$C45)), )"),"")</f>
        <v/>
      </c>
      <c r="BU45" s="32" t="str">
        <f>IFERROR(__xludf.DUMMYFUNCTION("IFNA(SUM(FILTER('54 серия'!$B$6:$C$15,'54 серия'!$B$6:$B$15=$C45)), )"),"")</f>
        <v/>
      </c>
      <c r="BV45" s="32">
        <f>IFERROR(__xludf.DUMMYFUNCTION("IFNA(SUM(FILTER('55 серия'!$B$6:$C$15,'55 серия'!$B$6:$B$15=$C45)), )"),27.25)</f>
        <v>27.25</v>
      </c>
      <c r="BW45" s="32" t="str">
        <f>IFERROR(__xludf.DUMMYFUNCTION("IFNA(SUM(FILTER('56 серия'!$B$6:$C$15,'56 серия'!$B$6:$B$15=$C45)), )"),"")</f>
        <v/>
      </c>
      <c r="BX45" s="32" t="str">
        <f>IFERROR(__xludf.DUMMYFUNCTION("IFNA(SUM(FILTER('57 серия'!$B$6:$C$15,'57 серия'!$B$6:$B$15=$C45)), )"),"")</f>
        <v/>
      </c>
      <c r="BY45" s="32" t="str">
        <f>IFERROR(__xludf.DUMMYFUNCTION("IFNA(SUM(FILTER('58 серия'!$B$6:$C$15,'58 серия'!$B$6:$B$15=$C45)), )"),"")</f>
        <v/>
      </c>
      <c r="BZ45" s="46" t="str">
        <f>IFERROR(__xludf.DUMMYFUNCTION("IFNA(SUM(FILTER('59 серия'!$B$6:$C$15,'59 серия'!$B$6:$B$15=C45)), )"),"")</f>
        <v/>
      </c>
      <c r="CA45" s="44">
        <f>IFERROR(__xludf.DUMMYFUNCTION("IFNA(SUM(FILTER('60 серия'!$B$6:$C$15,'60 серия'!$B$6:$B$15=$C45)), )"),16.75)</f>
        <v>16.75</v>
      </c>
      <c r="CB45" s="4"/>
    </row>
    <row r="46">
      <c r="A46" s="10"/>
      <c r="B46" s="27">
        <f t="shared" si="1"/>
        <v>40</v>
      </c>
      <c r="C46" s="28" t="s">
        <v>118</v>
      </c>
      <c r="D46" s="29">
        <f>'Игроки статистика'!B44</f>
        <v>50</v>
      </c>
      <c r="E46" s="30">
        <f t="shared" si="2"/>
        <v>188.25</v>
      </c>
      <c r="F46" s="31">
        <f t="shared" si="3"/>
        <v>18.825</v>
      </c>
      <c r="G46" s="46">
        <f t="shared" si="4"/>
        <v>2.665</v>
      </c>
      <c r="H46" s="46">
        <f>SUMIFS('Все игры'!C$3:C1011,'Все игры'!A$3:A1011,C46)</f>
        <v>55</v>
      </c>
      <c r="I46" s="46">
        <f t="shared" si="5"/>
        <v>132.25</v>
      </c>
      <c r="J46" s="47">
        <f>SUMIFS('Все игры'!F$3:F1011,'Все игры'!A$3:A1011,C46)</f>
        <v>0</v>
      </c>
      <c r="K46" s="48">
        <f>SUMIFS('Все игры'!G$3:G1011,'Все игры'!A$3:A1011,C46)</f>
        <v>1</v>
      </c>
      <c r="L46" s="35">
        <f>'Игроки статистика'!G44</f>
        <v>2</v>
      </c>
      <c r="M46" s="36">
        <f t="shared" si="6"/>
        <v>22</v>
      </c>
      <c r="N46" s="36">
        <f>SUM('Игроки статистика'!O44,'Игроки статистика'!Q44)</f>
        <v>5</v>
      </c>
      <c r="O46" s="37">
        <f>SUM('Игроки статистика'!P44,'Игроки статистика'!R44)</f>
        <v>4</v>
      </c>
      <c r="P46" s="38" t="str">
        <f>IFERROR(__xludf.DUMMYFUNCTION("IFNA(SUM(FILTER('Штрафы'!$D$5:$D1011,'Штрафы'!$C$5:$C1011=C46)), )"),"")</f>
        <v/>
      </c>
      <c r="Q46" s="38" t="str">
        <f>IFERROR(__xludf.DUMMYFUNCTION("IFNA(SUM(FILTER('Штрафы'!$F$5:$F1011,'Штрафы'!$C$5:$C1011=C46)), )"),"")</f>
        <v/>
      </c>
      <c r="R46" s="39"/>
      <c r="S46" s="40"/>
      <c r="T46" s="31">
        <f>IFERROR(__xludf.DUMMYFUNCTION("IFNA(SUM(FILTER('1 серия'!$B$6:$C$15,'1 серия'!$B$6:$B$15=C46)), )"),15.75)</f>
        <v>15.75</v>
      </c>
      <c r="U46" s="32" t="str">
        <f>IFERROR(__xludf.DUMMYFUNCTION("IFNA(SUM(FILTER('2 серия'!$B$6:$C$15,'2 серия'!$B$6:$B$15=C46)), )
"),"")</f>
        <v/>
      </c>
      <c r="V46" s="32">
        <f>IFERROR(__xludf.DUMMYFUNCTION("IFNA(SUM(FILTER('3 серия'!$B$6:$C$15,'3 серия'!$B$6:$B$15=C46)), )
"),17.5)</f>
        <v>17.5</v>
      </c>
      <c r="W46" s="32" t="str">
        <f>IFERROR(__xludf.DUMMYFUNCTION("IFNA(SUM(FILTER('4 серия'!$B$6:$C$15,'4 серия'!$B$6:$B$15=C46)), )"),"")</f>
        <v/>
      </c>
      <c r="X46" s="32" t="str">
        <f>IFERROR(__xludf.DUMMYFUNCTION("IFNA(SUM(FILTER('5 серия'!$B$6:$C$15,'5 серия'!$B$6:$B$15=C46)), )"),"")</f>
        <v/>
      </c>
      <c r="Y46" s="32" t="str">
        <f>IFERROR(__xludf.DUMMYFUNCTION("IFNA(SUM(FILTER('6 серия'!$B$6:$C$15,'6 серия'!$B$6:$B$15=C46)), )"),"")</f>
        <v/>
      </c>
      <c r="Z46" s="32">
        <f>IFERROR(__xludf.DUMMYFUNCTION("IFNA(SUM(FILTER('7 серия'!$B$6:$C$15,'7 серия'!$B$6:$B$15=C46)), )"),19.75)</f>
        <v>19.75</v>
      </c>
      <c r="AA46" s="32" t="str">
        <f>IFERROR(__xludf.DUMMYFUNCTION("IFNA(SUM(FILTER('8 серия'!$B$6:$C$15,'8 серия'!$B$6:$B$15=C46)), )"),"")</f>
        <v/>
      </c>
      <c r="AB46" s="32" t="str">
        <f>IFERROR(__xludf.DUMMYFUNCTION("IFNA(SUM(FILTER('9 серия'!$B$7:$C$16,'9 серия'!$B$7:$B$16=C46)), )"),"")</f>
        <v/>
      </c>
      <c r="AC46" s="32">
        <f>IFERROR(__xludf.DUMMYFUNCTION("IFNA(SUM(FILTER('10 серия'!$B$6:$C$15,'10 серия'!$B$6:$B$15=C46)), )"),23.5)</f>
        <v>23.5</v>
      </c>
      <c r="AD46" s="32" t="str">
        <f>IFERROR(__xludf.DUMMYFUNCTION("IFNA(SUM(FILTER('11 серия'!$B$6:$C$15,'11 серия'!$B$6:$B$15=C46)), )"),"")</f>
        <v/>
      </c>
      <c r="AE46" s="32">
        <f>IFERROR(__xludf.DUMMYFUNCTION("IFNA(SUM(FILTER('12 серия'!$B$6:$C$15,'12 серия'!$B$6:$B$15=C46)), )"),19.25)</f>
        <v>19.25</v>
      </c>
      <c r="AF46" s="32" t="str">
        <f>IFERROR(__xludf.DUMMYFUNCTION("IFNA(SUM(FILTER('13 серия'!$B$6:$C$15,'13 серия'!$B$6:$B$15=C46)), )"),"")</f>
        <v/>
      </c>
      <c r="AG46" s="32">
        <f>IFERROR(__xludf.DUMMYFUNCTION("IFNA(SUM(FILTER('14 серия'!$B$6:$C$15,'14 серия'!$B$6:$B$15=C46)), )"),19.75)</f>
        <v>19.75</v>
      </c>
      <c r="AH46" s="32" t="str">
        <f>IFERROR(__xludf.DUMMYFUNCTION("IFNA(SUM(FILTER('15 серия'!$B$6:$C$15,'15 серия'!$B$6:$B$15=C46)), )"),"")</f>
        <v/>
      </c>
      <c r="AI46" s="32" t="str">
        <f>IFERROR(__xludf.DUMMYFUNCTION("IFNA(SUM(FILTER('16 серия'!$B$6:$C$15,'16 серия'!$B$6:$B$15=C46)), )"),"")</f>
        <v/>
      </c>
      <c r="AJ46" s="32">
        <f>IFERROR(__xludf.DUMMYFUNCTION("IFNA(SUM(FILTER('17 серия'!$B$6:$C$15,'17 серия'!$B$6:$B$15=C46)), )"),15.5)</f>
        <v>15.5</v>
      </c>
      <c r="AK46" s="32" t="str">
        <f>IFERROR(__xludf.DUMMYFUNCTION("IFNA(SUM(FILTER('18 серия'!$B$6:$C$15,'18 серия'!$B$6:$B$15=C46)), )"),"")</f>
        <v/>
      </c>
      <c r="AL46" s="32" t="str">
        <f>IFERROR(__xludf.DUMMYFUNCTION("IFNA(SUM(FILTER('19 серия'!$B$6:$C$15,'19 серия'!$B$6:$B$15=C46)), )"),"")</f>
        <v/>
      </c>
      <c r="AM46" s="32">
        <f>IFERROR(__xludf.DUMMYFUNCTION("IFNA(SUM(FILTER('20 серия'!$B$6:$C$15,'20 серия'!$B$6:$B$15=C46)), )"),21.5)</f>
        <v>21.5</v>
      </c>
      <c r="AN46" s="32" t="str">
        <f>IFERROR(__xludf.DUMMYFUNCTION("IFNA(SUM(FILTER('21 серия'!$B$6:$C$15,'21 серия'!$B$6:$B$15=C46)), )"),"")</f>
        <v/>
      </c>
      <c r="AO46" s="32" t="str">
        <f>IFERROR(__xludf.DUMMYFUNCTION("IFNA(SUM(FILTER('22 серия'!$B$6:$C$15,'22 серия'!$B$6:$B$15=C46)), )"),"")</f>
        <v/>
      </c>
      <c r="AP46" s="32" t="str">
        <f>IFERROR(__xludf.DUMMYFUNCTION("IFNA(SUM(FILTER('23 серия'!$B$6:$C$15,'23 серия'!$B$6:$B$15=C46)), )"),"")</f>
        <v/>
      </c>
      <c r="AQ46" s="32">
        <f>IFERROR(__xludf.DUMMYFUNCTION("IFNA(SUM(FILTER('24 серия'!$B$6:$C$15,'24 серия'!$B$6:$B$15=C46)), )"),21.5)</f>
        <v>21.5</v>
      </c>
      <c r="AR46" s="32">
        <f>IFERROR(__xludf.DUMMYFUNCTION("IFNA(SUM(FILTER('25 серия'!$B$6:$C$15,'25 серия'!$B$6:$B$15=C46)), )"),14.25)</f>
        <v>14.25</v>
      </c>
      <c r="AS46" s="32" t="str">
        <f>IFERROR(__xludf.DUMMYFUNCTION("IFNA(SUM(FILTER('26 серия'!$B$6:$C$15,'26 серия'!$B$6:$B$15=C46)), )"),"")</f>
        <v/>
      </c>
      <c r="AT46" s="32" t="str">
        <f>IFERROR(__xludf.DUMMYFUNCTION("IFNA(SUM(FILTER('27 серия'!$B$6:$C$15,'27 серия'!$B$6:$B$15=C46)), )"),"")</f>
        <v/>
      </c>
      <c r="AU46" s="32" t="str">
        <f>IFERROR(__xludf.DUMMYFUNCTION("IFNA(SUM(FILTER('28 серия'!$B$6:$C$15,'28 серия'!$B$6:$B$15=C46)), )"),"")</f>
        <v/>
      </c>
      <c r="AV46" s="32" t="str">
        <f>IFERROR(__xludf.DUMMYFUNCTION("IFNA(SUM(FILTER('29 серия'!$B$6:$C$15,'29 серия'!$B$6:$B$15=C46)), )"),"")</f>
        <v/>
      </c>
      <c r="AW46" s="32" t="str">
        <f>IFERROR(__xludf.DUMMYFUNCTION("IFNA(SUM(FILTER('30 серия'!$B$6:$C$15,'30 серия'!$B$6:$B$15=C46)), )"),"")</f>
        <v/>
      </c>
      <c r="AX46" s="32" t="str">
        <f>IFERROR(__xludf.DUMMYFUNCTION("IFNA(SUM(FILTER('31 серия'!$B$6:$C$15,'31 серия'!$B$6:$B$15=C46)), )"),"")</f>
        <v/>
      </c>
      <c r="AY46" s="32" t="str">
        <f>IFERROR(__xludf.DUMMYFUNCTION("IFNA(SUM(FILTER('32 серия'!$B$6:$C$15,'32 серия'!$B$6:$B$15=C46)), )"),"")</f>
        <v/>
      </c>
      <c r="AZ46" s="32" t="str">
        <f>IFERROR(__xludf.DUMMYFUNCTION("IFNA(SUM(FILTER('33 серия'!$B$6:$C$15,'33 серия'!$B$6:$B$15=C46)), )"),"")</f>
        <v/>
      </c>
      <c r="BA46" s="32" t="str">
        <f>IFERROR(__xludf.DUMMYFUNCTION("IFNA(SUM(FILTER('34 серия'!$B$6:$C$15,'34 серия'!$B$6:$B$15=C46)), )"),"")</f>
        <v/>
      </c>
      <c r="BB46" s="32" t="str">
        <f>IFERROR(__xludf.DUMMYFUNCTION("IFNA(SUM(FILTER('35 серия'!$B$6:$C$15,'35 серия'!$B$6:$B$15=C46)), )"),"")</f>
        <v/>
      </c>
      <c r="BC46" s="32" t="str">
        <f>IFERROR(__xludf.DUMMYFUNCTION("IFNA(SUM(FILTER('36 серия'!$B$6:$C$15,'36 серия'!$B$6:$B$15=C46)), )"),"")</f>
        <v/>
      </c>
      <c r="BD46" s="32" t="str">
        <f>IFERROR(__xludf.DUMMYFUNCTION("IFNA(SUM(FILTER('37 серия'!$B$6:$C$15,'37 серия'!$B$6:$B$15=C46)), )"),"")</f>
        <v/>
      </c>
      <c r="BE46" s="32" t="str">
        <f>IFERROR(__xludf.DUMMYFUNCTION("IFNA(SUM(FILTER('38 серия'!$B$6:$C$15,'38 серия'!$B$6:$B$15=C46)), )"),"")</f>
        <v/>
      </c>
      <c r="BF46" s="32" t="str">
        <f>IFERROR(__xludf.DUMMYFUNCTION("IFNA(SUM(FILTER('39 серия'!$B$6:$C$15,'39 серия'!$B$6:$B$15=C46)), )"),"")</f>
        <v/>
      </c>
      <c r="BG46" s="32" t="str">
        <f>IFERROR(__xludf.DUMMYFUNCTION("IFNA(SUM(FILTER('40 серия'!$B$6:$C$15,'40 серия'!$B$6:$B$15=C46)), )"),"")</f>
        <v/>
      </c>
      <c r="BH46" s="32" t="str">
        <f>IFERROR(__xludf.DUMMYFUNCTION("IFNA(SUM(FILTER('41 серия'!$B$6:$C$15,'41 серия'!$B$6:$B$15=C46)), )"),"")</f>
        <v/>
      </c>
      <c r="BI46" s="32" t="str">
        <f>IFERROR(__xludf.DUMMYFUNCTION("IFNA(SUM(FILTER('42 серия'!$B$6:$C$15,'42 серия'!$B$6:$B$15=C46)), )"),"")</f>
        <v/>
      </c>
      <c r="BJ46" s="32" t="str">
        <f>IFERROR(__xludf.DUMMYFUNCTION("IFNA(SUM(FILTER('43 серия'!$B$6:$C$15,'43 серия'!$B$6:$B$15=C46)), )"),"")</f>
        <v/>
      </c>
      <c r="BK46" s="32" t="str">
        <f>IFERROR(__xludf.DUMMYFUNCTION("IFNA(SUM(FILTER('44 серия'!$B$6:$C$15,'44 серия'!$B$6:$B$15=C46)), )"),"")</f>
        <v/>
      </c>
      <c r="BL46" s="32" t="str">
        <f>IFERROR(__xludf.DUMMYFUNCTION("IFNA(SUM(FILTER('45 серия'!$B$6:$C$15,'45 серия'!$B$6:$B$15=C46)), )"),"")</f>
        <v/>
      </c>
      <c r="BM46" s="32" t="str">
        <f>IFERROR(__xludf.DUMMYFUNCTION("IFNA(SUM(FILTER('46 серия'!$B$6:$C$15,'46 серия'!$B$6:$B$15=C46)), )"),"")</f>
        <v/>
      </c>
      <c r="BN46" s="32" t="str">
        <f>IFERROR(__xludf.DUMMYFUNCTION("IFNA(SUM(FILTER('47 серия'!$B$6:$C$15,'47 серия'!$B$6:$B$15=C46)), )"),"")</f>
        <v/>
      </c>
      <c r="BO46" s="42" t="str">
        <f>IFERROR(__xludf.DUMMYFUNCTION("IFNA(SUM(FILTER('48 серия'!$B$6:$C$15,'48 серия'!$B$6:$B$15=$C46)), )"),"")</f>
        <v/>
      </c>
      <c r="BP46" s="43" t="str">
        <f>IFERROR(__xludf.DUMMYFUNCTION("IFNA(SUM(FILTER('49 серия'!$B$6:$C$15,'49 серия'!$B$6:$B$15=$C46)), )"),"")</f>
        <v/>
      </c>
      <c r="BQ46" s="43" t="str">
        <f>IFERROR(__xludf.DUMMYFUNCTION("IFNA(SUM(FILTER('50 серия'!$B$6:$C$15,'50 серия'!$B$6:$B$15=$C46)), )"),"")</f>
        <v/>
      </c>
      <c r="BR46" s="43" t="str">
        <f>IFERROR(__xludf.DUMMYFUNCTION("IFNA(SUM(FILTER('51 серия'!$B$6:$C$15,'51 серия'!$B$6:$B$15=$C46)), )"),"")</f>
        <v/>
      </c>
      <c r="BS46" s="49" t="str">
        <f>IFERROR(__xludf.DUMMYFUNCTION("IFNA(SUM(FILTER('52 серия'!$B$6:$C$15,'52 серия'!$B$6:$B$15=C46)), )"),"")</f>
        <v/>
      </c>
      <c r="BT46" s="32" t="str">
        <f>IFERROR(__xludf.DUMMYFUNCTION("IFNA(SUM(FILTER('53 серия'!$B$6:$C$15,'53 серия'!$B$6:$B$15=$C46)), )"),"")</f>
        <v/>
      </c>
      <c r="BU46" s="32" t="str">
        <f>IFERROR(__xludf.DUMMYFUNCTION("IFNA(SUM(FILTER('54 серия'!$B$6:$C$15,'54 серия'!$B$6:$B$15=$C46)), )"),"")</f>
        <v/>
      </c>
      <c r="BV46" s="32" t="str">
        <f>IFERROR(__xludf.DUMMYFUNCTION("IFNA(SUM(FILTER('55 серия'!$B$6:$C$15,'55 серия'!$B$6:$B$15=$C46)), )"),"")</f>
        <v/>
      </c>
      <c r="BW46" s="32" t="str">
        <f>IFERROR(__xludf.DUMMYFUNCTION("IFNA(SUM(FILTER('56 серия'!$B$6:$C$15,'56 серия'!$B$6:$B$15=$C46)), )"),"")</f>
        <v/>
      </c>
      <c r="BX46" s="32" t="str">
        <f>IFERROR(__xludf.DUMMYFUNCTION("IFNA(SUM(FILTER('57 серия'!$B$6:$C$15,'57 серия'!$B$6:$B$15=$C46)), )"),"")</f>
        <v/>
      </c>
      <c r="BY46" s="32" t="str">
        <f>IFERROR(__xludf.DUMMYFUNCTION("IFNA(SUM(FILTER('58 серия'!$B$6:$C$15,'58 серия'!$B$6:$B$15=$C46)), )"),"")</f>
        <v/>
      </c>
      <c r="BZ46" s="46" t="str">
        <f>IFERROR(__xludf.DUMMYFUNCTION("IFNA(SUM(FILTER('59 серия'!$B$6:$C$15,'59 серия'!$B$6:$B$15=C46)), )"),"")</f>
        <v/>
      </c>
      <c r="CA46" s="44" t="str">
        <f>IFERROR(__xludf.DUMMYFUNCTION("IFNA(SUM(FILTER('60 серия'!$B$6:$C$15,'60 серия'!$B$6:$B$15=$C46)), )"),"")</f>
        <v/>
      </c>
      <c r="CB46" s="4"/>
    </row>
    <row r="47">
      <c r="A47" s="10"/>
      <c r="B47" s="27">
        <f t="shared" si="1"/>
        <v>41</v>
      </c>
      <c r="C47" s="45" t="s">
        <v>119</v>
      </c>
      <c r="D47" s="29">
        <f>'Игроки статистика'!B45</f>
        <v>50</v>
      </c>
      <c r="E47" s="30">
        <f t="shared" si="2"/>
        <v>194.75</v>
      </c>
      <c r="F47" s="31">
        <f t="shared" si="3"/>
        <v>19.475</v>
      </c>
      <c r="G47" s="46">
        <f t="shared" si="4"/>
        <v>2.645</v>
      </c>
      <c r="H47" s="46">
        <f>SUMIFS('Все игры'!C$3:C1011,'Все игры'!A$3:A1011,C47)</f>
        <v>62.5</v>
      </c>
      <c r="I47" s="46">
        <f t="shared" si="5"/>
        <v>129.75</v>
      </c>
      <c r="J47" s="47">
        <f>SUMIFS('Все игры'!F$3:F1011,'Все игры'!A$3:A1011,C47)</f>
        <v>1.5</v>
      </c>
      <c r="K47" s="48">
        <f>SUMIFS('Все игры'!G$3:G1011,'Все игры'!A$3:A1011,C47)</f>
        <v>1</v>
      </c>
      <c r="L47" s="35">
        <f>'Игроки статистика'!G45</f>
        <v>2</v>
      </c>
      <c r="M47" s="36">
        <f t="shared" si="6"/>
        <v>25</v>
      </c>
      <c r="N47" s="36">
        <f>SUM('Игроки статистика'!O45,'Игроки статистика'!Q45)</f>
        <v>4</v>
      </c>
      <c r="O47" s="37">
        <f>SUM('Игроки статистика'!P45,'Игроки статистика'!R45)</f>
        <v>9</v>
      </c>
      <c r="P47" s="38" t="str">
        <f>IFERROR(__xludf.DUMMYFUNCTION("IFNA(SUM(FILTER('Штрафы'!$D$5:$D1011,'Штрафы'!$C$5:$C1011=C47)), )"),"")</f>
        <v/>
      </c>
      <c r="Q47" s="38" t="str">
        <f>IFERROR(__xludf.DUMMYFUNCTION("IFNA(SUM(FILTER('Штрафы'!$F$5:$F1011,'Штрафы'!$C$5:$C1011=C47)), )"),"")</f>
        <v/>
      </c>
      <c r="R47" s="39"/>
      <c r="S47" s="40"/>
      <c r="T47" s="31">
        <f>IFERROR(__xludf.DUMMYFUNCTION("IFNA(SUM(FILTER('1 серия'!$B$6:$C$15,'1 серия'!$B$6:$B$15=C47)), )"),21.25)</f>
        <v>21.25</v>
      </c>
      <c r="U47" s="32" t="str">
        <f>IFERROR(__xludf.DUMMYFUNCTION("IFNA(SUM(FILTER('2 серия'!$B$6:$C$15,'2 серия'!$B$6:$B$15=C47)), )
"),"")</f>
        <v/>
      </c>
      <c r="V47" s="32" t="str">
        <f>IFERROR(__xludf.DUMMYFUNCTION("IFNA(SUM(FILTER('3 серия'!$B$6:$C$15,'3 серия'!$B$6:$B$15=C47)), )
"),"")</f>
        <v/>
      </c>
      <c r="W47" s="32" t="str">
        <f>IFERROR(__xludf.DUMMYFUNCTION("IFNA(SUM(FILTER('4 серия'!$B$6:$C$15,'4 серия'!$B$6:$B$15=C47)), )"),"")</f>
        <v/>
      </c>
      <c r="X47" s="32">
        <f>IFERROR(__xludf.DUMMYFUNCTION("IFNA(SUM(FILTER('5 серия'!$B$6:$C$15,'5 серия'!$B$6:$B$15=C47)), )"),14.75)</f>
        <v>14.75</v>
      </c>
      <c r="Y47" s="32" t="str">
        <f>IFERROR(__xludf.DUMMYFUNCTION("IFNA(SUM(FILTER('6 серия'!$B$6:$C$15,'6 серия'!$B$6:$B$15=C47)), )"),"")</f>
        <v/>
      </c>
      <c r="Z47" s="32" t="str">
        <f>IFERROR(__xludf.DUMMYFUNCTION("IFNA(SUM(FILTER('7 серия'!$B$6:$C$15,'7 серия'!$B$6:$B$15=C47)), )"),"")</f>
        <v/>
      </c>
      <c r="AA47" s="32" t="str">
        <f>IFERROR(__xludf.DUMMYFUNCTION("IFNA(SUM(FILTER('8 серия'!$B$6:$C$15,'8 серия'!$B$6:$B$15=C47)), )"),"")</f>
        <v/>
      </c>
      <c r="AB47" s="32">
        <f>IFERROR(__xludf.DUMMYFUNCTION("IFNA(SUM(FILTER('9 серия'!$B$7:$C$16,'9 серия'!$B$7:$B$16=C47)), )"),12.0)</f>
        <v>12</v>
      </c>
      <c r="AC47" s="32" t="str">
        <f>IFERROR(__xludf.DUMMYFUNCTION("IFNA(SUM(FILTER('10 серия'!$B$6:$C$15,'10 серия'!$B$6:$B$15=C47)), )"),"")</f>
        <v/>
      </c>
      <c r="AD47" s="32" t="str">
        <f>IFERROR(__xludf.DUMMYFUNCTION("IFNA(SUM(FILTER('11 серия'!$B$6:$C$15,'11 серия'!$B$6:$B$15=C47)), )"),"")</f>
        <v/>
      </c>
      <c r="AE47" s="32">
        <f>IFERROR(__xludf.DUMMYFUNCTION("IFNA(SUM(FILTER('12 серия'!$B$6:$C$15,'12 серия'!$B$6:$B$15=C47)), )"),21.0)</f>
        <v>21</v>
      </c>
      <c r="AF47" s="32" t="str">
        <f>IFERROR(__xludf.DUMMYFUNCTION("IFNA(SUM(FILTER('13 серия'!$B$6:$C$15,'13 серия'!$B$6:$B$15=C47)), )"),"")</f>
        <v/>
      </c>
      <c r="AG47" s="32" t="str">
        <f>IFERROR(__xludf.DUMMYFUNCTION("IFNA(SUM(FILTER('14 серия'!$B$6:$C$15,'14 серия'!$B$6:$B$15=C47)), )"),"")</f>
        <v/>
      </c>
      <c r="AH47" s="32" t="str">
        <f>IFERROR(__xludf.DUMMYFUNCTION("IFNA(SUM(FILTER('15 серия'!$B$6:$C$15,'15 серия'!$B$6:$B$15=C47)), )"),"")</f>
        <v/>
      </c>
      <c r="AI47" s="32" t="str">
        <f>IFERROR(__xludf.DUMMYFUNCTION("IFNA(SUM(FILTER('16 серия'!$B$6:$C$15,'16 серия'!$B$6:$B$15=C47)), )"),"")</f>
        <v/>
      </c>
      <c r="AJ47" s="32" t="str">
        <f>IFERROR(__xludf.DUMMYFUNCTION("IFNA(SUM(FILTER('17 серия'!$B$6:$C$15,'17 серия'!$B$6:$B$15=C47)), )"),"")</f>
        <v/>
      </c>
      <c r="AK47" s="32" t="str">
        <f>IFERROR(__xludf.DUMMYFUNCTION("IFNA(SUM(FILTER('18 серия'!$B$6:$C$15,'18 серия'!$B$6:$B$15=C47)), )"),"")</f>
        <v/>
      </c>
      <c r="AL47" s="32" t="str">
        <f>IFERROR(__xludf.DUMMYFUNCTION("IFNA(SUM(FILTER('19 серия'!$B$6:$C$15,'19 серия'!$B$6:$B$15=C47)), )"),"")</f>
        <v/>
      </c>
      <c r="AM47" s="32" t="str">
        <f>IFERROR(__xludf.DUMMYFUNCTION("IFNA(SUM(FILTER('20 серия'!$B$6:$C$15,'20 серия'!$B$6:$B$15=C47)), )"),"")</f>
        <v/>
      </c>
      <c r="AN47" s="32" t="str">
        <f>IFERROR(__xludf.DUMMYFUNCTION("IFNA(SUM(FILTER('21 серия'!$B$6:$C$15,'21 серия'!$B$6:$B$15=C47)), )"),"")</f>
        <v/>
      </c>
      <c r="AO47" s="32" t="str">
        <f>IFERROR(__xludf.DUMMYFUNCTION("IFNA(SUM(FILTER('22 серия'!$B$6:$C$15,'22 серия'!$B$6:$B$15=C47)), )"),"")</f>
        <v/>
      </c>
      <c r="AP47" s="32" t="str">
        <f>IFERROR(__xludf.DUMMYFUNCTION("IFNA(SUM(FILTER('23 серия'!$B$6:$C$15,'23 серия'!$B$6:$B$15=C47)), )"),"")</f>
        <v/>
      </c>
      <c r="AQ47" s="32" t="str">
        <f>IFERROR(__xludf.DUMMYFUNCTION("IFNA(SUM(FILTER('24 серия'!$B$6:$C$15,'24 серия'!$B$6:$B$15=C47)), )"),"")</f>
        <v/>
      </c>
      <c r="AR47" s="32" t="str">
        <f>IFERROR(__xludf.DUMMYFUNCTION("IFNA(SUM(FILTER('25 серия'!$B$6:$C$15,'25 серия'!$B$6:$B$15=C47)), )"),"")</f>
        <v/>
      </c>
      <c r="AS47" s="32" t="str">
        <f>IFERROR(__xludf.DUMMYFUNCTION("IFNA(SUM(FILTER('26 серия'!$B$6:$C$15,'26 серия'!$B$6:$B$15=C47)), )"),"")</f>
        <v/>
      </c>
      <c r="AT47" s="32" t="str">
        <f>IFERROR(__xludf.DUMMYFUNCTION("IFNA(SUM(FILTER('27 серия'!$B$6:$C$15,'27 серия'!$B$6:$B$15=C47)), )"),"")</f>
        <v/>
      </c>
      <c r="AU47" s="32" t="str">
        <f>IFERROR(__xludf.DUMMYFUNCTION("IFNA(SUM(FILTER('28 серия'!$B$6:$C$15,'28 серия'!$B$6:$B$15=C47)), )"),"")</f>
        <v/>
      </c>
      <c r="AV47" s="32" t="str">
        <f>IFERROR(__xludf.DUMMYFUNCTION("IFNA(SUM(FILTER('29 серия'!$B$6:$C$15,'29 серия'!$B$6:$B$15=C47)), )"),"")</f>
        <v/>
      </c>
      <c r="AW47" s="32" t="str">
        <f>IFERROR(__xludf.DUMMYFUNCTION("IFNA(SUM(FILTER('30 серия'!$B$6:$C$15,'30 серия'!$B$6:$B$15=C47)), )"),"")</f>
        <v/>
      </c>
      <c r="AX47" s="32">
        <f>IFERROR(__xludf.DUMMYFUNCTION("IFNA(SUM(FILTER('31 серия'!$B$6:$C$15,'31 серия'!$B$6:$B$15=C47)), )"),23.5)</f>
        <v>23.5</v>
      </c>
      <c r="AY47" s="32">
        <f>IFERROR(__xludf.DUMMYFUNCTION("IFNA(SUM(FILTER('32 серия'!$B$6:$C$15,'32 серия'!$B$6:$B$15=C47)), )"),18.0)</f>
        <v>18</v>
      </c>
      <c r="AZ47" s="32" t="str">
        <f>IFERROR(__xludf.DUMMYFUNCTION("IFNA(SUM(FILTER('33 серия'!$B$6:$C$15,'33 серия'!$B$6:$B$15=C47)), )"),"")</f>
        <v/>
      </c>
      <c r="BA47" s="32" t="str">
        <f>IFERROR(__xludf.DUMMYFUNCTION("IFNA(SUM(FILTER('34 серия'!$B$6:$C$15,'34 серия'!$B$6:$B$15=C47)), )"),"")</f>
        <v/>
      </c>
      <c r="BB47" s="32" t="str">
        <f>IFERROR(__xludf.DUMMYFUNCTION("IFNA(SUM(FILTER('35 серия'!$B$6:$C$15,'35 серия'!$B$6:$B$15=C47)), )"),"")</f>
        <v/>
      </c>
      <c r="BC47" s="32" t="str">
        <f>IFERROR(__xludf.DUMMYFUNCTION("IFNA(SUM(FILTER('36 серия'!$B$6:$C$15,'36 серия'!$B$6:$B$15=C47)), )"),"")</f>
        <v/>
      </c>
      <c r="BD47" s="32" t="str">
        <f>IFERROR(__xludf.DUMMYFUNCTION("IFNA(SUM(FILTER('37 серия'!$B$6:$C$15,'37 серия'!$B$6:$B$15=C47)), )"),"")</f>
        <v/>
      </c>
      <c r="BE47" s="32" t="str">
        <f>IFERROR(__xludf.DUMMYFUNCTION("IFNA(SUM(FILTER('38 серия'!$B$6:$C$15,'38 серия'!$B$6:$B$15=C47)), )"),"")</f>
        <v/>
      </c>
      <c r="BF47" s="32" t="str">
        <f>IFERROR(__xludf.DUMMYFUNCTION("IFNA(SUM(FILTER('39 серия'!$B$6:$C$15,'39 серия'!$B$6:$B$15=C47)), )"),"")</f>
        <v/>
      </c>
      <c r="BG47" s="32" t="str">
        <f>IFERROR(__xludf.DUMMYFUNCTION("IFNA(SUM(FILTER('40 серия'!$B$6:$C$15,'40 серия'!$B$6:$B$15=C47)), )"),"")</f>
        <v/>
      </c>
      <c r="BH47" s="32">
        <f>IFERROR(__xludf.DUMMYFUNCTION("IFNA(SUM(FILTER('41 серия'!$B$6:$C$15,'41 серия'!$B$6:$B$15=C47)), )"),19.75)</f>
        <v>19.75</v>
      </c>
      <c r="BI47" s="32">
        <f>IFERROR(__xludf.DUMMYFUNCTION("IFNA(SUM(FILTER('42 серия'!$B$6:$C$15,'42 серия'!$B$6:$B$15=C47)), )"),26.5)</f>
        <v>26.5</v>
      </c>
      <c r="BJ47" s="32" t="str">
        <f>IFERROR(__xludf.DUMMYFUNCTION("IFNA(SUM(FILTER('43 серия'!$B$6:$C$15,'43 серия'!$B$6:$B$15=C47)), )"),"")</f>
        <v/>
      </c>
      <c r="BK47" s="32" t="str">
        <f>IFERROR(__xludf.DUMMYFUNCTION("IFNA(SUM(FILTER('44 серия'!$B$6:$C$15,'44 серия'!$B$6:$B$15=C47)), )"),"")</f>
        <v/>
      </c>
      <c r="BL47" s="32">
        <f>IFERROR(__xludf.DUMMYFUNCTION("IFNA(SUM(FILTER('45 серия'!$B$6:$C$15,'45 серия'!$B$6:$B$15=C47)), )"),20.25)</f>
        <v>20.25</v>
      </c>
      <c r="BM47" s="32" t="str">
        <f>IFERROR(__xludf.DUMMYFUNCTION("IFNA(SUM(FILTER('46 серия'!$B$6:$C$15,'46 серия'!$B$6:$B$15=C47)), )"),"")</f>
        <v/>
      </c>
      <c r="BN47" s="32" t="str">
        <f>IFERROR(__xludf.DUMMYFUNCTION("IFNA(SUM(FILTER('47 серия'!$B$6:$C$15,'47 серия'!$B$6:$B$15=C47)), )"),"")</f>
        <v/>
      </c>
      <c r="BO47" s="42" t="str">
        <f>IFERROR(__xludf.DUMMYFUNCTION("IFNA(SUM(FILTER('48 серия'!$B$6:$C$15,'48 серия'!$B$6:$B$15=$C47)), )"),"")</f>
        <v/>
      </c>
      <c r="BP47" s="43" t="str">
        <f>IFERROR(__xludf.DUMMYFUNCTION("IFNA(SUM(FILTER('49 серия'!$B$6:$C$15,'49 серия'!$B$6:$B$15=$C47)), )"),"")</f>
        <v/>
      </c>
      <c r="BQ47" s="43" t="str">
        <f>IFERROR(__xludf.DUMMYFUNCTION("IFNA(SUM(FILTER('50 серия'!$B$6:$C$15,'50 серия'!$B$6:$B$15=$C47)), )"),"")</f>
        <v/>
      </c>
      <c r="BR47" s="43" t="str">
        <f>IFERROR(__xludf.DUMMYFUNCTION("IFNA(SUM(FILTER('51 серия'!$B$6:$C$15,'51 серия'!$B$6:$B$15=$C47)), )"),"")</f>
        <v/>
      </c>
      <c r="BS47" s="49" t="str">
        <f>IFERROR(__xludf.DUMMYFUNCTION("IFNA(SUM(FILTER('52 серия'!$B$6:$C$15,'52 серия'!$B$6:$B$15=C47)), )"),"")</f>
        <v/>
      </c>
      <c r="BT47" s="32" t="str">
        <f>IFERROR(__xludf.DUMMYFUNCTION("IFNA(SUM(FILTER('53 серия'!$B$6:$C$15,'53 серия'!$B$6:$B$15=$C47)), )"),"")</f>
        <v/>
      </c>
      <c r="BU47" s="32" t="str">
        <f>IFERROR(__xludf.DUMMYFUNCTION("IFNA(SUM(FILTER('54 серия'!$B$6:$C$15,'54 серия'!$B$6:$B$15=$C47)), )"),"")</f>
        <v/>
      </c>
      <c r="BV47" s="32" t="str">
        <f>IFERROR(__xludf.DUMMYFUNCTION("IFNA(SUM(FILTER('55 серия'!$B$6:$C$15,'55 серия'!$B$6:$B$15=$C47)), )"),"")</f>
        <v/>
      </c>
      <c r="BW47" s="32" t="str">
        <f>IFERROR(__xludf.DUMMYFUNCTION("IFNA(SUM(FILTER('56 серия'!$B$6:$C$15,'56 серия'!$B$6:$B$15=$C47)), )"),"")</f>
        <v/>
      </c>
      <c r="BX47" s="32" t="str">
        <f>IFERROR(__xludf.DUMMYFUNCTION("IFNA(SUM(FILTER('57 серия'!$B$6:$C$15,'57 серия'!$B$6:$B$15=$C47)), )"),"")</f>
        <v/>
      </c>
      <c r="BY47" s="32" t="str">
        <f>IFERROR(__xludf.DUMMYFUNCTION("IFNA(SUM(FILTER('58 серия'!$B$6:$C$15,'58 серия'!$B$6:$B$15=$C47)), )"),"")</f>
        <v/>
      </c>
      <c r="BZ47" s="46" t="str">
        <f>IFERROR(__xludf.DUMMYFUNCTION("IFNA(SUM(FILTER('59 серия'!$B$6:$C$15,'59 серия'!$B$6:$B$15=C47)), )"),"")</f>
        <v/>
      </c>
      <c r="CA47" s="44">
        <f>IFERROR(__xludf.DUMMYFUNCTION("IFNA(SUM(FILTER('60 серия'!$B$6:$C$15,'60 серия'!$B$6:$B$15=$C47)), )"),17.75)</f>
        <v>17.75</v>
      </c>
      <c r="CB47" s="4"/>
    </row>
    <row r="48">
      <c r="A48" s="10"/>
      <c r="B48" s="27">
        <f t="shared" si="1"/>
        <v>42</v>
      </c>
      <c r="C48" s="45" t="s">
        <v>120</v>
      </c>
      <c r="D48" s="29">
        <f>'Игроки статистика'!B46</f>
        <v>50</v>
      </c>
      <c r="E48" s="30">
        <f t="shared" si="2"/>
        <v>196.75</v>
      </c>
      <c r="F48" s="31">
        <f t="shared" si="3"/>
        <v>19.675</v>
      </c>
      <c r="G48" s="46">
        <f t="shared" si="4"/>
        <v>2.685</v>
      </c>
      <c r="H48" s="46">
        <f>SUMIFS('Все игры'!C$3:C1011,'Все игры'!A$3:A1011,C48)</f>
        <v>62.5</v>
      </c>
      <c r="I48" s="46">
        <f t="shared" si="5"/>
        <v>131.25</v>
      </c>
      <c r="J48" s="47">
        <f>SUMIFS('Все игры'!F$3:F1011,'Все игры'!A$3:A1011,C48)</f>
        <v>0</v>
      </c>
      <c r="K48" s="48">
        <f>SUMIFS('Все игры'!G$3:G1011,'Все игры'!A$3:A1011,C48)</f>
        <v>3</v>
      </c>
      <c r="L48" s="35">
        <f>'Игроки статистика'!G46</f>
        <v>6</v>
      </c>
      <c r="M48" s="36">
        <f t="shared" si="6"/>
        <v>25</v>
      </c>
      <c r="N48" s="36">
        <f>SUM('Игроки статистика'!O46,'Игроки статистика'!Q46)</f>
        <v>7</v>
      </c>
      <c r="O48" s="37">
        <f>SUM('Игроки статистика'!P46,'Игроки статистика'!R46)</f>
        <v>4</v>
      </c>
      <c r="P48" s="38" t="str">
        <f>IFERROR(__xludf.DUMMYFUNCTION("IFNA(SUM(FILTER('Штрафы'!$D$5:$D1011,'Штрафы'!$C$5:$C1011=C48)), )"),"")</f>
        <v/>
      </c>
      <c r="Q48" s="38" t="str">
        <f>IFERROR(__xludf.DUMMYFUNCTION("IFNA(SUM(FILTER('Штрафы'!$F$5:$F1011,'Штрафы'!$C$5:$C1011=C48)), )"),"")</f>
        <v/>
      </c>
      <c r="R48" s="39"/>
      <c r="S48" s="40"/>
      <c r="T48" s="31" t="str">
        <f>IFERROR(__xludf.DUMMYFUNCTION("IFNA(SUM(FILTER('1 серия'!$B$6:$C$15,'1 серия'!$B$6:$B$15=C48)), )"),"")</f>
        <v/>
      </c>
      <c r="U48" s="32" t="str">
        <f>IFERROR(__xludf.DUMMYFUNCTION("IFNA(SUM(FILTER('2 серия'!$B$6:$C$15,'2 серия'!$B$6:$B$15=C48)), )
"),"")</f>
        <v/>
      </c>
      <c r="V48" s="32" t="str">
        <f>IFERROR(__xludf.DUMMYFUNCTION("IFNA(SUM(FILTER('3 серия'!$B$6:$C$15,'3 серия'!$B$6:$B$15=C48)), )
"),"")</f>
        <v/>
      </c>
      <c r="W48" s="32" t="str">
        <f>IFERROR(__xludf.DUMMYFUNCTION("IFNA(SUM(FILTER('4 серия'!$B$6:$C$15,'4 серия'!$B$6:$B$15=C48)), )"),"")</f>
        <v/>
      </c>
      <c r="X48" s="32" t="str">
        <f>IFERROR(__xludf.DUMMYFUNCTION("IFNA(SUM(FILTER('5 серия'!$B$6:$C$15,'5 серия'!$B$6:$B$15=C48)), )"),"")</f>
        <v/>
      </c>
      <c r="Y48" s="32" t="str">
        <f>IFERROR(__xludf.DUMMYFUNCTION("IFNA(SUM(FILTER('6 серия'!$B$6:$C$15,'6 серия'!$B$6:$B$15=C48)), )"),"")</f>
        <v/>
      </c>
      <c r="Z48" s="32">
        <f>IFERROR(__xludf.DUMMYFUNCTION("IFNA(SUM(FILTER('7 серия'!$B$6:$C$15,'7 серия'!$B$6:$B$15=C48)), )"),13.5)</f>
        <v>13.5</v>
      </c>
      <c r="AA48" s="32" t="str">
        <f>IFERROR(__xludf.DUMMYFUNCTION("IFNA(SUM(FILTER('8 серия'!$B$6:$C$15,'8 серия'!$B$6:$B$15=C48)), )"),"")</f>
        <v/>
      </c>
      <c r="AB48" s="32" t="str">
        <f>IFERROR(__xludf.DUMMYFUNCTION("IFNA(SUM(FILTER('9 серия'!$B$7:$C$16,'9 серия'!$B$7:$B$16=C48)), )"),"")</f>
        <v/>
      </c>
      <c r="AC48" s="32" t="str">
        <f>IFERROR(__xludf.DUMMYFUNCTION("IFNA(SUM(FILTER('10 серия'!$B$6:$C$15,'10 серия'!$B$6:$B$15=C48)), )"),"")</f>
        <v/>
      </c>
      <c r="AD48" s="32" t="str">
        <f>IFERROR(__xludf.DUMMYFUNCTION("IFNA(SUM(FILTER('11 серия'!$B$6:$C$15,'11 серия'!$B$6:$B$15=C48)), )"),"")</f>
        <v/>
      </c>
      <c r="AE48" s="32" t="str">
        <f>IFERROR(__xludf.DUMMYFUNCTION("IFNA(SUM(FILTER('12 серия'!$B$6:$C$15,'12 серия'!$B$6:$B$15=C48)), )"),"")</f>
        <v/>
      </c>
      <c r="AF48" s="32" t="str">
        <f>IFERROR(__xludf.DUMMYFUNCTION("IFNA(SUM(FILTER('13 серия'!$B$6:$C$15,'13 серия'!$B$6:$B$15=C48)), )"),"")</f>
        <v/>
      </c>
      <c r="AG48" s="32" t="str">
        <f>IFERROR(__xludf.DUMMYFUNCTION("IFNA(SUM(FILTER('14 серия'!$B$6:$C$15,'14 серия'!$B$6:$B$15=C48)), )"),"")</f>
        <v/>
      </c>
      <c r="AH48" s="32">
        <f>IFERROR(__xludf.DUMMYFUNCTION("IFNA(SUM(FILTER('15 серия'!$B$6:$C$15,'15 серия'!$B$6:$B$15=C48)), )"),21.5)</f>
        <v>21.5</v>
      </c>
      <c r="AI48" s="32" t="str">
        <f>IFERROR(__xludf.DUMMYFUNCTION("IFNA(SUM(FILTER('16 серия'!$B$6:$C$15,'16 серия'!$B$6:$B$15=C48)), )"),"")</f>
        <v/>
      </c>
      <c r="AJ48" s="32" t="str">
        <f>IFERROR(__xludf.DUMMYFUNCTION("IFNA(SUM(FILTER('17 серия'!$B$6:$C$15,'17 серия'!$B$6:$B$15=C48)), )"),"")</f>
        <v/>
      </c>
      <c r="AK48" s="32" t="str">
        <f>IFERROR(__xludf.DUMMYFUNCTION("IFNA(SUM(FILTER('18 серия'!$B$6:$C$15,'18 серия'!$B$6:$B$15=C48)), )"),"")</f>
        <v/>
      </c>
      <c r="AL48" s="32" t="str">
        <f>IFERROR(__xludf.DUMMYFUNCTION("IFNA(SUM(FILTER('19 серия'!$B$6:$C$15,'19 серия'!$B$6:$B$15=C48)), )"),"")</f>
        <v/>
      </c>
      <c r="AM48" s="32">
        <f>IFERROR(__xludf.DUMMYFUNCTION("IFNA(SUM(FILTER('20 серия'!$B$6:$C$15,'20 серия'!$B$6:$B$15=C48)), )"),19.75)</f>
        <v>19.75</v>
      </c>
      <c r="AN48" s="32" t="str">
        <f>IFERROR(__xludf.DUMMYFUNCTION("IFNA(SUM(FILTER('21 серия'!$B$6:$C$15,'21 серия'!$B$6:$B$15=C48)), )"),"")</f>
        <v/>
      </c>
      <c r="AO48" s="32">
        <f>IFERROR(__xludf.DUMMYFUNCTION("IFNA(SUM(FILTER('22 серия'!$B$6:$C$15,'22 серия'!$B$6:$B$15=C48)), )"),26.0)</f>
        <v>26</v>
      </c>
      <c r="AP48" s="32" t="str">
        <f>IFERROR(__xludf.DUMMYFUNCTION("IFNA(SUM(FILTER('23 серия'!$B$6:$C$15,'23 серия'!$B$6:$B$15=C48)), )"),"")</f>
        <v/>
      </c>
      <c r="AQ48" s="32" t="str">
        <f>IFERROR(__xludf.DUMMYFUNCTION("IFNA(SUM(FILTER('24 серия'!$B$6:$C$15,'24 серия'!$B$6:$B$15=C48)), )"),"")</f>
        <v/>
      </c>
      <c r="AR48" s="32" t="str">
        <f>IFERROR(__xludf.DUMMYFUNCTION("IFNA(SUM(FILTER('25 серия'!$B$6:$C$15,'25 серия'!$B$6:$B$15=C48)), )"),"")</f>
        <v/>
      </c>
      <c r="AS48" s="32" t="str">
        <f>IFERROR(__xludf.DUMMYFUNCTION("IFNA(SUM(FILTER('26 серия'!$B$6:$C$15,'26 серия'!$B$6:$B$15=C48)), )"),"")</f>
        <v/>
      </c>
      <c r="AT48" s="32" t="str">
        <f>IFERROR(__xludf.DUMMYFUNCTION("IFNA(SUM(FILTER('27 серия'!$B$6:$C$15,'27 серия'!$B$6:$B$15=C48)), )"),"")</f>
        <v/>
      </c>
      <c r="AU48" s="32" t="str">
        <f>IFERROR(__xludf.DUMMYFUNCTION("IFNA(SUM(FILTER('28 серия'!$B$6:$C$15,'28 серия'!$B$6:$B$15=C48)), )"),"")</f>
        <v/>
      </c>
      <c r="AV48" s="32" t="str">
        <f>IFERROR(__xludf.DUMMYFUNCTION("IFNA(SUM(FILTER('29 серия'!$B$6:$C$15,'29 серия'!$B$6:$B$15=C48)), )"),"")</f>
        <v/>
      </c>
      <c r="AW48" s="32">
        <f>IFERROR(__xludf.DUMMYFUNCTION("IFNA(SUM(FILTER('30 серия'!$B$6:$C$15,'30 серия'!$B$6:$B$15=C48)), )"),25.75)</f>
        <v>25.75</v>
      </c>
      <c r="AX48" s="32" t="str">
        <f>IFERROR(__xludf.DUMMYFUNCTION("IFNA(SUM(FILTER('31 серия'!$B$6:$C$15,'31 серия'!$B$6:$B$15=C48)), )"),"")</f>
        <v/>
      </c>
      <c r="AY48" s="32" t="str">
        <f>IFERROR(__xludf.DUMMYFUNCTION("IFNA(SUM(FILTER('32 серия'!$B$6:$C$15,'32 серия'!$B$6:$B$15=C48)), )"),"")</f>
        <v/>
      </c>
      <c r="AZ48" s="32" t="str">
        <f>IFERROR(__xludf.DUMMYFUNCTION("IFNA(SUM(FILTER('33 серия'!$B$6:$C$15,'33 серия'!$B$6:$B$15=C48)), )"),"")</f>
        <v/>
      </c>
      <c r="BA48" s="32" t="str">
        <f>IFERROR(__xludf.DUMMYFUNCTION("IFNA(SUM(FILTER('34 серия'!$B$6:$C$15,'34 серия'!$B$6:$B$15=C48)), )"),"")</f>
        <v/>
      </c>
      <c r="BB48" s="32">
        <f>IFERROR(__xludf.DUMMYFUNCTION("IFNA(SUM(FILTER('35 серия'!$B$6:$C$15,'35 серия'!$B$6:$B$15=C48)), )"),17.0)</f>
        <v>17</v>
      </c>
      <c r="BC48" s="32" t="str">
        <f>IFERROR(__xludf.DUMMYFUNCTION("IFNA(SUM(FILTER('36 серия'!$B$6:$C$15,'36 серия'!$B$6:$B$15=C48)), )"),"")</f>
        <v/>
      </c>
      <c r="BD48" s="32" t="str">
        <f>IFERROR(__xludf.DUMMYFUNCTION("IFNA(SUM(FILTER('37 серия'!$B$6:$C$15,'37 серия'!$B$6:$B$15=C48)), )"),"")</f>
        <v/>
      </c>
      <c r="BE48" s="32" t="str">
        <f>IFERROR(__xludf.DUMMYFUNCTION("IFNA(SUM(FILTER('38 серия'!$B$6:$C$15,'38 серия'!$B$6:$B$15=C48)), )"),"")</f>
        <v/>
      </c>
      <c r="BF48" s="32" t="str">
        <f>IFERROR(__xludf.DUMMYFUNCTION("IFNA(SUM(FILTER('39 серия'!$B$6:$C$15,'39 серия'!$B$6:$B$15=C48)), )"),"")</f>
        <v/>
      </c>
      <c r="BG48" s="32" t="str">
        <f>IFERROR(__xludf.DUMMYFUNCTION("IFNA(SUM(FILTER('40 серия'!$B$6:$C$15,'40 серия'!$B$6:$B$15=C48)), )"),"")</f>
        <v/>
      </c>
      <c r="BH48" s="32">
        <f>IFERROR(__xludf.DUMMYFUNCTION("IFNA(SUM(FILTER('41 серия'!$B$6:$C$15,'41 серия'!$B$6:$B$15=C48)), )"),21.0)</f>
        <v>21</v>
      </c>
      <c r="BI48" s="32">
        <f>IFERROR(__xludf.DUMMYFUNCTION("IFNA(SUM(FILTER('42 серия'!$B$6:$C$15,'42 серия'!$B$6:$B$15=C48)), )"),18.5)</f>
        <v>18.5</v>
      </c>
      <c r="BJ48" s="32" t="str">
        <f>IFERROR(__xludf.DUMMYFUNCTION("IFNA(SUM(FILTER('43 серия'!$B$6:$C$15,'43 серия'!$B$6:$B$15=C48)), )"),"")</f>
        <v/>
      </c>
      <c r="BK48" s="32" t="str">
        <f>IFERROR(__xludf.DUMMYFUNCTION("IFNA(SUM(FILTER('44 серия'!$B$6:$C$15,'44 серия'!$B$6:$B$15=C48)), )"),"")</f>
        <v/>
      </c>
      <c r="BL48" s="32">
        <f>IFERROR(__xludf.DUMMYFUNCTION("IFNA(SUM(FILTER('45 серия'!$B$6:$C$15,'45 серия'!$B$6:$B$15=C48)), )"),20.0)</f>
        <v>20</v>
      </c>
      <c r="BM48" s="32" t="str">
        <f>IFERROR(__xludf.DUMMYFUNCTION("IFNA(SUM(FILTER('46 серия'!$B$6:$C$15,'46 серия'!$B$6:$B$15=C48)), )"),"")</f>
        <v/>
      </c>
      <c r="BN48" s="32" t="str">
        <f>IFERROR(__xludf.DUMMYFUNCTION("IFNA(SUM(FILTER('47 серия'!$B$6:$C$15,'47 серия'!$B$6:$B$15=C48)), )"),"")</f>
        <v/>
      </c>
      <c r="BO48" s="42" t="str">
        <f>IFERROR(__xludf.DUMMYFUNCTION("IFNA(SUM(FILTER('48 серия'!$B$6:$C$15,'48 серия'!$B$6:$B$15=$C48)), )"),"")</f>
        <v/>
      </c>
      <c r="BP48" s="43" t="str">
        <f>IFERROR(__xludf.DUMMYFUNCTION("IFNA(SUM(FILTER('49 серия'!$B$6:$C$15,'49 серия'!$B$6:$B$15=$C48)), )"),"")</f>
        <v/>
      </c>
      <c r="BQ48" s="43">
        <f>IFERROR(__xludf.DUMMYFUNCTION("IFNA(SUM(FILTER('50 серия'!$B$6:$C$15,'50 серия'!$B$6:$B$15=$C48)), )"),13.75)</f>
        <v>13.75</v>
      </c>
      <c r="BR48" s="43" t="str">
        <f>IFERROR(__xludf.DUMMYFUNCTION("IFNA(SUM(FILTER('51 серия'!$B$6:$C$15,'51 серия'!$B$6:$B$15=$C48)), )"),"")</f>
        <v/>
      </c>
      <c r="BS48" s="49" t="str">
        <f>IFERROR(__xludf.DUMMYFUNCTION("IFNA(SUM(FILTER('52 серия'!$B$6:$C$15,'52 серия'!$B$6:$B$15=C48)), )"),"")</f>
        <v/>
      </c>
      <c r="BT48" s="32" t="str">
        <f>IFERROR(__xludf.DUMMYFUNCTION("IFNA(SUM(FILTER('53 серия'!$B$6:$C$15,'53 серия'!$B$6:$B$15=$C48)), )"),"")</f>
        <v/>
      </c>
      <c r="BU48" s="32" t="str">
        <f>IFERROR(__xludf.DUMMYFUNCTION("IFNA(SUM(FILTER('54 серия'!$B$6:$C$15,'54 серия'!$B$6:$B$15=$C48)), )"),"")</f>
        <v/>
      </c>
      <c r="BV48" s="32" t="str">
        <f>IFERROR(__xludf.DUMMYFUNCTION("IFNA(SUM(FILTER('55 серия'!$B$6:$C$15,'55 серия'!$B$6:$B$15=$C48)), )"),"")</f>
        <v/>
      </c>
      <c r="BW48" s="32" t="str">
        <f>IFERROR(__xludf.DUMMYFUNCTION("IFNA(SUM(FILTER('56 серия'!$B$6:$C$15,'56 серия'!$B$6:$B$15=$C48)), )"),"")</f>
        <v/>
      </c>
      <c r="BX48" s="32" t="str">
        <f>IFERROR(__xludf.DUMMYFUNCTION("IFNA(SUM(FILTER('57 серия'!$B$6:$C$15,'57 серия'!$B$6:$B$15=$C48)), )"),"")</f>
        <v/>
      </c>
      <c r="BY48" s="32" t="str">
        <f>IFERROR(__xludf.DUMMYFUNCTION("IFNA(SUM(FILTER('58 серия'!$B$6:$C$15,'58 серия'!$B$6:$B$15=$C48)), )"),"")</f>
        <v/>
      </c>
      <c r="BZ48" s="46" t="str">
        <f>IFERROR(__xludf.DUMMYFUNCTION("IFNA(SUM(FILTER('59 серия'!$B$6:$C$15,'59 серия'!$B$6:$B$15=C48)), )"),"")</f>
        <v/>
      </c>
      <c r="CA48" s="44" t="str">
        <f>IFERROR(__xludf.DUMMYFUNCTION("IFNA(SUM(FILTER('60 серия'!$B$6:$C$15,'60 серия'!$B$6:$B$15=$C48)), )"),"")</f>
        <v/>
      </c>
      <c r="CB48" s="4"/>
    </row>
    <row r="49">
      <c r="A49" s="10"/>
      <c r="B49" s="27">
        <f t="shared" si="1"/>
        <v>43</v>
      </c>
      <c r="C49" s="45" t="s">
        <v>121</v>
      </c>
      <c r="D49" s="29">
        <f>'Игроки статистика'!B47</f>
        <v>50</v>
      </c>
      <c r="E49" s="30">
        <f t="shared" si="2"/>
        <v>227.75</v>
      </c>
      <c r="F49" s="31">
        <f t="shared" si="3"/>
        <v>22.775</v>
      </c>
      <c r="G49" s="46">
        <f t="shared" si="4"/>
        <v>3.305</v>
      </c>
      <c r="H49" s="46">
        <f>SUMIFS('Все игры'!C$3:C1011,'Все игры'!A$3:A1011,C49)</f>
        <v>62.5</v>
      </c>
      <c r="I49" s="46">
        <f t="shared" si="5"/>
        <v>152.75</v>
      </c>
      <c r="J49" s="47">
        <f>SUMIFS('Все игры'!F$3:F1011,'Все игры'!A$3:A1011,C49)</f>
        <v>3.5</v>
      </c>
      <c r="K49" s="48">
        <f>SUMIFS('Все игры'!G$3:G1011,'Все игры'!A$3:A1011,C49)</f>
        <v>9</v>
      </c>
      <c r="L49" s="35">
        <f>'Игроки статистика'!G47</f>
        <v>14</v>
      </c>
      <c r="M49" s="36">
        <f t="shared" si="6"/>
        <v>25</v>
      </c>
      <c r="N49" s="36">
        <f>SUM('Игроки статистика'!O47,'Игроки статистика'!Q47)</f>
        <v>4</v>
      </c>
      <c r="O49" s="37">
        <f>SUM('Игроки статистика'!P47,'Игроки статистика'!R47)</f>
        <v>6</v>
      </c>
      <c r="P49" s="38" t="str">
        <f>IFERROR(__xludf.DUMMYFUNCTION("IFNA(SUM(FILTER('Штрафы'!$D$5:$D1011,'Штрафы'!$C$5:$C1011=C49)), )"),"")</f>
        <v/>
      </c>
      <c r="Q49" s="38" t="str">
        <f>IFERROR(__xludf.DUMMYFUNCTION("IFNA(SUM(FILTER('Штрафы'!$F$5:$F1011,'Штрафы'!$C$5:$C1011=C49)), )"),"")</f>
        <v/>
      </c>
      <c r="R49" s="39"/>
      <c r="S49" s="40"/>
      <c r="T49" s="31" t="str">
        <f>IFERROR(__xludf.DUMMYFUNCTION("IFNA(SUM(FILTER('1 серия'!$B$6:$C$15,'1 серия'!$B$6:$B$15=C49)), )"),"")</f>
        <v/>
      </c>
      <c r="U49" s="32" t="str">
        <f>IFERROR(__xludf.DUMMYFUNCTION("IFNA(SUM(FILTER('2 серия'!$B$6:$C$15,'2 серия'!$B$6:$B$15=C49)), )
"),"")</f>
        <v/>
      </c>
      <c r="V49" s="32" t="str">
        <f>IFERROR(__xludf.DUMMYFUNCTION("IFNA(SUM(FILTER('3 серия'!$B$6:$C$15,'3 серия'!$B$6:$B$15=C49)), )
"),"")</f>
        <v/>
      </c>
      <c r="W49" s="32" t="str">
        <f>IFERROR(__xludf.DUMMYFUNCTION("IFNA(SUM(FILTER('4 серия'!$B$6:$C$15,'4 серия'!$B$6:$B$15=C49)), )"),"")</f>
        <v/>
      </c>
      <c r="X49" s="32" t="str">
        <f>IFERROR(__xludf.DUMMYFUNCTION("IFNA(SUM(FILTER('5 серия'!$B$6:$C$15,'5 серия'!$B$6:$B$15=C49)), )"),"")</f>
        <v/>
      </c>
      <c r="Y49" s="32" t="str">
        <f>IFERROR(__xludf.DUMMYFUNCTION("IFNA(SUM(FILTER('6 серия'!$B$6:$C$15,'6 серия'!$B$6:$B$15=C49)), )"),"")</f>
        <v/>
      </c>
      <c r="Z49" s="32" t="str">
        <f>IFERROR(__xludf.DUMMYFUNCTION("IFNA(SUM(FILTER('7 серия'!$B$6:$C$15,'7 серия'!$B$6:$B$15=C49)), )"),"")</f>
        <v/>
      </c>
      <c r="AA49" s="32" t="str">
        <f>IFERROR(__xludf.DUMMYFUNCTION("IFNA(SUM(FILTER('8 серия'!$B$6:$C$15,'8 серия'!$B$6:$B$15=C49)), )"),"")</f>
        <v/>
      </c>
      <c r="AB49" s="32" t="str">
        <f>IFERROR(__xludf.DUMMYFUNCTION("IFNA(SUM(FILTER('9 серия'!$B$7:$C$16,'9 серия'!$B$7:$B$16=C49)), )"),"")</f>
        <v/>
      </c>
      <c r="AC49" s="32" t="str">
        <f>IFERROR(__xludf.DUMMYFUNCTION("IFNA(SUM(FILTER('10 серия'!$B$6:$C$15,'10 серия'!$B$6:$B$15=C49)), )"),"")</f>
        <v/>
      </c>
      <c r="AD49" s="32" t="str">
        <f>IFERROR(__xludf.DUMMYFUNCTION("IFNA(SUM(FILTER('11 серия'!$B$6:$C$15,'11 серия'!$B$6:$B$15=C49)), )"),"")</f>
        <v/>
      </c>
      <c r="AE49" s="32" t="str">
        <f>IFERROR(__xludf.DUMMYFUNCTION("IFNA(SUM(FILTER('12 серия'!$B$6:$C$15,'12 серия'!$B$6:$B$15=C49)), )"),"")</f>
        <v/>
      </c>
      <c r="AF49" s="32" t="str">
        <f>IFERROR(__xludf.DUMMYFUNCTION("IFNA(SUM(FILTER('13 серия'!$B$6:$C$15,'13 серия'!$B$6:$B$15=C49)), )"),"")</f>
        <v/>
      </c>
      <c r="AG49" s="32" t="str">
        <f>IFERROR(__xludf.DUMMYFUNCTION("IFNA(SUM(FILTER('14 серия'!$B$6:$C$15,'14 серия'!$B$6:$B$15=C49)), )"),"")</f>
        <v/>
      </c>
      <c r="AH49" s="32" t="str">
        <f>IFERROR(__xludf.DUMMYFUNCTION("IFNA(SUM(FILTER('15 серия'!$B$6:$C$15,'15 серия'!$B$6:$B$15=C49)), )"),"")</f>
        <v/>
      </c>
      <c r="AI49" s="32" t="str">
        <f>IFERROR(__xludf.DUMMYFUNCTION("IFNA(SUM(FILTER('16 серия'!$B$6:$C$15,'16 серия'!$B$6:$B$15=C49)), )"),"")</f>
        <v/>
      </c>
      <c r="AJ49" s="32" t="str">
        <f>IFERROR(__xludf.DUMMYFUNCTION("IFNA(SUM(FILTER('17 серия'!$B$6:$C$15,'17 серия'!$B$6:$B$15=C49)), )"),"")</f>
        <v/>
      </c>
      <c r="AK49" s="32" t="str">
        <f>IFERROR(__xludf.DUMMYFUNCTION("IFNA(SUM(FILTER('18 серия'!$B$6:$C$15,'18 серия'!$B$6:$B$15=C49)), )"),"")</f>
        <v/>
      </c>
      <c r="AL49" s="32" t="str">
        <f>IFERROR(__xludf.DUMMYFUNCTION("IFNA(SUM(FILTER('19 серия'!$B$6:$C$15,'19 серия'!$B$6:$B$15=C49)), )"),"")</f>
        <v/>
      </c>
      <c r="AM49" s="32" t="str">
        <f>IFERROR(__xludf.DUMMYFUNCTION("IFNA(SUM(FILTER('20 серия'!$B$6:$C$15,'20 серия'!$B$6:$B$15=C49)), )"),"")</f>
        <v/>
      </c>
      <c r="AN49" s="32" t="str">
        <f>IFERROR(__xludf.DUMMYFUNCTION("IFNA(SUM(FILTER('21 серия'!$B$6:$C$15,'21 серия'!$B$6:$B$15=C49)), )"),"")</f>
        <v/>
      </c>
      <c r="AO49" s="32" t="str">
        <f>IFERROR(__xludf.DUMMYFUNCTION("IFNA(SUM(FILTER('22 серия'!$B$6:$C$15,'22 серия'!$B$6:$B$15=C49)), )"),"")</f>
        <v/>
      </c>
      <c r="AP49" s="32">
        <f>IFERROR(__xludf.DUMMYFUNCTION("IFNA(SUM(FILTER('23 серия'!$B$6:$C$15,'23 серия'!$B$6:$B$15=C49)), )"),31.5)</f>
        <v>31.5</v>
      </c>
      <c r="AQ49" s="32">
        <f>IFERROR(__xludf.DUMMYFUNCTION("IFNA(SUM(FILTER('24 серия'!$B$6:$C$15,'24 серия'!$B$6:$B$15=C49)), )"),15.75)</f>
        <v>15.75</v>
      </c>
      <c r="AR49" s="32">
        <f>IFERROR(__xludf.DUMMYFUNCTION("IFNA(SUM(FILTER('25 серия'!$B$6:$C$15,'25 серия'!$B$6:$B$15=C49)), )"),16.25)</f>
        <v>16.25</v>
      </c>
      <c r="AS49" s="32">
        <f>IFERROR(__xludf.DUMMYFUNCTION("IFNA(SUM(FILTER('26 серия'!$B$6:$C$15,'26 серия'!$B$6:$B$15=C49)), )"),26.75)</f>
        <v>26.75</v>
      </c>
      <c r="AT49" s="32">
        <f>IFERROR(__xludf.DUMMYFUNCTION("IFNA(SUM(FILTER('27 серия'!$B$6:$C$15,'27 серия'!$B$6:$B$15=C49)), )"),27.5)</f>
        <v>27.5</v>
      </c>
      <c r="AU49" s="32" t="str">
        <f>IFERROR(__xludf.DUMMYFUNCTION("IFNA(SUM(FILTER('28 серия'!$B$6:$C$15,'28 серия'!$B$6:$B$15=C49)), )"),"")</f>
        <v/>
      </c>
      <c r="AV49" s="32" t="str">
        <f>IFERROR(__xludf.DUMMYFUNCTION("IFNA(SUM(FILTER('29 серия'!$B$6:$C$15,'29 серия'!$B$6:$B$15=C49)), )"),"")</f>
        <v/>
      </c>
      <c r="AW49" s="32" t="str">
        <f>IFERROR(__xludf.DUMMYFUNCTION("IFNA(SUM(FILTER('30 серия'!$B$6:$C$15,'30 серия'!$B$6:$B$15=C49)), )"),"")</f>
        <v/>
      </c>
      <c r="AX49" s="32" t="str">
        <f>IFERROR(__xludf.DUMMYFUNCTION("IFNA(SUM(FILTER('31 серия'!$B$6:$C$15,'31 серия'!$B$6:$B$15=C49)), )"),"")</f>
        <v/>
      </c>
      <c r="AY49" s="32" t="str">
        <f>IFERROR(__xludf.DUMMYFUNCTION("IFNA(SUM(FILTER('32 серия'!$B$6:$C$15,'32 серия'!$B$6:$B$15=C49)), )"),"")</f>
        <v/>
      </c>
      <c r="AZ49" s="32" t="str">
        <f>IFERROR(__xludf.DUMMYFUNCTION("IFNA(SUM(FILTER('33 серия'!$B$6:$C$15,'33 серия'!$B$6:$B$15=C49)), )"),"")</f>
        <v/>
      </c>
      <c r="BA49" s="32" t="str">
        <f>IFERROR(__xludf.DUMMYFUNCTION("IFNA(SUM(FILTER('34 серия'!$B$6:$C$15,'34 серия'!$B$6:$B$15=C49)), )"),"")</f>
        <v/>
      </c>
      <c r="BB49" s="32" t="str">
        <f>IFERROR(__xludf.DUMMYFUNCTION("IFNA(SUM(FILTER('35 серия'!$B$6:$C$15,'35 серия'!$B$6:$B$15=C49)), )"),"")</f>
        <v/>
      </c>
      <c r="BC49" s="32" t="str">
        <f>IFERROR(__xludf.DUMMYFUNCTION("IFNA(SUM(FILTER('36 серия'!$B$6:$C$15,'36 серия'!$B$6:$B$15=C49)), )"),"")</f>
        <v/>
      </c>
      <c r="BD49" s="32" t="str">
        <f>IFERROR(__xludf.DUMMYFUNCTION("IFNA(SUM(FILTER('37 серия'!$B$6:$C$15,'37 серия'!$B$6:$B$15=C49)), )"),"")</f>
        <v/>
      </c>
      <c r="BE49" s="32" t="str">
        <f>IFERROR(__xludf.DUMMYFUNCTION("IFNA(SUM(FILTER('38 серия'!$B$6:$C$15,'38 серия'!$B$6:$B$15=C49)), )"),"")</f>
        <v/>
      </c>
      <c r="BF49" s="32" t="str">
        <f>IFERROR(__xludf.DUMMYFUNCTION("IFNA(SUM(FILTER('39 серия'!$B$6:$C$15,'39 серия'!$B$6:$B$15=C49)), )"),"")</f>
        <v/>
      </c>
      <c r="BG49" s="32" t="str">
        <f>IFERROR(__xludf.DUMMYFUNCTION("IFNA(SUM(FILTER('40 серия'!$B$6:$C$15,'40 серия'!$B$6:$B$15=C49)), )"),"")</f>
        <v/>
      </c>
      <c r="BH49" s="32" t="str">
        <f>IFERROR(__xludf.DUMMYFUNCTION("IFNA(SUM(FILTER('41 серия'!$B$6:$C$15,'41 серия'!$B$6:$B$15=C49)), )"),"")</f>
        <v/>
      </c>
      <c r="BI49" s="32" t="str">
        <f>IFERROR(__xludf.DUMMYFUNCTION("IFNA(SUM(FILTER('42 серия'!$B$6:$C$15,'42 серия'!$B$6:$B$15=C49)), )"),"")</f>
        <v/>
      </c>
      <c r="BJ49" s="32" t="str">
        <f>IFERROR(__xludf.DUMMYFUNCTION("IFNA(SUM(FILTER('43 серия'!$B$6:$C$15,'43 серия'!$B$6:$B$15=C49)), )"),"")</f>
        <v/>
      </c>
      <c r="BK49" s="32" t="str">
        <f>IFERROR(__xludf.DUMMYFUNCTION("IFNA(SUM(FILTER('44 серия'!$B$6:$C$15,'44 серия'!$B$6:$B$15=C49)), )"),"")</f>
        <v/>
      </c>
      <c r="BL49" s="32" t="str">
        <f>IFERROR(__xludf.DUMMYFUNCTION("IFNA(SUM(FILTER('45 серия'!$B$6:$C$15,'45 серия'!$B$6:$B$15=C49)), )"),"")</f>
        <v/>
      </c>
      <c r="BM49" s="32" t="str">
        <f>IFERROR(__xludf.DUMMYFUNCTION("IFNA(SUM(FILTER('46 серия'!$B$6:$C$15,'46 серия'!$B$6:$B$15=C49)), )"),"")</f>
        <v/>
      </c>
      <c r="BN49" s="32" t="str">
        <f>IFERROR(__xludf.DUMMYFUNCTION("IFNA(SUM(FILTER('47 серия'!$B$6:$C$15,'47 серия'!$B$6:$B$15=C49)), )"),"")</f>
        <v/>
      </c>
      <c r="BO49" s="42" t="str">
        <f>IFERROR(__xludf.DUMMYFUNCTION("IFNA(SUM(FILTER('48 серия'!$B$6:$C$15,'48 серия'!$B$6:$B$15=$C49)), )"),"")</f>
        <v/>
      </c>
      <c r="BP49" s="43" t="str">
        <f>IFERROR(__xludf.DUMMYFUNCTION("IFNA(SUM(FILTER('49 серия'!$B$6:$C$15,'49 серия'!$B$6:$B$15=$C49)), )"),"")</f>
        <v/>
      </c>
      <c r="BQ49" s="43" t="str">
        <f>IFERROR(__xludf.DUMMYFUNCTION("IFNA(SUM(FILTER('50 серия'!$B$6:$C$15,'50 серия'!$B$6:$B$15=$C49)), )"),"")</f>
        <v/>
      </c>
      <c r="BR49" s="43" t="str">
        <f>IFERROR(__xludf.DUMMYFUNCTION("IFNA(SUM(FILTER('51 серия'!$B$6:$C$15,'51 серия'!$B$6:$B$15=$C49)), )"),"")</f>
        <v/>
      </c>
      <c r="BS49" s="49">
        <f>IFERROR(__xludf.DUMMYFUNCTION("IFNA(SUM(FILTER('52 серия'!$B$6:$C$15,'52 серия'!$B$6:$B$15=C49)), )"),16.25)</f>
        <v>16.25</v>
      </c>
      <c r="BT49" s="32">
        <f>IFERROR(__xludf.DUMMYFUNCTION("IFNA(SUM(FILTER('53 серия'!$B$6:$C$15,'53 серия'!$B$6:$B$15=$C49)), )"),17.25)</f>
        <v>17.25</v>
      </c>
      <c r="BU49" s="32">
        <f>IFERROR(__xludf.DUMMYFUNCTION("IFNA(SUM(FILTER('54 серия'!$B$6:$C$15,'54 серия'!$B$6:$B$15=$C49)), )"),29.0)</f>
        <v>29</v>
      </c>
      <c r="BV49" s="32">
        <f>IFERROR(__xludf.DUMMYFUNCTION("IFNA(SUM(FILTER('55 серия'!$B$6:$C$15,'55 серия'!$B$6:$B$15=$C49)), )"),22.25)</f>
        <v>22.25</v>
      </c>
      <c r="BW49" s="32">
        <f>IFERROR(__xludf.DUMMYFUNCTION("IFNA(SUM(FILTER('56 серия'!$B$6:$C$15,'56 серия'!$B$6:$B$15=$C49)), )"),25.25)</f>
        <v>25.25</v>
      </c>
      <c r="BX49" s="32" t="str">
        <f>IFERROR(__xludf.DUMMYFUNCTION("IFNA(SUM(FILTER('57 серия'!$B$6:$C$15,'57 серия'!$B$6:$B$15=$C49)), )"),"")</f>
        <v/>
      </c>
      <c r="BY49" s="32" t="str">
        <f>IFERROR(__xludf.DUMMYFUNCTION("IFNA(SUM(FILTER('58 серия'!$B$6:$C$15,'58 серия'!$B$6:$B$15=$C49)), )"),"")</f>
        <v/>
      </c>
      <c r="BZ49" s="46" t="str">
        <f>IFERROR(__xludf.DUMMYFUNCTION("IFNA(SUM(FILTER('59 серия'!$B$6:$C$15,'59 серия'!$B$6:$B$15=C49)), )"),"")</f>
        <v/>
      </c>
      <c r="CA49" s="44" t="str">
        <f>IFERROR(__xludf.DUMMYFUNCTION("IFNA(SUM(FILTER('60 серия'!$B$6:$C$15,'60 серия'!$B$6:$B$15=$C49)), )"),"")</f>
        <v/>
      </c>
      <c r="CB49" s="4"/>
    </row>
    <row r="50">
      <c r="A50" s="10"/>
      <c r="B50" s="27">
        <f t="shared" si="1"/>
        <v>44</v>
      </c>
      <c r="C50" s="45" t="s">
        <v>122</v>
      </c>
      <c r="D50" s="29">
        <f>'Игроки статистика'!B48</f>
        <v>50</v>
      </c>
      <c r="E50" s="30">
        <f t="shared" si="2"/>
        <v>199.25</v>
      </c>
      <c r="F50" s="31">
        <f t="shared" si="3"/>
        <v>19.925</v>
      </c>
      <c r="G50" s="46">
        <f t="shared" si="4"/>
        <v>2.735</v>
      </c>
      <c r="H50" s="46">
        <f>SUMIFS('Все игры'!C$3:C1011,'Все игры'!A$3:A1011,C50)</f>
        <v>62.5</v>
      </c>
      <c r="I50" s="46">
        <f t="shared" si="5"/>
        <v>135.75</v>
      </c>
      <c r="J50" s="47">
        <f>SUMIFS('Все игры'!F$3:F1011,'Все игры'!A$3:A1011,C50)</f>
        <v>0</v>
      </c>
      <c r="K50" s="48">
        <f>SUMIFS('Все игры'!G$3:G1011,'Все игры'!A$3:A1011,C50)</f>
        <v>1</v>
      </c>
      <c r="L50" s="35">
        <f>'Игроки статистика'!G48</f>
        <v>2</v>
      </c>
      <c r="M50" s="36">
        <f t="shared" si="6"/>
        <v>25</v>
      </c>
      <c r="N50" s="36">
        <f>SUM('Игроки статистика'!O48,'Игроки статистика'!Q48)</f>
        <v>1</v>
      </c>
      <c r="O50" s="37">
        <f>SUM('Игроки статистика'!P48,'Игроки статистика'!R48)</f>
        <v>4</v>
      </c>
      <c r="P50" s="38" t="str">
        <f>IFERROR(__xludf.DUMMYFUNCTION("IFNA(SUM(FILTER('Штрафы'!$D$5:$D1011,'Штрафы'!$C$5:$C1011=C50)), )"),"")</f>
        <v/>
      </c>
      <c r="Q50" s="38" t="str">
        <f>IFERROR(__xludf.DUMMYFUNCTION("IFNA(SUM(FILTER('Штрафы'!$F$5:$F1011,'Штрафы'!$C$5:$C1011=C50)), )"),"")</f>
        <v/>
      </c>
      <c r="R50" s="39"/>
      <c r="S50" s="40"/>
      <c r="T50" s="31" t="str">
        <f>IFERROR(__xludf.DUMMYFUNCTION("IFNA(SUM(FILTER('1 серия'!$B$6:$C$15,'1 серия'!$B$6:$B$15=C50)), )"),"")</f>
        <v/>
      </c>
      <c r="U50" s="32" t="str">
        <f>IFERROR(__xludf.DUMMYFUNCTION("IFNA(SUM(FILTER('2 серия'!$B$6:$C$15,'2 серия'!$B$6:$B$15=C50)), )
"),"")</f>
        <v/>
      </c>
      <c r="V50" s="32" t="str">
        <f>IFERROR(__xludf.DUMMYFUNCTION("IFNA(SUM(FILTER('3 серия'!$B$6:$C$15,'3 серия'!$B$6:$B$15=C50)), )
"),"")</f>
        <v/>
      </c>
      <c r="W50" s="32">
        <f>IFERROR(__xludf.DUMMYFUNCTION("IFNA(SUM(FILTER('4 серия'!$B$6:$C$15,'4 серия'!$B$6:$B$15=C50)), )"),20.75)</f>
        <v>20.75</v>
      </c>
      <c r="X50" s="32" t="str">
        <f>IFERROR(__xludf.DUMMYFUNCTION("IFNA(SUM(FILTER('5 серия'!$B$6:$C$15,'5 серия'!$B$6:$B$15=C50)), )"),"")</f>
        <v/>
      </c>
      <c r="Y50" s="32" t="str">
        <f>IFERROR(__xludf.DUMMYFUNCTION("IFNA(SUM(FILTER('6 серия'!$B$6:$C$15,'6 серия'!$B$6:$B$15=C50)), )"),"")</f>
        <v/>
      </c>
      <c r="Z50" s="32" t="str">
        <f>IFERROR(__xludf.DUMMYFUNCTION("IFNA(SUM(FILTER('7 серия'!$B$6:$C$15,'7 серия'!$B$6:$B$15=C50)), )"),"")</f>
        <v/>
      </c>
      <c r="AA50" s="32">
        <f>IFERROR(__xludf.DUMMYFUNCTION("IFNA(SUM(FILTER('8 серия'!$B$6:$C$15,'8 серия'!$B$6:$B$15=C50)), )"),15.25)</f>
        <v>15.25</v>
      </c>
      <c r="AB50" s="32" t="str">
        <f>IFERROR(__xludf.DUMMYFUNCTION("IFNA(SUM(FILTER('9 серия'!$B$7:$C$16,'9 серия'!$B$7:$B$16=C50)), )"),"")</f>
        <v/>
      </c>
      <c r="AC50" s="32" t="str">
        <f>IFERROR(__xludf.DUMMYFUNCTION("IFNA(SUM(FILTER('10 серия'!$B$6:$C$15,'10 серия'!$B$6:$B$15=C50)), )"),"")</f>
        <v/>
      </c>
      <c r="AD50" s="32" t="str">
        <f>IFERROR(__xludf.DUMMYFUNCTION("IFNA(SUM(FILTER('11 серия'!$B$6:$C$15,'11 серия'!$B$6:$B$15=C50)), )"),"")</f>
        <v/>
      </c>
      <c r="AE50" s="32" t="str">
        <f>IFERROR(__xludf.DUMMYFUNCTION("IFNA(SUM(FILTER('12 серия'!$B$6:$C$15,'12 серия'!$B$6:$B$15=C50)), )"),"")</f>
        <v/>
      </c>
      <c r="AF50" s="32" t="str">
        <f>IFERROR(__xludf.DUMMYFUNCTION("IFNA(SUM(FILTER('13 серия'!$B$6:$C$15,'13 серия'!$B$6:$B$15=C50)), )"),"")</f>
        <v/>
      </c>
      <c r="AG50" s="32" t="str">
        <f>IFERROR(__xludf.DUMMYFUNCTION("IFNA(SUM(FILTER('14 серия'!$B$6:$C$15,'14 серия'!$B$6:$B$15=C50)), )"),"")</f>
        <v/>
      </c>
      <c r="AH50" s="32" t="str">
        <f>IFERROR(__xludf.DUMMYFUNCTION("IFNA(SUM(FILTER('15 серия'!$B$6:$C$15,'15 серия'!$B$6:$B$15=C50)), )"),"")</f>
        <v/>
      </c>
      <c r="AI50" s="32" t="str">
        <f>IFERROR(__xludf.DUMMYFUNCTION("IFNA(SUM(FILTER('16 серия'!$B$6:$C$15,'16 серия'!$B$6:$B$15=C50)), )"),"")</f>
        <v/>
      </c>
      <c r="AJ50" s="32" t="str">
        <f>IFERROR(__xludf.DUMMYFUNCTION("IFNA(SUM(FILTER('17 серия'!$B$6:$C$15,'17 серия'!$B$6:$B$15=C50)), )"),"")</f>
        <v/>
      </c>
      <c r="AK50" s="32" t="str">
        <f>IFERROR(__xludf.DUMMYFUNCTION("IFNA(SUM(FILTER('18 серия'!$B$6:$C$15,'18 серия'!$B$6:$B$15=C50)), )"),"")</f>
        <v/>
      </c>
      <c r="AL50" s="32" t="str">
        <f>IFERROR(__xludf.DUMMYFUNCTION("IFNA(SUM(FILTER('19 серия'!$B$6:$C$15,'19 серия'!$B$6:$B$15=C50)), )"),"")</f>
        <v/>
      </c>
      <c r="AM50" s="32" t="str">
        <f>IFERROR(__xludf.DUMMYFUNCTION("IFNA(SUM(FILTER('20 серия'!$B$6:$C$15,'20 серия'!$B$6:$B$15=C50)), )"),"")</f>
        <v/>
      </c>
      <c r="AN50" s="32" t="str">
        <f>IFERROR(__xludf.DUMMYFUNCTION("IFNA(SUM(FILTER('21 серия'!$B$6:$C$15,'21 серия'!$B$6:$B$15=C50)), )"),"")</f>
        <v/>
      </c>
      <c r="AO50" s="32">
        <f>IFERROR(__xludf.DUMMYFUNCTION("IFNA(SUM(FILTER('22 серия'!$B$6:$C$15,'22 серия'!$B$6:$B$15=C50)), )"),11.75)</f>
        <v>11.75</v>
      </c>
      <c r="AP50" s="32" t="str">
        <f>IFERROR(__xludf.DUMMYFUNCTION("IFNA(SUM(FILTER('23 серия'!$B$6:$C$15,'23 серия'!$B$6:$B$15=C50)), )"),"")</f>
        <v/>
      </c>
      <c r="AQ50" s="32" t="str">
        <f>IFERROR(__xludf.DUMMYFUNCTION("IFNA(SUM(FILTER('24 серия'!$B$6:$C$15,'24 серия'!$B$6:$B$15=C50)), )"),"")</f>
        <v/>
      </c>
      <c r="AR50" s="32" t="str">
        <f>IFERROR(__xludf.DUMMYFUNCTION("IFNA(SUM(FILTER('25 серия'!$B$6:$C$15,'25 серия'!$B$6:$B$15=C50)), )"),"")</f>
        <v/>
      </c>
      <c r="AS50" s="32">
        <f>IFERROR(__xludf.DUMMYFUNCTION("IFNA(SUM(FILTER('26 серия'!$B$6:$C$15,'26 серия'!$B$6:$B$15=C50)), )"),18.25)</f>
        <v>18.25</v>
      </c>
      <c r="AT50" s="32" t="str">
        <f>IFERROR(__xludf.DUMMYFUNCTION("IFNA(SUM(FILTER('27 серия'!$B$6:$C$15,'27 серия'!$B$6:$B$15=C50)), )"),"")</f>
        <v/>
      </c>
      <c r="AU50" s="32" t="str">
        <f>IFERROR(__xludf.DUMMYFUNCTION("IFNA(SUM(FILTER('28 серия'!$B$6:$C$15,'28 серия'!$B$6:$B$15=C50)), )"),"")</f>
        <v/>
      </c>
      <c r="AV50" s="32" t="str">
        <f>IFERROR(__xludf.DUMMYFUNCTION("IFNA(SUM(FILTER('29 серия'!$B$6:$C$15,'29 серия'!$B$6:$B$15=C50)), )"),"")</f>
        <v/>
      </c>
      <c r="AW50" s="32" t="str">
        <f>IFERROR(__xludf.DUMMYFUNCTION("IFNA(SUM(FILTER('30 серия'!$B$6:$C$15,'30 серия'!$B$6:$B$15=C50)), )"),"")</f>
        <v/>
      </c>
      <c r="AX50" s="32" t="str">
        <f>IFERROR(__xludf.DUMMYFUNCTION("IFNA(SUM(FILTER('31 серия'!$B$6:$C$15,'31 серия'!$B$6:$B$15=C50)), )"),"")</f>
        <v/>
      </c>
      <c r="AY50" s="32" t="str">
        <f>IFERROR(__xludf.DUMMYFUNCTION("IFNA(SUM(FILTER('32 серия'!$B$6:$C$15,'32 серия'!$B$6:$B$15=C50)), )"),"")</f>
        <v/>
      </c>
      <c r="AZ50" s="32" t="str">
        <f>IFERROR(__xludf.DUMMYFUNCTION("IFNA(SUM(FILTER('33 серия'!$B$6:$C$15,'33 серия'!$B$6:$B$15=C50)), )"),"")</f>
        <v/>
      </c>
      <c r="BA50" s="32">
        <f>IFERROR(__xludf.DUMMYFUNCTION("IFNA(SUM(FILTER('34 серия'!$B$6:$C$15,'34 серия'!$B$6:$B$15=C50)), )"),26.25)</f>
        <v>26.25</v>
      </c>
      <c r="BB50" s="32" t="str">
        <f>IFERROR(__xludf.DUMMYFUNCTION("IFNA(SUM(FILTER('35 серия'!$B$6:$C$15,'35 серия'!$B$6:$B$15=C50)), )"),"")</f>
        <v/>
      </c>
      <c r="BC50" s="32" t="str">
        <f>IFERROR(__xludf.DUMMYFUNCTION("IFNA(SUM(FILTER('36 серия'!$B$6:$C$15,'36 серия'!$B$6:$B$15=C50)), )"),"")</f>
        <v/>
      </c>
      <c r="BD50" s="32" t="str">
        <f>IFERROR(__xludf.DUMMYFUNCTION("IFNA(SUM(FILTER('37 серия'!$B$6:$C$15,'37 серия'!$B$6:$B$15=C50)), )"),"")</f>
        <v/>
      </c>
      <c r="BE50" s="32" t="str">
        <f>IFERROR(__xludf.DUMMYFUNCTION("IFNA(SUM(FILTER('38 серия'!$B$6:$C$15,'38 серия'!$B$6:$B$15=C50)), )"),"")</f>
        <v/>
      </c>
      <c r="BF50" s="32">
        <f>IFERROR(__xludf.DUMMYFUNCTION("IFNA(SUM(FILTER('39 серия'!$B$6:$C$15,'39 серия'!$B$6:$B$15=C50)), )"),28.0)</f>
        <v>28</v>
      </c>
      <c r="BG50" s="32">
        <f>IFERROR(__xludf.DUMMYFUNCTION("IFNA(SUM(FILTER('40 серия'!$B$6:$C$15,'40 серия'!$B$6:$B$15=C50)), )"),17.75)</f>
        <v>17.75</v>
      </c>
      <c r="BH50" s="32" t="str">
        <f>IFERROR(__xludf.DUMMYFUNCTION("IFNA(SUM(FILTER('41 серия'!$B$6:$C$15,'41 серия'!$B$6:$B$15=C50)), )"),"")</f>
        <v/>
      </c>
      <c r="BI50" s="32" t="str">
        <f>IFERROR(__xludf.DUMMYFUNCTION("IFNA(SUM(FILTER('42 серия'!$B$6:$C$15,'42 серия'!$B$6:$B$15=C50)), )"),"")</f>
        <v/>
      </c>
      <c r="BJ50" s="32" t="str">
        <f>IFERROR(__xludf.DUMMYFUNCTION("IFNA(SUM(FILTER('43 серия'!$B$6:$C$15,'43 серия'!$B$6:$B$15=C50)), )"),"")</f>
        <v/>
      </c>
      <c r="BK50" s="32" t="str">
        <f>IFERROR(__xludf.DUMMYFUNCTION("IFNA(SUM(FILTER('44 серия'!$B$6:$C$15,'44 серия'!$B$6:$B$15=C50)), )"),"")</f>
        <v/>
      </c>
      <c r="BL50" s="32" t="str">
        <f>IFERROR(__xludf.DUMMYFUNCTION("IFNA(SUM(FILTER('45 серия'!$B$6:$C$15,'45 серия'!$B$6:$B$15=C50)), )"),"")</f>
        <v/>
      </c>
      <c r="BM50" s="32" t="str">
        <f>IFERROR(__xludf.DUMMYFUNCTION("IFNA(SUM(FILTER('46 серия'!$B$6:$C$15,'46 серия'!$B$6:$B$15=C50)), )"),"")</f>
        <v/>
      </c>
      <c r="BN50" s="32" t="str">
        <f>IFERROR(__xludf.DUMMYFUNCTION("IFNA(SUM(FILTER('47 серия'!$B$6:$C$15,'47 серия'!$B$6:$B$15=C50)), )"),"")</f>
        <v/>
      </c>
      <c r="BO50" s="42" t="str">
        <f>IFERROR(__xludf.DUMMYFUNCTION("IFNA(SUM(FILTER('48 серия'!$B$6:$C$15,'48 серия'!$B$6:$B$15=$C50)), )"),"")</f>
        <v/>
      </c>
      <c r="BP50" s="43" t="str">
        <f>IFERROR(__xludf.DUMMYFUNCTION("IFNA(SUM(FILTER('49 серия'!$B$6:$C$15,'49 серия'!$B$6:$B$15=$C50)), )"),"")</f>
        <v/>
      </c>
      <c r="BQ50" s="43" t="str">
        <f>IFERROR(__xludf.DUMMYFUNCTION("IFNA(SUM(FILTER('50 серия'!$B$6:$C$15,'50 серия'!$B$6:$B$15=$C50)), )"),"")</f>
        <v/>
      </c>
      <c r="BR50" s="43">
        <f>IFERROR(__xludf.DUMMYFUNCTION("IFNA(SUM(FILTER('51 серия'!$B$6:$C$15,'51 серия'!$B$6:$B$15=$C50)), )"),23.5)</f>
        <v>23.5</v>
      </c>
      <c r="BS50" s="49" t="str">
        <f>IFERROR(__xludf.DUMMYFUNCTION("IFNA(SUM(FILTER('52 серия'!$B$6:$C$15,'52 серия'!$B$6:$B$15=C50)), )"),"")</f>
        <v/>
      </c>
      <c r="BT50" s="32">
        <f>IFERROR(__xludf.DUMMYFUNCTION("IFNA(SUM(FILTER('53 серия'!$B$6:$C$15,'53 серия'!$B$6:$B$15=$C50)), )"),23.5)</f>
        <v>23.5</v>
      </c>
      <c r="BU50" s="32" t="str">
        <f>IFERROR(__xludf.DUMMYFUNCTION("IFNA(SUM(FILTER('54 серия'!$B$6:$C$15,'54 серия'!$B$6:$B$15=$C50)), )"),"")</f>
        <v/>
      </c>
      <c r="BV50" s="32" t="str">
        <f>IFERROR(__xludf.DUMMYFUNCTION("IFNA(SUM(FILTER('55 серия'!$B$6:$C$15,'55 серия'!$B$6:$B$15=$C50)), )"),"")</f>
        <v/>
      </c>
      <c r="BW50" s="32">
        <f>IFERROR(__xludf.DUMMYFUNCTION("IFNA(SUM(FILTER('56 серия'!$B$6:$C$15,'56 серия'!$B$6:$B$15=$C50)), )"),14.25)</f>
        <v>14.25</v>
      </c>
      <c r="BX50" s="32" t="str">
        <f>IFERROR(__xludf.DUMMYFUNCTION("IFNA(SUM(FILTER('57 серия'!$B$6:$C$15,'57 серия'!$B$6:$B$15=$C50)), )"),"")</f>
        <v/>
      </c>
      <c r="BY50" s="32" t="str">
        <f>IFERROR(__xludf.DUMMYFUNCTION("IFNA(SUM(FILTER('58 серия'!$B$6:$C$15,'58 серия'!$B$6:$B$15=$C50)), )"),"")</f>
        <v/>
      </c>
      <c r="BZ50" s="46" t="str">
        <f>IFERROR(__xludf.DUMMYFUNCTION("IFNA(SUM(FILTER('59 серия'!$B$6:$C$15,'59 серия'!$B$6:$B$15=C50)), )"),"")</f>
        <v/>
      </c>
      <c r="CA50" s="44" t="str">
        <f>IFERROR(__xludf.DUMMYFUNCTION("IFNA(SUM(FILTER('60 серия'!$B$6:$C$15,'60 серия'!$B$6:$B$15=$C50)), )"),"")</f>
        <v/>
      </c>
      <c r="CB50" s="4"/>
    </row>
    <row r="51">
      <c r="A51" s="10"/>
      <c r="B51" s="27">
        <f t="shared" si="1"/>
        <v>45</v>
      </c>
      <c r="C51" s="52" t="s">
        <v>123</v>
      </c>
      <c r="D51" s="29">
        <f>'Игроки статистика'!B49</f>
        <v>50</v>
      </c>
      <c r="E51" s="30">
        <f t="shared" si="2"/>
        <v>224.75</v>
      </c>
      <c r="F51" s="31">
        <f t="shared" si="3"/>
        <v>22.475</v>
      </c>
      <c r="G51" s="46">
        <f t="shared" si="4"/>
        <v>3.045</v>
      </c>
      <c r="H51" s="46">
        <f>SUMIFS('Все игры'!C$3:C1011,'Все игры'!A$3:A1011,C51)</f>
        <v>72.5</v>
      </c>
      <c r="I51" s="46">
        <f t="shared" si="5"/>
        <v>146.25</v>
      </c>
      <c r="J51" s="47">
        <f>SUMIFS('Все игры'!F$3:F1011,'Все игры'!A$3:A1011,C51)</f>
        <v>0.5</v>
      </c>
      <c r="K51" s="48">
        <f>SUMIFS('Все игры'!G$3:G1011,'Все игры'!A$3:A1011,C51)</f>
        <v>5.5</v>
      </c>
      <c r="L51" s="35">
        <f>'Игроки статистика'!G49</f>
        <v>9</v>
      </c>
      <c r="M51" s="36">
        <f t="shared" si="6"/>
        <v>29</v>
      </c>
      <c r="N51" s="36">
        <f>SUM('Игроки статистика'!O49,'Игроки статистика'!Q49)</f>
        <v>9</v>
      </c>
      <c r="O51" s="37">
        <f>SUM('Игроки статистика'!P49,'Игроки статистика'!R49)</f>
        <v>2</v>
      </c>
      <c r="P51" s="38" t="str">
        <f>IFERROR(__xludf.DUMMYFUNCTION("IFNA(SUM(FILTER('Штрафы'!$D$5:$D1011,'Штрафы'!$C$5:$C1011=C51)), )"),"")</f>
        <v/>
      </c>
      <c r="Q51" s="38" t="str">
        <f>IFERROR(__xludf.DUMMYFUNCTION("IFNA(SUM(FILTER('Штрафы'!$F$5:$F1011,'Штрафы'!$C$5:$C1011=C51)), )"),"")</f>
        <v/>
      </c>
      <c r="R51" s="39"/>
      <c r="S51" s="40"/>
      <c r="T51" s="31" t="str">
        <f>IFERROR(__xludf.DUMMYFUNCTION("IFNA(SUM(FILTER('1 серия'!$B$6:$C$15,'1 серия'!$B$6:$B$15=C51)), )"),"")</f>
        <v/>
      </c>
      <c r="U51" s="32" t="str">
        <f>IFERROR(__xludf.DUMMYFUNCTION("IFNA(SUM(FILTER('2 серия'!$B$6:$C$15,'2 серия'!$B$6:$B$15=C51)), )
"),"")</f>
        <v/>
      </c>
      <c r="V51" s="32">
        <f>IFERROR(__xludf.DUMMYFUNCTION("IFNA(SUM(FILTER('3 серия'!$B$6:$C$15,'3 серия'!$B$6:$B$15=C51)), )
"),22.75)</f>
        <v>22.75</v>
      </c>
      <c r="W51" s="32">
        <f>IFERROR(__xludf.DUMMYFUNCTION("IFNA(SUM(FILTER('4 серия'!$B$6:$C$15,'4 серия'!$B$6:$B$15=C51)), )"),26.5)</f>
        <v>26.5</v>
      </c>
      <c r="X51" s="32" t="str">
        <f>IFERROR(__xludf.DUMMYFUNCTION("IFNA(SUM(FILTER('5 серия'!$B$6:$C$15,'5 серия'!$B$6:$B$15=C51)), )"),"")</f>
        <v/>
      </c>
      <c r="Y51" s="32" t="str">
        <f>IFERROR(__xludf.DUMMYFUNCTION("IFNA(SUM(FILTER('6 серия'!$B$6:$C$15,'6 серия'!$B$6:$B$15=C51)), )"),"")</f>
        <v/>
      </c>
      <c r="Z51" s="32">
        <f>IFERROR(__xludf.DUMMYFUNCTION("IFNA(SUM(FILTER('7 серия'!$B$6:$C$15,'7 серия'!$B$6:$B$15=C51)), )"),23.75)</f>
        <v>23.75</v>
      </c>
      <c r="AA51" s="32" t="str">
        <f>IFERROR(__xludf.DUMMYFUNCTION("IFNA(SUM(FILTER('8 серия'!$B$6:$C$15,'8 серия'!$B$6:$B$15=C51)), )"),"")</f>
        <v/>
      </c>
      <c r="AB51" s="32" t="str">
        <f>IFERROR(__xludf.DUMMYFUNCTION("IFNA(SUM(FILTER('9 серия'!$B$7:$C$16,'9 серия'!$B$7:$B$16=C51)), )"),"")</f>
        <v/>
      </c>
      <c r="AC51" s="32" t="str">
        <f>IFERROR(__xludf.DUMMYFUNCTION("IFNA(SUM(FILTER('10 серия'!$B$6:$C$15,'10 серия'!$B$6:$B$15=C51)), )"),"")</f>
        <v/>
      </c>
      <c r="AD51" s="32" t="str">
        <f>IFERROR(__xludf.DUMMYFUNCTION("IFNA(SUM(FILTER('11 серия'!$B$6:$C$15,'11 серия'!$B$6:$B$15=C51)), )"),"")</f>
        <v/>
      </c>
      <c r="AE51" s="32" t="str">
        <f>IFERROR(__xludf.DUMMYFUNCTION("IFNA(SUM(FILTER('12 серия'!$B$6:$C$15,'12 серия'!$B$6:$B$15=C51)), )"),"")</f>
        <v/>
      </c>
      <c r="AF51" s="32" t="str">
        <f>IFERROR(__xludf.DUMMYFUNCTION("IFNA(SUM(FILTER('13 серия'!$B$6:$C$15,'13 серия'!$B$6:$B$15=C51)), )"),"")</f>
        <v/>
      </c>
      <c r="AG51" s="32" t="str">
        <f>IFERROR(__xludf.DUMMYFUNCTION("IFNA(SUM(FILTER('14 серия'!$B$6:$C$15,'14 серия'!$B$6:$B$15=C51)), )"),"")</f>
        <v/>
      </c>
      <c r="AH51" s="32" t="str">
        <f>IFERROR(__xludf.DUMMYFUNCTION("IFNA(SUM(FILTER('15 серия'!$B$6:$C$15,'15 серия'!$B$6:$B$15=C51)), )"),"")</f>
        <v/>
      </c>
      <c r="AI51" s="32" t="str">
        <f>IFERROR(__xludf.DUMMYFUNCTION("IFNA(SUM(FILTER('16 серия'!$B$6:$C$15,'16 серия'!$B$6:$B$15=C51)), )"),"")</f>
        <v/>
      </c>
      <c r="AJ51" s="32" t="str">
        <f>IFERROR(__xludf.DUMMYFUNCTION("IFNA(SUM(FILTER('17 серия'!$B$6:$C$15,'17 серия'!$B$6:$B$15=C51)), )"),"")</f>
        <v/>
      </c>
      <c r="AK51" s="32" t="str">
        <f>IFERROR(__xludf.DUMMYFUNCTION("IFNA(SUM(FILTER('18 серия'!$B$6:$C$15,'18 серия'!$B$6:$B$15=C51)), )"),"")</f>
        <v/>
      </c>
      <c r="AL51" s="32" t="str">
        <f>IFERROR(__xludf.DUMMYFUNCTION("IFNA(SUM(FILTER('19 серия'!$B$6:$C$15,'19 серия'!$B$6:$B$15=C51)), )"),"")</f>
        <v/>
      </c>
      <c r="AM51" s="32" t="str">
        <f>IFERROR(__xludf.DUMMYFUNCTION("IFNA(SUM(FILTER('20 серия'!$B$6:$C$15,'20 серия'!$B$6:$B$15=C51)), )"),"")</f>
        <v/>
      </c>
      <c r="AN51" s="32" t="str">
        <f>IFERROR(__xludf.DUMMYFUNCTION("IFNA(SUM(FILTER('21 серия'!$B$6:$C$15,'21 серия'!$B$6:$B$15=C51)), )"),"")</f>
        <v/>
      </c>
      <c r="AO51" s="32" t="str">
        <f>IFERROR(__xludf.DUMMYFUNCTION("IFNA(SUM(FILTER('22 серия'!$B$6:$C$15,'22 серия'!$B$6:$B$15=C51)), )"),"")</f>
        <v/>
      </c>
      <c r="AP51" s="32" t="str">
        <f>IFERROR(__xludf.DUMMYFUNCTION("IFNA(SUM(FILTER('23 серия'!$B$6:$C$15,'23 серия'!$B$6:$B$15=C51)), )"),"")</f>
        <v/>
      </c>
      <c r="AQ51" s="32" t="str">
        <f>IFERROR(__xludf.DUMMYFUNCTION("IFNA(SUM(FILTER('24 серия'!$B$6:$C$15,'24 серия'!$B$6:$B$15=C51)), )"),"")</f>
        <v/>
      </c>
      <c r="AR51" s="32" t="str">
        <f>IFERROR(__xludf.DUMMYFUNCTION("IFNA(SUM(FILTER('25 серия'!$B$6:$C$15,'25 серия'!$B$6:$B$15=C51)), )"),"")</f>
        <v/>
      </c>
      <c r="AS51" s="32" t="str">
        <f>IFERROR(__xludf.DUMMYFUNCTION("IFNA(SUM(FILTER('26 серия'!$B$6:$C$15,'26 серия'!$B$6:$B$15=C51)), )"),"")</f>
        <v/>
      </c>
      <c r="AT51" s="32">
        <f>IFERROR(__xludf.DUMMYFUNCTION("IFNA(SUM(FILTER('27 серия'!$B$6:$C$15,'27 серия'!$B$6:$B$15=C51)), )"),28.5)</f>
        <v>28.5</v>
      </c>
      <c r="AU51" s="32" t="str">
        <f>IFERROR(__xludf.DUMMYFUNCTION("IFNA(SUM(FILTER('28 серия'!$B$6:$C$15,'28 серия'!$B$6:$B$15=C51)), )"),"")</f>
        <v/>
      </c>
      <c r="AV51" s="32">
        <f>IFERROR(__xludf.DUMMYFUNCTION("IFNA(SUM(FILTER('29 серия'!$B$6:$C$15,'29 серия'!$B$6:$B$15=C51)), )"),22.25)</f>
        <v>22.25</v>
      </c>
      <c r="AW51" s="32" t="str">
        <f>IFERROR(__xludf.DUMMYFUNCTION("IFNA(SUM(FILTER('30 серия'!$B$6:$C$15,'30 серия'!$B$6:$B$15=C51)), )"),"")</f>
        <v/>
      </c>
      <c r="AX51" s="32" t="str">
        <f>IFERROR(__xludf.DUMMYFUNCTION("IFNA(SUM(FILTER('31 серия'!$B$6:$C$15,'31 серия'!$B$6:$B$15=C51)), )"),"")</f>
        <v/>
      </c>
      <c r="AY51" s="32">
        <f>IFERROR(__xludf.DUMMYFUNCTION("IFNA(SUM(FILTER('32 серия'!$B$6:$C$15,'32 серия'!$B$6:$B$15=C51)), )"),19.5)</f>
        <v>19.5</v>
      </c>
      <c r="AZ51" s="32" t="str">
        <f>IFERROR(__xludf.DUMMYFUNCTION("IFNA(SUM(FILTER('33 серия'!$B$6:$C$15,'33 серия'!$B$6:$B$15=C51)), )"),"")</f>
        <v/>
      </c>
      <c r="BA51" s="32" t="str">
        <f>IFERROR(__xludf.DUMMYFUNCTION("IFNA(SUM(FILTER('34 серия'!$B$6:$C$15,'34 серия'!$B$6:$B$15=C51)), )"),"")</f>
        <v/>
      </c>
      <c r="BB51" s="32" t="str">
        <f>IFERROR(__xludf.DUMMYFUNCTION("IFNA(SUM(FILTER('35 серия'!$B$6:$C$15,'35 серия'!$B$6:$B$15=C51)), )"),"")</f>
        <v/>
      </c>
      <c r="BC51" s="32" t="str">
        <f>IFERROR(__xludf.DUMMYFUNCTION("IFNA(SUM(FILTER('36 серия'!$B$6:$C$15,'36 серия'!$B$6:$B$15=C51)), )"),"")</f>
        <v/>
      </c>
      <c r="BD51" s="32">
        <f>IFERROR(__xludf.DUMMYFUNCTION("IFNA(SUM(FILTER('37 серия'!$B$6:$C$15,'37 серия'!$B$6:$B$15=C51)), )"),19.75)</f>
        <v>19.75</v>
      </c>
      <c r="BE51" s="32" t="str">
        <f>IFERROR(__xludf.DUMMYFUNCTION("IFNA(SUM(FILTER('38 серия'!$B$6:$C$15,'38 серия'!$B$6:$B$15=C51)), )"),"")</f>
        <v/>
      </c>
      <c r="BF51" s="32" t="str">
        <f>IFERROR(__xludf.DUMMYFUNCTION("IFNA(SUM(FILTER('39 серия'!$B$6:$C$15,'39 серия'!$B$6:$B$15=C51)), )"),"")</f>
        <v/>
      </c>
      <c r="BG51" s="32">
        <f>IFERROR(__xludf.DUMMYFUNCTION("IFNA(SUM(FILTER('40 серия'!$B$6:$C$15,'40 серия'!$B$6:$B$15=C51)), )"),22.5)</f>
        <v>22.5</v>
      </c>
      <c r="BH51" s="32" t="str">
        <f>IFERROR(__xludf.DUMMYFUNCTION("IFNA(SUM(FILTER('41 серия'!$B$6:$C$15,'41 серия'!$B$6:$B$15=C51)), )"),"")</f>
        <v/>
      </c>
      <c r="BI51" s="32" t="str">
        <f>IFERROR(__xludf.DUMMYFUNCTION("IFNA(SUM(FILTER('42 серия'!$B$6:$C$15,'42 серия'!$B$6:$B$15=C51)), )"),"")</f>
        <v/>
      </c>
      <c r="BJ51" s="32" t="str">
        <f>IFERROR(__xludf.DUMMYFUNCTION("IFNA(SUM(FILTER('43 серия'!$B$6:$C$15,'43 серия'!$B$6:$B$15=C51)), )"),"")</f>
        <v/>
      </c>
      <c r="BK51" s="32" t="str">
        <f>IFERROR(__xludf.DUMMYFUNCTION("IFNA(SUM(FILTER('44 серия'!$B$6:$C$15,'44 серия'!$B$6:$B$15=C51)), )"),"")</f>
        <v/>
      </c>
      <c r="BL51" s="32" t="str">
        <f>IFERROR(__xludf.DUMMYFUNCTION("IFNA(SUM(FILTER('45 серия'!$B$6:$C$15,'45 серия'!$B$6:$B$15=C51)), )"),"")</f>
        <v/>
      </c>
      <c r="BM51" s="32" t="str">
        <f>IFERROR(__xludf.DUMMYFUNCTION("IFNA(SUM(FILTER('46 серия'!$B$6:$C$15,'46 серия'!$B$6:$B$15=C51)), )"),"")</f>
        <v/>
      </c>
      <c r="BN51" s="32">
        <f>IFERROR(__xludf.DUMMYFUNCTION("IFNA(SUM(FILTER('47 серия'!$B$6:$C$15,'47 серия'!$B$6:$B$15=C51)), )"),17.0)</f>
        <v>17</v>
      </c>
      <c r="BO51" s="42" t="str">
        <f>IFERROR(__xludf.DUMMYFUNCTION("IFNA(SUM(FILTER('48 серия'!$B$6:$C$15,'48 серия'!$B$6:$B$15=$C51)), )"),"")</f>
        <v/>
      </c>
      <c r="BP51" s="43" t="str">
        <f>IFERROR(__xludf.DUMMYFUNCTION("IFNA(SUM(FILTER('49 серия'!$B$6:$C$15,'49 серия'!$B$6:$B$15=$C51)), )"),"")</f>
        <v/>
      </c>
      <c r="BQ51" s="43" t="str">
        <f>IFERROR(__xludf.DUMMYFUNCTION("IFNA(SUM(FILTER('50 серия'!$B$6:$C$15,'50 серия'!$B$6:$B$15=$C51)), )"),"")</f>
        <v/>
      </c>
      <c r="BR51" s="43" t="str">
        <f>IFERROR(__xludf.DUMMYFUNCTION("IFNA(SUM(FILTER('51 серия'!$B$6:$C$15,'51 серия'!$B$6:$B$15=$C51)), )"),"")</f>
        <v/>
      </c>
      <c r="BS51" s="49" t="str">
        <f>IFERROR(__xludf.DUMMYFUNCTION("IFNA(SUM(FILTER('52 серия'!$B$6:$C$15,'52 серия'!$B$6:$B$15=C51)), )"),"")</f>
        <v/>
      </c>
      <c r="BT51" s="32" t="str">
        <f>IFERROR(__xludf.DUMMYFUNCTION("IFNA(SUM(FILTER('53 серия'!$B$6:$C$15,'53 серия'!$B$6:$B$15=$C51)), )"),"")</f>
        <v/>
      </c>
      <c r="BU51" s="32" t="str">
        <f>IFERROR(__xludf.DUMMYFUNCTION("IFNA(SUM(FILTER('54 серия'!$B$6:$C$15,'54 серия'!$B$6:$B$15=$C51)), )"),"")</f>
        <v/>
      </c>
      <c r="BV51" s="32" t="str">
        <f>IFERROR(__xludf.DUMMYFUNCTION("IFNA(SUM(FILTER('55 серия'!$B$6:$C$15,'55 серия'!$B$6:$B$15=$C51)), )"),"")</f>
        <v/>
      </c>
      <c r="BW51" s="32" t="str">
        <f>IFERROR(__xludf.DUMMYFUNCTION("IFNA(SUM(FILTER('56 серия'!$B$6:$C$15,'56 серия'!$B$6:$B$15=$C51)), )"),"")</f>
        <v/>
      </c>
      <c r="BX51" s="32" t="str">
        <f>IFERROR(__xludf.DUMMYFUNCTION("IFNA(SUM(FILTER('57 серия'!$B$6:$C$15,'57 серия'!$B$6:$B$15=$C51)), )"),"")</f>
        <v/>
      </c>
      <c r="BY51" s="32" t="str">
        <f>IFERROR(__xludf.DUMMYFUNCTION("IFNA(SUM(FILTER('58 серия'!$B$6:$C$15,'58 серия'!$B$6:$B$15=$C51)), )"),"")</f>
        <v/>
      </c>
      <c r="BZ51" s="46" t="str">
        <f>IFERROR(__xludf.DUMMYFUNCTION("IFNA(SUM(FILTER('59 серия'!$B$6:$C$15,'59 серия'!$B$6:$B$15=C51)), )"),"")</f>
        <v/>
      </c>
      <c r="CA51" s="44">
        <f>IFERROR(__xludf.DUMMYFUNCTION("IFNA(SUM(FILTER('60 серия'!$B$6:$C$15,'60 серия'!$B$6:$B$15=$C51)), )"),22.25)</f>
        <v>22.25</v>
      </c>
      <c r="CB51" s="4"/>
    </row>
    <row r="52">
      <c r="A52" s="10"/>
      <c r="B52" s="27">
        <f t="shared" si="1"/>
        <v>46</v>
      </c>
      <c r="C52" s="45" t="s">
        <v>124</v>
      </c>
      <c r="D52" s="29">
        <f>'Игроки статистика'!B50</f>
        <v>50</v>
      </c>
      <c r="E52" s="30">
        <f t="shared" si="2"/>
        <v>190.75</v>
      </c>
      <c r="F52" s="31">
        <f t="shared" si="3"/>
        <v>19.075</v>
      </c>
      <c r="G52" s="46">
        <f t="shared" si="4"/>
        <v>2.515</v>
      </c>
      <c r="H52" s="46">
        <f>SUMIFS('Все игры'!C$3:C1011,'Все игры'!A$3:A1011,C52)</f>
        <v>65</v>
      </c>
      <c r="I52" s="46">
        <f t="shared" si="5"/>
        <v>124.75</v>
      </c>
      <c r="J52" s="47">
        <f>SUMIFS('Все игры'!F$3:F1011,'Все игры'!A$3:A1011,C52)</f>
        <v>0.5</v>
      </c>
      <c r="K52" s="48">
        <f>SUMIFS('Все игры'!G$3:G1011,'Все игры'!A$3:A1011,C52)</f>
        <v>0.5</v>
      </c>
      <c r="L52" s="35">
        <f>'Игроки статистика'!G50</f>
        <v>1</v>
      </c>
      <c r="M52" s="36">
        <f t="shared" si="6"/>
        <v>26</v>
      </c>
      <c r="N52" s="36">
        <f>SUM('Игроки статистика'!O50,'Игроки статистика'!Q50)</f>
        <v>8</v>
      </c>
      <c r="O52" s="37">
        <f>SUM('Игроки статистика'!P50,'Игроки статистика'!R50)</f>
        <v>5</v>
      </c>
      <c r="P52" s="38" t="str">
        <f>IFERROR(__xludf.DUMMYFUNCTION("IFNA(SUM(FILTER('Штрафы'!$D$5:$D1011,'Штрафы'!$C$5:$C1011=C52)), )"),"")</f>
        <v/>
      </c>
      <c r="Q52" s="38" t="str">
        <f>IFERROR(__xludf.DUMMYFUNCTION("IFNA(SUM(FILTER('Штрафы'!$F$5:$F1011,'Штрафы'!$C$5:$C1011=C52)), )"),"")</f>
        <v/>
      </c>
      <c r="R52" s="39"/>
      <c r="S52" s="40"/>
      <c r="T52" s="31">
        <f>IFERROR(__xludf.DUMMYFUNCTION("IFNA(SUM(FILTER('1 серия'!$B$6:$C$15,'1 серия'!$B$6:$B$15=C52)), )"),28.75)</f>
        <v>28.75</v>
      </c>
      <c r="U52" s="32" t="str">
        <f>IFERROR(__xludf.DUMMYFUNCTION("IFNA(SUM(FILTER('2 серия'!$B$6:$C$15,'2 серия'!$B$6:$B$15=C52)), )
"),"")</f>
        <v/>
      </c>
      <c r="V52" s="32" t="str">
        <f>IFERROR(__xludf.DUMMYFUNCTION("IFNA(SUM(FILTER('3 серия'!$B$6:$C$15,'3 серия'!$B$6:$B$15=C52)), )
"),"")</f>
        <v/>
      </c>
      <c r="W52" s="32" t="str">
        <f>IFERROR(__xludf.DUMMYFUNCTION("IFNA(SUM(FILTER('4 серия'!$B$6:$C$15,'4 серия'!$B$6:$B$15=C52)), )"),"")</f>
        <v/>
      </c>
      <c r="X52" s="32" t="str">
        <f>IFERROR(__xludf.DUMMYFUNCTION("IFNA(SUM(FILTER('5 серия'!$B$6:$C$15,'5 серия'!$B$6:$B$15=C52)), )"),"")</f>
        <v/>
      </c>
      <c r="Y52" s="32">
        <f>IFERROR(__xludf.DUMMYFUNCTION("IFNA(SUM(FILTER('6 серия'!$B$6:$C$15,'6 серия'!$B$6:$B$15=C52)), )"),17.5)</f>
        <v>17.5</v>
      </c>
      <c r="Z52" s="32" t="str">
        <f>IFERROR(__xludf.DUMMYFUNCTION("IFNA(SUM(FILTER('7 серия'!$B$6:$C$15,'7 серия'!$B$6:$B$15=C52)), )"),"")</f>
        <v/>
      </c>
      <c r="AA52" s="32" t="str">
        <f>IFERROR(__xludf.DUMMYFUNCTION("IFNA(SUM(FILTER('8 серия'!$B$6:$C$15,'8 серия'!$B$6:$B$15=C52)), )"),"")</f>
        <v/>
      </c>
      <c r="AB52" s="32" t="str">
        <f>IFERROR(__xludf.DUMMYFUNCTION("IFNA(SUM(FILTER('9 серия'!$B$7:$C$16,'9 серия'!$B$7:$B$16=C52)), )"),"")</f>
        <v/>
      </c>
      <c r="AC52" s="32" t="str">
        <f>IFERROR(__xludf.DUMMYFUNCTION("IFNA(SUM(FILTER('10 серия'!$B$6:$C$15,'10 серия'!$B$6:$B$15=C52)), )"),"")</f>
        <v/>
      </c>
      <c r="AD52" s="32" t="str">
        <f>IFERROR(__xludf.DUMMYFUNCTION("IFNA(SUM(FILTER('11 серия'!$B$6:$C$15,'11 серия'!$B$6:$B$15=C52)), )"),"")</f>
        <v/>
      </c>
      <c r="AE52" s="32" t="str">
        <f>IFERROR(__xludf.DUMMYFUNCTION("IFNA(SUM(FILTER('12 серия'!$B$6:$C$15,'12 серия'!$B$6:$B$15=C52)), )"),"")</f>
        <v/>
      </c>
      <c r="AF52" s="32" t="str">
        <f>IFERROR(__xludf.DUMMYFUNCTION("IFNA(SUM(FILTER('13 серия'!$B$6:$C$15,'13 серия'!$B$6:$B$15=C52)), )"),"")</f>
        <v/>
      </c>
      <c r="AG52" s="32">
        <f>IFERROR(__xludf.DUMMYFUNCTION("IFNA(SUM(FILTER('14 серия'!$B$6:$C$15,'14 серия'!$B$6:$B$15=C52)), )"),25.25)</f>
        <v>25.25</v>
      </c>
      <c r="AH52" s="32" t="str">
        <f>IFERROR(__xludf.DUMMYFUNCTION("IFNA(SUM(FILTER('15 серия'!$B$6:$C$15,'15 серия'!$B$6:$B$15=C52)), )"),"")</f>
        <v/>
      </c>
      <c r="AI52" s="32" t="str">
        <f>IFERROR(__xludf.DUMMYFUNCTION("IFNA(SUM(FILTER('16 серия'!$B$6:$C$15,'16 серия'!$B$6:$B$15=C52)), )"),"")</f>
        <v/>
      </c>
      <c r="AJ52" s="32" t="str">
        <f>IFERROR(__xludf.DUMMYFUNCTION("IFNA(SUM(FILTER('17 серия'!$B$6:$C$15,'17 серия'!$B$6:$B$15=C52)), )"),"")</f>
        <v/>
      </c>
      <c r="AK52" s="32" t="str">
        <f>IFERROR(__xludf.DUMMYFUNCTION("IFNA(SUM(FILTER('18 серия'!$B$6:$C$15,'18 серия'!$B$6:$B$15=C52)), )"),"")</f>
        <v/>
      </c>
      <c r="AL52" s="32" t="str">
        <f>IFERROR(__xludf.DUMMYFUNCTION("IFNA(SUM(FILTER('19 серия'!$B$6:$C$15,'19 серия'!$B$6:$B$15=C52)), )"),"")</f>
        <v/>
      </c>
      <c r="AM52" s="32" t="str">
        <f>IFERROR(__xludf.DUMMYFUNCTION("IFNA(SUM(FILTER('20 серия'!$B$6:$C$15,'20 серия'!$B$6:$B$15=C52)), )"),"")</f>
        <v/>
      </c>
      <c r="AN52" s="32" t="str">
        <f>IFERROR(__xludf.DUMMYFUNCTION("IFNA(SUM(FILTER('21 серия'!$B$6:$C$15,'21 серия'!$B$6:$B$15=C52)), )"),"")</f>
        <v/>
      </c>
      <c r="AO52" s="32" t="str">
        <f>IFERROR(__xludf.DUMMYFUNCTION("IFNA(SUM(FILTER('22 серия'!$B$6:$C$15,'22 серия'!$B$6:$B$15=C52)), )"),"")</f>
        <v/>
      </c>
      <c r="AP52" s="32">
        <f>IFERROR(__xludf.DUMMYFUNCTION("IFNA(SUM(FILTER('23 серия'!$B$6:$C$15,'23 серия'!$B$6:$B$15=C52)), )"),20.25)</f>
        <v>20.25</v>
      </c>
      <c r="AQ52" s="32" t="str">
        <f>IFERROR(__xludf.DUMMYFUNCTION("IFNA(SUM(FILTER('24 серия'!$B$6:$C$15,'24 серия'!$B$6:$B$15=C52)), )"),"")</f>
        <v/>
      </c>
      <c r="AR52" s="32" t="str">
        <f>IFERROR(__xludf.DUMMYFUNCTION("IFNA(SUM(FILTER('25 серия'!$B$6:$C$15,'25 серия'!$B$6:$B$15=C52)), )"),"")</f>
        <v/>
      </c>
      <c r="AS52" s="32">
        <f>IFERROR(__xludf.DUMMYFUNCTION("IFNA(SUM(FILTER('26 серия'!$B$6:$C$15,'26 серия'!$B$6:$B$15=C52)), )"),13.75)</f>
        <v>13.75</v>
      </c>
      <c r="AT52" s="32">
        <f>IFERROR(__xludf.DUMMYFUNCTION("IFNA(SUM(FILTER('27 серия'!$B$6:$C$15,'27 серия'!$B$6:$B$15=C52)), )"),16.25)</f>
        <v>16.25</v>
      </c>
      <c r="AU52" s="32" t="str">
        <f>IFERROR(__xludf.DUMMYFUNCTION("IFNA(SUM(FILTER('28 серия'!$B$6:$C$15,'28 серия'!$B$6:$B$15=C52)), )"),"")</f>
        <v/>
      </c>
      <c r="AV52" s="32">
        <f>IFERROR(__xludf.DUMMYFUNCTION("IFNA(SUM(FILTER('29 серия'!$B$6:$C$15,'29 серия'!$B$6:$B$15=C52)), )"),15.25)</f>
        <v>15.25</v>
      </c>
      <c r="AW52" s="32" t="str">
        <f>IFERROR(__xludf.DUMMYFUNCTION("IFNA(SUM(FILTER('30 серия'!$B$6:$C$15,'30 серия'!$B$6:$B$15=C52)), )"),"")</f>
        <v/>
      </c>
      <c r="AX52" s="32" t="str">
        <f>IFERROR(__xludf.DUMMYFUNCTION("IFNA(SUM(FILTER('31 серия'!$B$6:$C$15,'31 серия'!$B$6:$B$15=C52)), )"),"")</f>
        <v/>
      </c>
      <c r="AY52" s="32" t="str">
        <f>IFERROR(__xludf.DUMMYFUNCTION("IFNA(SUM(FILTER('32 серия'!$B$6:$C$15,'32 серия'!$B$6:$B$15=C52)), )"),"")</f>
        <v/>
      </c>
      <c r="AZ52" s="32" t="str">
        <f>IFERROR(__xludf.DUMMYFUNCTION("IFNA(SUM(FILTER('33 серия'!$B$6:$C$15,'33 серия'!$B$6:$B$15=C52)), )"),"")</f>
        <v/>
      </c>
      <c r="BA52" s="32" t="str">
        <f>IFERROR(__xludf.DUMMYFUNCTION("IFNA(SUM(FILTER('34 серия'!$B$6:$C$15,'34 серия'!$B$6:$B$15=C52)), )"),"")</f>
        <v/>
      </c>
      <c r="BB52" s="32" t="str">
        <f>IFERROR(__xludf.DUMMYFUNCTION("IFNA(SUM(FILTER('35 серия'!$B$6:$C$15,'35 серия'!$B$6:$B$15=C52)), )"),"")</f>
        <v/>
      </c>
      <c r="BC52" s="32" t="str">
        <f>IFERROR(__xludf.DUMMYFUNCTION("IFNA(SUM(FILTER('36 серия'!$B$6:$C$15,'36 серия'!$B$6:$B$15=C52)), )"),"")</f>
        <v/>
      </c>
      <c r="BD52" s="32" t="str">
        <f>IFERROR(__xludf.DUMMYFUNCTION("IFNA(SUM(FILTER('37 серия'!$B$6:$C$15,'37 серия'!$B$6:$B$15=C52)), )"),"")</f>
        <v/>
      </c>
      <c r="BE52" s="32" t="str">
        <f>IFERROR(__xludf.DUMMYFUNCTION("IFNA(SUM(FILTER('38 серия'!$B$6:$C$15,'38 серия'!$B$6:$B$15=C52)), )"),"")</f>
        <v/>
      </c>
      <c r="BF52" s="32" t="str">
        <f>IFERROR(__xludf.DUMMYFUNCTION("IFNA(SUM(FILTER('39 серия'!$B$6:$C$15,'39 серия'!$B$6:$B$15=C52)), )"),"")</f>
        <v/>
      </c>
      <c r="BG52" s="32" t="str">
        <f>IFERROR(__xludf.DUMMYFUNCTION("IFNA(SUM(FILTER('40 серия'!$B$6:$C$15,'40 серия'!$B$6:$B$15=C52)), )"),"")</f>
        <v/>
      </c>
      <c r="BH52" s="32" t="str">
        <f>IFERROR(__xludf.DUMMYFUNCTION("IFNA(SUM(FILTER('41 серия'!$B$6:$C$15,'41 серия'!$B$6:$B$15=C52)), )"),"")</f>
        <v/>
      </c>
      <c r="BI52" s="32" t="str">
        <f>IFERROR(__xludf.DUMMYFUNCTION("IFNA(SUM(FILTER('42 серия'!$B$6:$C$15,'42 серия'!$B$6:$B$15=C52)), )"),"")</f>
        <v/>
      </c>
      <c r="BJ52" s="32" t="str">
        <f>IFERROR(__xludf.DUMMYFUNCTION("IFNA(SUM(FILTER('43 серия'!$B$6:$C$15,'43 серия'!$B$6:$B$15=C52)), )"),"")</f>
        <v/>
      </c>
      <c r="BK52" s="32">
        <f>IFERROR(__xludf.DUMMYFUNCTION("IFNA(SUM(FILTER('44 серия'!$B$6:$C$15,'44 серия'!$B$6:$B$15=C52)), )"),21.25)</f>
        <v>21.25</v>
      </c>
      <c r="BL52" s="32" t="str">
        <f>IFERROR(__xludf.DUMMYFUNCTION("IFNA(SUM(FILTER('45 серия'!$B$6:$C$15,'45 серия'!$B$6:$B$15=C52)), )"),"")</f>
        <v/>
      </c>
      <c r="BM52" s="32" t="str">
        <f>IFERROR(__xludf.DUMMYFUNCTION("IFNA(SUM(FILTER('46 серия'!$B$6:$C$15,'46 серия'!$B$6:$B$15=C52)), )"),"")</f>
        <v/>
      </c>
      <c r="BN52" s="32" t="str">
        <f>IFERROR(__xludf.DUMMYFUNCTION("IFNA(SUM(FILTER('47 серия'!$B$6:$C$15,'47 серия'!$B$6:$B$15=C52)), )"),"")</f>
        <v/>
      </c>
      <c r="BO52" s="42" t="str">
        <f>IFERROR(__xludf.DUMMYFUNCTION("IFNA(SUM(FILTER('48 серия'!$B$6:$C$15,'48 серия'!$B$6:$B$15=$C52)), )"),"")</f>
        <v/>
      </c>
      <c r="BP52" s="43" t="str">
        <f>IFERROR(__xludf.DUMMYFUNCTION("IFNA(SUM(FILTER('49 серия'!$B$6:$C$15,'49 серия'!$B$6:$B$15=$C52)), )"),"")</f>
        <v/>
      </c>
      <c r="BQ52" s="43" t="str">
        <f>IFERROR(__xludf.DUMMYFUNCTION("IFNA(SUM(FILTER('50 серия'!$B$6:$C$15,'50 серия'!$B$6:$B$15=$C52)), )"),"")</f>
        <v/>
      </c>
      <c r="BR52" s="43" t="str">
        <f>IFERROR(__xludf.DUMMYFUNCTION("IFNA(SUM(FILTER('51 серия'!$B$6:$C$15,'51 серия'!$B$6:$B$15=$C52)), )"),"")</f>
        <v/>
      </c>
      <c r="BS52" s="49">
        <f>IFERROR(__xludf.DUMMYFUNCTION("IFNA(SUM(FILTER('52 серия'!$B$6:$C$15,'52 серия'!$B$6:$B$15=C52)), )"),16.75)</f>
        <v>16.75</v>
      </c>
      <c r="BT52" s="32" t="str">
        <f>IFERROR(__xludf.DUMMYFUNCTION("IFNA(SUM(FILTER('53 серия'!$B$6:$C$15,'53 серия'!$B$6:$B$15=$C52)), )"),"")</f>
        <v/>
      </c>
      <c r="BU52" s="32" t="str">
        <f>IFERROR(__xludf.DUMMYFUNCTION("IFNA(SUM(FILTER('54 серия'!$B$6:$C$15,'54 серия'!$B$6:$B$15=$C52)), )"),"")</f>
        <v/>
      </c>
      <c r="BV52" s="32" t="str">
        <f>IFERROR(__xludf.DUMMYFUNCTION("IFNA(SUM(FILTER('55 серия'!$B$6:$C$15,'55 серия'!$B$6:$B$15=$C52)), )"),"")</f>
        <v/>
      </c>
      <c r="BW52" s="32">
        <f>IFERROR(__xludf.DUMMYFUNCTION("IFNA(SUM(FILTER('56 серия'!$B$6:$C$15,'56 серия'!$B$6:$B$15=$C52)), )"),15.75)</f>
        <v>15.75</v>
      </c>
      <c r="BX52" s="32" t="str">
        <f>IFERROR(__xludf.DUMMYFUNCTION("IFNA(SUM(FILTER('57 серия'!$B$6:$C$15,'57 серия'!$B$6:$B$15=$C52)), )"),"")</f>
        <v/>
      </c>
      <c r="BY52" s="32" t="str">
        <f>IFERROR(__xludf.DUMMYFUNCTION("IFNA(SUM(FILTER('58 серия'!$B$6:$C$15,'58 серия'!$B$6:$B$15=$C52)), )"),"")</f>
        <v/>
      </c>
      <c r="BZ52" s="46" t="str">
        <f>IFERROR(__xludf.DUMMYFUNCTION("IFNA(SUM(FILTER('59 серия'!$B$6:$C$15,'59 серия'!$B$6:$B$15=C52)), )"),"")</f>
        <v/>
      </c>
      <c r="CA52" s="44" t="str">
        <f>IFERROR(__xludf.DUMMYFUNCTION("IFNA(SUM(FILTER('60 серия'!$B$6:$C$15,'60 серия'!$B$6:$B$15=$C52)), )"),"")</f>
        <v/>
      </c>
      <c r="CB52" s="4"/>
    </row>
    <row r="53">
      <c r="A53" s="10"/>
      <c r="B53" s="27">
        <f t="shared" si="1"/>
        <v>47</v>
      </c>
      <c r="C53" s="45" t="s">
        <v>125</v>
      </c>
      <c r="D53" s="29">
        <f>'Игроки статистика'!B51</f>
        <v>50</v>
      </c>
      <c r="E53" s="30">
        <f t="shared" si="2"/>
        <v>174</v>
      </c>
      <c r="F53" s="31">
        <f t="shared" si="3"/>
        <v>17.4</v>
      </c>
      <c r="G53" s="46">
        <f t="shared" si="4"/>
        <v>2.43</v>
      </c>
      <c r="H53" s="46">
        <f>SUMIFS('Все игры'!C$3:C1011,'Все игры'!A$3:A1011,C53)</f>
        <v>52.5</v>
      </c>
      <c r="I53" s="46">
        <f t="shared" si="5"/>
        <v>119</v>
      </c>
      <c r="J53" s="47">
        <f>SUMIFS('Все игры'!F$3:F1011,'Все игры'!A$3:A1011,C53)</f>
        <v>1</v>
      </c>
      <c r="K53" s="48">
        <f>SUMIFS('Все игры'!G$3:G1011,'Все игры'!A$3:A1011,C53)</f>
        <v>1.5</v>
      </c>
      <c r="L53" s="35">
        <f>'Игроки статистика'!G51</f>
        <v>3</v>
      </c>
      <c r="M53" s="36">
        <f t="shared" si="6"/>
        <v>21</v>
      </c>
      <c r="N53" s="36">
        <f>SUM('Игроки статистика'!O51,'Игроки статистика'!Q51)</f>
        <v>2</v>
      </c>
      <c r="O53" s="37">
        <f>SUM('Игроки статистика'!P51,'Игроки статистика'!R51)</f>
        <v>4</v>
      </c>
      <c r="P53" s="38" t="str">
        <f>IFERROR(__xludf.DUMMYFUNCTION("IFNA(SUM(FILTER('Штрафы'!$D$5:$D1011,'Штрафы'!$C$5:$C1011=C53)), )"),"")</f>
        <v/>
      </c>
      <c r="Q53" s="38" t="str">
        <f>IFERROR(__xludf.DUMMYFUNCTION("IFNA(SUM(FILTER('Штрафы'!$F$5:$F1011,'Штрафы'!$C$5:$C1011=C53)), )"),"")</f>
        <v/>
      </c>
      <c r="R53" s="39"/>
      <c r="S53" s="40"/>
      <c r="T53" s="31" t="str">
        <f>IFERROR(__xludf.DUMMYFUNCTION("IFNA(SUM(FILTER('1 серия'!$B$6:$C$15,'1 серия'!$B$6:$B$15=C53)), )"),"")</f>
        <v/>
      </c>
      <c r="U53" s="32" t="str">
        <f>IFERROR(__xludf.DUMMYFUNCTION("IFNA(SUM(FILTER('2 серия'!$B$6:$C$15,'2 серия'!$B$6:$B$15=C53)), )
"),"")</f>
        <v/>
      </c>
      <c r="V53" s="32" t="str">
        <f>IFERROR(__xludf.DUMMYFUNCTION("IFNA(SUM(FILTER('3 серия'!$B$6:$C$15,'3 серия'!$B$6:$B$15=C53)), )
"),"")</f>
        <v/>
      </c>
      <c r="W53" s="32" t="str">
        <f>IFERROR(__xludf.DUMMYFUNCTION("IFNA(SUM(FILTER('4 серия'!$B$6:$C$15,'4 серия'!$B$6:$B$15=C53)), )"),"")</f>
        <v/>
      </c>
      <c r="X53" s="32" t="str">
        <f>IFERROR(__xludf.DUMMYFUNCTION("IFNA(SUM(FILTER('5 серия'!$B$6:$C$15,'5 серия'!$B$6:$B$15=C53)), )"),"")</f>
        <v/>
      </c>
      <c r="Y53" s="32" t="str">
        <f>IFERROR(__xludf.DUMMYFUNCTION("IFNA(SUM(FILTER('6 серия'!$B$6:$C$15,'6 серия'!$B$6:$B$15=C53)), )"),"")</f>
        <v/>
      </c>
      <c r="Z53" s="32" t="str">
        <f>IFERROR(__xludf.DUMMYFUNCTION("IFNA(SUM(FILTER('7 серия'!$B$6:$C$15,'7 серия'!$B$6:$B$15=C53)), )"),"")</f>
        <v/>
      </c>
      <c r="AA53" s="32" t="str">
        <f>IFERROR(__xludf.DUMMYFUNCTION("IFNA(SUM(FILTER('8 серия'!$B$6:$C$15,'8 серия'!$B$6:$B$15=C53)), )"),"")</f>
        <v/>
      </c>
      <c r="AB53" s="32" t="str">
        <f>IFERROR(__xludf.DUMMYFUNCTION("IFNA(SUM(FILTER('9 серия'!$B$7:$C$16,'9 серия'!$B$7:$B$16=C53)), )"),"")</f>
        <v/>
      </c>
      <c r="AC53" s="32">
        <f>IFERROR(__xludf.DUMMYFUNCTION("IFNA(SUM(FILTER('10 серия'!$B$6:$C$15,'10 серия'!$B$6:$B$15=C53)), )"),20.75)</f>
        <v>20.75</v>
      </c>
      <c r="AD53" s="32" t="str">
        <f>IFERROR(__xludf.DUMMYFUNCTION("IFNA(SUM(FILTER('11 серия'!$B$6:$C$15,'11 серия'!$B$6:$B$15=C53)), )"),"")</f>
        <v/>
      </c>
      <c r="AE53" s="32">
        <f>IFERROR(__xludf.DUMMYFUNCTION("IFNA(SUM(FILTER('12 серия'!$B$6:$C$15,'12 серия'!$B$6:$B$15=C53)), )"),11.0)</f>
        <v>11</v>
      </c>
      <c r="AF53" s="32">
        <f>IFERROR(__xludf.DUMMYFUNCTION("IFNA(SUM(FILTER('13 серия'!$B$6:$C$15,'13 серия'!$B$6:$B$15=C53)), )"),15.0)</f>
        <v>15</v>
      </c>
      <c r="AG53" s="32">
        <f>IFERROR(__xludf.DUMMYFUNCTION("IFNA(SUM(FILTER('14 серия'!$B$6:$C$15,'14 серия'!$B$6:$B$15=C53)), )"),18.25)</f>
        <v>18.25</v>
      </c>
      <c r="AH53" s="32">
        <f>IFERROR(__xludf.DUMMYFUNCTION("IFNA(SUM(FILTER('15 серия'!$B$6:$C$15,'15 серия'!$B$6:$B$15=C53)), )"),17.5)</f>
        <v>17.5</v>
      </c>
      <c r="AI53" s="32">
        <f>IFERROR(__xludf.DUMMYFUNCTION("IFNA(SUM(FILTER('16 серия'!$B$6:$C$15,'16 серия'!$B$6:$B$15=C53)), )"),18.75)</f>
        <v>18.75</v>
      </c>
      <c r="AJ53" s="32" t="str">
        <f>IFERROR(__xludf.DUMMYFUNCTION("IFNA(SUM(FILTER('17 серия'!$B$6:$C$15,'17 серия'!$B$6:$B$15=C53)), )"),"")</f>
        <v/>
      </c>
      <c r="AK53" s="32" t="str">
        <f>IFERROR(__xludf.DUMMYFUNCTION("IFNA(SUM(FILTER('18 серия'!$B$6:$C$15,'18 серия'!$B$6:$B$15=C53)), )"),"")</f>
        <v/>
      </c>
      <c r="AL53" s="32" t="str">
        <f>IFERROR(__xludf.DUMMYFUNCTION("IFNA(SUM(FILTER('19 серия'!$B$6:$C$15,'19 серия'!$B$6:$B$15=C53)), )"),"")</f>
        <v/>
      </c>
      <c r="AM53" s="32">
        <f>IFERROR(__xludf.DUMMYFUNCTION("IFNA(SUM(FILTER('20 серия'!$B$6:$C$15,'20 серия'!$B$6:$B$15=C53)), )"),15.0)</f>
        <v>15</v>
      </c>
      <c r="AN53" s="32" t="str">
        <f>IFERROR(__xludf.DUMMYFUNCTION("IFNA(SUM(FILTER('21 серия'!$B$6:$C$15,'21 серия'!$B$6:$B$15=C53)), )"),"")</f>
        <v/>
      </c>
      <c r="AO53" s="32" t="str">
        <f>IFERROR(__xludf.DUMMYFUNCTION("IFNA(SUM(FILTER('22 серия'!$B$6:$C$15,'22 серия'!$B$6:$B$15=C53)), )"),"")</f>
        <v/>
      </c>
      <c r="AP53" s="32" t="str">
        <f>IFERROR(__xludf.DUMMYFUNCTION("IFNA(SUM(FILTER('23 серия'!$B$6:$C$15,'23 серия'!$B$6:$B$15=C53)), )"),"")</f>
        <v/>
      </c>
      <c r="AQ53" s="32" t="str">
        <f>IFERROR(__xludf.DUMMYFUNCTION("IFNA(SUM(FILTER('24 серия'!$B$6:$C$15,'24 серия'!$B$6:$B$15=C53)), )"),"")</f>
        <v/>
      </c>
      <c r="AR53" s="32" t="str">
        <f>IFERROR(__xludf.DUMMYFUNCTION("IFNA(SUM(FILTER('25 серия'!$B$6:$C$15,'25 серия'!$B$6:$B$15=C53)), )"),"")</f>
        <v/>
      </c>
      <c r="AS53" s="32" t="str">
        <f>IFERROR(__xludf.DUMMYFUNCTION("IFNA(SUM(FILTER('26 серия'!$B$6:$C$15,'26 серия'!$B$6:$B$15=C53)), )"),"")</f>
        <v/>
      </c>
      <c r="AT53" s="32" t="str">
        <f>IFERROR(__xludf.DUMMYFUNCTION("IFNA(SUM(FILTER('27 серия'!$B$6:$C$15,'27 серия'!$B$6:$B$15=C53)), )"),"")</f>
        <v/>
      </c>
      <c r="AU53" s="32" t="str">
        <f>IFERROR(__xludf.DUMMYFUNCTION("IFNA(SUM(FILTER('28 серия'!$B$6:$C$15,'28 серия'!$B$6:$B$15=C53)), )"),"")</f>
        <v/>
      </c>
      <c r="AV53" s="32" t="str">
        <f>IFERROR(__xludf.DUMMYFUNCTION("IFNA(SUM(FILTER('29 серия'!$B$6:$C$15,'29 серия'!$B$6:$B$15=C53)), )"),"")</f>
        <v/>
      </c>
      <c r="AW53" s="32">
        <f>IFERROR(__xludf.DUMMYFUNCTION("IFNA(SUM(FILTER('30 серия'!$B$6:$C$15,'30 серия'!$B$6:$B$15=C53)), )"),23.5)</f>
        <v>23.5</v>
      </c>
      <c r="AX53" s="32">
        <f>IFERROR(__xludf.DUMMYFUNCTION("IFNA(SUM(FILTER('31 серия'!$B$6:$C$15,'31 серия'!$B$6:$B$15=C53)), )"),15.25)</f>
        <v>15.25</v>
      </c>
      <c r="AY53" s="32">
        <f>IFERROR(__xludf.DUMMYFUNCTION("IFNA(SUM(FILTER('32 серия'!$B$6:$C$15,'32 серия'!$B$6:$B$15=C53)), )"),19.0)</f>
        <v>19</v>
      </c>
      <c r="AZ53" s="32" t="str">
        <f>IFERROR(__xludf.DUMMYFUNCTION("IFNA(SUM(FILTER('33 серия'!$B$6:$C$15,'33 серия'!$B$6:$B$15=C53)), )"),"")</f>
        <v/>
      </c>
      <c r="BA53" s="32" t="str">
        <f>IFERROR(__xludf.DUMMYFUNCTION("IFNA(SUM(FILTER('34 серия'!$B$6:$C$15,'34 серия'!$B$6:$B$15=C53)), )"),"")</f>
        <v/>
      </c>
      <c r="BB53" s="32" t="str">
        <f>IFERROR(__xludf.DUMMYFUNCTION("IFNA(SUM(FILTER('35 серия'!$B$6:$C$15,'35 серия'!$B$6:$B$15=C53)), )"),"")</f>
        <v/>
      </c>
      <c r="BC53" s="32" t="str">
        <f>IFERROR(__xludf.DUMMYFUNCTION("IFNA(SUM(FILTER('36 серия'!$B$6:$C$15,'36 серия'!$B$6:$B$15=C53)), )"),"")</f>
        <v/>
      </c>
      <c r="BD53" s="32" t="str">
        <f>IFERROR(__xludf.DUMMYFUNCTION("IFNA(SUM(FILTER('37 серия'!$B$6:$C$15,'37 серия'!$B$6:$B$15=C53)), )"),"")</f>
        <v/>
      </c>
      <c r="BE53" s="32" t="str">
        <f>IFERROR(__xludf.DUMMYFUNCTION("IFNA(SUM(FILTER('38 серия'!$B$6:$C$15,'38 серия'!$B$6:$B$15=C53)), )"),"")</f>
        <v/>
      </c>
      <c r="BF53" s="32" t="str">
        <f>IFERROR(__xludf.DUMMYFUNCTION("IFNA(SUM(FILTER('39 серия'!$B$6:$C$15,'39 серия'!$B$6:$B$15=C53)), )"),"")</f>
        <v/>
      </c>
      <c r="BG53" s="32" t="str">
        <f>IFERROR(__xludf.DUMMYFUNCTION("IFNA(SUM(FILTER('40 серия'!$B$6:$C$15,'40 серия'!$B$6:$B$15=C53)), )"),"")</f>
        <v/>
      </c>
      <c r="BH53" s="32" t="str">
        <f>IFERROR(__xludf.DUMMYFUNCTION("IFNA(SUM(FILTER('41 серия'!$B$6:$C$15,'41 серия'!$B$6:$B$15=C53)), )"),"")</f>
        <v/>
      </c>
      <c r="BI53" s="32" t="str">
        <f>IFERROR(__xludf.DUMMYFUNCTION("IFNA(SUM(FILTER('42 серия'!$B$6:$C$15,'42 серия'!$B$6:$B$15=C53)), )"),"")</f>
        <v/>
      </c>
      <c r="BJ53" s="32" t="str">
        <f>IFERROR(__xludf.DUMMYFUNCTION("IFNA(SUM(FILTER('43 серия'!$B$6:$C$15,'43 серия'!$B$6:$B$15=C53)), )"),"")</f>
        <v/>
      </c>
      <c r="BK53" s="32" t="str">
        <f>IFERROR(__xludf.DUMMYFUNCTION("IFNA(SUM(FILTER('44 серия'!$B$6:$C$15,'44 серия'!$B$6:$B$15=C53)), )"),"")</f>
        <v/>
      </c>
      <c r="BL53" s="32" t="str">
        <f>IFERROR(__xludf.DUMMYFUNCTION("IFNA(SUM(FILTER('45 серия'!$B$6:$C$15,'45 серия'!$B$6:$B$15=C53)), )"),"")</f>
        <v/>
      </c>
      <c r="BM53" s="32" t="str">
        <f>IFERROR(__xludf.DUMMYFUNCTION("IFNA(SUM(FILTER('46 серия'!$B$6:$C$15,'46 серия'!$B$6:$B$15=C53)), )"),"")</f>
        <v/>
      </c>
      <c r="BN53" s="32" t="str">
        <f>IFERROR(__xludf.DUMMYFUNCTION("IFNA(SUM(FILTER('47 серия'!$B$6:$C$15,'47 серия'!$B$6:$B$15=C53)), )"),"")</f>
        <v/>
      </c>
      <c r="BO53" s="42" t="str">
        <f>IFERROR(__xludf.DUMMYFUNCTION("IFNA(SUM(FILTER('48 серия'!$B$6:$C$15,'48 серия'!$B$6:$B$15=$C53)), )"),"")</f>
        <v/>
      </c>
      <c r="BP53" s="43" t="str">
        <f>IFERROR(__xludf.DUMMYFUNCTION("IFNA(SUM(FILTER('49 серия'!$B$6:$C$15,'49 серия'!$B$6:$B$15=$C53)), )"),"")</f>
        <v/>
      </c>
      <c r="BQ53" s="43" t="str">
        <f>IFERROR(__xludf.DUMMYFUNCTION("IFNA(SUM(FILTER('50 серия'!$B$6:$C$15,'50 серия'!$B$6:$B$15=$C53)), )"),"")</f>
        <v/>
      </c>
      <c r="BR53" s="43" t="str">
        <f>IFERROR(__xludf.DUMMYFUNCTION("IFNA(SUM(FILTER('51 серия'!$B$6:$C$15,'51 серия'!$B$6:$B$15=$C53)), )"),"")</f>
        <v/>
      </c>
      <c r="BS53" s="49" t="str">
        <f>IFERROR(__xludf.DUMMYFUNCTION("IFNA(SUM(FILTER('52 серия'!$B$6:$C$15,'52 серия'!$B$6:$B$15=C53)), )"),"")</f>
        <v/>
      </c>
      <c r="BT53" s="32" t="str">
        <f>IFERROR(__xludf.DUMMYFUNCTION("IFNA(SUM(FILTER('53 серия'!$B$6:$C$15,'53 серия'!$B$6:$B$15=$C53)), )"),"")</f>
        <v/>
      </c>
      <c r="BU53" s="32" t="str">
        <f>IFERROR(__xludf.DUMMYFUNCTION("IFNA(SUM(FILTER('54 серия'!$B$6:$C$15,'54 серия'!$B$6:$B$15=$C53)), )"),"")</f>
        <v/>
      </c>
      <c r="BV53" s="32" t="str">
        <f>IFERROR(__xludf.DUMMYFUNCTION("IFNA(SUM(FILTER('55 серия'!$B$6:$C$15,'55 серия'!$B$6:$B$15=$C53)), )"),"")</f>
        <v/>
      </c>
      <c r="BW53" s="32" t="str">
        <f>IFERROR(__xludf.DUMMYFUNCTION("IFNA(SUM(FILTER('56 серия'!$B$6:$C$15,'56 серия'!$B$6:$B$15=$C53)), )"),"")</f>
        <v/>
      </c>
      <c r="BX53" s="32" t="str">
        <f>IFERROR(__xludf.DUMMYFUNCTION("IFNA(SUM(FILTER('57 серия'!$B$6:$C$15,'57 серия'!$B$6:$B$15=$C53)), )"),"")</f>
        <v/>
      </c>
      <c r="BY53" s="32" t="str">
        <f>IFERROR(__xludf.DUMMYFUNCTION("IFNA(SUM(FILTER('58 серия'!$B$6:$C$15,'58 серия'!$B$6:$B$15=$C53)), )"),"")</f>
        <v/>
      </c>
      <c r="BZ53" s="46" t="str">
        <f>IFERROR(__xludf.DUMMYFUNCTION("IFNA(SUM(FILTER('59 серия'!$B$6:$C$15,'59 серия'!$B$6:$B$15=C53)), )"),"")</f>
        <v/>
      </c>
      <c r="CA53" s="44" t="str">
        <f>IFERROR(__xludf.DUMMYFUNCTION("IFNA(SUM(FILTER('60 серия'!$B$6:$C$15,'60 серия'!$B$6:$B$15=$C53)), )"),"")</f>
        <v/>
      </c>
      <c r="CB53" s="4"/>
    </row>
    <row r="54">
      <c r="A54" s="10"/>
      <c r="B54" s="27">
        <f t="shared" si="1"/>
        <v>48</v>
      </c>
      <c r="C54" s="45" t="s">
        <v>126</v>
      </c>
      <c r="D54" s="29">
        <f>'Игроки статистика'!B52</f>
        <v>50</v>
      </c>
      <c r="E54" s="30">
        <f t="shared" si="2"/>
        <v>173.75</v>
      </c>
      <c r="F54" s="31">
        <f t="shared" si="3"/>
        <v>17.375</v>
      </c>
      <c r="G54" s="46">
        <f t="shared" si="4"/>
        <v>2.575</v>
      </c>
      <c r="H54" s="46">
        <f>SUMIFS('Все игры'!C$3:C1011,'Все игры'!A$3:A1011,C54)</f>
        <v>45</v>
      </c>
      <c r="I54" s="46">
        <f t="shared" si="5"/>
        <v>128.25</v>
      </c>
      <c r="J54" s="47">
        <f>SUMIFS('Все игры'!F$3:F1011,'Все игры'!A$3:A1011,C54)</f>
        <v>0</v>
      </c>
      <c r="K54" s="48">
        <f>SUMIFS('Все игры'!G$3:G1011,'Все игры'!A$3:A1011,C54)</f>
        <v>0.5</v>
      </c>
      <c r="L54" s="35">
        <f>'Игроки статистика'!G52</f>
        <v>1</v>
      </c>
      <c r="M54" s="36">
        <f t="shared" si="6"/>
        <v>18</v>
      </c>
      <c r="N54" s="36">
        <f>SUM('Игроки статистика'!O52,'Игроки статистика'!Q52)</f>
        <v>4</v>
      </c>
      <c r="O54" s="37">
        <f>SUM('Игроки статистика'!P52,'Игроки статистика'!R52)</f>
        <v>6</v>
      </c>
      <c r="P54" s="38" t="str">
        <f>IFERROR(__xludf.DUMMYFUNCTION("IFNA(SUM(FILTER('Штрафы'!$D$5:$D1011,'Штрафы'!$C$5:$C1011=C54)), )"),"")</f>
        <v/>
      </c>
      <c r="Q54" s="38" t="str">
        <f>IFERROR(__xludf.DUMMYFUNCTION("IFNA(SUM(FILTER('Штрафы'!$F$5:$F1011,'Штрафы'!$C$5:$C1011=C54)), )"),"")</f>
        <v/>
      </c>
      <c r="R54" s="39"/>
      <c r="S54" s="40"/>
      <c r="T54" s="31" t="str">
        <f>IFERROR(__xludf.DUMMYFUNCTION("IFNA(SUM(FILTER('1 серия'!$B$6:$C$15,'1 серия'!$B$6:$B$15=C54)), )"),"")</f>
        <v/>
      </c>
      <c r="U54" s="32" t="str">
        <f>IFERROR(__xludf.DUMMYFUNCTION("IFNA(SUM(FILTER('2 серия'!$B$6:$C$15,'2 серия'!$B$6:$B$15=C54)), )
"),"")</f>
        <v/>
      </c>
      <c r="V54" s="32">
        <f>IFERROR(__xludf.DUMMYFUNCTION("IFNA(SUM(FILTER('3 серия'!$B$6:$C$15,'3 серия'!$B$6:$B$15=C54)), )
"),18.5)</f>
        <v>18.5</v>
      </c>
      <c r="W54" s="32" t="str">
        <f>IFERROR(__xludf.DUMMYFUNCTION("IFNA(SUM(FILTER('4 серия'!$B$6:$C$15,'4 серия'!$B$6:$B$15=C54)), )"),"")</f>
        <v/>
      </c>
      <c r="X54" s="32" t="str">
        <f>IFERROR(__xludf.DUMMYFUNCTION("IFNA(SUM(FILTER('5 серия'!$B$6:$C$15,'5 серия'!$B$6:$B$15=C54)), )"),"")</f>
        <v/>
      </c>
      <c r="Y54" s="32" t="str">
        <f>IFERROR(__xludf.DUMMYFUNCTION("IFNA(SUM(FILTER('6 серия'!$B$6:$C$15,'6 серия'!$B$6:$B$15=C54)), )"),"")</f>
        <v/>
      </c>
      <c r="Z54" s="32" t="str">
        <f>IFERROR(__xludf.DUMMYFUNCTION("IFNA(SUM(FILTER('7 серия'!$B$6:$C$15,'7 серия'!$B$6:$B$15=C54)), )"),"")</f>
        <v/>
      </c>
      <c r="AA54" s="32" t="str">
        <f>IFERROR(__xludf.DUMMYFUNCTION("IFNA(SUM(FILTER('8 серия'!$B$6:$C$15,'8 серия'!$B$6:$B$15=C54)), )"),"")</f>
        <v/>
      </c>
      <c r="AB54" s="32">
        <f>IFERROR(__xludf.DUMMYFUNCTION("IFNA(SUM(FILTER('9 серия'!$B$7:$C$16,'9 серия'!$B$7:$B$16=C54)), )"),20.5)</f>
        <v>20.5</v>
      </c>
      <c r="AC54" s="32" t="str">
        <f>IFERROR(__xludf.DUMMYFUNCTION("IFNA(SUM(FILTER('10 серия'!$B$6:$C$15,'10 серия'!$B$6:$B$15=C54)), )"),"")</f>
        <v/>
      </c>
      <c r="AD54" s="32" t="str">
        <f>IFERROR(__xludf.DUMMYFUNCTION("IFNA(SUM(FILTER('11 серия'!$B$6:$C$15,'11 серия'!$B$6:$B$15=C54)), )"),"")</f>
        <v/>
      </c>
      <c r="AE54" s="32">
        <f>IFERROR(__xludf.DUMMYFUNCTION("IFNA(SUM(FILTER('12 серия'!$B$6:$C$15,'12 серия'!$B$6:$B$15=C54)), )"),18.0)</f>
        <v>18</v>
      </c>
      <c r="AF54" s="32" t="str">
        <f>IFERROR(__xludf.DUMMYFUNCTION("IFNA(SUM(FILTER('13 серия'!$B$6:$C$15,'13 серия'!$B$6:$B$15=C54)), )"),"")</f>
        <v/>
      </c>
      <c r="AG54" s="32" t="str">
        <f>IFERROR(__xludf.DUMMYFUNCTION("IFNA(SUM(FILTER('14 серия'!$B$6:$C$15,'14 серия'!$B$6:$B$15=C54)), )"),"")</f>
        <v/>
      </c>
      <c r="AH54" s="32" t="str">
        <f>IFERROR(__xludf.DUMMYFUNCTION("IFNA(SUM(FILTER('15 серия'!$B$6:$C$15,'15 серия'!$B$6:$B$15=C54)), )"),"")</f>
        <v/>
      </c>
      <c r="AI54" s="32" t="str">
        <f>IFERROR(__xludf.DUMMYFUNCTION("IFNA(SUM(FILTER('16 серия'!$B$6:$C$15,'16 серия'!$B$6:$B$15=C54)), )"),"")</f>
        <v/>
      </c>
      <c r="AJ54" s="32" t="str">
        <f>IFERROR(__xludf.DUMMYFUNCTION("IFNA(SUM(FILTER('17 серия'!$B$6:$C$15,'17 серия'!$B$6:$B$15=C54)), )"),"")</f>
        <v/>
      </c>
      <c r="AK54" s="32">
        <f>IFERROR(__xludf.DUMMYFUNCTION("IFNA(SUM(FILTER('18 серия'!$B$6:$C$15,'18 серия'!$B$6:$B$15=C54)), )"),10.5)</f>
        <v>10.5</v>
      </c>
      <c r="AL54" s="32" t="str">
        <f>IFERROR(__xludf.DUMMYFUNCTION("IFNA(SUM(FILTER('19 серия'!$B$6:$C$15,'19 серия'!$B$6:$B$15=C54)), )"),"")</f>
        <v/>
      </c>
      <c r="AM54" s="32" t="str">
        <f>IFERROR(__xludf.DUMMYFUNCTION("IFNA(SUM(FILTER('20 серия'!$B$6:$C$15,'20 серия'!$B$6:$B$15=C54)), )"),"")</f>
        <v/>
      </c>
      <c r="AN54" s="32" t="str">
        <f>IFERROR(__xludf.DUMMYFUNCTION("IFNA(SUM(FILTER('21 серия'!$B$6:$C$15,'21 серия'!$B$6:$B$15=C54)), )"),"")</f>
        <v/>
      </c>
      <c r="AO54" s="32" t="str">
        <f>IFERROR(__xludf.DUMMYFUNCTION("IFNA(SUM(FILTER('22 серия'!$B$6:$C$15,'22 серия'!$B$6:$B$15=C54)), )"),"")</f>
        <v/>
      </c>
      <c r="AP54" s="32" t="str">
        <f>IFERROR(__xludf.DUMMYFUNCTION("IFNA(SUM(FILTER('23 серия'!$B$6:$C$15,'23 серия'!$B$6:$B$15=C54)), )"),"")</f>
        <v/>
      </c>
      <c r="AQ54" s="32" t="str">
        <f>IFERROR(__xludf.DUMMYFUNCTION("IFNA(SUM(FILTER('24 серия'!$B$6:$C$15,'24 серия'!$B$6:$B$15=C54)), )"),"")</f>
        <v/>
      </c>
      <c r="AR54" s="32" t="str">
        <f>IFERROR(__xludf.DUMMYFUNCTION("IFNA(SUM(FILTER('25 серия'!$B$6:$C$15,'25 серия'!$B$6:$B$15=C54)), )"),"")</f>
        <v/>
      </c>
      <c r="AS54" s="32">
        <f>IFERROR(__xludf.DUMMYFUNCTION("IFNA(SUM(FILTER('26 серия'!$B$6:$C$15,'26 серия'!$B$6:$B$15=C54)), )"),17.0)</f>
        <v>17</v>
      </c>
      <c r="AT54" s="32" t="str">
        <f>IFERROR(__xludf.DUMMYFUNCTION("IFNA(SUM(FILTER('27 серия'!$B$6:$C$15,'27 серия'!$B$6:$B$15=C54)), )"),"")</f>
        <v/>
      </c>
      <c r="AU54" s="32" t="str">
        <f>IFERROR(__xludf.DUMMYFUNCTION("IFNA(SUM(FILTER('28 серия'!$B$6:$C$15,'28 серия'!$B$6:$B$15=C54)), )"),"")</f>
        <v/>
      </c>
      <c r="AV54" s="32" t="str">
        <f>IFERROR(__xludf.DUMMYFUNCTION("IFNA(SUM(FILTER('29 серия'!$B$6:$C$15,'29 серия'!$B$6:$B$15=C54)), )"),"")</f>
        <v/>
      </c>
      <c r="AW54" s="32">
        <f>IFERROR(__xludf.DUMMYFUNCTION("IFNA(SUM(FILTER('30 серия'!$B$6:$C$15,'30 серия'!$B$6:$B$15=C54)), )"),15.75)</f>
        <v>15.75</v>
      </c>
      <c r="AX54" s="32" t="str">
        <f>IFERROR(__xludf.DUMMYFUNCTION("IFNA(SUM(FILTER('31 серия'!$B$6:$C$15,'31 серия'!$B$6:$B$15=C54)), )"),"")</f>
        <v/>
      </c>
      <c r="AY54" s="32">
        <f>IFERROR(__xludf.DUMMYFUNCTION("IFNA(SUM(FILTER('32 серия'!$B$6:$C$15,'32 серия'!$B$6:$B$15=C54)), )"),20.0)</f>
        <v>20</v>
      </c>
      <c r="AZ54" s="32" t="str">
        <f>IFERROR(__xludf.DUMMYFUNCTION("IFNA(SUM(FILTER('33 серия'!$B$6:$C$15,'33 серия'!$B$6:$B$15=C54)), )"),"")</f>
        <v/>
      </c>
      <c r="BA54" s="32" t="str">
        <f>IFERROR(__xludf.DUMMYFUNCTION("IFNA(SUM(FILTER('34 серия'!$B$6:$C$15,'34 серия'!$B$6:$B$15=C54)), )"),"")</f>
        <v/>
      </c>
      <c r="BB54" s="32" t="str">
        <f>IFERROR(__xludf.DUMMYFUNCTION("IFNA(SUM(FILTER('35 серия'!$B$6:$C$15,'35 серия'!$B$6:$B$15=C54)), )"),"")</f>
        <v/>
      </c>
      <c r="BC54" s="32" t="str">
        <f>IFERROR(__xludf.DUMMYFUNCTION("IFNA(SUM(FILTER('36 серия'!$B$6:$C$15,'36 серия'!$B$6:$B$15=C54)), )"),"")</f>
        <v/>
      </c>
      <c r="BD54" s="32" t="str">
        <f>IFERROR(__xludf.DUMMYFUNCTION("IFNA(SUM(FILTER('37 серия'!$B$6:$C$15,'37 серия'!$B$6:$B$15=C54)), )"),"")</f>
        <v/>
      </c>
      <c r="BE54" s="32" t="str">
        <f>IFERROR(__xludf.DUMMYFUNCTION("IFNA(SUM(FILTER('38 серия'!$B$6:$C$15,'38 серия'!$B$6:$B$15=C54)), )"),"")</f>
        <v/>
      </c>
      <c r="BF54" s="32" t="str">
        <f>IFERROR(__xludf.DUMMYFUNCTION("IFNA(SUM(FILTER('39 серия'!$B$6:$C$15,'39 серия'!$B$6:$B$15=C54)), )"),"")</f>
        <v/>
      </c>
      <c r="BG54" s="32" t="str">
        <f>IFERROR(__xludf.DUMMYFUNCTION("IFNA(SUM(FILTER('40 серия'!$B$6:$C$15,'40 серия'!$B$6:$B$15=C54)), )"),"")</f>
        <v/>
      </c>
      <c r="BH54" s="32">
        <f>IFERROR(__xludf.DUMMYFUNCTION("IFNA(SUM(FILTER('41 серия'!$B$6:$C$15,'41 серия'!$B$6:$B$15=C54)), )"),15.25)</f>
        <v>15.25</v>
      </c>
      <c r="BI54" s="32" t="str">
        <f>IFERROR(__xludf.DUMMYFUNCTION("IFNA(SUM(FILTER('42 серия'!$B$6:$C$15,'42 серия'!$B$6:$B$15=C54)), )"),"")</f>
        <v/>
      </c>
      <c r="BJ54" s="32" t="str">
        <f>IFERROR(__xludf.DUMMYFUNCTION("IFNA(SUM(FILTER('43 серия'!$B$6:$C$15,'43 серия'!$B$6:$B$15=C54)), )"),"")</f>
        <v/>
      </c>
      <c r="BK54" s="32" t="str">
        <f>IFERROR(__xludf.DUMMYFUNCTION("IFNA(SUM(FILTER('44 серия'!$B$6:$C$15,'44 серия'!$B$6:$B$15=C54)), )"),"")</f>
        <v/>
      </c>
      <c r="BL54" s="32" t="str">
        <f>IFERROR(__xludf.DUMMYFUNCTION("IFNA(SUM(FILTER('45 серия'!$B$6:$C$15,'45 серия'!$B$6:$B$15=C54)), )"),"")</f>
        <v/>
      </c>
      <c r="BM54" s="32" t="str">
        <f>IFERROR(__xludf.DUMMYFUNCTION("IFNA(SUM(FILTER('46 серия'!$B$6:$C$15,'46 серия'!$B$6:$B$15=C54)), )"),"")</f>
        <v/>
      </c>
      <c r="BN54" s="32" t="str">
        <f>IFERROR(__xludf.DUMMYFUNCTION("IFNA(SUM(FILTER('47 серия'!$B$6:$C$15,'47 серия'!$B$6:$B$15=C54)), )"),"")</f>
        <v/>
      </c>
      <c r="BO54" s="42" t="str">
        <f>IFERROR(__xludf.DUMMYFUNCTION("IFNA(SUM(FILTER('48 серия'!$B$6:$C$15,'48 серия'!$B$6:$B$15=$C54)), )"),"")</f>
        <v/>
      </c>
      <c r="BP54" s="43">
        <f>IFERROR(__xludf.DUMMYFUNCTION("IFNA(SUM(FILTER('49 серия'!$B$6:$C$15,'49 серия'!$B$6:$B$15=$C54)), )"),16.5)</f>
        <v>16.5</v>
      </c>
      <c r="BQ54" s="43" t="str">
        <f>IFERROR(__xludf.DUMMYFUNCTION("IFNA(SUM(FILTER('50 серия'!$B$6:$C$15,'50 серия'!$B$6:$B$15=$C54)), )"),"")</f>
        <v/>
      </c>
      <c r="BR54" s="43" t="str">
        <f>IFERROR(__xludf.DUMMYFUNCTION("IFNA(SUM(FILTER('51 серия'!$B$6:$C$15,'51 серия'!$B$6:$B$15=$C54)), )"),"")</f>
        <v/>
      </c>
      <c r="BS54" s="49" t="str">
        <f>IFERROR(__xludf.DUMMYFUNCTION("IFNA(SUM(FILTER('52 серия'!$B$6:$C$15,'52 серия'!$B$6:$B$15=C54)), )"),"")</f>
        <v/>
      </c>
      <c r="BT54" s="32" t="str">
        <f>IFERROR(__xludf.DUMMYFUNCTION("IFNA(SUM(FILTER('53 серия'!$B$6:$C$15,'53 серия'!$B$6:$B$15=$C54)), )"),"")</f>
        <v/>
      </c>
      <c r="BU54" s="32" t="str">
        <f>IFERROR(__xludf.DUMMYFUNCTION("IFNA(SUM(FILTER('54 серия'!$B$6:$C$15,'54 серия'!$B$6:$B$15=$C54)), )"),"")</f>
        <v/>
      </c>
      <c r="BV54" s="32" t="str">
        <f>IFERROR(__xludf.DUMMYFUNCTION("IFNA(SUM(FILTER('55 серия'!$B$6:$C$15,'55 серия'!$B$6:$B$15=$C54)), )"),"")</f>
        <v/>
      </c>
      <c r="BW54" s="32" t="str">
        <f>IFERROR(__xludf.DUMMYFUNCTION("IFNA(SUM(FILTER('56 серия'!$B$6:$C$15,'56 серия'!$B$6:$B$15=$C54)), )"),"")</f>
        <v/>
      </c>
      <c r="BX54" s="32" t="str">
        <f>IFERROR(__xludf.DUMMYFUNCTION("IFNA(SUM(FILTER('57 серия'!$B$6:$C$15,'57 серия'!$B$6:$B$15=$C54)), )"),"")</f>
        <v/>
      </c>
      <c r="BY54" s="32">
        <f>IFERROR(__xludf.DUMMYFUNCTION("IFNA(SUM(FILTER('58 серия'!$B$6:$C$15,'58 серия'!$B$6:$B$15=$C54)), )"),21.75)</f>
        <v>21.75</v>
      </c>
      <c r="BZ54" s="46" t="str">
        <f>IFERROR(__xludf.DUMMYFUNCTION("IFNA(SUM(FILTER('59 серия'!$B$6:$C$15,'59 серия'!$B$6:$B$15=C54)), )"),"")</f>
        <v/>
      </c>
      <c r="CA54" s="44" t="str">
        <f>IFERROR(__xludf.DUMMYFUNCTION("IFNA(SUM(FILTER('60 серия'!$B$6:$C$15,'60 серия'!$B$6:$B$15=$C54)), )"),"")</f>
        <v/>
      </c>
      <c r="CB54" s="4"/>
    </row>
    <row r="55">
      <c r="A55" s="10"/>
      <c r="B55" s="27">
        <f t="shared" si="1"/>
        <v>49</v>
      </c>
      <c r="C55" s="45" t="s">
        <v>127</v>
      </c>
      <c r="D55" s="29">
        <f>'Игроки статистика'!B53</f>
        <v>50</v>
      </c>
      <c r="E55" s="30">
        <f t="shared" si="2"/>
        <v>178</v>
      </c>
      <c r="F55" s="31">
        <f t="shared" si="3"/>
        <v>17.8</v>
      </c>
      <c r="G55" s="46">
        <f t="shared" si="4"/>
        <v>2.46</v>
      </c>
      <c r="H55" s="46">
        <f>SUMIFS('Все игры'!C$3:C1011,'Все игры'!A$3:A1011,C55)</f>
        <v>55</v>
      </c>
      <c r="I55" s="46">
        <f t="shared" si="5"/>
        <v>120</v>
      </c>
      <c r="J55" s="47">
        <f>SUMIFS('Все игры'!F$3:F1011,'Все игры'!A$3:A1011,C55)</f>
        <v>0.5</v>
      </c>
      <c r="K55" s="48">
        <f>SUMIFS('Все игры'!G$3:G1011,'Все игры'!A$3:A1011,C55)</f>
        <v>2.5</v>
      </c>
      <c r="L55" s="35">
        <f>'Игроки статистика'!G53</f>
        <v>4</v>
      </c>
      <c r="M55" s="36">
        <f t="shared" si="6"/>
        <v>22</v>
      </c>
      <c r="N55" s="36">
        <f>SUM('Игроки статистика'!O53,'Игроки статистика'!Q53)</f>
        <v>1</v>
      </c>
      <c r="O55" s="37">
        <f>SUM('Игроки статистика'!P53,'Игроки статистика'!R53)</f>
        <v>7</v>
      </c>
      <c r="P55" s="38" t="str">
        <f>IFERROR(__xludf.DUMMYFUNCTION("IFNA(SUM(FILTER('Штрафы'!$D$5:$D1011,'Штрафы'!$C$5:$C1011=C55)), )"),"")</f>
        <v/>
      </c>
      <c r="Q55" s="38" t="str">
        <f>IFERROR(__xludf.DUMMYFUNCTION("IFNA(SUM(FILTER('Штрафы'!$F$5:$F1011,'Штрафы'!$C$5:$C1011=C55)), )"),"")</f>
        <v/>
      </c>
      <c r="R55" s="39"/>
      <c r="S55" s="40"/>
      <c r="T55" s="31" t="str">
        <f>IFERROR(__xludf.DUMMYFUNCTION("IFNA(SUM(FILTER('1 серия'!$B$6:$C$15,'1 серия'!$B$6:$B$15=C55)), )"),"")</f>
        <v/>
      </c>
      <c r="U55" s="32">
        <f>IFERROR(__xludf.DUMMYFUNCTION("IFNA(SUM(FILTER('2 серия'!$B$6:$C$15,'2 серия'!$B$6:$B$15=C55)), )
"),21.0)</f>
        <v>21</v>
      </c>
      <c r="V55" s="32" t="str">
        <f>IFERROR(__xludf.DUMMYFUNCTION("IFNA(SUM(FILTER('3 серия'!$B$6:$C$15,'3 серия'!$B$6:$B$15=C55)), )
"),"")</f>
        <v/>
      </c>
      <c r="W55" s="32" t="str">
        <f>IFERROR(__xludf.DUMMYFUNCTION("IFNA(SUM(FILTER('4 серия'!$B$6:$C$15,'4 серия'!$B$6:$B$15=C55)), )"),"")</f>
        <v/>
      </c>
      <c r="X55" s="32" t="str">
        <f>IFERROR(__xludf.DUMMYFUNCTION("IFNA(SUM(FILTER('5 серия'!$B$6:$C$15,'5 серия'!$B$6:$B$15=C55)), )"),"")</f>
        <v/>
      </c>
      <c r="Y55" s="32" t="str">
        <f>IFERROR(__xludf.DUMMYFUNCTION("IFNA(SUM(FILTER('6 серия'!$B$6:$C$15,'6 серия'!$B$6:$B$15=C55)), )"),"")</f>
        <v/>
      </c>
      <c r="Z55" s="32" t="str">
        <f>IFERROR(__xludf.DUMMYFUNCTION("IFNA(SUM(FILTER('7 серия'!$B$6:$C$15,'7 серия'!$B$6:$B$15=C55)), )"),"")</f>
        <v/>
      </c>
      <c r="AA55" s="32" t="str">
        <f>IFERROR(__xludf.DUMMYFUNCTION("IFNA(SUM(FILTER('8 серия'!$B$6:$C$15,'8 серия'!$B$6:$B$15=C55)), )"),"")</f>
        <v/>
      </c>
      <c r="AB55" s="32">
        <f>IFERROR(__xludf.DUMMYFUNCTION("IFNA(SUM(FILTER('9 серия'!$B$7:$C$16,'9 серия'!$B$7:$B$16=C55)), )"),18.75)</f>
        <v>18.75</v>
      </c>
      <c r="AC55" s="32" t="str">
        <f>IFERROR(__xludf.DUMMYFUNCTION("IFNA(SUM(FILTER('10 серия'!$B$6:$C$15,'10 серия'!$B$6:$B$15=C55)), )"),"")</f>
        <v/>
      </c>
      <c r="AD55" s="32" t="str">
        <f>IFERROR(__xludf.DUMMYFUNCTION("IFNA(SUM(FILTER('11 серия'!$B$6:$C$15,'11 серия'!$B$6:$B$15=C55)), )"),"")</f>
        <v/>
      </c>
      <c r="AE55" s="32" t="str">
        <f>IFERROR(__xludf.DUMMYFUNCTION("IFNA(SUM(FILTER('12 серия'!$B$6:$C$15,'12 серия'!$B$6:$B$15=C55)), )"),"")</f>
        <v/>
      </c>
      <c r="AF55" s="32" t="str">
        <f>IFERROR(__xludf.DUMMYFUNCTION("IFNA(SUM(FILTER('13 серия'!$B$6:$C$15,'13 серия'!$B$6:$B$15=C55)), )"),"")</f>
        <v/>
      </c>
      <c r="AG55" s="32" t="str">
        <f>IFERROR(__xludf.DUMMYFUNCTION("IFNA(SUM(FILTER('14 серия'!$B$6:$C$15,'14 серия'!$B$6:$B$15=C55)), )"),"")</f>
        <v/>
      </c>
      <c r="AH55" s="32" t="str">
        <f>IFERROR(__xludf.DUMMYFUNCTION("IFNA(SUM(FILTER('15 серия'!$B$6:$C$15,'15 серия'!$B$6:$B$15=C55)), )"),"")</f>
        <v/>
      </c>
      <c r="AI55" s="32" t="str">
        <f>IFERROR(__xludf.DUMMYFUNCTION("IFNA(SUM(FILTER('16 серия'!$B$6:$C$15,'16 серия'!$B$6:$B$15=C55)), )"),"")</f>
        <v/>
      </c>
      <c r="AJ55" s="32" t="str">
        <f>IFERROR(__xludf.DUMMYFUNCTION("IFNA(SUM(FILTER('17 серия'!$B$6:$C$15,'17 серия'!$B$6:$B$15=C55)), )"),"")</f>
        <v/>
      </c>
      <c r="AK55" s="32" t="str">
        <f>IFERROR(__xludf.DUMMYFUNCTION("IFNA(SUM(FILTER('18 серия'!$B$6:$C$15,'18 серия'!$B$6:$B$15=C55)), )"),"")</f>
        <v/>
      </c>
      <c r="AL55" s="32" t="str">
        <f>IFERROR(__xludf.DUMMYFUNCTION("IFNA(SUM(FILTER('19 серия'!$B$6:$C$15,'19 серия'!$B$6:$B$15=C55)), )"),"")</f>
        <v/>
      </c>
      <c r="AM55" s="32">
        <f>IFERROR(__xludf.DUMMYFUNCTION("IFNA(SUM(FILTER('20 серия'!$B$6:$C$15,'20 серия'!$B$6:$B$15=C55)), )"),20.0)</f>
        <v>20</v>
      </c>
      <c r="AN55" s="32" t="str">
        <f>IFERROR(__xludf.DUMMYFUNCTION("IFNA(SUM(FILTER('21 серия'!$B$6:$C$15,'21 серия'!$B$6:$B$15=C55)), )"),"")</f>
        <v/>
      </c>
      <c r="AO55" s="32" t="str">
        <f>IFERROR(__xludf.DUMMYFUNCTION("IFNA(SUM(FILTER('22 серия'!$B$6:$C$15,'22 серия'!$B$6:$B$15=C55)), )"),"")</f>
        <v/>
      </c>
      <c r="AP55" s="32" t="str">
        <f>IFERROR(__xludf.DUMMYFUNCTION("IFNA(SUM(FILTER('23 серия'!$B$6:$C$15,'23 серия'!$B$6:$B$15=C55)), )"),"")</f>
        <v/>
      </c>
      <c r="AQ55" s="32" t="str">
        <f>IFERROR(__xludf.DUMMYFUNCTION("IFNA(SUM(FILTER('24 серия'!$B$6:$C$15,'24 серия'!$B$6:$B$15=C55)), )"),"")</f>
        <v/>
      </c>
      <c r="AR55" s="32" t="str">
        <f>IFERROR(__xludf.DUMMYFUNCTION("IFNA(SUM(FILTER('25 серия'!$B$6:$C$15,'25 серия'!$B$6:$B$15=C55)), )"),"")</f>
        <v/>
      </c>
      <c r="AS55" s="32" t="str">
        <f>IFERROR(__xludf.DUMMYFUNCTION("IFNA(SUM(FILTER('26 серия'!$B$6:$C$15,'26 серия'!$B$6:$B$15=C55)), )"),"")</f>
        <v/>
      </c>
      <c r="AT55" s="32">
        <f>IFERROR(__xludf.DUMMYFUNCTION("IFNA(SUM(FILTER('27 серия'!$B$6:$C$15,'27 серия'!$B$6:$B$15=C55)), )"),22.5)</f>
        <v>22.5</v>
      </c>
      <c r="AU55" s="32" t="str">
        <f>IFERROR(__xludf.DUMMYFUNCTION("IFNA(SUM(FILTER('28 серия'!$B$6:$C$15,'28 серия'!$B$6:$B$15=C55)), )"),"")</f>
        <v/>
      </c>
      <c r="AV55" s="32" t="str">
        <f>IFERROR(__xludf.DUMMYFUNCTION("IFNA(SUM(FILTER('29 серия'!$B$6:$C$15,'29 серия'!$B$6:$B$15=C55)), )"),"")</f>
        <v/>
      </c>
      <c r="AW55" s="32" t="str">
        <f>IFERROR(__xludf.DUMMYFUNCTION("IFNA(SUM(FILTER('30 серия'!$B$6:$C$15,'30 серия'!$B$6:$B$15=C55)), )"),"")</f>
        <v/>
      </c>
      <c r="AX55" s="32" t="str">
        <f>IFERROR(__xludf.DUMMYFUNCTION("IFNA(SUM(FILTER('31 серия'!$B$6:$C$15,'31 серия'!$B$6:$B$15=C55)), )"),"")</f>
        <v/>
      </c>
      <c r="AY55" s="32" t="str">
        <f>IFERROR(__xludf.DUMMYFUNCTION("IFNA(SUM(FILTER('32 серия'!$B$6:$C$15,'32 серия'!$B$6:$B$15=C55)), )"),"")</f>
        <v/>
      </c>
      <c r="AZ55" s="32" t="str">
        <f>IFERROR(__xludf.DUMMYFUNCTION("IFNA(SUM(FILTER('33 серия'!$B$6:$C$15,'33 серия'!$B$6:$B$15=C55)), )"),"")</f>
        <v/>
      </c>
      <c r="BA55" s="32" t="str">
        <f>IFERROR(__xludf.DUMMYFUNCTION("IFNA(SUM(FILTER('34 серия'!$B$6:$C$15,'34 серия'!$B$6:$B$15=C55)), )"),"")</f>
        <v/>
      </c>
      <c r="BB55" s="32">
        <f>IFERROR(__xludf.DUMMYFUNCTION("IFNA(SUM(FILTER('35 серия'!$B$6:$C$15,'35 серия'!$B$6:$B$15=C55)), )"),19.25)</f>
        <v>19.25</v>
      </c>
      <c r="BC55" s="32" t="str">
        <f>IFERROR(__xludf.DUMMYFUNCTION("IFNA(SUM(FILTER('36 серия'!$B$6:$C$15,'36 серия'!$B$6:$B$15=C55)), )"),"")</f>
        <v/>
      </c>
      <c r="BD55" s="32">
        <f>IFERROR(__xludf.DUMMYFUNCTION("IFNA(SUM(FILTER('37 серия'!$B$6:$C$15,'37 серия'!$B$6:$B$15=C55)), )"),7.75)</f>
        <v>7.75</v>
      </c>
      <c r="BE55" s="32">
        <f>IFERROR(__xludf.DUMMYFUNCTION("IFNA(SUM(FILTER('38 серия'!$B$6:$C$15,'38 серия'!$B$6:$B$15=C55)), )"),12.5)</f>
        <v>12.5</v>
      </c>
      <c r="BF55" s="32" t="str">
        <f>IFERROR(__xludf.DUMMYFUNCTION("IFNA(SUM(FILTER('39 серия'!$B$6:$C$15,'39 серия'!$B$6:$B$15=C55)), )"),"")</f>
        <v/>
      </c>
      <c r="BG55" s="32" t="str">
        <f>IFERROR(__xludf.DUMMYFUNCTION("IFNA(SUM(FILTER('40 серия'!$B$6:$C$15,'40 серия'!$B$6:$B$15=C55)), )"),"")</f>
        <v/>
      </c>
      <c r="BH55" s="32" t="str">
        <f>IFERROR(__xludf.DUMMYFUNCTION("IFNA(SUM(FILTER('41 серия'!$B$6:$C$15,'41 серия'!$B$6:$B$15=C55)), )"),"")</f>
        <v/>
      </c>
      <c r="BI55" s="32" t="str">
        <f>IFERROR(__xludf.DUMMYFUNCTION("IFNA(SUM(FILTER('42 серия'!$B$6:$C$15,'42 серия'!$B$6:$B$15=C55)), )"),"")</f>
        <v/>
      </c>
      <c r="BJ55" s="32" t="str">
        <f>IFERROR(__xludf.DUMMYFUNCTION("IFNA(SUM(FILTER('43 серия'!$B$6:$C$15,'43 серия'!$B$6:$B$15=C55)), )"),"")</f>
        <v/>
      </c>
      <c r="BK55" s="32" t="str">
        <f>IFERROR(__xludf.DUMMYFUNCTION("IFNA(SUM(FILTER('44 серия'!$B$6:$C$15,'44 серия'!$B$6:$B$15=C55)), )"),"")</f>
        <v/>
      </c>
      <c r="BL55" s="32" t="str">
        <f>IFERROR(__xludf.DUMMYFUNCTION("IFNA(SUM(FILTER('45 серия'!$B$6:$C$15,'45 серия'!$B$6:$B$15=C55)), )"),"")</f>
        <v/>
      </c>
      <c r="BM55" s="32" t="str">
        <f>IFERROR(__xludf.DUMMYFUNCTION("IFNA(SUM(FILTER('46 серия'!$B$6:$C$15,'46 серия'!$B$6:$B$15=C55)), )"),"")</f>
        <v/>
      </c>
      <c r="BN55" s="32" t="str">
        <f>IFERROR(__xludf.DUMMYFUNCTION("IFNA(SUM(FILTER('47 серия'!$B$6:$C$15,'47 серия'!$B$6:$B$15=C55)), )"),"")</f>
        <v/>
      </c>
      <c r="BO55" s="42" t="str">
        <f>IFERROR(__xludf.DUMMYFUNCTION("IFNA(SUM(FILTER('48 серия'!$B$6:$C$15,'48 серия'!$B$6:$B$15=$C55)), )"),"")</f>
        <v/>
      </c>
      <c r="BP55" s="43" t="str">
        <f>IFERROR(__xludf.DUMMYFUNCTION("IFNA(SUM(FILTER('49 серия'!$B$6:$C$15,'49 серия'!$B$6:$B$15=$C55)), )"),"")</f>
        <v/>
      </c>
      <c r="BQ55" s="43" t="str">
        <f>IFERROR(__xludf.DUMMYFUNCTION("IFNA(SUM(FILTER('50 серия'!$B$6:$C$15,'50 серия'!$B$6:$B$15=$C55)), )"),"")</f>
        <v/>
      </c>
      <c r="BR55" s="43" t="str">
        <f>IFERROR(__xludf.DUMMYFUNCTION("IFNA(SUM(FILTER('51 серия'!$B$6:$C$15,'51 серия'!$B$6:$B$15=$C55)), )"),"")</f>
        <v/>
      </c>
      <c r="BS55" s="49">
        <f>IFERROR(__xludf.DUMMYFUNCTION("IFNA(SUM(FILTER('52 серия'!$B$6:$C$15,'52 серия'!$B$6:$B$15=C55)), )"),18.75)</f>
        <v>18.75</v>
      </c>
      <c r="BT55" s="32" t="str">
        <f>IFERROR(__xludf.DUMMYFUNCTION("IFNA(SUM(FILTER('53 серия'!$B$6:$C$15,'53 серия'!$B$6:$B$15=$C55)), )"),"")</f>
        <v/>
      </c>
      <c r="BU55" s="32" t="str">
        <f>IFERROR(__xludf.DUMMYFUNCTION("IFNA(SUM(FILTER('54 серия'!$B$6:$C$15,'54 серия'!$B$6:$B$15=$C55)), )"),"")</f>
        <v/>
      </c>
      <c r="BV55" s="32" t="str">
        <f>IFERROR(__xludf.DUMMYFUNCTION("IFNA(SUM(FILTER('55 серия'!$B$6:$C$15,'55 серия'!$B$6:$B$15=$C55)), )"),"")</f>
        <v/>
      </c>
      <c r="BW55" s="32" t="str">
        <f>IFERROR(__xludf.DUMMYFUNCTION("IFNA(SUM(FILTER('56 серия'!$B$6:$C$15,'56 серия'!$B$6:$B$15=$C55)), )"),"")</f>
        <v/>
      </c>
      <c r="BX55" s="32">
        <f>IFERROR(__xludf.DUMMYFUNCTION("IFNA(SUM(FILTER('57 серия'!$B$6:$C$15,'57 серия'!$B$6:$B$15=$C55)), )"),14.75)</f>
        <v>14.75</v>
      </c>
      <c r="BY55" s="32" t="str">
        <f>IFERROR(__xludf.DUMMYFUNCTION("IFNA(SUM(FILTER('58 серия'!$B$6:$C$15,'58 серия'!$B$6:$B$15=$C55)), )"),"")</f>
        <v/>
      </c>
      <c r="BZ55" s="46">
        <f>IFERROR(__xludf.DUMMYFUNCTION("IFNA(SUM(FILTER('59 серия'!$B$6:$C$15,'59 серия'!$B$6:$B$15=C55)), )"),22.75)</f>
        <v>22.75</v>
      </c>
      <c r="CA55" s="44" t="str">
        <f>IFERROR(__xludf.DUMMYFUNCTION("IFNA(SUM(FILTER('60 серия'!$B$6:$C$15,'60 серия'!$B$6:$B$15=$C55)), )"),"")</f>
        <v/>
      </c>
      <c r="CB55" s="4"/>
    </row>
    <row r="56">
      <c r="A56" s="10"/>
      <c r="B56" s="27">
        <f t="shared" si="1"/>
        <v>50</v>
      </c>
      <c r="C56" s="45" t="s">
        <v>128</v>
      </c>
      <c r="D56" s="29">
        <f>'Игроки статистика'!B54</f>
        <v>50</v>
      </c>
      <c r="E56" s="30">
        <f t="shared" si="2"/>
        <v>191.75</v>
      </c>
      <c r="F56" s="31">
        <f t="shared" si="3"/>
        <v>19.175</v>
      </c>
      <c r="G56" s="46">
        <f t="shared" si="4"/>
        <v>2.585</v>
      </c>
      <c r="H56" s="46">
        <f>SUMIFS('Все игры'!C$3:C1011,'Все игры'!A$3:A1011,C56)</f>
        <v>62.5</v>
      </c>
      <c r="I56" s="46">
        <f t="shared" si="5"/>
        <v>127.75</v>
      </c>
      <c r="J56" s="47">
        <f>SUMIFS('Все игры'!F$3:F1011,'Все игры'!A$3:A1011,C56)</f>
        <v>0.5</v>
      </c>
      <c r="K56" s="48">
        <f>SUMIFS('Все игры'!G$3:G1011,'Все игры'!A$3:A1011,C56)</f>
        <v>1</v>
      </c>
      <c r="L56" s="35">
        <f>'Игроки статистика'!G54</f>
        <v>2</v>
      </c>
      <c r="M56" s="36">
        <f t="shared" si="6"/>
        <v>25</v>
      </c>
      <c r="N56" s="36">
        <f>SUM('Игроки статистика'!O54,'Игроки статистика'!Q54)</f>
        <v>2</v>
      </c>
      <c r="O56" s="37">
        <f>SUM('Игроки статистика'!P54,'Игроки статистика'!R54)</f>
        <v>4</v>
      </c>
      <c r="P56" s="38" t="str">
        <f>IFERROR(__xludf.DUMMYFUNCTION("IFNA(SUM(FILTER('Штрафы'!$D$5:$D1011,'Штрафы'!$C$5:$C1011=C56)), )"),"")</f>
        <v/>
      </c>
      <c r="Q56" s="38" t="str">
        <f>IFERROR(__xludf.DUMMYFUNCTION("IFNA(SUM(FILTER('Штрафы'!$F$5:$F1011,'Штрафы'!$C$5:$C1011=C56)), )"),"")</f>
        <v/>
      </c>
      <c r="R56" s="39"/>
      <c r="S56" s="40"/>
      <c r="T56" s="31" t="str">
        <f>IFERROR(__xludf.DUMMYFUNCTION("IFNA(SUM(FILTER('1 серия'!$B$6:$C$15,'1 серия'!$B$6:$B$15=C56)), )"),"")</f>
        <v/>
      </c>
      <c r="U56" s="32" t="str">
        <f>IFERROR(__xludf.DUMMYFUNCTION("IFNA(SUM(FILTER('2 серия'!$B$6:$C$15,'2 серия'!$B$6:$B$15=C56)), )
"),"")</f>
        <v/>
      </c>
      <c r="V56" s="32" t="str">
        <f>IFERROR(__xludf.DUMMYFUNCTION("IFNA(SUM(FILTER('3 серия'!$B$6:$C$15,'3 серия'!$B$6:$B$15=C56)), )
"),"")</f>
        <v/>
      </c>
      <c r="W56" s="32" t="str">
        <f>IFERROR(__xludf.DUMMYFUNCTION("IFNA(SUM(FILTER('4 серия'!$B$6:$C$15,'4 серия'!$B$6:$B$15=C56)), )"),"")</f>
        <v/>
      </c>
      <c r="X56" s="32" t="str">
        <f>IFERROR(__xludf.DUMMYFUNCTION("IFNA(SUM(FILTER('5 серия'!$B$6:$C$15,'5 серия'!$B$6:$B$15=C56)), )"),"")</f>
        <v/>
      </c>
      <c r="Y56" s="32" t="str">
        <f>IFERROR(__xludf.DUMMYFUNCTION("IFNA(SUM(FILTER('6 серия'!$B$6:$C$15,'6 серия'!$B$6:$B$15=C56)), )"),"")</f>
        <v/>
      </c>
      <c r="Z56" s="32">
        <f>IFERROR(__xludf.DUMMYFUNCTION("IFNA(SUM(FILTER('7 серия'!$B$6:$C$15,'7 серия'!$B$6:$B$15=C56)), )"),20.75)</f>
        <v>20.75</v>
      </c>
      <c r="AA56" s="32" t="str">
        <f>IFERROR(__xludf.DUMMYFUNCTION("IFNA(SUM(FILTER('8 серия'!$B$6:$C$15,'8 серия'!$B$6:$B$15=C56)), )"),"")</f>
        <v/>
      </c>
      <c r="AB56" s="32" t="str">
        <f>IFERROR(__xludf.DUMMYFUNCTION("IFNA(SUM(FILTER('9 серия'!$B$7:$C$16,'9 серия'!$B$7:$B$16=C56)), )"),"")</f>
        <v/>
      </c>
      <c r="AC56" s="32" t="str">
        <f>IFERROR(__xludf.DUMMYFUNCTION("IFNA(SUM(FILTER('10 серия'!$B$6:$C$15,'10 серия'!$B$6:$B$15=C56)), )"),"")</f>
        <v/>
      </c>
      <c r="AD56" s="32">
        <f>IFERROR(__xludf.DUMMYFUNCTION("IFNA(SUM(FILTER('11 серия'!$B$6:$C$15,'11 серия'!$B$6:$B$15=C56)), )"),17.5)</f>
        <v>17.5</v>
      </c>
      <c r="AE56" s="32" t="str">
        <f>IFERROR(__xludf.DUMMYFUNCTION("IFNA(SUM(FILTER('12 серия'!$B$6:$C$15,'12 серия'!$B$6:$B$15=C56)), )"),"")</f>
        <v/>
      </c>
      <c r="AF56" s="32" t="str">
        <f>IFERROR(__xludf.DUMMYFUNCTION("IFNA(SUM(FILTER('13 серия'!$B$6:$C$15,'13 серия'!$B$6:$B$15=C56)), )"),"")</f>
        <v/>
      </c>
      <c r="AG56" s="32">
        <f>IFERROR(__xludf.DUMMYFUNCTION("IFNA(SUM(FILTER('14 серия'!$B$6:$C$15,'14 серия'!$B$6:$B$15=C56)), )"),19.5)</f>
        <v>19.5</v>
      </c>
      <c r="AH56" s="32" t="str">
        <f>IFERROR(__xludf.DUMMYFUNCTION("IFNA(SUM(FILTER('15 серия'!$B$6:$C$15,'15 серия'!$B$6:$B$15=C56)), )"),"")</f>
        <v/>
      </c>
      <c r="AI56" s="32" t="str">
        <f>IFERROR(__xludf.DUMMYFUNCTION("IFNA(SUM(FILTER('16 серия'!$B$6:$C$15,'16 серия'!$B$6:$B$15=C56)), )"),"")</f>
        <v/>
      </c>
      <c r="AJ56" s="32" t="str">
        <f>IFERROR(__xludf.DUMMYFUNCTION("IFNA(SUM(FILTER('17 серия'!$B$6:$C$15,'17 серия'!$B$6:$B$15=C56)), )"),"")</f>
        <v/>
      </c>
      <c r="AK56" s="32" t="str">
        <f>IFERROR(__xludf.DUMMYFUNCTION("IFNA(SUM(FILTER('18 серия'!$B$6:$C$15,'18 серия'!$B$6:$B$15=C56)), )"),"")</f>
        <v/>
      </c>
      <c r="AL56" s="32">
        <f>IFERROR(__xludf.DUMMYFUNCTION("IFNA(SUM(FILTER('19 серия'!$B$6:$C$15,'19 серия'!$B$6:$B$15=C56)), )"),16.5)</f>
        <v>16.5</v>
      </c>
      <c r="AM56" s="32" t="str">
        <f>IFERROR(__xludf.DUMMYFUNCTION("IFNA(SUM(FILTER('20 серия'!$B$6:$C$15,'20 серия'!$B$6:$B$15=C56)), )"),"")</f>
        <v/>
      </c>
      <c r="AN56" s="32" t="str">
        <f>IFERROR(__xludf.DUMMYFUNCTION("IFNA(SUM(FILTER('21 серия'!$B$6:$C$15,'21 серия'!$B$6:$B$15=C56)), )"),"")</f>
        <v/>
      </c>
      <c r="AO56" s="32" t="str">
        <f>IFERROR(__xludf.DUMMYFUNCTION("IFNA(SUM(FILTER('22 серия'!$B$6:$C$15,'22 серия'!$B$6:$B$15=C56)), )"),"")</f>
        <v/>
      </c>
      <c r="AP56" s="32" t="str">
        <f>IFERROR(__xludf.DUMMYFUNCTION("IFNA(SUM(FILTER('23 серия'!$B$6:$C$15,'23 серия'!$B$6:$B$15=C56)), )"),"")</f>
        <v/>
      </c>
      <c r="AQ56" s="32">
        <f>IFERROR(__xludf.DUMMYFUNCTION("IFNA(SUM(FILTER('24 серия'!$B$6:$C$15,'24 серия'!$B$6:$B$15=C56)), )"),20.75)</f>
        <v>20.75</v>
      </c>
      <c r="AR56" s="32" t="str">
        <f>IFERROR(__xludf.DUMMYFUNCTION("IFNA(SUM(FILTER('25 серия'!$B$6:$C$15,'25 серия'!$B$6:$B$15=C56)), )"),"")</f>
        <v/>
      </c>
      <c r="AS56" s="32" t="str">
        <f>IFERROR(__xludf.DUMMYFUNCTION("IFNA(SUM(FILTER('26 серия'!$B$6:$C$15,'26 серия'!$B$6:$B$15=C56)), )"),"")</f>
        <v/>
      </c>
      <c r="AT56" s="32" t="str">
        <f>IFERROR(__xludf.DUMMYFUNCTION("IFNA(SUM(FILTER('27 серия'!$B$6:$C$15,'27 серия'!$B$6:$B$15=C56)), )"),"")</f>
        <v/>
      </c>
      <c r="AU56" s="32" t="str">
        <f>IFERROR(__xludf.DUMMYFUNCTION("IFNA(SUM(FILTER('28 серия'!$B$6:$C$15,'28 серия'!$B$6:$B$15=C56)), )"),"")</f>
        <v/>
      </c>
      <c r="AV56" s="32" t="str">
        <f>IFERROR(__xludf.DUMMYFUNCTION("IFNA(SUM(FILTER('29 серия'!$B$6:$C$15,'29 серия'!$B$6:$B$15=C56)), )"),"")</f>
        <v/>
      </c>
      <c r="AW56" s="32" t="str">
        <f>IFERROR(__xludf.DUMMYFUNCTION("IFNA(SUM(FILTER('30 серия'!$B$6:$C$15,'30 серия'!$B$6:$B$15=C56)), )"),"")</f>
        <v/>
      </c>
      <c r="AX56" s="32">
        <f>IFERROR(__xludf.DUMMYFUNCTION("IFNA(SUM(FILTER('31 серия'!$B$6:$C$15,'31 серия'!$B$6:$B$15=C56)), )"),20.0)</f>
        <v>20</v>
      </c>
      <c r="AY56" s="32" t="str">
        <f>IFERROR(__xludf.DUMMYFUNCTION("IFNA(SUM(FILTER('32 серия'!$B$6:$C$15,'32 серия'!$B$6:$B$15=C56)), )"),"")</f>
        <v/>
      </c>
      <c r="AZ56" s="32" t="str">
        <f>IFERROR(__xludf.DUMMYFUNCTION("IFNA(SUM(FILTER('33 серия'!$B$6:$C$15,'33 серия'!$B$6:$B$15=C56)), )"),"")</f>
        <v/>
      </c>
      <c r="BA56" s="32" t="str">
        <f>IFERROR(__xludf.DUMMYFUNCTION("IFNA(SUM(FILTER('34 серия'!$B$6:$C$15,'34 серия'!$B$6:$B$15=C56)), )"),"")</f>
        <v/>
      </c>
      <c r="BB56" s="32" t="str">
        <f>IFERROR(__xludf.DUMMYFUNCTION("IFNA(SUM(FILTER('35 серия'!$B$6:$C$15,'35 серия'!$B$6:$B$15=C56)), )"),"")</f>
        <v/>
      </c>
      <c r="BC56" s="32" t="str">
        <f>IFERROR(__xludf.DUMMYFUNCTION("IFNA(SUM(FILTER('36 серия'!$B$6:$C$15,'36 серия'!$B$6:$B$15=C56)), )"),"")</f>
        <v/>
      </c>
      <c r="BD56" s="32" t="str">
        <f>IFERROR(__xludf.DUMMYFUNCTION("IFNA(SUM(FILTER('37 серия'!$B$6:$C$15,'37 серия'!$B$6:$B$15=C56)), )"),"")</f>
        <v/>
      </c>
      <c r="BE56" s="32" t="str">
        <f>IFERROR(__xludf.DUMMYFUNCTION("IFNA(SUM(FILTER('38 серия'!$B$6:$C$15,'38 серия'!$B$6:$B$15=C56)), )"),"")</f>
        <v/>
      </c>
      <c r="BF56" s="32" t="str">
        <f>IFERROR(__xludf.DUMMYFUNCTION("IFNA(SUM(FILTER('39 серия'!$B$6:$C$15,'39 серия'!$B$6:$B$15=C56)), )"),"")</f>
        <v/>
      </c>
      <c r="BG56" s="32" t="str">
        <f>IFERROR(__xludf.DUMMYFUNCTION("IFNA(SUM(FILTER('40 серия'!$B$6:$C$15,'40 серия'!$B$6:$B$15=C56)), )"),"")</f>
        <v/>
      </c>
      <c r="BH56" s="32" t="str">
        <f>IFERROR(__xludf.DUMMYFUNCTION("IFNA(SUM(FILTER('41 серия'!$B$6:$C$15,'41 серия'!$B$6:$B$15=C56)), )"),"")</f>
        <v/>
      </c>
      <c r="BI56" s="32">
        <f>IFERROR(__xludf.DUMMYFUNCTION("IFNA(SUM(FILTER('42 серия'!$B$6:$C$15,'42 серия'!$B$6:$B$15=C56)), )"),16.0)</f>
        <v>16</v>
      </c>
      <c r="BJ56" s="32" t="str">
        <f>IFERROR(__xludf.DUMMYFUNCTION("IFNA(SUM(FILTER('43 серия'!$B$6:$C$15,'43 серия'!$B$6:$B$15=C56)), )"),"")</f>
        <v/>
      </c>
      <c r="BK56" s="32" t="str">
        <f>IFERROR(__xludf.DUMMYFUNCTION("IFNA(SUM(FILTER('44 серия'!$B$6:$C$15,'44 серия'!$B$6:$B$15=C56)), )"),"")</f>
        <v/>
      </c>
      <c r="BL56" s="32" t="str">
        <f>IFERROR(__xludf.DUMMYFUNCTION("IFNA(SUM(FILTER('45 серия'!$B$6:$C$15,'45 серия'!$B$6:$B$15=C56)), )"),"")</f>
        <v/>
      </c>
      <c r="BM56" s="32" t="str">
        <f>IFERROR(__xludf.DUMMYFUNCTION("IFNA(SUM(FILTER('46 серия'!$B$6:$C$15,'46 серия'!$B$6:$B$15=C56)), )"),"")</f>
        <v/>
      </c>
      <c r="BN56" s="32" t="str">
        <f>IFERROR(__xludf.DUMMYFUNCTION("IFNA(SUM(FILTER('47 серия'!$B$6:$C$15,'47 серия'!$B$6:$B$15=C56)), )"),"")</f>
        <v/>
      </c>
      <c r="BO56" s="42" t="str">
        <f>IFERROR(__xludf.DUMMYFUNCTION("IFNA(SUM(FILTER('48 серия'!$B$6:$C$15,'48 серия'!$B$6:$B$15=$C56)), )"),"")</f>
        <v/>
      </c>
      <c r="BP56" s="43">
        <f>IFERROR(__xludf.DUMMYFUNCTION("IFNA(SUM(FILTER('49 серия'!$B$6:$C$15,'49 серия'!$B$6:$B$15=$C56)), )"),16.0)</f>
        <v>16</v>
      </c>
      <c r="BQ56" s="43" t="str">
        <f>IFERROR(__xludf.DUMMYFUNCTION("IFNA(SUM(FILTER('50 серия'!$B$6:$C$15,'50 серия'!$B$6:$B$15=$C56)), )"),"")</f>
        <v/>
      </c>
      <c r="BR56" s="43" t="str">
        <f>IFERROR(__xludf.DUMMYFUNCTION("IFNA(SUM(FILTER('51 серия'!$B$6:$C$15,'51 серия'!$B$6:$B$15=$C56)), )"),"")</f>
        <v/>
      </c>
      <c r="BS56" s="49" t="str">
        <f>IFERROR(__xludf.DUMMYFUNCTION("IFNA(SUM(FILTER('52 серия'!$B$6:$C$15,'52 серия'!$B$6:$B$15=C56)), )"),"")</f>
        <v/>
      </c>
      <c r="BT56" s="32">
        <f>IFERROR(__xludf.DUMMYFUNCTION("IFNA(SUM(FILTER('53 серия'!$B$6:$C$15,'53 серия'!$B$6:$B$15=$C56)), )"),27.25)</f>
        <v>27.25</v>
      </c>
      <c r="BU56" s="32" t="str">
        <f>IFERROR(__xludf.DUMMYFUNCTION("IFNA(SUM(FILTER('54 серия'!$B$6:$C$15,'54 серия'!$B$6:$B$15=$C56)), )"),"")</f>
        <v/>
      </c>
      <c r="BV56" s="32">
        <f>IFERROR(__xludf.DUMMYFUNCTION("IFNA(SUM(FILTER('55 серия'!$B$6:$C$15,'55 серия'!$B$6:$B$15=$C56)), )"),17.5)</f>
        <v>17.5</v>
      </c>
      <c r="BW56" s="32" t="str">
        <f>IFERROR(__xludf.DUMMYFUNCTION("IFNA(SUM(FILTER('56 серия'!$B$6:$C$15,'56 серия'!$B$6:$B$15=$C56)), )"),"")</f>
        <v/>
      </c>
      <c r="BX56" s="32" t="str">
        <f>IFERROR(__xludf.DUMMYFUNCTION("IFNA(SUM(FILTER('57 серия'!$B$6:$C$15,'57 серия'!$B$6:$B$15=$C56)), )"),"")</f>
        <v/>
      </c>
      <c r="BY56" s="32" t="str">
        <f>IFERROR(__xludf.DUMMYFUNCTION("IFNA(SUM(FILTER('58 серия'!$B$6:$C$15,'58 серия'!$B$6:$B$15=$C56)), )"),"")</f>
        <v/>
      </c>
      <c r="BZ56" s="46" t="str">
        <f>IFERROR(__xludf.DUMMYFUNCTION("IFNA(SUM(FILTER('59 серия'!$B$6:$C$15,'59 серия'!$B$6:$B$15=C56)), )"),"")</f>
        <v/>
      </c>
      <c r="CA56" s="44" t="str">
        <f>IFERROR(__xludf.DUMMYFUNCTION("IFNA(SUM(FILTER('60 серия'!$B$6:$C$15,'60 серия'!$B$6:$B$15=$C56)), )"),"")</f>
        <v/>
      </c>
      <c r="CB56" s="4"/>
    </row>
    <row r="57">
      <c r="A57" s="10"/>
      <c r="B57" s="27">
        <f t="shared" si="1"/>
        <v>51</v>
      </c>
      <c r="C57" s="53" t="s">
        <v>129</v>
      </c>
      <c r="D57" s="29">
        <f>'Игроки статистика'!B55</f>
        <v>50</v>
      </c>
      <c r="E57" s="30">
        <f t="shared" si="2"/>
        <v>173.5</v>
      </c>
      <c r="F57" s="31">
        <f t="shared" si="3"/>
        <v>17.35</v>
      </c>
      <c r="G57" s="46">
        <f t="shared" si="4"/>
        <v>2.57</v>
      </c>
      <c r="H57" s="46">
        <f>SUMIFS('Все игры'!C$3:C1011,'Все игры'!A$3:A1011,C57)</f>
        <v>45</v>
      </c>
      <c r="I57" s="46">
        <f t="shared" si="5"/>
        <v>127.5</v>
      </c>
      <c r="J57" s="47">
        <f>SUMIFS('Все игры'!F$3:F1011,'Все игры'!A$3:A1011,C57)</f>
        <v>0</v>
      </c>
      <c r="K57" s="48">
        <f>SUMIFS('Все игры'!G$3:G1011,'Все игры'!A$3:A1011,C57)</f>
        <v>1</v>
      </c>
      <c r="L57" s="35">
        <f>'Игроки статистика'!G55</f>
        <v>2</v>
      </c>
      <c r="M57" s="36">
        <f t="shared" si="6"/>
        <v>18</v>
      </c>
      <c r="N57" s="36">
        <f>SUM('Игроки статистика'!O55,'Игроки статистика'!Q55)</f>
        <v>3</v>
      </c>
      <c r="O57" s="37">
        <f>SUM('Игроки статистика'!P55,'Игроки статистика'!R55)</f>
        <v>7</v>
      </c>
      <c r="P57" s="38" t="str">
        <f>IFERROR(__xludf.DUMMYFUNCTION("IFNA(SUM(FILTER('Штрафы'!$D$5:$D1011,'Штрафы'!$C$5:$C1011=C57)), )"),"")</f>
        <v/>
      </c>
      <c r="Q57" s="38" t="str">
        <f>IFERROR(__xludf.DUMMYFUNCTION("IFNA(SUM(FILTER('Штрафы'!$F$5:$F1011,'Штрафы'!$C$5:$C1011=C57)), )"),"")</f>
        <v/>
      </c>
      <c r="R57" s="39"/>
      <c r="S57" s="40"/>
      <c r="T57" s="31" t="str">
        <f>IFERROR(__xludf.DUMMYFUNCTION("IFNA(SUM(FILTER('1 серия'!$B$6:$C$15,'1 серия'!$B$6:$B$15=C57)), )"),"")</f>
        <v/>
      </c>
      <c r="U57" s="32" t="str">
        <f>IFERROR(__xludf.DUMMYFUNCTION("IFNA(SUM(FILTER('2 серия'!$B$6:$C$15,'2 серия'!$B$6:$B$15=C57)), )
"),"")</f>
        <v/>
      </c>
      <c r="V57" s="32" t="str">
        <f>IFERROR(__xludf.DUMMYFUNCTION("IFNA(SUM(FILTER('3 серия'!$B$6:$C$15,'3 серия'!$B$6:$B$15=C57)), )
"),"")</f>
        <v/>
      </c>
      <c r="W57" s="32" t="str">
        <f>IFERROR(__xludf.DUMMYFUNCTION("IFNA(SUM(FILTER('4 серия'!$B$6:$C$15,'4 серия'!$B$6:$B$15=C57)), )"),"")</f>
        <v/>
      </c>
      <c r="X57" s="32" t="str">
        <f>IFERROR(__xludf.DUMMYFUNCTION("IFNA(SUM(FILTER('5 серия'!$B$6:$C$15,'5 серия'!$B$6:$B$15=C57)), )"),"")</f>
        <v/>
      </c>
      <c r="Y57" s="32" t="str">
        <f>IFERROR(__xludf.DUMMYFUNCTION("IFNA(SUM(FILTER('6 серия'!$B$6:$C$15,'6 серия'!$B$6:$B$15=C57)), )"),"")</f>
        <v/>
      </c>
      <c r="Z57" s="32" t="str">
        <f>IFERROR(__xludf.DUMMYFUNCTION("IFNA(SUM(FILTER('7 серия'!$B$6:$C$15,'7 серия'!$B$6:$B$15=C57)), )"),"")</f>
        <v/>
      </c>
      <c r="AA57" s="32" t="str">
        <f>IFERROR(__xludf.DUMMYFUNCTION("IFNA(SUM(FILTER('8 серия'!$B$6:$C$15,'8 серия'!$B$6:$B$15=C57)), )"),"")</f>
        <v/>
      </c>
      <c r="AB57" s="32">
        <f>IFERROR(__xludf.DUMMYFUNCTION("IFNA(SUM(FILTER('9 серия'!$B$7:$C$16,'9 серия'!$B$7:$B$16=C57)), )"),25.25)</f>
        <v>25.25</v>
      </c>
      <c r="AC57" s="32">
        <f>IFERROR(__xludf.DUMMYFUNCTION("IFNA(SUM(FILTER('10 серия'!$B$6:$C$15,'10 серия'!$B$6:$B$15=C57)), )"),18.5)</f>
        <v>18.5</v>
      </c>
      <c r="AD57" s="32" t="str">
        <f>IFERROR(__xludf.DUMMYFUNCTION("IFNA(SUM(FILTER('11 серия'!$B$6:$C$15,'11 серия'!$B$6:$B$15=C57)), )"),"")</f>
        <v/>
      </c>
      <c r="AE57" s="32" t="str">
        <f>IFERROR(__xludf.DUMMYFUNCTION("IFNA(SUM(FILTER('12 серия'!$B$6:$C$15,'12 серия'!$B$6:$B$15=C57)), )"),"")</f>
        <v/>
      </c>
      <c r="AF57" s="32">
        <f>IFERROR(__xludf.DUMMYFUNCTION("IFNA(SUM(FILTER('13 серия'!$B$6:$C$15,'13 серия'!$B$6:$B$15=C57)), )"),14.0)</f>
        <v>14</v>
      </c>
      <c r="AG57" s="32" t="str">
        <f>IFERROR(__xludf.DUMMYFUNCTION("IFNA(SUM(FILTER('14 серия'!$B$6:$C$15,'14 серия'!$B$6:$B$15=C57)), )"),"")</f>
        <v/>
      </c>
      <c r="AH57" s="32" t="str">
        <f>IFERROR(__xludf.DUMMYFUNCTION("IFNA(SUM(FILTER('15 серия'!$B$6:$C$15,'15 серия'!$B$6:$B$15=C57)), )"),"")</f>
        <v/>
      </c>
      <c r="AI57" s="32" t="str">
        <f>IFERROR(__xludf.DUMMYFUNCTION("IFNA(SUM(FILTER('16 серия'!$B$6:$C$15,'16 серия'!$B$6:$B$15=C57)), )"),"")</f>
        <v/>
      </c>
      <c r="AJ57" s="32" t="str">
        <f>IFERROR(__xludf.DUMMYFUNCTION("IFNA(SUM(FILTER('17 серия'!$B$6:$C$15,'17 серия'!$B$6:$B$15=C57)), )"),"")</f>
        <v/>
      </c>
      <c r="AK57" s="32" t="str">
        <f>IFERROR(__xludf.DUMMYFUNCTION("IFNA(SUM(FILTER('18 серия'!$B$6:$C$15,'18 серия'!$B$6:$B$15=C57)), )"),"")</f>
        <v/>
      </c>
      <c r="AL57" s="32" t="str">
        <f>IFERROR(__xludf.DUMMYFUNCTION("IFNA(SUM(FILTER('19 серия'!$B$6:$C$15,'19 серия'!$B$6:$B$15=C57)), )"),"")</f>
        <v/>
      </c>
      <c r="AM57" s="32" t="str">
        <f>IFERROR(__xludf.DUMMYFUNCTION("IFNA(SUM(FILTER('20 серия'!$B$6:$C$15,'20 серия'!$B$6:$B$15=C57)), )"),"")</f>
        <v/>
      </c>
      <c r="AN57" s="32" t="str">
        <f>IFERROR(__xludf.DUMMYFUNCTION("IFNA(SUM(FILTER('21 серия'!$B$6:$C$15,'21 серия'!$B$6:$B$15=C57)), )"),"")</f>
        <v/>
      </c>
      <c r="AO57" s="32" t="str">
        <f>IFERROR(__xludf.DUMMYFUNCTION("IFNA(SUM(FILTER('22 серия'!$B$6:$C$15,'22 серия'!$B$6:$B$15=C57)), )"),"")</f>
        <v/>
      </c>
      <c r="AP57" s="32" t="str">
        <f>IFERROR(__xludf.DUMMYFUNCTION("IFNA(SUM(FILTER('23 серия'!$B$6:$C$15,'23 серия'!$B$6:$B$15=C57)), )"),"")</f>
        <v/>
      </c>
      <c r="AQ57" s="32" t="str">
        <f>IFERROR(__xludf.DUMMYFUNCTION("IFNA(SUM(FILTER('24 серия'!$B$6:$C$15,'24 серия'!$B$6:$B$15=C57)), )"),"")</f>
        <v/>
      </c>
      <c r="AR57" s="32" t="str">
        <f>IFERROR(__xludf.DUMMYFUNCTION("IFNA(SUM(FILTER('25 серия'!$B$6:$C$15,'25 серия'!$B$6:$B$15=C57)), )"),"")</f>
        <v/>
      </c>
      <c r="AS57" s="32" t="str">
        <f>IFERROR(__xludf.DUMMYFUNCTION("IFNA(SUM(FILTER('26 серия'!$B$6:$C$15,'26 серия'!$B$6:$B$15=C57)), )"),"")</f>
        <v/>
      </c>
      <c r="AT57" s="32">
        <f>IFERROR(__xludf.DUMMYFUNCTION("IFNA(SUM(FILTER('27 серия'!$B$6:$C$15,'27 серия'!$B$6:$B$15=C57)), )"),19.5)</f>
        <v>19.5</v>
      </c>
      <c r="AU57" s="32" t="str">
        <f>IFERROR(__xludf.DUMMYFUNCTION("IFNA(SUM(FILTER('28 серия'!$B$6:$C$15,'28 серия'!$B$6:$B$15=C57)), )"),"")</f>
        <v/>
      </c>
      <c r="AV57" s="32">
        <f>IFERROR(__xludf.DUMMYFUNCTION("IFNA(SUM(FILTER('29 серия'!$B$6:$C$15,'29 серия'!$B$6:$B$15=C57)), )"),17.25)</f>
        <v>17.25</v>
      </c>
      <c r="AW57" s="32" t="str">
        <f>IFERROR(__xludf.DUMMYFUNCTION("IFNA(SUM(FILTER('30 серия'!$B$6:$C$15,'30 серия'!$B$6:$B$15=C57)), )"),"")</f>
        <v/>
      </c>
      <c r="AX57" s="32" t="str">
        <f>IFERROR(__xludf.DUMMYFUNCTION("IFNA(SUM(FILTER('31 серия'!$B$6:$C$15,'31 серия'!$B$6:$B$15=C57)), )"),"")</f>
        <v/>
      </c>
      <c r="AY57" s="32" t="str">
        <f>IFERROR(__xludf.DUMMYFUNCTION("IFNA(SUM(FILTER('32 серия'!$B$6:$C$15,'32 серия'!$B$6:$B$15=C57)), )"),"")</f>
        <v/>
      </c>
      <c r="AZ57" s="32" t="str">
        <f>IFERROR(__xludf.DUMMYFUNCTION("IFNA(SUM(FILTER('33 серия'!$B$6:$C$15,'33 серия'!$B$6:$B$15=C57)), )"),"")</f>
        <v/>
      </c>
      <c r="BA57" s="32" t="str">
        <f>IFERROR(__xludf.DUMMYFUNCTION("IFNA(SUM(FILTER('34 серия'!$B$6:$C$15,'34 серия'!$B$6:$B$15=C57)), )"),"")</f>
        <v/>
      </c>
      <c r="BB57" s="32" t="str">
        <f>IFERROR(__xludf.DUMMYFUNCTION("IFNA(SUM(FILTER('35 серия'!$B$6:$C$15,'35 серия'!$B$6:$B$15=C57)), )"),"")</f>
        <v/>
      </c>
      <c r="BC57" s="32" t="str">
        <f>IFERROR(__xludf.DUMMYFUNCTION("IFNA(SUM(FILTER('36 серия'!$B$6:$C$15,'36 серия'!$B$6:$B$15=C57)), )"),"")</f>
        <v/>
      </c>
      <c r="BD57" s="32" t="str">
        <f>IFERROR(__xludf.DUMMYFUNCTION("IFNA(SUM(FILTER('37 серия'!$B$6:$C$15,'37 серия'!$B$6:$B$15=C57)), )"),"")</f>
        <v/>
      </c>
      <c r="BE57" s="32" t="str">
        <f>IFERROR(__xludf.DUMMYFUNCTION("IFNA(SUM(FILTER('38 серия'!$B$6:$C$15,'38 серия'!$B$6:$B$15=C57)), )"),"")</f>
        <v/>
      </c>
      <c r="BF57" s="32" t="str">
        <f>IFERROR(__xludf.DUMMYFUNCTION("IFNA(SUM(FILTER('39 серия'!$B$6:$C$15,'39 серия'!$B$6:$B$15=C57)), )"),"")</f>
        <v/>
      </c>
      <c r="BG57" s="32" t="str">
        <f>IFERROR(__xludf.DUMMYFUNCTION("IFNA(SUM(FILTER('40 серия'!$B$6:$C$15,'40 серия'!$B$6:$B$15=C57)), )"),"")</f>
        <v/>
      </c>
      <c r="BH57" s="32" t="str">
        <f>IFERROR(__xludf.DUMMYFUNCTION("IFNA(SUM(FILTER('41 серия'!$B$6:$C$15,'41 серия'!$B$6:$B$15=C57)), )"),"")</f>
        <v/>
      </c>
      <c r="BI57" s="32" t="str">
        <f>IFERROR(__xludf.DUMMYFUNCTION("IFNA(SUM(FILTER('42 серия'!$B$6:$C$15,'42 серия'!$B$6:$B$15=C57)), )"),"")</f>
        <v/>
      </c>
      <c r="BJ57" s="32">
        <f>IFERROR(__xludf.DUMMYFUNCTION("IFNA(SUM(FILTER('43 серия'!$B$6:$C$15,'43 серия'!$B$6:$B$15=C57)), )"),13.75)</f>
        <v>13.75</v>
      </c>
      <c r="BK57" s="32">
        <f>IFERROR(__xludf.DUMMYFUNCTION("IFNA(SUM(FILTER('44 серия'!$B$6:$C$15,'44 серия'!$B$6:$B$15=C57)), )"),18.75)</f>
        <v>18.75</v>
      </c>
      <c r="BL57" s="32" t="str">
        <f>IFERROR(__xludf.DUMMYFUNCTION("IFNA(SUM(FILTER('45 серия'!$B$6:$C$15,'45 серия'!$B$6:$B$15=C57)), )"),"")</f>
        <v/>
      </c>
      <c r="BM57" s="32" t="str">
        <f>IFERROR(__xludf.DUMMYFUNCTION("IFNA(SUM(FILTER('46 серия'!$B$6:$C$15,'46 серия'!$B$6:$B$15=C57)), )"),"")</f>
        <v/>
      </c>
      <c r="BN57" s="32" t="str">
        <f>IFERROR(__xludf.DUMMYFUNCTION("IFNA(SUM(FILTER('47 серия'!$B$6:$C$15,'47 серия'!$B$6:$B$15=C57)), )"),"")</f>
        <v/>
      </c>
      <c r="BO57" s="42" t="str">
        <f>IFERROR(__xludf.DUMMYFUNCTION("IFNA(SUM(FILTER('48 серия'!$B$6:$C$15,'48 серия'!$B$6:$B$15=$C57)), )"),"")</f>
        <v/>
      </c>
      <c r="BP57" s="43">
        <f>IFERROR(__xludf.DUMMYFUNCTION("IFNA(SUM(FILTER('49 серия'!$B$6:$C$15,'49 серия'!$B$6:$B$15=$C57)), )"),10.0)</f>
        <v>10</v>
      </c>
      <c r="BQ57" s="43" t="str">
        <f>IFERROR(__xludf.DUMMYFUNCTION("IFNA(SUM(FILTER('50 серия'!$B$6:$C$15,'50 серия'!$B$6:$B$15=$C57)), )"),"")</f>
        <v/>
      </c>
      <c r="BR57" s="43" t="str">
        <f>IFERROR(__xludf.DUMMYFUNCTION("IFNA(SUM(FILTER('51 серия'!$B$6:$C$15,'51 серия'!$B$6:$B$15=$C57)), )"),"")</f>
        <v/>
      </c>
      <c r="BS57" s="49" t="str">
        <f>IFERROR(__xludf.DUMMYFUNCTION("IFNA(SUM(FILTER('52 серия'!$B$6:$C$15,'52 серия'!$B$6:$B$15=C57)), )"),"")</f>
        <v/>
      </c>
      <c r="BT57" s="32" t="str">
        <f>IFERROR(__xludf.DUMMYFUNCTION("IFNA(SUM(FILTER('53 серия'!$B$6:$C$15,'53 серия'!$B$6:$B$15=$C57)), )"),"")</f>
        <v/>
      </c>
      <c r="BU57" s="32" t="str">
        <f>IFERROR(__xludf.DUMMYFUNCTION("IFNA(SUM(FILTER('54 серия'!$B$6:$C$15,'54 серия'!$B$6:$B$15=$C57)), )"),"")</f>
        <v/>
      </c>
      <c r="BV57" s="32" t="str">
        <f>IFERROR(__xludf.DUMMYFUNCTION("IFNA(SUM(FILTER('55 серия'!$B$6:$C$15,'55 серия'!$B$6:$B$15=$C57)), )"),"")</f>
        <v/>
      </c>
      <c r="BW57" s="32">
        <f>IFERROR(__xludf.DUMMYFUNCTION("IFNA(SUM(FILTER('56 серия'!$B$6:$C$15,'56 серия'!$B$6:$B$15=$C57)), )"),23.0)</f>
        <v>23</v>
      </c>
      <c r="BX57" s="32">
        <f>IFERROR(__xludf.DUMMYFUNCTION("IFNA(SUM(FILTER('57 серия'!$B$6:$C$15,'57 серия'!$B$6:$B$15=$C57)), )"),13.5)</f>
        <v>13.5</v>
      </c>
      <c r="BY57" s="32" t="str">
        <f>IFERROR(__xludf.DUMMYFUNCTION("IFNA(SUM(FILTER('58 серия'!$B$6:$C$15,'58 серия'!$B$6:$B$15=$C57)), )"),"")</f>
        <v/>
      </c>
      <c r="BZ57" s="46" t="str">
        <f>IFERROR(__xludf.DUMMYFUNCTION("IFNA(SUM(FILTER('59 серия'!$B$6:$C$15,'59 серия'!$B$6:$B$15=C57)), )"),"")</f>
        <v/>
      </c>
      <c r="CA57" s="44" t="str">
        <f>IFERROR(__xludf.DUMMYFUNCTION("IFNA(SUM(FILTER('60 серия'!$B$6:$C$15,'60 серия'!$B$6:$B$15=$C57)), )"),"")</f>
        <v/>
      </c>
      <c r="CB57" s="4"/>
    </row>
    <row r="58">
      <c r="A58" s="10"/>
      <c r="B58" s="27">
        <f t="shared" si="1"/>
        <v>52</v>
      </c>
      <c r="C58" s="53" t="s">
        <v>130</v>
      </c>
      <c r="D58" s="29">
        <f>'Игроки статистика'!B56</f>
        <v>50</v>
      </c>
      <c r="E58" s="30">
        <f t="shared" si="2"/>
        <v>188.25</v>
      </c>
      <c r="F58" s="31">
        <f t="shared" si="3"/>
        <v>18.825</v>
      </c>
      <c r="G58" s="46">
        <f t="shared" si="4"/>
        <v>2.715</v>
      </c>
      <c r="H58" s="46">
        <f>SUMIFS('Все игры'!C$3:C1011,'Все игры'!A$3:A1011,C58)</f>
        <v>52.5</v>
      </c>
      <c r="I58" s="46">
        <f t="shared" si="5"/>
        <v>132.25</v>
      </c>
      <c r="J58" s="47">
        <f>SUMIFS('Все игры'!F$3:F1011,'Все игры'!A$3:A1011,C58)</f>
        <v>0.5</v>
      </c>
      <c r="K58" s="48">
        <f>SUMIFS('Все игры'!G$3:G1011,'Все игры'!A$3:A1011,C58)</f>
        <v>3</v>
      </c>
      <c r="L58" s="35">
        <f>'Игроки статистика'!G56</f>
        <v>5</v>
      </c>
      <c r="M58" s="36">
        <f t="shared" si="6"/>
        <v>21</v>
      </c>
      <c r="N58" s="36">
        <f>SUM('Игроки статистика'!O56,'Игроки статистика'!Q56)</f>
        <v>4</v>
      </c>
      <c r="O58" s="37">
        <f>SUM('Игроки статистика'!P56,'Игроки статистика'!R56)</f>
        <v>6</v>
      </c>
      <c r="P58" s="38" t="str">
        <f>IFERROR(__xludf.DUMMYFUNCTION("IFNA(SUM(FILTER('Штрафы'!$D$5:$D1011,'Штрафы'!$C$5:$C1011=C58)), )"),"")</f>
        <v/>
      </c>
      <c r="Q58" s="38" t="str">
        <f>IFERROR(__xludf.DUMMYFUNCTION("IFNA(SUM(FILTER('Штрафы'!$F$5:$F1011,'Штрафы'!$C$5:$C1011=C58)), )"),"")</f>
        <v/>
      </c>
      <c r="R58" s="39"/>
      <c r="S58" s="40"/>
      <c r="T58" s="31" t="str">
        <f>IFERROR(__xludf.DUMMYFUNCTION("IFNA(SUM(FILTER('1 серия'!$B$6:$C$15,'1 серия'!$B$6:$B$15=C58)), )"),"")</f>
        <v/>
      </c>
      <c r="U58" s="32" t="str">
        <f>IFERROR(__xludf.DUMMYFUNCTION("IFNA(SUM(FILTER('2 серия'!$B$6:$C$15,'2 серия'!$B$6:$B$15=C58)), )
"),"")</f>
        <v/>
      </c>
      <c r="V58" s="32" t="str">
        <f>IFERROR(__xludf.DUMMYFUNCTION("IFNA(SUM(FILTER('3 серия'!$B$6:$C$15,'3 серия'!$B$6:$B$15=C58)), )
"),"")</f>
        <v/>
      </c>
      <c r="W58" s="32" t="str">
        <f>IFERROR(__xludf.DUMMYFUNCTION("IFNA(SUM(FILTER('4 серия'!$B$6:$C$15,'4 серия'!$B$6:$B$15=C58)), )"),"")</f>
        <v/>
      </c>
      <c r="X58" s="32" t="str">
        <f>IFERROR(__xludf.DUMMYFUNCTION("IFNA(SUM(FILTER('5 серия'!$B$6:$C$15,'5 серия'!$B$6:$B$15=C58)), )"),"")</f>
        <v/>
      </c>
      <c r="Y58" s="32" t="str">
        <f>IFERROR(__xludf.DUMMYFUNCTION("IFNA(SUM(FILTER('6 серия'!$B$6:$C$15,'6 серия'!$B$6:$B$15=C58)), )"),"")</f>
        <v/>
      </c>
      <c r="Z58" s="32" t="str">
        <f>IFERROR(__xludf.DUMMYFUNCTION("IFNA(SUM(FILTER('7 серия'!$B$6:$C$15,'7 серия'!$B$6:$B$15=C58)), )"),"")</f>
        <v/>
      </c>
      <c r="AA58" s="32" t="str">
        <f>IFERROR(__xludf.DUMMYFUNCTION("IFNA(SUM(FILTER('8 серия'!$B$6:$C$15,'8 серия'!$B$6:$B$15=C58)), )"),"")</f>
        <v/>
      </c>
      <c r="AB58" s="32" t="str">
        <f>IFERROR(__xludf.DUMMYFUNCTION("IFNA(SUM(FILTER('9 серия'!$B$7:$C$16,'9 серия'!$B$7:$B$16=C58)), )"),"")</f>
        <v/>
      </c>
      <c r="AC58" s="32" t="str">
        <f>IFERROR(__xludf.DUMMYFUNCTION("IFNA(SUM(FILTER('10 серия'!$B$6:$C$15,'10 серия'!$B$6:$B$15=C58)), )"),"")</f>
        <v/>
      </c>
      <c r="AD58" s="32" t="str">
        <f>IFERROR(__xludf.DUMMYFUNCTION("IFNA(SUM(FILTER('11 серия'!$B$6:$C$15,'11 серия'!$B$6:$B$15=C58)), )"),"")</f>
        <v/>
      </c>
      <c r="AE58" s="32" t="str">
        <f>IFERROR(__xludf.DUMMYFUNCTION("IFNA(SUM(FILTER('12 серия'!$B$6:$C$15,'12 серия'!$B$6:$B$15=C58)), )"),"")</f>
        <v/>
      </c>
      <c r="AF58" s="32" t="str">
        <f>IFERROR(__xludf.DUMMYFUNCTION("IFNA(SUM(FILTER('13 серия'!$B$6:$C$15,'13 серия'!$B$6:$B$15=C58)), )"),"")</f>
        <v/>
      </c>
      <c r="AG58" s="32" t="str">
        <f>IFERROR(__xludf.DUMMYFUNCTION("IFNA(SUM(FILTER('14 серия'!$B$6:$C$15,'14 серия'!$B$6:$B$15=C58)), )"),"")</f>
        <v/>
      </c>
      <c r="AH58" s="32" t="str">
        <f>IFERROR(__xludf.DUMMYFUNCTION("IFNA(SUM(FILTER('15 серия'!$B$6:$C$15,'15 серия'!$B$6:$B$15=C58)), )"),"")</f>
        <v/>
      </c>
      <c r="AI58" s="32" t="str">
        <f>IFERROR(__xludf.DUMMYFUNCTION("IFNA(SUM(FILTER('16 серия'!$B$6:$C$15,'16 серия'!$B$6:$B$15=C58)), )"),"")</f>
        <v/>
      </c>
      <c r="AJ58" s="32" t="str">
        <f>IFERROR(__xludf.DUMMYFUNCTION("IFNA(SUM(FILTER('17 серия'!$B$6:$C$15,'17 серия'!$B$6:$B$15=C58)), )"),"")</f>
        <v/>
      </c>
      <c r="AK58" s="32" t="str">
        <f>IFERROR(__xludf.DUMMYFUNCTION("IFNA(SUM(FILTER('18 серия'!$B$6:$C$15,'18 серия'!$B$6:$B$15=C58)), )"),"")</f>
        <v/>
      </c>
      <c r="AL58" s="32" t="str">
        <f>IFERROR(__xludf.DUMMYFUNCTION("IFNA(SUM(FILTER('19 серия'!$B$6:$C$15,'19 серия'!$B$6:$B$15=C58)), )"),"")</f>
        <v/>
      </c>
      <c r="AM58" s="32">
        <f>IFERROR(__xludf.DUMMYFUNCTION("IFNA(SUM(FILTER('20 серия'!$B$6:$C$15,'20 серия'!$B$6:$B$15=C58)), )"),22.0)</f>
        <v>22</v>
      </c>
      <c r="AN58" s="32">
        <f>IFERROR(__xludf.DUMMYFUNCTION("IFNA(SUM(FILTER('21 серия'!$B$6:$C$15,'21 серия'!$B$6:$B$15=C58)), )"),24.5)</f>
        <v>24.5</v>
      </c>
      <c r="AO58" s="32">
        <f>IFERROR(__xludf.DUMMYFUNCTION("IFNA(SUM(FILTER('22 серия'!$B$6:$C$15,'22 серия'!$B$6:$B$15=C58)), )"),19.5)</f>
        <v>19.5</v>
      </c>
      <c r="AP58" s="32">
        <f>IFERROR(__xludf.DUMMYFUNCTION("IFNA(SUM(FILTER('23 серия'!$B$6:$C$15,'23 серия'!$B$6:$B$15=C58)), )"),11.75)</f>
        <v>11.75</v>
      </c>
      <c r="AQ58" s="32">
        <f>IFERROR(__xludf.DUMMYFUNCTION("IFNA(SUM(FILTER('24 серия'!$B$6:$C$15,'24 серия'!$B$6:$B$15=C58)), )"),21.75)</f>
        <v>21.75</v>
      </c>
      <c r="AR58" s="32" t="str">
        <f>IFERROR(__xludf.DUMMYFUNCTION("IFNA(SUM(FILTER('25 серия'!$B$6:$C$15,'25 серия'!$B$6:$B$15=C58)), )"),"")</f>
        <v/>
      </c>
      <c r="AS58" s="32" t="str">
        <f>IFERROR(__xludf.DUMMYFUNCTION("IFNA(SUM(FILTER('26 серия'!$B$6:$C$15,'26 серия'!$B$6:$B$15=C58)), )"),"")</f>
        <v/>
      </c>
      <c r="AT58" s="32" t="str">
        <f>IFERROR(__xludf.DUMMYFUNCTION("IFNA(SUM(FILTER('27 серия'!$B$6:$C$15,'27 серия'!$B$6:$B$15=C58)), )"),"")</f>
        <v/>
      </c>
      <c r="AU58" s="32" t="str">
        <f>IFERROR(__xludf.DUMMYFUNCTION("IFNA(SUM(FILTER('28 серия'!$B$6:$C$15,'28 серия'!$B$6:$B$15=C58)), )"),"")</f>
        <v/>
      </c>
      <c r="AV58" s="32" t="str">
        <f>IFERROR(__xludf.DUMMYFUNCTION("IFNA(SUM(FILTER('29 серия'!$B$6:$C$15,'29 серия'!$B$6:$B$15=C58)), )"),"")</f>
        <v/>
      </c>
      <c r="AW58" s="32" t="str">
        <f>IFERROR(__xludf.DUMMYFUNCTION("IFNA(SUM(FILTER('30 серия'!$B$6:$C$15,'30 серия'!$B$6:$B$15=C58)), )"),"")</f>
        <v/>
      </c>
      <c r="AX58" s="32" t="str">
        <f>IFERROR(__xludf.DUMMYFUNCTION("IFNA(SUM(FILTER('31 серия'!$B$6:$C$15,'31 серия'!$B$6:$B$15=C58)), )"),"")</f>
        <v/>
      </c>
      <c r="AY58" s="32">
        <f>IFERROR(__xludf.DUMMYFUNCTION("IFNA(SUM(FILTER('32 серия'!$B$6:$C$15,'32 серия'!$B$6:$B$15=C58)), )"),20.0)</f>
        <v>20</v>
      </c>
      <c r="AZ58" s="32" t="str">
        <f>IFERROR(__xludf.DUMMYFUNCTION("IFNA(SUM(FILTER('33 серия'!$B$6:$C$15,'33 серия'!$B$6:$B$15=C58)), )"),"")</f>
        <v/>
      </c>
      <c r="BA58" s="32" t="str">
        <f>IFERROR(__xludf.DUMMYFUNCTION("IFNA(SUM(FILTER('34 серия'!$B$6:$C$15,'34 серия'!$B$6:$B$15=C58)), )"),"")</f>
        <v/>
      </c>
      <c r="BB58" s="32" t="str">
        <f>IFERROR(__xludf.DUMMYFUNCTION("IFNA(SUM(FILTER('35 серия'!$B$6:$C$15,'35 серия'!$B$6:$B$15=C58)), )"),"")</f>
        <v/>
      </c>
      <c r="BC58" s="32" t="str">
        <f>IFERROR(__xludf.DUMMYFUNCTION("IFNA(SUM(FILTER('36 серия'!$B$6:$C$15,'36 серия'!$B$6:$B$15=C58)), )"),"")</f>
        <v/>
      </c>
      <c r="BD58" s="32" t="str">
        <f>IFERROR(__xludf.DUMMYFUNCTION("IFNA(SUM(FILTER('37 серия'!$B$6:$C$15,'37 серия'!$B$6:$B$15=C58)), )"),"")</f>
        <v/>
      </c>
      <c r="BE58" s="32" t="str">
        <f>IFERROR(__xludf.DUMMYFUNCTION("IFNA(SUM(FILTER('38 серия'!$B$6:$C$15,'38 серия'!$B$6:$B$15=C58)), )"),"")</f>
        <v/>
      </c>
      <c r="BF58" s="32" t="str">
        <f>IFERROR(__xludf.DUMMYFUNCTION("IFNA(SUM(FILTER('39 серия'!$B$6:$C$15,'39 серия'!$B$6:$B$15=C58)), )"),"")</f>
        <v/>
      </c>
      <c r="BG58" s="32" t="str">
        <f>IFERROR(__xludf.DUMMYFUNCTION("IFNA(SUM(FILTER('40 серия'!$B$6:$C$15,'40 серия'!$B$6:$B$15=C58)), )"),"")</f>
        <v/>
      </c>
      <c r="BH58" s="32" t="str">
        <f>IFERROR(__xludf.DUMMYFUNCTION("IFNA(SUM(FILTER('41 серия'!$B$6:$C$15,'41 серия'!$B$6:$B$15=C58)), )"),"")</f>
        <v/>
      </c>
      <c r="BI58" s="32" t="str">
        <f>IFERROR(__xludf.DUMMYFUNCTION("IFNA(SUM(FILTER('42 серия'!$B$6:$C$15,'42 серия'!$B$6:$B$15=C58)), )"),"")</f>
        <v/>
      </c>
      <c r="BJ58" s="32" t="str">
        <f>IFERROR(__xludf.DUMMYFUNCTION("IFNA(SUM(FILTER('43 серия'!$B$6:$C$15,'43 серия'!$B$6:$B$15=C58)), )"),"")</f>
        <v/>
      </c>
      <c r="BK58" s="32" t="str">
        <f>IFERROR(__xludf.DUMMYFUNCTION("IFNA(SUM(FILTER('44 серия'!$B$6:$C$15,'44 серия'!$B$6:$B$15=C58)), )"),"")</f>
        <v/>
      </c>
      <c r="BL58" s="32" t="str">
        <f>IFERROR(__xludf.DUMMYFUNCTION("IFNA(SUM(FILTER('45 серия'!$B$6:$C$15,'45 серия'!$B$6:$B$15=C58)), )"),"")</f>
        <v/>
      </c>
      <c r="BM58" s="32">
        <f>IFERROR(__xludf.DUMMYFUNCTION("IFNA(SUM(FILTER('46 серия'!$B$6:$C$15,'46 серия'!$B$6:$B$15=C58)), )"),15.75)</f>
        <v>15.75</v>
      </c>
      <c r="BN58" s="32">
        <f>IFERROR(__xludf.DUMMYFUNCTION("IFNA(SUM(FILTER('47 серия'!$B$6:$C$15,'47 серия'!$B$6:$B$15=C58)), )"),10.75)</f>
        <v>10.75</v>
      </c>
      <c r="BO58" s="42" t="str">
        <f>IFERROR(__xludf.DUMMYFUNCTION("IFNA(SUM(FILTER('48 серия'!$B$6:$C$15,'48 серия'!$B$6:$B$15=$C58)), )"),"")</f>
        <v/>
      </c>
      <c r="BP58" s="43" t="str">
        <f>IFERROR(__xludf.DUMMYFUNCTION("IFNA(SUM(FILTER('49 серия'!$B$6:$C$15,'49 серия'!$B$6:$B$15=$C58)), )"),"")</f>
        <v/>
      </c>
      <c r="BQ58" s="43" t="str">
        <f>IFERROR(__xludf.DUMMYFUNCTION("IFNA(SUM(FILTER('50 серия'!$B$6:$C$15,'50 серия'!$B$6:$B$15=$C58)), )"),"")</f>
        <v/>
      </c>
      <c r="BR58" s="43" t="str">
        <f>IFERROR(__xludf.DUMMYFUNCTION("IFNA(SUM(FILTER('51 серия'!$B$6:$C$15,'51 серия'!$B$6:$B$15=$C58)), )"),"")</f>
        <v/>
      </c>
      <c r="BS58" s="49" t="str">
        <f>IFERROR(__xludf.DUMMYFUNCTION("IFNA(SUM(FILTER('52 серия'!$B$6:$C$15,'52 серия'!$B$6:$B$15=C58)), )"),"")</f>
        <v/>
      </c>
      <c r="BT58" s="32" t="str">
        <f>IFERROR(__xludf.DUMMYFUNCTION("IFNA(SUM(FILTER('53 серия'!$B$6:$C$15,'53 серия'!$B$6:$B$15=$C58)), )"),"")</f>
        <v/>
      </c>
      <c r="BU58" s="32" t="str">
        <f>IFERROR(__xludf.DUMMYFUNCTION("IFNA(SUM(FILTER('54 серия'!$B$6:$C$15,'54 серия'!$B$6:$B$15=$C58)), )"),"")</f>
        <v/>
      </c>
      <c r="BV58" s="32" t="str">
        <f>IFERROR(__xludf.DUMMYFUNCTION("IFNA(SUM(FILTER('55 серия'!$B$6:$C$15,'55 серия'!$B$6:$B$15=$C58)), )"),"")</f>
        <v/>
      </c>
      <c r="BW58" s="32" t="str">
        <f>IFERROR(__xludf.DUMMYFUNCTION("IFNA(SUM(FILTER('56 серия'!$B$6:$C$15,'56 серия'!$B$6:$B$15=$C58)), )"),"")</f>
        <v/>
      </c>
      <c r="BX58" s="32">
        <f>IFERROR(__xludf.DUMMYFUNCTION("IFNA(SUM(FILTER('57 серия'!$B$6:$C$15,'57 серия'!$B$6:$B$15=$C58)), )"),22.5)</f>
        <v>22.5</v>
      </c>
      <c r="BY58" s="32" t="str">
        <f>IFERROR(__xludf.DUMMYFUNCTION("IFNA(SUM(FILTER('58 серия'!$B$6:$C$15,'58 серия'!$B$6:$B$15=$C58)), )"),"")</f>
        <v/>
      </c>
      <c r="BZ58" s="46" t="str">
        <f>IFERROR(__xludf.DUMMYFUNCTION("IFNA(SUM(FILTER('59 серия'!$B$6:$C$15,'59 серия'!$B$6:$B$15=C58)), )"),"")</f>
        <v/>
      </c>
      <c r="CA58" s="44">
        <f>IFERROR(__xludf.DUMMYFUNCTION("IFNA(SUM(FILTER('60 серия'!$B$6:$C$15,'60 серия'!$B$6:$B$15=$C58)), )"),19.75)</f>
        <v>19.75</v>
      </c>
      <c r="CB58" s="4"/>
    </row>
    <row r="59">
      <c r="A59" s="10"/>
      <c r="B59" s="27">
        <f t="shared" si="1"/>
        <v>53</v>
      </c>
      <c r="C59" s="53" t="s">
        <v>131</v>
      </c>
      <c r="D59" s="29">
        <f>'Игроки статистика'!B57</f>
        <v>50</v>
      </c>
      <c r="E59" s="30">
        <f t="shared" si="2"/>
        <v>199.75</v>
      </c>
      <c r="F59" s="31">
        <f t="shared" si="3"/>
        <v>19.975</v>
      </c>
      <c r="G59" s="46">
        <f t="shared" si="4"/>
        <v>2.895</v>
      </c>
      <c r="H59" s="46">
        <f>SUMIFS('Все игры'!C$3:C1011,'Все игры'!A$3:A1011,C59)</f>
        <v>55</v>
      </c>
      <c r="I59" s="46">
        <f t="shared" si="5"/>
        <v>141.75</v>
      </c>
      <c r="J59" s="47">
        <f>SUMIFS('Все игры'!F$3:F1011,'Все игры'!A$3:A1011,C59)</f>
        <v>0.5</v>
      </c>
      <c r="K59" s="48">
        <f>SUMIFS('Все игры'!G$3:G1011,'Все игры'!A$3:A1011,C59)</f>
        <v>2.5</v>
      </c>
      <c r="L59" s="35">
        <f>'Игроки статистика'!G57</f>
        <v>5</v>
      </c>
      <c r="M59" s="36">
        <f t="shared" si="6"/>
        <v>22</v>
      </c>
      <c r="N59" s="36">
        <f>SUM('Игроки статистика'!O57,'Игроки статистика'!Q57)</f>
        <v>4</v>
      </c>
      <c r="O59" s="37">
        <f>SUM('Игроки статистика'!P57,'Игроки статистика'!R57)</f>
        <v>6</v>
      </c>
      <c r="P59" s="38" t="str">
        <f>IFERROR(__xludf.DUMMYFUNCTION("IFNA(SUM(FILTER('Штрафы'!$D$5:$D1011,'Штрафы'!$C$5:$C1011=C59)), )"),"")</f>
        <v/>
      </c>
      <c r="Q59" s="38" t="str">
        <f>IFERROR(__xludf.DUMMYFUNCTION("IFNA(SUM(FILTER('Штрафы'!$F$5:$F1011,'Штрафы'!$C$5:$C1011=C59)), )"),"")</f>
        <v/>
      </c>
      <c r="R59" s="39"/>
      <c r="S59" s="40"/>
      <c r="T59" s="31" t="str">
        <f>IFERROR(__xludf.DUMMYFUNCTION("IFNA(SUM(FILTER('1 серия'!$B$6:$C$15,'1 серия'!$B$6:$B$15=C59)), )"),"")</f>
        <v/>
      </c>
      <c r="U59" s="32" t="str">
        <f>IFERROR(__xludf.DUMMYFUNCTION("IFNA(SUM(FILTER('2 серия'!$B$6:$C$15,'2 серия'!$B$6:$B$15=C59)), )
"),"")</f>
        <v/>
      </c>
      <c r="V59" s="32">
        <f>IFERROR(__xludf.DUMMYFUNCTION("IFNA(SUM(FILTER('3 серия'!$B$6:$C$15,'3 серия'!$B$6:$B$15=C59)), )
"),15.0)</f>
        <v>15</v>
      </c>
      <c r="W59" s="32">
        <f>IFERROR(__xludf.DUMMYFUNCTION("IFNA(SUM(FILTER('4 серия'!$B$6:$C$15,'4 серия'!$B$6:$B$15=C59)), )"),23.25)</f>
        <v>23.25</v>
      </c>
      <c r="X59" s="32">
        <f>IFERROR(__xludf.DUMMYFUNCTION("IFNA(SUM(FILTER('5 серия'!$B$6:$C$15,'5 серия'!$B$6:$B$15=C59)), )"),17.0)</f>
        <v>17</v>
      </c>
      <c r="Y59" s="32">
        <f>IFERROR(__xludf.DUMMYFUNCTION("IFNA(SUM(FILTER('6 серия'!$B$6:$C$15,'6 серия'!$B$6:$B$15=C59)), )"),17.0)</f>
        <v>17</v>
      </c>
      <c r="Z59" s="32" t="str">
        <f>IFERROR(__xludf.DUMMYFUNCTION("IFNA(SUM(FILTER('7 серия'!$B$6:$C$15,'7 серия'!$B$6:$B$15=C59)), )"),"")</f>
        <v/>
      </c>
      <c r="AA59" s="32" t="str">
        <f>IFERROR(__xludf.DUMMYFUNCTION("IFNA(SUM(FILTER('8 серия'!$B$6:$C$15,'8 серия'!$B$6:$B$15=C59)), )"),"")</f>
        <v/>
      </c>
      <c r="AB59" s="32" t="str">
        <f>IFERROR(__xludf.DUMMYFUNCTION("IFNA(SUM(FILTER('9 серия'!$B$7:$C$16,'9 серия'!$B$7:$B$16=C59)), )"),"")</f>
        <v/>
      </c>
      <c r="AC59" s="32" t="str">
        <f>IFERROR(__xludf.DUMMYFUNCTION("IFNA(SUM(FILTER('10 серия'!$B$6:$C$15,'10 серия'!$B$6:$B$15=C59)), )"),"")</f>
        <v/>
      </c>
      <c r="AD59" s="32" t="str">
        <f>IFERROR(__xludf.DUMMYFUNCTION("IFNA(SUM(FILTER('11 серия'!$B$6:$C$15,'11 серия'!$B$6:$B$15=C59)), )"),"")</f>
        <v/>
      </c>
      <c r="AE59" s="32" t="str">
        <f>IFERROR(__xludf.DUMMYFUNCTION("IFNA(SUM(FILTER('12 серия'!$B$6:$C$15,'12 серия'!$B$6:$B$15=C59)), )"),"")</f>
        <v/>
      </c>
      <c r="AF59" s="32" t="str">
        <f>IFERROR(__xludf.DUMMYFUNCTION("IFNA(SUM(FILTER('13 серия'!$B$6:$C$15,'13 серия'!$B$6:$B$15=C59)), )"),"")</f>
        <v/>
      </c>
      <c r="AG59" s="32" t="str">
        <f>IFERROR(__xludf.DUMMYFUNCTION("IFNA(SUM(FILTER('14 серия'!$B$6:$C$15,'14 серия'!$B$6:$B$15=C59)), )"),"")</f>
        <v/>
      </c>
      <c r="AH59" s="32" t="str">
        <f>IFERROR(__xludf.DUMMYFUNCTION("IFNA(SUM(FILTER('15 серия'!$B$6:$C$15,'15 серия'!$B$6:$B$15=C59)), )"),"")</f>
        <v/>
      </c>
      <c r="AI59" s="32" t="str">
        <f>IFERROR(__xludf.DUMMYFUNCTION("IFNA(SUM(FILTER('16 серия'!$B$6:$C$15,'16 серия'!$B$6:$B$15=C59)), )"),"")</f>
        <v/>
      </c>
      <c r="AJ59" s="32" t="str">
        <f>IFERROR(__xludf.DUMMYFUNCTION("IFNA(SUM(FILTER('17 серия'!$B$6:$C$15,'17 серия'!$B$6:$B$15=C59)), )"),"")</f>
        <v/>
      </c>
      <c r="AK59" s="32" t="str">
        <f>IFERROR(__xludf.DUMMYFUNCTION("IFNA(SUM(FILTER('18 серия'!$B$6:$C$15,'18 серия'!$B$6:$B$15=C59)), )"),"")</f>
        <v/>
      </c>
      <c r="AL59" s="32" t="str">
        <f>IFERROR(__xludf.DUMMYFUNCTION("IFNA(SUM(FILTER('19 серия'!$B$6:$C$15,'19 серия'!$B$6:$B$15=C59)), )"),"")</f>
        <v/>
      </c>
      <c r="AM59" s="32" t="str">
        <f>IFERROR(__xludf.DUMMYFUNCTION("IFNA(SUM(FILTER('20 серия'!$B$6:$C$15,'20 серия'!$B$6:$B$15=C59)), )"),"")</f>
        <v/>
      </c>
      <c r="AN59" s="32" t="str">
        <f>IFERROR(__xludf.DUMMYFUNCTION("IFNA(SUM(FILTER('21 серия'!$B$6:$C$15,'21 серия'!$B$6:$B$15=C59)), )"),"")</f>
        <v/>
      </c>
      <c r="AO59" s="32" t="str">
        <f>IFERROR(__xludf.DUMMYFUNCTION("IFNA(SUM(FILTER('22 серия'!$B$6:$C$15,'22 серия'!$B$6:$B$15=C59)), )"),"")</f>
        <v/>
      </c>
      <c r="AP59" s="32" t="str">
        <f>IFERROR(__xludf.DUMMYFUNCTION("IFNA(SUM(FILTER('23 серия'!$B$6:$C$15,'23 серия'!$B$6:$B$15=C59)), )"),"")</f>
        <v/>
      </c>
      <c r="AQ59" s="32" t="str">
        <f>IFERROR(__xludf.DUMMYFUNCTION("IFNA(SUM(FILTER('24 серия'!$B$6:$C$15,'24 серия'!$B$6:$B$15=C59)), )"),"")</f>
        <v/>
      </c>
      <c r="AR59" s="32" t="str">
        <f>IFERROR(__xludf.DUMMYFUNCTION("IFNA(SUM(FILTER('25 серия'!$B$6:$C$15,'25 серия'!$B$6:$B$15=C59)), )"),"")</f>
        <v/>
      </c>
      <c r="AS59" s="32" t="str">
        <f>IFERROR(__xludf.DUMMYFUNCTION("IFNA(SUM(FILTER('26 серия'!$B$6:$C$15,'26 серия'!$B$6:$B$15=C59)), )"),"")</f>
        <v/>
      </c>
      <c r="AT59" s="32" t="str">
        <f>IFERROR(__xludf.DUMMYFUNCTION("IFNA(SUM(FILTER('27 серия'!$B$6:$C$15,'27 серия'!$B$6:$B$15=C59)), )"),"")</f>
        <v/>
      </c>
      <c r="AU59" s="32" t="str">
        <f>IFERROR(__xludf.DUMMYFUNCTION("IFNA(SUM(FILTER('28 серия'!$B$6:$C$15,'28 серия'!$B$6:$B$15=C59)), )"),"")</f>
        <v/>
      </c>
      <c r="AV59" s="32" t="str">
        <f>IFERROR(__xludf.DUMMYFUNCTION("IFNA(SUM(FILTER('29 серия'!$B$6:$C$15,'29 серия'!$B$6:$B$15=C59)), )"),"")</f>
        <v/>
      </c>
      <c r="AW59" s="32" t="str">
        <f>IFERROR(__xludf.DUMMYFUNCTION("IFNA(SUM(FILTER('30 серия'!$B$6:$C$15,'30 серия'!$B$6:$B$15=C59)), )"),"")</f>
        <v/>
      </c>
      <c r="AX59" s="32" t="str">
        <f>IFERROR(__xludf.DUMMYFUNCTION("IFNA(SUM(FILTER('31 серия'!$B$6:$C$15,'31 серия'!$B$6:$B$15=C59)), )"),"")</f>
        <v/>
      </c>
      <c r="AY59" s="32" t="str">
        <f>IFERROR(__xludf.DUMMYFUNCTION("IFNA(SUM(FILTER('32 серия'!$B$6:$C$15,'32 серия'!$B$6:$B$15=C59)), )"),"")</f>
        <v/>
      </c>
      <c r="AZ59" s="32" t="str">
        <f>IFERROR(__xludf.DUMMYFUNCTION("IFNA(SUM(FILTER('33 серия'!$B$6:$C$15,'33 серия'!$B$6:$B$15=C59)), )"),"")</f>
        <v/>
      </c>
      <c r="BA59" s="32" t="str">
        <f>IFERROR(__xludf.DUMMYFUNCTION("IFNA(SUM(FILTER('34 серия'!$B$6:$C$15,'34 серия'!$B$6:$B$15=C59)), )"),"")</f>
        <v/>
      </c>
      <c r="BB59" s="32" t="str">
        <f>IFERROR(__xludf.DUMMYFUNCTION("IFNA(SUM(FILTER('35 серия'!$B$6:$C$15,'35 серия'!$B$6:$B$15=C59)), )"),"")</f>
        <v/>
      </c>
      <c r="BC59" s="32" t="str">
        <f>IFERROR(__xludf.DUMMYFUNCTION("IFNA(SUM(FILTER('36 серия'!$B$6:$C$15,'36 серия'!$B$6:$B$15=C59)), )"),"")</f>
        <v/>
      </c>
      <c r="BD59" s="32" t="str">
        <f>IFERROR(__xludf.DUMMYFUNCTION("IFNA(SUM(FILTER('37 серия'!$B$6:$C$15,'37 серия'!$B$6:$B$15=C59)), )"),"")</f>
        <v/>
      </c>
      <c r="BE59" s="32" t="str">
        <f>IFERROR(__xludf.DUMMYFUNCTION("IFNA(SUM(FILTER('38 серия'!$B$6:$C$15,'38 серия'!$B$6:$B$15=C59)), )"),"")</f>
        <v/>
      </c>
      <c r="BF59" s="32" t="str">
        <f>IFERROR(__xludf.DUMMYFUNCTION("IFNA(SUM(FILTER('39 серия'!$B$6:$C$15,'39 серия'!$B$6:$B$15=C59)), )"),"")</f>
        <v/>
      </c>
      <c r="BG59" s="32" t="str">
        <f>IFERROR(__xludf.DUMMYFUNCTION("IFNA(SUM(FILTER('40 серия'!$B$6:$C$15,'40 серия'!$B$6:$B$15=C59)), )"),"")</f>
        <v/>
      </c>
      <c r="BH59" s="32" t="str">
        <f>IFERROR(__xludf.DUMMYFUNCTION("IFNA(SUM(FILTER('41 серия'!$B$6:$C$15,'41 серия'!$B$6:$B$15=C59)), )"),"")</f>
        <v/>
      </c>
      <c r="BI59" s="32">
        <f>IFERROR(__xludf.DUMMYFUNCTION("IFNA(SUM(FILTER('42 серия'!$B$6:$C$15,'42 серия'!$B$6:$B$15=C59)), )"),24.0)</f>
        <v>24</v>
      </c>
      <c r="BJ59" s="32">
        <f>IFERROR(__xludf.DUMMYFUNCTION("IFNA(SUM(FILTER('43 серия'!$B$6:$C$15,'43 серия'!$B$6:$B$15=C59)), )"),28.0)</f>
        <v>28</v>
      </c>
      <c r="BK59" s="32">
        <f>IFERROR(__xludf.DUMMYFUNCTION("IFNA(SUM(FILTER('44 серия'!$B$6:$C$15,'44 серия'!$B$6:$B$15=C59)), )"),23.25)</f>
        <v>23.25</v>
      </c>
      <c r="BL59" s="32">
        <f>IFERROR(__xludf.DUMMYFUNCTION("IFNA(SUM(FILTER('45 серия'!$B$6:$C$15,'45 серия'!$B$6:$B$15=C59)), )"),14.25)</f>
        <v>14.25</v>
      </c>
      <c r="BM59" s="32" t="str">
        <f>IFERROR(__xludf.DUMMYFUNCTION("IFNA(SUM(FILTER('46 серия'!$B$6:$C$15,'46 серия'!$B$6:$B$15=C59)), )"),"")</f>
        <v/>
      </c>
      <c r="BN59" s="32" t="str">
        <f>IFERROR(__xludf.DUMMYFUNCTION("IFNA(SUM(FILTER('47 серия'!$B$6:$C$15,'47 серия'!$B$6:$B$15=C59)), )"),"")</f>
        <v/>
      </c>
      <c r="BO59" s="42" t="str">
        <f>IFERROR(__xludf.DUMMYFUNCTION("IFNA(SUM(FILTER('48 серия'!$B$6:$C$15,'48 серия'!$B$6:$B$15=$C59)), )"),"")</f>
        <v/>
      </c>
      <c r="BP59" s="43" t="str">
        <f>IFERROR(__xludf.DUMMYFUNCTION("IFNA(SUM(FILTER('49 серия'!$B$6:$C$15,'49 серия'!$B$6:$B$15=$C59)), )"),"")</f>
        <v/>
      </c>
      <c r="BQ59" s="43" t="str">
        <f>IFERROR(__xludf.DUMMYFUNCTION("IFNA(SUM(FILTER('50 серия'!$B$6:$C$15,'50 серия'!$B$6:$B$15=$C59)), )"),"")</f>
        <v/>
      </c>
      <c r="BR59" s="43" t="str">
        <f>IFERROR(__xludf.DUMMYFUNCTION("IFNA(SUM(FILTER('51 серия'!$B$6:$C$15,'51 серия'!$B$6:$B$15=$C59)), )"),"")</f>
        <v/>
      </c>
      <c r="BS59" s="49">
        <f>IFERROR(__xludf.DUMMYFUNCTION("IFNA(SUM(FILTER('52 серия'!$B$6:$C$15,'52 серия'!$B$6:$B$15=C59)), )"),23.0)</f>
        <v>23</v>
      </c>
      <c r="BT59" s="32">
        <f>IFERROR(__xludf.DUMMYFUNCTION("IFNA(SUM(FILTER('53 серия'!$B$6:$C$15,'53 серия'!$B$6:$B$15=$C59)), )"),15.0)</f>
        <v>15</v>
      </c>
      <c r="BU59" s="32" t="str">
        <f>IFERROR(__xludf.DUMMYFUNCTION("IFNA(SUM(FILTER('54 серия'!$B$6:$C$15,'54 серия'!$B$6:$B$15=$C59)), )"),"")</f>
        <v/>
      </c>
      <c r="BV59" s="32" t="str">
        <f>IFERROR(__xludf.DUMMYFUNCTION("IFNA(SUM(FILTER('55 серия'!$B$6:$C$15,'55 серия'!$B$6:$B$15=$C59)), )"),"")</f>
        <v/>
      </c>
      <c r="BW59" s="32" t="str">
        <f>IFERROR(__xludf.DUMMYFUNCTION("IFNA(SUM(FILTER('56 серия'!$B$6:$C$15,'56 серия'!$B$6:$B$15=$C59)), )"),"")</f>
        <v/>
      </c>
      <c r="BX59" s="32" t="str">
        <f>IFERROR(__xludf.DUMMYFUNCTION("IFNA(SUM(FILTER('57 серия'!$B$6:$C$15,'57 серия'!$B$6:$B$15=$C59)), )"),"")</f>
        <v/>
      </c>
      <c r="BY59" s="32" t="str">
        <f>IFERROR(__xludf.DUMMYFUNCTION("IFNA(SUM(FILTER('58 серия'!$B$6:$C$15,'58 серия'!$B$6:$B$15=$C59)), )"),"")</f>
        <v/>
      </c>
      <c r="BZ59" s="46" t="str">
        <f>IFERROR(__xludf.DUMMYFUNCTION("IFNA(SUM(FILTER('59 серия'!$B$6:$C$15,'59 серия'!$B$6:$B$15=C59)), )"),"")</f>
        <v/>
      </c>
      <c r="CA59" s="44" t="str">
        <f>IFERROR(__xludf.DUMMYFUNCTION("IFNA(SUM(FILTER('60 серия'!$B$6:$C$15,'60 серия'!$B$6:$B$15=$C59)), )"),"")</f>
        <v/>
      </c>
      <c r="CB59" s="4"/>
    </row>
    <row r="60">
      <c r="A60" s="10"/>
      <c r="B60" s="27">
        <f t="shared" si="1"/>
        <v>54</v>
      </c>
      <c r="C60" s="53" t="s">
        <v>132</v>
      </c>
      <c r="D60" s="29">
        <f>'Игроки статистика'!B58</f>
        <v>50</v>
      </c>
      <c r="E60" s="30">
        <f t="shared" si="2"/>
        <v>209.5</v>
      </c>
      <c r="F60" s="31">
        <f t="shared" si="3"/>
        <v>20.95</v>
      </c>
      <c r="G60" s="46">
        <f t="shared" si="4"/>
        <v>3.04</v>
      </c>
      <c r="H60" s="46">
        <f>SUMIFS('Все игры'!C$3:C1011,'Все игры'!A$3:A1011,C60)</f>
        <v>57.5</v>
      </c>
      <c r="I60" s="46">
        <f t="shared" si="5"/>
        <v>146</v>
      </c>
      <c r="J60" s="47">
        <f>SUMIFS('Все игры'!F$3:F1011,'Все игры'!A$3:A1011,C60)</f>
        <v>1.5</v>
      </c>
      <c r="K60" s="48">
        <f>SUMIFS('Все игры'!G$3:G1011,'Все игры'!A$3:A1011,C60)</f>
        <v>4.5</v>
      </c>
      <c r="L60" s="35">
        <f>'Игроки статистика'!G58</f>
        <v>8</v>
      </c>
      <c r="M60" s="36">
        <f t="shared" si="6"/>
        <v>23</v>
      </c>
      <c r="N60" s="36">
        <f>SUM('Игроки статистика'!O58,'Игроки статистика'!Q58)</f>
        <v>6</v>
      </c>
      <c r="O60" s="37">
        <f>SUM('Игроки статистика'!P58,'Игроки статистика'!R58)</f>
        <v>4</v>
      </c>
      <c r="P60" s="38" t="str">
        <f>IFERROR(__xludf.DUMMYFUNCTION("IFNA(SUM(FILTER('Штрафы'!$D$5:$D1011,'Штрафы'!$C$5:$C1011=C60)), )"),"")</f>
        <v/>
      </c>
      <c r="Q60" s="38" t="str">
        <f>IFERROR(__xludf.DUMMYFUNCTION("IFNA(SUM(FILTER('Штрафы'!$F$5:$F1011,'Штрафы'!$C$5:$C1011=C60)), )"),"")</f>
        <v/>
      </c>
      <c r="R60" s="39"/>
      <c r="S60" s="40"/>
      <c r="T60" s="31" t="str">
        <f>IFERROR(__xludf.DUMMYFUNCTION("IFNA(SUM(FILTER('1 серия'!$B$6:$C$15,'1 серия'!$B$6:$B$15=C60)), )"),"")</f>
        <v/>
      </c>
      <c r="U60" s="32" t="str">
        <f>IFERROR(__xludf.DUMMYFUNCTION("IFNA(SUM(FILTER('2 серия'!$B$6:$C$15,'2 серия'!$B$6:$B$15=C60)), )
"),"")</f>
        <v/>
      </c>
      <c r="V60" s="32">
        <f>IFERROR(__xludf.DUMMYFUNCTION("IFNA(SUM(FILTER('3 серия'!$B$6:$C$15,'3 серия'!$B$6:$B$15=C60)), )
"),22.25)</f>
        <v>22.25</v>
      </c>
      <c r="W60" s="32" t="str">
        <f>IFERROR(__xludf.DUMMYFUNCTION("IFNA(SUM(FILTER('4 серия'!$B$6:$C$15,'4 серия'!$B$6:$B$15=C60)), )"),"")</f>
        <v/>
      </c>
      <c r="X60" s="32" t="str">
        <f>IFERROR(__xludf.DUMMYFUNCTION("IFNA(SUM(FILTER('5 серия'!$B$6:$C$15,'5 серия'!$B$6:$B$15=C60)), )"),"")</f>
        <v/>
      </c>
      <c r="Y60" s="32" t="str">
        <f>IFERROR(__xludf.DUMMYFUNCTION("IFNA(SUM(FILTER('6 серия'!$B$6:$C$15,'6 серия'!$B$6:$B$15=C60)), )"),"")</f>
        <v/>
      </c>
      <c r="Z60" s="32" t="str">
        <f>IFERROR(__xludf.DUMMYFUNCTION("IFNA(SUM(FILTER('7 серия'!$B$6:$C$15,'7 серия'!$B$6:$B$15=C60)), )"),"")</f>
        <v/>
      </c>
      <c r="AA60" s="32" t="str">
        <f>IFERROR(__xludf.DUMMYFUNCTION("IFNA(SUM(FILTER('8 серия'!$B$6:$C$15,'8 серия'!$B$6:$B$15=C60)), )"),"")</f>
        <v/>
      </c>
      <c r="AB60" s="32">
        <f>IFERROR(__xludf.DUMMYFUNCTION("IFNA(SUM(FILTER('9 серия'!$B$7:$C$16,'9 серия'!$B$7:$B$16=C60)), )"),16.0)</f>
        <v>16</v>
      </c>
      <c r="AC60" s="32" t="str">
        <f>IFERROR(__xludf.DUMMYFUNCTION("IFNA(SUM(FILTER('10 серия'!$B$6:$C$15,'10 серия'!$B$6:$B$15=C60)), )"),"")</f>
        <v/>
      </c>
      <c r="AD60" s="32" t="str">
        <f>IFERROR(__xludf.DUMMYFUNCTION("IFNA(SUM(FILTER('11 серия'!$B$6:$C$15,'11 серия'!$B$6:$B$15=C60)), )"),"")</f>
        <v/>
      </c>
      <c r="AE60" s="32" t="str">
        <f>IFERROR(__xludf.DUMMYFUNCTION("IFNA(SUM(FILTER('12 серия'!$B$6:$C$15,'12 серия'!$B$6:$B$15=C60)), )"),"")</f>
        <v/>
      </c>
      <c r="AF60" s="32">
        <f>IFERROR(__xludf.DUMMYFUNCTION("IFNA(SUM(FILTER('13 серия'!$B$6:$C$15,'13 серия'!$B$6:$B$15=C60)), )"),20.5)</f>
        <v>20.5</v>
      </c>
      <c r="AG60" s="32" t="str">
        <f>IFERROR(__xludf.DUMMYFUNCTION("IFNA(SUM(FILTER('14 серия'!$B$6:$C$15,'14 серия'!$B$6:$B$15=C60)), )"),"")</f>
        <v/>
      </c>
      <c r="AH60" s="32" t="str">
        <f>IFERROR(__xludf.DUMMYFUNCTION("IFNA(SUM(FILTER('15 серия'!$B$6:$C$15,'15 серия'!$B$6:$B$15=C60)), )"),"")</f>
        <v/>
      </c>
      <c r="AI60" s="32" t="str">
        <f>IFERROR(__xludf.DUMMYFUNCTION("IFNA(SUM(FILTER('16 серия'!$B$6:$C$15,'16 серия'!$B$6:$B$15=C60)), )"),"")</f>
        <v/>
      </c>
      <c r="AJ60" s="32" t="str">
        <f>IFERROR(__xludf.DUMMYFUNCTION("IFNA(SUM(FILTER('17 серия'!$B$6:$C$15,'17 серия'!$B$6:$B$15=C60)), )"),"")</f>
        <v/>
      </c>
      <c r="AK60" s="32" t="str">
        <f>IFERROR(__xludf.DUMMYFUNCTION("IFNA(SUM(FILTER('18 серия'!$B$6:$C$15,'18 серия'!$B$6:$B$15=C60)), )"),"")</f>
        <v/>
      </c>
      <c r="AL60" s="32" t="str">
        <f>IFERROR(__xludf.DUMMYFUNCTION("IFNA(SUM(FILTER('19 серия'!$B$6:$C$15,'19 серия'!$B$6:$B$15=C60)), )"),"")</f>
        <v/>
      </c>
      <c r="AM60" s="32" t="str">
        <f>IFERROR(__xludf.DUMMYFUNCTION("IFNA(SUM(FILTER('20 серия'!$B$6:$C$15,'20 серия'!$B$6:$B$15=C60)), )"),"")</f>
        <v/>
      </c>
      <c r="AN60" s="32" t="str">
        <f>IFERROR(__xludf.DUMMYFUNCTION("IFNA(SUM(FILTER('21 серия'!$B$6:$C$15,'21 серия'!$B$6:$B$15=C60)), )"),"")</f>
        <v/>
      </c>
      <c r="AO60" s="32" t="str">
        <f>IFERROR(__xludf.DUMMYFUNCTION("IFNA(SUM(FILTER('22 серия'!$B$6:$C$15,'22 серия'!$B$6:$B$15=C60)), )"),"")</f>
        <v/>
      </c>
      <c r="AP60" s="32" t="str">
        <f>IFERROR(__xludf.DUMMYFUNCTION("IFNA(SUM(FILTER('23 серия'!$B$6:$C$15,'23 серия'!$B$6:$B$15=C60)), )"),"")</f>
        <v/>
      </c>
      <c r="AQ60" s="32" t="str">
        <f>IFERROR(__xludf.DUMMYFUNCTION("IFNA(SUM(FILTER('24 серия'!$B$6:$C$15,'24 серия'!$B$6:$B$15=C60)), )"),"")</f>
        <v/>
      </c>
      <c r="AR60" s="32" t="str">
        <f>IFERROR(__xludf.DUMMYFUNCTION("IFNA(SUM(FILTER('25 серия'!$B$6:$C$15,'25 серия'!$B$6:$B$15=C60)), )"),"")</f>
        <v/>
      </c>
      <c r="AS60" s="32" t="str">
        <f>IFERROR(__xludf.DUMMYFUNCTION("IFNA(SUM(FILTER('26 серия'!$B$6:$C$15,'26 серия'!$B$6:$B$15=C60)), )"),"")</f>
        <v/>
      </c>
      <c r="AT60" s="32" t="str">
        <f>IFERROR(__xludf.DUMMYFUNCTION("IFNA(SUM(FILTER('27 серия'!$B$6:$C$15,'27 серия'!$B$6:$B$15=C60)), )"),"")</f>
        <v/>
      </c>
      <c r="AU60" s="32" t="str">
        <f>IFERROR(__xludf.DUMMYFUNCTION("IFNA(SUM(FILTER('28 серия'!$B$6:$C$15,'28 серия'!$B$6:$B$15=C60)), )"),"")</f>
        <v/>
      </c>
      <c r="AV60" s="32" t="str">
        <f>IFERROR(__xludf.DUMMYFUNCTION("IFNA(SUM(FILTER('29 серия'!$B$6:$C$15,'29 серия'!$B$6:$B$15=C60)), )"),"")</f>
        <v/>
      </c>
      <c r="AW60" s="32" t="str">
        <f>IFERROR(__xludf.DUMMYFUNCTION("IFNA(SUM(FILTER('30 серия'!$B$6:$C$15,'30 серия'!$B$6:$B$15=C60)), )"),"")</f>
        <v/>
      </c>
      <c r="AX60" s="32" t="str">
        <f>IFERROR(__xludf.DUMMYFUNCTION("IFNA(SUM(FILTER('31 серия'!$B$6:$C$15,'31 серия'!$B$6:$B$15=C60)), )"),"")</f>
        <v/>
      </c>
      <c r="AY60" s="32" t="str">
        <f>IFERROR(__xludf.DUMMYFUNCTION("IFNA(SUM(FILTER('32 серия'!$B$6:$C$15,'32 серия'!$B$6:$B$15=C60)), )"),"")</f>
        <v/>
      </c>
      <c r="AZ60" s="32" t="str">
        <f>IFERROR(__xludf.DUMMYFUNCTION("IFNA(SUM(FILTER('33 серия'!$B$6:$C$15,'33 серия'!$B$6:$B$15=C60)), )"),"")</f>
        <v/>
      </c>
      <c r="BA60" s="32" t="str">
        <f>IFERROR(__xludf.DUMMYFUNCTION("IFNA(SUM(FILTER('34 серия'!$B$6:$C$15,'34 серия'!$B$6:$B$15=C60)), )"),"")</f>
        <v/>
      </c>
      <c r="BB60" s="32">
        <f>IFERROR(__xludf.DUMMYFUNCTION("IFNA(SUM(FILTER('35 серия'!$B$6:$C$15,'35 серия'!$B$6:$B$15=C60)), )"),21.75)</f>
        <v>21.75</v>
      </c>
      <c r="BC60" s="32" t="str">
        <f>IFERROR(__xludf.DUMMYFUNCTION("IFNA(SUM(FILTER('36 серия'!$B$6:$C$15,'36 серия'!$B$6:$B$15=C60)), )"),"")</f>
        <v/>
      </c>
      <c r="BD60" s="32" t="str">
        <f>IFERROR(__xludf.DUMMYFUNCTION("IFNA(SUM(FILTER('37 серия'!$B$6:$C$15,'37 серия'!$B$6:$B$15=C60)), )"),"")</f>
        <v/>
      </c>
      <c r="BE60" s="32">
        <f>IFERROR(__xludf.DUMMYFUNCTION("IFNA(SUM(FILTER('38 серия'!$B$6:$C$15,'38 серия'!$B$6:$B$15=C60)), )"),19.75)</f>
        <v>19.75</v>
      </c>
      <c r="BF60" s="32" t="str">
        <f>IFERROR(__xludf.DUMMYFUNCTION("IFNA(SUM(FILTER('39 серия'!$B$6:$C$15,'39 серия'!$B$6:$B$15=C60)), )"),"")</f>
        <v/>
      </c>
      <c r="BG60" s="32">
        <f>IFERROR(__xludf.DUMMYFUNCTION("IFNA(SUM(FILTER('40 серия'!$B$6:$C$15,'40 серия'!$B$6:$B$15=C60)), )"),22.75)</f>
        <v>22.75</v>
      </c>
      <c r="BH60" s="32" t="str">
        <f>IFERROR(__xludf.DUMMYFUNCTION("IFNA(SUM(FILTER('41 серия'!$B$6:$C$15,'41 серия'!$B$6:$B$15=C60)), )"),"")</f>
        <v/>
      </c>
      <c r="BI60" s="32">
        <f>IFERROR(__xludf.DUMMYFUNCTION("IFNA(SUM(FILTER('42 серия'!$B$6:$C$15,'42 серия'!$B$6:$B$15=C60)), )"),20.25)</f>
        <v>20.25</v>
      </c>
      <c r="BJ60" s="32" t="str">
        <f>IFERROR(__xludf.DUMMYFUNCTION("IFNA(SUM(FILTER('43 серия'!$B$6:$C$15,'43 серия'!$B$6:$B$15=C60)), )"),"")</f>
        <v/>
      </c>
      <c r="BK60" s="32" t="str">
        <f>IFERROR(__xludf.DUMMYFUNCTION("IFNA(SUM(FILTER('44 серия'!$B$6:$C$15,'44 серия'!$B$6:$B$15=C60)), )"),"")</f>
        <v/>
      </c>
      <c r="BL60" s="32" t="str">
        <f>IFERROR(__xludf.DUMMYFUNCTION("IFNA(SUM(FILTER('45 серия'!$B$6:$C$15,'45 серия'!$B$6:$B$15=C60)), )"),"")</f>
        <v/>
      </c>
      <c r="BM60" s="32" t="str">
        <f>IFERROR(__xludf.DUMMYFUNCTION("IFNA(SUM(FILTER('46 серия'!$B$6:$C$15,'46 серия'!$B$6:$B$15=C60)), )"),"")</f>
        <v/>
      </c>
      <c r="BN60" s="32" t="str">
        <f>IFERROR(__xludf.DUMMYFUNCTION("IFNA(SUM(FILTER('47 серия'!$B$6:$C$15,'47 серия'!$B$6:$B$15=C60)), )"),"")</f>
        <v/>
      </c>
      <c r="BO60" s="42" t="str">
        <f>IFERROR(__xludf.DUMMYFUNCTION("IFNA(SUM(FILTER('48 серия'!$B$6:$C$15,'48 серия'!$B$6:$B$15=$C60)), )"),"")</f>
        <v/>
      </c>
      <c r="BP60" s="43" t="str">
        <f>IFERROR(__xludf.DUMMYFUNCTION("IFNA(SUM(FILTER('49 серия'!$B$6:$C$15,'49 серия'!$B$6:$B$15=$C60)), )"),"")</f>
        <v/>
      </c>
      <c r="BQ60" s="43" t="str">
        <f>IFERROR(__xludf.DUMMYFUNCTION("IFNA(SUM(FILTER('50 серия'!$B$6:$C$15,'50 серия'!$B$6:$B$15=$C60)), )"),"")</f>
        <v/>
      </c>
      <c r="BR60" s="43">
        <f>IFERROR(__xludf.DUMMYFUNCTION("IFNA(SUM(FILTER('51 серия'!$B$6:$C$15,'51 серия'!$B$6:$B$15=$C60)), )"),16.75)</f>
        <v>16.75</v>
      </c>
      <c r="BS60" s="49">
        <f>IFERROR(__xludf.DUMMYFUNCTION("IFNA(SUM(FILTER('52 серия'!$B$6:$C$15,'52 серия'!$B$6:$B$15=C60)), )"),26.0)</f>
        <v>26</v>
      </c>
      <c r="BT60" s="32" t="str">
        <f>IFERROR(__xludf.DUMMYFUNCTION("IFNA(SUM(FILTER('53 серия'!$B$6:$C$15,'53 серия'!$B$6:$B$15=$C60)), )"),"")</f>
        <v/>
      </c>
      <c r="BU60" s="32" t="str">
        <f>IFERROR(__xludf.DUMMYFUNCTION("IFNA(SUM(FILTER('54 серия'!$B$6:$C$15,'54 серия'!$B$6:$B$15=$C60)), )"),"")</f>
        <v/>
      </c>
      <c r="BV60" s="32" t="str">
        <f>IFERROR(__xludf.DUMMYFUNCTION("IFNA(SUM(FILTER('55 серия'!$B$6:$C$15,'55 серия'!$B$6:$B$15=$C60)), )"),"")</f>
        <v/>
      </c>
      <c r="BW60" s="32" t="str">
        <f>IFERROR(__xludf.DUMMYFUNCTION("IFNA(SUM(FILTER('56 серия'!$B$6:$C$15,'56 серия'!$B$6:$B$15=$C60)), )"),"")</f>
        <v/>
      </c>
      <c r="BX60" s="32" t="str">
        <f>IFERROR(__xludf.DUMMYFUNCTION("IFNA(SUM(FILTER('57 серия'!$B$6:$C$15,'57 серия'!$B$6:$B$15=$C60)), )"),"")</f>
        <v/>
      </c>
      <c r="BY60" s="32">
        <f>IFERROR(__xludf.DUMMYFUNCTION("IFNA(SUM(FILTER('58 серия'!$B$6:$C$15,'58 серия'!$B$6:$B$15=$C60)), )"),23.5)</f>
        <v>23.5</v>
      </c>
      <c r="BZ60" s="46" t="str">
        <f>IFERROR(__xludf.DUMMYFUNCTION("IFNA(SUM(FILTER('59 серия'!$B$6:$C$15,'59 серия'!$B$6:$B$15=C60)), )"),"")</f>
        <v/>
      </c>
      <c r="CA60" s="44" t="str">
        <f>IFERROR(__xludf.DUMMYFUNCTION("IFNA(SUM(FILTER('60 серия'!$B$6:$C$15,'60 серия'!$B$6:$B$15=$C60)), )"),"")</f>
        <v/>
      </c>
      <c r="CB60" s="4"/>
    </row>
    <row r="61" ht="19.5" customHeight="1">
      <c r="A61" s="10"/>
      <c r="B61" s="27">
        <f t="shared" si="1"/>
        <v>55</v>
      </c>
      <c r="C61" s="53" t="s">
        <v>133</v>
      </c>
      <c r="D61" s="29">
        <f>'Игроки статистика'!B59</f>
        <v>50</v>
      </c>
      <c r="E61" s="30">
        <f t="shared" si="2"/>
        <v>193.75</v>
      </c>
      <c r="F61" s="31">
        <f t="shared" si="3"/>
        <v>19.375</v>
      </c>
      <c r="G61" s="46">
        <f t="shared" si="4"/>
        <v>2.725</v>
      </c>
      <c r="H61" s="46">
        <f>SUMIFS('Все игры'!C$3:C1011,'Все игры'!A$3:A1011,C61)</f>
        <v>57.5</v>
      </c>
      <c r="I61" s="46">
        <f t="shared" si="5"/>
        <v>134.25</v>
      </c>
      <c r="J61" s="47">
        <f>SUMIFS('Все игры'!F$3:F1011,'Все игры'!A$3:A1011,C61)</f>
        <v>0.5</v>
      </c>
      <c r="K61" s="48">
        <f>SUMIFS('Все игры'!G$3:G1011,'Все игры'!A$3:A1011,C61)</f>
        <v>1.5</v>
      </c>
      <c r="L61" s="35">
        <f>'Игроки статистика'!G59</f>
        <v>3</v>
      </c>
      <c r="M61" s="36">
        <f t="shared" si="6"/>
        <v>23</v>
      </c>
      <c r="N61" s="36">
        <f>SUM('Игроки статистика'!O59,'Игроки статистика'!Q59)</f>
        <v>6</v>
      </c>
      <c r="O61" s="37">
        <f>SUM('Игроки статистика'!P59,'Игроки статистика'!R59)</f>
        <v>5</v>
      </c>
      <c r="P61" s="38" t="str">
        <f>IFERROR(__xludf.DUMMYFUNCTION("IFNA(SUM(FILTER('Штрафы'!$D$5:$D1011,'Штрафы'!$C$5:$C1011=C61)), )"),"")</f>
        <v/>
      </c>
      <c r="Q61" s="38" t="str">
        <f>IFERROR(__xludf.DUMMYFUNCTION("IFNA(SUM(FILTER('Штрафы'!$F$5:$F1011,'Штрафы'!$C$5:$C1011=C61)), )"),"")</f>
        <v/>
      </c>
      <c r="R61" s="39"/>
      <c r="S61" s="40"/>
      <c r="T61" s="31" t="str">
        <f>IFERROR(__xludf.DUMMYFUNCTION("IFNA(SUM(FILTER('1 серия'!$B$6:$C$15,'1 серия'!$B$6:$B$15=C61)), )"),"")</f>
        <v/>
      </c>
      <c r="U61" s="32" t="str">
        <f>IFERROR(__xludf.DUMMYFUNCTION("IFNA(SUM(FILTER('2 серия'!$B$6:$C$15,'2 серия'!$B$6:$B$15=C61)), )
"),"")</f>
        <v/>
      </c>
      <c r="V61" s="32" t="str">
        <f>IFERROR(__xludf.DUMMYFUNCTION("IFNA(SUM(FILTER('3 серия'!$B$6:$C$15,'3 серия'!$B$6:$B$15=C61)), )
"),"")</f>
        <v/>
      </c>
      <c r="W61" s="32">
        <f>IFERROR(__xludf.DUMMYFUNCTION("IFNA(SUM(FILTER('4 серия'!$B$6:$C$15,'4 серия'!$B$6:$B$15=C61)), )"),16.5)</f>
        <v>16.5</v>
      </c>
      <c r="X61" s="32" t="str">
        <f>IFERROR(__xludf.DUMMYFUNCTION("IFNA(SUM(FILTER('5 серия'!$B$6:$C$15,'5 серия'!$B$6:$B$15=C61)), )"),"")</f>
        <v/>
      </c>
      <c r="Y61" s="32">
        <f>IFERROR(__xludf.DUMMYFUNCTION("IFNA(SUM(FILTER('6 серия'!$B$6:$C$15,'6 серия'!$B$6:$B$15=C61)), )"),16.0)</f>
        <v>16</v>
      </c>
      <c r="Z61" s="32" t="str">
        <f>IFERROR(__xludf.DUMMYFUNCTION("IFNA(SUM(FILTER('7 серия'!$B$6:$C$15,'7 серия'!$B$6:$B$15=C61)), )"),"")</f>
        <v/>
      </c>
      <c r="AA61" s="32" t="str">
        <f>IFERROR(__xludf.DUMMYFUNCTION("IFNA(SUM(FILTER('8 серия'!$B$6:$C$15,'8 серия'!$B$6:$B$15=C61)), )"),"")</f>
        <v/>
      </c>
      <c r="AB61" s="32" t="str">
        <f>IFERROR(__xludf.DUMMYFUNCTION("IFNA(SUM(FILTER('9 серия'!$B$7:$C$16,'9 серия'!$B$7:$B$16=C61)), )"),"")</f>
        <v/>
      </c>
      <c r="AC61" s="32" t="str">
        <f>IFERROR(__xludf.DUMMYFUNCTION("IFNA(SUM(FILTER('10 серия'!$B$6:$C$15,'10 серия'!$B$6:$B$15=C61)), )"),"")</f>
        <v/>
      </c>
      <c r="AD61" s="32" t="str">
        <f>IFERROR(__xludf.DUMMYFUNCTION("IFNA(SUM(FILTER('11 серия'!$B$6:$C$15,'11 серия'!$B$6:$B$15=C61)), )"),"")</f>
        <v/>
      </c>
      <c r="AE61" s="32" t="str">
        <f>IFERROR(__xludf.DUMMYFUNCTION("IFNA(SUM(FILTER('12 серия'!$B$6:$C$15,'12 серия'!$B$6:$B$15=C61)), )"),"")</f>
        <v/>
      </c>
      <c r="AF61" s="32" t="str">
        <f>IFERROR(__xludf.DUMMYFUNCTION("IFNA(SUM(FILTER('13 серия'!$B$6:$C$15,'13 серия'!$B$6:$B$15=C61)), )"),"")</f>
        <v/>
      </c>
      <c r="AG61" s="32" t="str">
        <f>IFERROR(__xludf.DUMMYFUNCTION("IFNA(SUM(FILTER('14 серия'!$B$6:$C$15,'14 серия'!$B$6:$B$15=C61)), )"),"")</f>
        <v/>
      </c>
      <c r="AH61" s="32" t="str">
        <f>IFERROR(__xludf.DUMMYFUNCTION("IFNA(SUM(FILTER('15 серия'!$B$6:$C$15,'15 серия'!$B$6:$B$15=C61)), )"),"")</f>
        <v/>
      </c>
      <c r="AI61" s="32">
        <f>IFERROR(__xludf.DUMMYFUNCTION("IFNA(SUM(FILTER('16 серия'!$B$6:$C$15,'16 серия'!$B$6:$B$15=C61)), )"),17.0)</f>
        <v>17</v>
      </c>
      <c r="AJ61" s="32" t="str">
        <f>IFERROR(__xludf.DUMMYFUNCTION("IFNA(SUM(FILTER('17 серия'!$B$6:$C$15,'17 серия'!$B$6:$B$15=C61)), )"),"")</f>
        <v/>
      </c>
      <c r="AK61" s="32">
        <f>IFERROR(__xludf.DUMMYFUNCTION("IFNA(SUM(FILTER('18 серия'!$B$6:$C$15,'18 серия'!$B$6:$B$15=C61)), )"),24.25)</f>
        <v>24.25</v>
      </c>
      <c r="AL61" s="32" t="str">
        <f>IFERROR(__xludf.DUMMYFUNCTION("IFNA(SUM(FILTER('19 серия'!$B$6:$C$15,'19 серия'!$B$6:$B$15=C61)), )"),"")</f>
        <v/>
      </c>
      <c r="AM61" s="32" t="str">
        <f>IFERROR(__xludf.DUMMYFUNCTION("IFNA(SUM(FILTER('20 серия'!$B$6:$C$15,'20 серия'!$B$6:$B$15=C61)), )"),"")</f>
        <v/>
      </c>
      <c r="AN61" s="32" t="str">
        <f>IFERROR(__xludf.DUMMYFUNCTION("IFNA(SUM(FILTER('21 серия'!$B$6:$C$15,'21 серия'!$B$6:$B$15=C61)), )"),"")</f>
        <v/>
      </c>
      <c r="AO61" s="32" t="str">
        <f>IFERROR(__xludf.DUMMYFUNCTION("IFNA(SUM(FILTER('22 серия'!$B$6:$C$15,'22 серия'!$B$6:$B$15=C61)), )"),"")</f>
        <v/>
      </c>
      <c r="AP61" s="32" t="str">
        <f>IFERROR(__xludf.DUMMYFUNCTION("IFNA(SUM(FILTER('23 серия'!$B$6:$C$15,'23 серия'!$B$6:$B$15=C61)), )"),"")</f>
        <v/>
      </c>
      <c r="AQ61" s="32" t="str">
        <f>IFERROR(__xludf.DUMMYFUNCTION("IFNA(SUM(FILTER('24 серия'!$B$6:$C$15,'24 серия'!$B$6:$B$15=C61)), )"),"")</f>
        <v/>
      </c>
      <c r="AR61" s="32" t="str">
        <f>IFERROR(__xludf.DUMMYFUNCTION("IFNA(SUM(FILTER('25 серия'!$B$6:$C$15,'25 серия'!$B$6:$B$15=C61)), )"),"")</f>
        <v/>
      </c>
      <c r="AS61" s="32" t="str">
        <f>IFERROR(__xludf.DUMMYFUNCTION("IFNA(SUM(FILTER('26 серия'!$B$6:$C$15,'26 серия'!$B$6:$B$15=C61)), )"),"")</f>
        <v/>
      </c>
      <c r="AT61" s="32" t="str">
        <f>IFERROR(__xludf.DUMMYFUNCTION("IFNA(SUM(FILTER('27 серия'!$B$6:$C$15,'27 серия'!$B$6:$B$15=C61)), )"),"")</f>
        <v/>
      </c>
      <c r="AU61" s="32" t="str">
        <f>IFERROR(__xludf.DUMMYFUNCTION("IFNA(SUM(FILTER('28 серия'!$B$6:$C$15,'28 серия'!$B$6:$B$15=C61)), )"),"")</f>
        <v/>
      </c>
      <c r="AV61" s="32" t="str">
        <f>IFERROR(__xludf.DUMMYFUNCTION("IFNA(SUM(FILTER('29 серия'!$B$6:$C$15,'29 серия'!$B$6:$B$15=C61)), )"),"")</f>
        <v/>
      </c>
      <c r="AW61" s="32" t="str">
        <f>IFERROR(__xludf.DUMMYFUNCTION("IFNA(SUM(FILTER('30 серия'!$B$6:$C$15,'30 серия'!$B$6:$B$15=C61)), )"),"")</f>
        <v/>
      </c>
      <c r="AX61" s="32" t="str">
        <f>IFERROR(__xludf.DUMMYFUNCTION("IFNA(SUM(FILTER('31 серия'!$B$6:$C$15,'31 серия'!$B$6:$B$15=C61)), )"),"")</f>
        <v/>
      </c>
      <c r="AY61" s="32" t="str">
        <f>IFERROR(__xludf.DUMMYFUNCTION("IFNA(SUM(FILTER('32 серия'!$B$6:$C$15,'32 серия'!$B$6:$B$15=C61)), )"),"")</f>
        <v/>
      </c>
      <c r="AZ61" s="32">
        <f>IFERROR(__xludf.DUMMYFUNCTION("IFNA(SUM(FILTER('33 серия'!$B$6:$C$15,'33 серия'!$B$6:$B$15=C61)), )"),13.0)</f>
        <v>13</v>
      </c>
      <c r="BA61" s="32">
        <f>IFERROR(__xludf.DUMMYFUNCTION("IFNA(SUM(FILTER('34 серия'!$B$6:$C$15,'34 серия'!$B$6:$B$15=C61)), )"),24.75)</f>
        <v>24.75</v>
      </c>
      <c r="BB61" s="32" t="str">
        <f>IFERROR(__xludf.DUMMYFUNCTION("IFNA(SUM(FILTER('35 серия'!$B$6:$C$15,'35 серия'!$B$6:$B$15=C61)), )"),"")</f>
        <v/>
      </c>
      <c r="BC61" s="32" t="str">
        <f>IFERROR(__xludf.DUMMYFUNCTION("IFNA(SUM(FILTER('36 серия'!$B$6:$C$15,'36 серия'!$B$6:$B$15=C61)), )"),"")</f>
        <v/>
      </c>
      <c r="BD61" s="32" t="str">
        <f>IFERROR(__xludf.DUMMYFUNCTION("IFNA(SUM(FILTER('37 серия'!$B$6:$C$15,'37 серия'!$B$6:$B$15=C61)), )"),"")</f>
        <v/>
      </c>
      <c r="BE61" s="32">
        <f>IFERROR(__xludf.DUMMYFUNCTION("IFNA(SUM(FILTER('38 серия'!$B$6:$C$15,'38 серия'!$B$6:$B$15=C61)), )"),25.0)</f>
        <v>25</v>
      </c>
      <c r="BF61" s="32" t="str">
        <f>IFERROR(__xludf.DUMMYFUNCTION("IFNA(SUM(FILTER('39 серия'!$B$6:$C$15,'39 серия'!$B$6:$B$15=C61)), )"),"")</f>
        <v/>
      </c>
      <c r="BG61" s="32" t="str">
        <f>IFERROR(__xludf.DUMMYFUNCTION("IFNA(SUM(FILTER('40 серия'!$B$6:$C$15,'40 серия'!$B$6:$B$15=C61)), )"),"")</f>
        <v/>
      </c>
      <c r="BH61" s="32">
        <f>IFERROR(__xludf.DUMMYFUNCTION("IFNA(SUM(FILTER('41 серия'!$B$6:$C$15,'41 серия'!$B$6:$B$15=C61)), )"),21.5)</f>
        <v>21.5</v>
      </c>
      <c r="BI61" s="32" t="str">
        <f>IFERROR(__xludf.DUMMYFUNCTION("IFNA(SUM(FILTER('42 серия'!$B$6:$C$15,'42 серия'!$B$6:$B$15=C61)), )"),"")</f>
        <v/>
      </c>
      <c r="BJ61" s="32" t="str">
        <f>IFERROR(__xludf.DUMMYFUNCTION("IFNA(SUM(FILTER('43 серия'!$B$6:$C$15,'43 серия'!$B$6:$B$15=C61)), )"),"")</f>
        <v/>
      </c>
      <c r="BK61" s="32" t="str">
        <f>IFERROR(__xludf.DUMMYFUNCTION("IFNA(SUM(FILTER('44 серия'!$B$6:$C$15,'44 серия'!$B$6:$B$15=C61)), )"),"")</f>
        <v/>
      </c>
      <c r="BL61" s="32" t="str">
        <f>IFERROR(__xludf.DUMMYFUNCTION("IFNA(SUM(FILTER('45 серия'!$B$6:$C$15,'45 серия'!$B$6:$B$15=C61)), )"),"")</f>
        <v/>
      </c>
      <c r="BM61" s="32" t="str">
        <f>IFERROR(__xludf.DUMMYFUNCTION("IFNA(SUM(FILTER('46 серия'!$B$6:$C$15,'46 серия'!$B$6:$B$15=C61)), )"),"")</f>
        <v/>
      </c>
      <c r="BN61" s="32" t="str">
        <f>IFERROR(__xludf.DUMMYFUNCTION("IFNA(SUM(FILTER('47 серия'!$B$6:$C$15,'47 серия'!$B$6:$B$15=C61)), )"),"")</f>
        <v/>
      </c>
      <c r="BO61" s="42" t="str">
        <f>IFERROR(__xludf.DUMMYFUNCTION("IFNA(SUM(FILTER('48 серия'!$B$6:$C$15,'48 серия'!$B$6:$B$15=$C61)), )"),"")</f>
        <v/>
      </c>
      <c r="BP61" s="43" t="str">
        <f>IFERROR(__xludf.DUMMYFUNCTION("IFNA(SUM(FILTER('49 серия'!$B$6:$C$15,'49 серия'!$B$6:$B$15=$C61)), )"),"")</f>
        <v/>
      </c>
      <c r="BQ61" s="43" t="str">
        <f>IFERROR(__xludf.DUMMYFUNCTION("IFNA(SUM(FILTER('50 серия'!$B$6:$C$15,'50 серия'!$B$6:$B$15=$C61)), )"),"")</f>
        <v/>
      </c>
      <c r="BR61" s="43" t="str">
        <f>IFERROR(__xludf.DUMMYFUNCTION("IFNA(SUM(FILTER('51 серия'!$B$6:$C$15,'51 серия'!$B$6:$B$15=$C61)), )"),"")</f>
        <v/>
      </c>
      <c r="BS61" s="49" t="str">
        <f>IFERROR(__xludf.DUMMYFUNCTION("IFNA(SUM(FILTER('52 серия'!$B$6:$C$15,'52 серия'!$B$6:$B$15=C61)), )"),"")</f>
        <v/>
      </c>
      <c r="BT61" s="32" t="str">
        <f>IFERROR(__xludf.DUMMYFUNCTION("IFNA(SUM(FILTER('53 серия'!$B$6:$C$15,'53 серия'!$B$6:$B$15=$C61)), )"),"")</f>
        <v/>
      </c>
      <c r="BU61" s="32" t="str">
        <f>IFERROR(__xludf.DUMMYFUNCTION("IFNA(SUM(FILTER('54 серия'!$B$6:$C$15,'54 серия'!$B$6:$B$15=$C61)), )"),"")</f>
        <v/>
      </c>
      <c r="BV61" s="32" t="str">
        <f>IFERROR(__xludf.DUMMYFUNCTION("IFNA(SUM(FILTER('55 серия'!$B$6:$C$15,'55 серия'!$B$6:$B$15=$C61)), )"),"")</f>
        <v/>
      </c>
      <c r="BW61" s="32">
        <f>IFERROR(__xludf.DUMMYFUNCTION("IFNA(SUM(FILTER('56 серия'!$B$6:$C$15,'56 серия'!$B$6:$B$15=$C61)), )"),20.25)</f>
        <v>20.25</v>
      </c>
      <c r="BX61" s="32" t="str">
        <f>IFERROR(__xludf.DUMMYFUNCTION("IFNA(SUM(FILTER('57 серия'!$B$6:$C$15,'57 серия'!$B$6:$B$15=$C61)), )"),"")</f>
        <v/>
      </c>
      <c r="BY61" s="32">
        <f>IFERROR(__xludf.DUMMYFUNCTION("IFNA(SUM(FILTER('58 серия'!$B$6:$C$15,'58 серия'!$B$6:$B$15=$C61)), )"),15.5)</f>
        <v>15.5</v>
      </c>
      <c r="BZ61" s="46" t="str">
        <f>IFERROR(__xludf.DUMMYFUNCTION("IFNA(SUM(FILTER('59 серия'!$B$6:$C$15,'59 серия'!$B$6:$B$15=C61)), )"),"")</f>
        <v/>
      </c>
      <c r="CA61" s="44" t="str">
        <f>IFERROR(__xludf.DUMMYFUNCTION("IFNA(SUM(FILTER('60 серия'!$B$6:$C$15,'60 серия'!$B$6:$B$15=$C61)), )"),"")</f>
        <v/>
      </c>
      <c r="CB61" s="4"/>
    </row>
    <row r="62" ht="18.75" customHeight="1">
      <c r="A62" s="10"/>
      <c r="B62" s="27">
        <f t="shared" si="1"/>
        <v>56</v>
      </c>
      <c r="C62" s="53" t="s">
        <v>134</v>
      </c>
      <c r="D62" s="29">
        <f>'Игроки статистика'!B60</f>
        <v>50</v>
      </c>
      <c r="E62" s="30">
        <f t="shared" si="2"/>
        <v>174.75</v>
      </c>
      <c r="F62" s="31">
        <f t="shared" si="3"/>
        <v>17.475</v>
      </c>
      <c r="G62" s="46">
        <f t="shared" si="4"/>
        <v>2.445</v>
      </c>
      <c r="H62" s="46">
        <f>SUMIFS('Все игры'!C$3:C1011,'Все игры'!A$3:A1011,C62)</f>
        <v>52.5</v>
      </c>
      <c r="I62" s="46">
        <f t="shared" si="5"/>
        <v>121.75</v>
      </c>
      <c r="J62" s="47">
        <f>SUMIFS('Все игры'!F$3:F1011,'Все игры'!A$3:A1011,C62)</f>
        <v>0</v>
      </c>
      <c r="K62" s="48">
        <f>SUMIFS('Все игры'!G$3:G1011,'Все игры'!A$3:A1011,C62)</f>
        <v>0.5</v>
      </c>
      <c r="L62" s="35">
        <f>'Игроки статистика'!G60</f>
        <v>1</v>
      </c>
      <c r="M62" s="36">
        <f t="shared" si="6"/>
        <v>21</v>
      </c>
      <c r="N62" s="36">
        <f>SUM('Игроки статистика'!O60,'Игроки статистика'!Q60)</f>
        <v>7</v>
      </c>
      <c r="O62" s="37">
        <f>SUM('Игроки статистика'!P60,'Игроки статистика'!R60)</f>
        <v>7</v>
      </c>
      <c r="P62" s="38" t="str">
        <f>IFERROR(__xludf.DUMMYFUNCTION("IFNA(SUM(FILTER('Штрафы'!$D$5:$D1011,'Штрафы'!$C$5:$C1011=C62)), )"),"")</f>
        <v/>
      </c>
      <c r="Q62" s="38" t="str">
        <f>IFERROR(__xludf.DUMMYFUNCTION("IFNA(SUM(FILTER('Штрафы'!$F$5:$F1011,'Штрафы'!$C$5:$C1011=C62)), )"),"")</f>
        <v/>
      </c>
      <c r="R62" s="39"/>
      <c r="S62" s="40"/>
      <c r="T62" s="31" t="str">
        <f>IFERROR(__xludf.DUMMYFUNCTION("IFNA(SUM(FILTER('1 серия'!$B$6:$C$15,'1 серия'!$B$6:$B$15=C62)), )"),"")</f>
        <v/>
      </c>
      <c r="U62" s="32" t="str">
        <f>IFERROR(__xludf.DUMMYFUNCTION("IFNA(SUM(FILTER('2 серия'!$B$6:$C$15,'2 серия'!$B$6:$B$15=C62)), )
"),"")</f>
        <v/>
      </c>
      <c r="V62" s="32" t="str">
        <f>IFERROR(__xludf.DUMMYFUNCTION("IFNA(SUM(FILTER('3 серия'!$B$6:$C$15,'3 серия'!$B$6:$B$15=C62)), )
"),"")</f>
        <v/>
      </c>
      <c r="W62" s="32" t="str">
        <f>IFERROR(__xludf.DUMMYFUNCTION("IFNA(SUM(FILTER('4 серия'!$B$6:$C$15,'4 серия'!$B$6:$B$15=C62)), )"),"")</f>
        <v/>
      </c>
      <c r="X62" s="32" t="str">
        <f>IFERROR(__xludf.DUMMYFUNCTION("IFNA(SUM(FILTER('5 серия'!$B$6:$C$15,'5 серия'!$B$6:$B$15=C62)), )"),"")</f>
        <v/>
      </c>
      <c r="Y62" s="32" t="str">
        <f>IFERROR(__xludf.DUMMYFUNCTION("IFNA(SUM(FILTER('6 серия'!$B$6:$C$15,'6 серия'!$B$6:$B$15=C62)), )"),"")</f>
        <v/>
      </c>
      <c r="Z62" s="32" t="str">
        <f>IFERROR(__xludf.DUMMYFUNCTION("IFNA(SUM(FILTER('7 серия'!$B$6:$C$15,'7 серия'!$B$6:$B$15=C62)), )"),"")</f>
        <v/>
      </c>
      <c r="AA62" s="32" t="str">
        <f>IFERROR(__xludf.DUMMYFUNCTION("IFNA(SUM(FILTER('8 серия'!$B$6:$C$15,'8 серия'!$B$6:$B$15=C62)), )"),"")</f>
        <v/>
      </c>
      <c r="AB62" s="32" t="str">
        <f>IFERROR(__xludf.DUMMYFUNCTION("IFNA(SUM(FILTER('9 серия'!$B$7:$C$16,'9 серия'!$B$7:$B$16=C62)), )"),"")</f>
        <v/>
      </c>
      <c r="AC62" s="32" t="str">
        <f>IFERROR(__xludf.DUMMYFUNCTION("IFNA(SUM(FILTER('10 серия'!$B$6:$C$15,'10 серия'!$B$6:$B$15=C62)), )"),"")</f>
        <v/>
      </c>
      <c r="AD62" s="32" t="str">
        <f>IFERROR(__xludf.DUMMYFUNCTION("IFNA(SUM(FILTER('11 серия'!$B$6:$C$15,'11 серия'!$B$6:$B$15=C62)), )"),"")</f>
        <v/>
      </c>
      <c r="AE62" s="32">
        <f>IFERROR(__xludf.DUMMYFUNCTION("IFNA(SUM(FILTER('12 серия'!$B$6:$C$15,'12 серия'!$B$6:$B$15=C62)), )"),18.75)</f>
        <v>18.75</v>
      </c>
      <c r="AF62" s="32" t="str">
        <f>IFERROR(__xludf.DUMMYFUNCTION("IFNA(SUM(FILTER('13 серия'!$B$6:$C$15,'13 серия'!$B$6:$B$15=C62)), )"),"")</f>
        <v/>
      </c>
      <c r="AG62" s="32" t="str">
        <f>IFERROR(__xludf.DUMMYFUNCTION("IFNA(SUM(FILTER('14 серия'!$B$6:$C$15,'14 серия'!$B$6:$B$15=C62)), )"),"")</f>
        <v/>
      </c>
      <c r="AH62" s="32" t="str">
        <f>IFERROR(__xludf.DUMMYFUNCTION("IFNA(SUM(FILTER('15 серия'!$B$6:$C$15,'15 серия'!$B$6:$B$15=C62)), )"),"")</f>
        <v/>
      </c>
      <c r="AI62" s="32" t="str">
        <f>IFERROR(__xludf.DUMMYFUNCTION("IFNA(SUM(FILTER('16 серия'!$B$6:$C$15,'16 серия'!$B$6:$B$15=C62)), )"),"")</f>
        <v/>
      </c>
      <c r="AJ62" s="32" t="str">
        <f>IFERROR(__xludf.DUMMYFUNCTION("IFNA(SUM(FILTER('17 серия'!$B$6:$C$15,'17 серия'!$B$6:$B$15=C62)), )"),"")</f>
        <v/>
      </c>
      <c r="AK62" s="32" t="str">
        <f>IFERROR(__xludf.DUMMYFUNCTION("IFNA(SUM(FILTER('18 серия'!$B$6:$C$15,'18 серия'!$B$6:$B$15=C62)), )"),"")</f>
        <v/>
      </c>
      <c r="AL62" s="32">
        <f>IFERROR(__xludf.DUMMYFUNCTION("IFNA(SUM(FILTER('19 серия'!$B$6:$C$15,'19 серия'!$B$6:$B$15=C62)), )"),18.25)</f>
        <v>18.25</v>
      </c>
      <c r="AM62" s="32" t="str">
        <f>IFERROR(__xludf.DUMMYFUNCTION("IFNA(SUM(FILTER('20 серия'!$B$6:$C$15,'20 серия'!$B$6:$B$15=C62)), )"),"")</f>
        <v/>
      </c>
      <c r="AN62" s="32" t="str">
        <f>IFERROR(__xludf.DUMMYFUNCTION("IFNA(SUM(FILTER('21 серия'!$B$6:$C$15,'21 серия'!$B$6:$B$15=C62)), )"),"")</f>
        <v/>
      </c>
      <c r="AO62" s="32" t="str">
        <f>IFERROR(__xludf.DUMMYFUNCTION("IFNA(SUM(FILTER('22 серия'!$B$6:$C$15,'22 серия'!$B$6:$B$15=C62)), )"),"")</f>
        <v/>
      </c>
      <c r="AP62" s="32" t="str">
        <f>IFERROR(__xludf.DUMMYFUNCTION("IFNA(SUM(FILTER('23 серия'!$B$6:$C$15,'23 серия'!$B$6:$B$15=C62)), )"),"")</f>
        <v/>
      </c>
      <c r="AQ62" s="32" t="str">
        <f>IFERROR(__xludf.DUMMYFUNCTION("IFNA(SUM(FILTER('24 серия'!$B$6:$C$15,'24 серия'!$B$6:$B$15=C62)), )"),"")</f>
        <v/>
      </c>
      <c r="AR62" s="32" t="str">
        <f>IFERROR(__xludf.DUMMYFUNCTION("IFNA(SUM(FILTER('25 серия'!$B$6:$C$15,'25 серия'!$B$6:$B$15=C62)), )"),"")</f>
        <v/>
      </c>
      <c r="AS62" s="32" t="str">
        <f>IFERROR(__xludf.DUMMYFUNCTION("IFNA(SUM(FILTER('26 серия'!$B$6:$C$15,'26 серия'!$B$6:$B$15=C62)), )"),"")</f>
        <v/>
      </c>
      <c r="AT62" s="32">
        <f>IFERROR(__xludf.DUMMYFUNCTION("IFNA(SUM(FILTER('27 серия'!$B$6:$C$15,'27 серия'!$B$6:$B$15=C62)), )"),9.25)</f>
        <v>9.25</v>
      </c>
      <c r="AU62" s="32" t="str">
        <f>IFERROR(__xludf.DUMMYFUNCTION("IFNA(SUM(FILTER('28 серия'!$B$6:$C$15,'28 серия'!$B$6:$B$15=C62)), )"),"")</f>
        <v/>
      </c>
      <c r="AV62" s="32" t="str">
        <f>IFERROR(__xludf.DUMMYFUNCTION("IFNA(SUM(FILTER('29 серия'!$B$6:$C$15,'29 серия'!$B$6:$B$15=C62)), )"),"")</f>
        <v/>
      </c>
      <c r="AW62" s="32" t="str">
        <f>IFERROR(__xludf.DUMMYFUNCTION("IFNA(SUM(FILTER('30 серия'!$B$6:$C$15,'30 серия'!$B$6:$B$15=C62)), )"),"")</f>
        <v/>
      </c>
      <c r="AX62" s="32" t="str">
        <f>IFERROR(__xludf.DUMMYFUNCTION("IFNA(SUM(FILTER('31 серия'!$B$6:$C$15,'31 серия'!$B$6:$B$15=C62)), )"),"")</f>
        <v/>
      </c>
      <c r="AY62" s="32" t="str">
        <f>IFERROR(__xludf.DUMMYFUNCTION("IFNA(SUM(FILTER('32 серия'!$B$6:$C$15,'32 серия'!$B$6:$B$15=C62)), )"),"")</f>
        <v/>
      </c>
      <c r="AZ62" s="32" t="str">
        <f>IFERROR(__xludf.DUMMYFUNCTION("IFNA(SUM(FILTER('33 серия'!$B$6:$C$15,'33 серия'!$B$6:$B$15=C62)), )"),"")</f>
        <v/>
      </c>
      <c r="BA62" s="32" t="str">
        <f>IFERROR(__xludf.DUMMYFUNCTION("IFNA(SUM(FILTER('34 серия'!$B$6:$C$15,'34 серия'!$B$6:$B$15=C62)), )"),"")</f>
        <v/>
      </c>
      <c r="BB62" s="32" t="str">
        <f>IFERROR(__xludf.DUMMYFUNCTION("IFNA(SUM(FILTER('35 серия'!$B$6:$C$15,'35 серия'!$B$6:$B$15=C62)), )"),"")</f>
        <v/>
      </c>
      <c r="BC62" s="32" t="str">
        <f>IFERROR(__xludf.DUMMYFUNCTION("IFNA(SUM(FILTER('36 серия'!$B$6:$C$15,'36 серия'!$B$6:$B$15=C62)), )"),"")</f>
        <v/>
      </c>
      <c r="BD62" s="32" t="str">
        <f>IFERROR(__xludf.DUMMYFUNCTION("IFNA(SUM(FILTER('37 серия'!$B$6:$C$15,'37 серия'!$B$6:$B$15=C62)), )"),"")</f>
        <v/>
      </c>
      <c r="BE62" s="32" t="str">
        <f>IFERROR(__xludf.DUMMYFUNCTION("IFNA(SUM(FILTER('38 серия'!$B$6:$C$15,'38 серия'!$B$6:$B$15=C62)), )"),"")</f>
        <v/>
      </c>
      <c r="BF62" s="32" t="str">
        <f>IFERROR(__xludf.DUMMYFUNCTION("IFNA(SUM(FILTER('39 серия'!$B$6:$C$15,'39 серия'!$B$6:$B$15=C62)), )"),"")</f>
        <v/>
      </c>
      <c r="BG62" s="32" t="str">
        <f>IFERROR(__xludf.DUMMYFUNCTION("IFNA(SUM(FILTER('40 серия'!$B$6:$C$15,'40 серия'!$B$6:$B$15=C62)), )"),"")</f>
        <v/>
      </c>
      <c r="BH62" s="32">
        <f>IFERROR(__xludf.DUMMYFUNCTION("IFNA(SUM(FILTER('41 серия'!$B$6:$C$15,'41 серия'!$B$6:$B$15=C62)), )"),15.75)</f>
        <v>15.75</v>
      </c>
      <c r="BI62" s="32" t="str">
        <f>IFERROR(__xludf.DUMMYFUNCTION("IFNA(SUM(FILTER('42 серия'!$B$6:$C$15,'42 серия'!$B$6:$B$15=C62)), )"),"")</f>
        <v/>
      </c>
      <c r="BJ62" s="32" t="str">
        <f>IFERROR(__xludf.DUMMYFUNCTION("IFNA(SUM(FILTER('43 серия'!$B$6:$C$15,'43 серия'!$B$6:$B$15=C62)), )"),"")</f>
        <v/>
      </c>
      <c r="BK62" s="32" t="str">
        <f>IFERROR(__xludf.DUMMYFUNCTION("IFNA(SUM(FILTER('44 серия'!$B$6:$C$15,'44 серия'!$B$6:$B$15=C62)), )"),"")</f>
        <v/>
      </c>
      <c r="BL62" s="32" t="str">
        <f>IFERROR(__xludf.DUMMYFUNCTION("IFNA(SUM(FILTER('45 серия'!$B$6:$C$15,'45 серия'!$B$6:$B$15=C62)), )"),"")</f>
        <v/>
      </c>
      <c r="BM62" s="32" t="str">
        <f>IFERROR(__xludf.DUMMYFUNCTION("IFNA(SUM(FILTER('46 серия'!$B$6:$C$15,'46 серия'!$B$6:$B$15=C62)), )"),"")</f>
        <v/>
      </c>
      <c r="BN62" s="32">
        <f>IFERROR(__xludf.DUMMYFUNCTION("IFNA(SUM(FILTER('47 серия'!$B$6:$C$15,'47 серия'!$B$6:$B$15=C62)), )"),24.0)</f>
        <v>24</v>
      </c>
      <c r="BO62" s="42" t="str">
        <f>IFERROR(__xludf.DUMMYFUNCTION("IFNA(SUM(FILTER('48 серия'!$B$6:$C$15,'48 серия'!$B$6:$B$15=$C62)), )"),"")</f>
        <v/>
      </c>
      <c r="BP62" s="43" t="str">
        <f>IFERROR(__xludf.DUMMYFUNCTION("IFNA(SUM(FILTER('49 серия'!$B$6:$C$15,'49 серия'!$B$6:$B$15=$C62)), )"),"")</f>
        <v/>
      </c>
      <c r="BQ62" s="43">
        <f>IFERROR(__xludf.DUMMYFUNCTION("IFNA(SUM(FILTER('50 серия'!$B$6:$C$15,'50 серия'!$B$6:$B$15=$C62)), )"),19.25)</f>
        <v>19.25</v>
      </c>
      <c r="BR62" s="43" t="str">
        <f>IFERROR(__xludf.DUMMYFUNCTION("IFNA(SUM(FILTER('51 серия'!$B$6:$C$15,'51 серия'!$B$6:$B$15=$C62)), )"),"")</f>
        <v/>
      </c>
      <c r="BS62" s="49" t="str">
        <f>IFERROR(__xludf.DUMMYFUNCTION("IFNA(SUM(FILTER('52 серия'!$B$6:$C$15,'52 серия'!$B$6:$B$15=C62)), )"),"")</f>
        <v/>
      </c>
      <c r="BT62" s="32" t="str">
        <f>IFERROR(__xludf.DUMMYFUNCTION("IFNA(SUM(FILTER('53 серия'!$B$6:$C$15,'53 серия'!$B$6:$B$15=$C62)), )"),"")</f>
        <v/>
      </c>
      <c r="BU62" s="32" t="str">
        <f>IFERROR(__xludf.DUMMYFUNCTION("IFNA(SUM(FILTER('54 серия'!$B$6:$C$15,'54 серия'!$B$6:$B$15=$C62)), )"),"")</f>
        <v/>
      </c>
      <c r="BV62" s="32">
        <f>IFERROR(__xludf.DUMMYFUNCTION("IFNA(SUM(FILTER('55 серия'!$B$6:$C$15,'55 серия'!$B$6:$B$15=$C62)), )"),16.0)</f>
        <v>16</v>
      </c>
      <c r="BW62" s="32" t="str">
        <f>IFERROR(__xludf.DUMMYFUNCTION("IFNA(SUM(FILTER('56 серия'!$B$6:$C$15,'56 серия'!$B$6:$B$15=$C62)), )"),"")</f>
        <v/>
      </c>
      <c r="BX62" s="32" t="str">
        <f>IFERROR(__xludf.DUMMYFUNCTION("IFNA(SUM(FILTER('57 серия'!$B$6:$C$15,'57 серия'!$B$6:$B$15=$C62)), )"),"")</f>
        <v/>
      </c>
      <c r="BY62" s="32">
        <f>IFERROR(__xludf.DUMMYFUNCTION("IFNA(SUM(FILTER('58 серия'!$B$6:$C$15,'58 серия'!$B$6:$B$15=$C62)), )"),13.0)</f>
        <v>13</v>
      </c>
      <c r="BZ62" s="46">
        <f>IFERROR(__xludf.DUMMYFUNCTION("IFNA(SUM(FILTER('59 серия'!$B$6:$C$15,'59 серия'!$B$6:$B$15=C62)), )"),21.5)</f>
        <v>21.5</v>
      </c>
      <c r="CA62" s="44">
        <f>IFERROR(__xludf.DUMMYFUNCTION("IFNA(SUM(FILTER('60 серия'!$B$6:$C$15,'60 серия'!$B$6:$B$15=$C62)), )"),19.0)</f>
        <v>19</v>
      </c>
      <c r="CB62" s="4"/>
    </row>
    <row r="63">
      <c r="A63" s="10"/>
      <c r="B63" s="27">
        <f t="shared" si="1"/>
        <v>57</v>
      </c>
      <c r="C63" s="54" t="s">
        <v>135</v>
      </c>
      <c r="D63" s="29">
        <f>'Игроки статистика'!B61</f>
        <v>50</v>
      </c>
      <c r="E63" s="30">
        <f t="shared" si="2"/>
        <v>194.25</v>
      </c>
      <c r="F63" s="31">
        <f t="shared" si="3"/>
        <v>19.425</v>
      </c>
      <c r="G63" s="46">
        <f t="shared" si="4"/>
        <v>2.635</v>
      </c>
      <c r="H63" s="46">
        <f>SUMIFS('Все игры'!C$3:C1011,'Все игры'!A$3:A1011,C63)</f>
        <v>62.5</v>
      </c>
      <c r="I63" s="46">
        <f t="shared" si="5"/>
        <v>130.75</v>
      </c>
      <c r="J63" s="47">
        <f>SUMIFS('Все игры'!F$3:F1011,'Все игры'!A$3:A1011,C63)</f>
        <v>0</v>
      </c>
      <c r="K63" s="48">
        <f>SUMIFS('Все игры'!G$3:G1011,'Все игры'!A$3:A1011,C63)</f>
        <v>1</v>
      </c>
      <c r="L63" s="35">
        <f>'Игроки статистика'!G61</f>
        <v>2</v>
      </c>
      <c r="M63" s="36">
        <f t="shared" si="6"/>
        <v>25</v>
      </c>
      <c r="N63" s="36">
        <f>SUM('Игроки статистика'!O61,'Игроки статистика'!Q61)</f>
        <v>7</v>
      </c>
      <c r="O63" s="37">
        <f>SUM('Игроки статистика'!P61,'Игроки статистика'!R61)</f>
        <v>6</v>
      </c>
      <c r="P63" s="38" t="str">
        <f>IFERROR(__xludf.DUMMYFUNCTION("IFNA(SUM(FILTER('Штрафы'!$D$5:$D1011,'Штрафы'!$C$5:$C1011=C63)), )"),"")</f>
        <v/>
      </c>
      <c r="Q63" s="38" t="str">
        <f>IFERROR(__xludf.DUMMYFUNCTION("IFNA(SUM(FILTER('Штрафы'!$F$5:$F1011,'Штрафы'!$C$5:$C1011=C63)), )"),"")</f>
        <v/>
      </c>
      <c r="R63" s="39"/>
      <c r="S63" s="40"/>
      <c r="T63" s="31" t="str">
        <f>IFERROR(__xludf.DUMMYFUNCTION("IFNA(SUM(FILTER('1 серия'!$B$6:$C$15,'1 серия'!$B$6:$B$15=C63)), )"),"")</f>
        <v/>
      </c>
      <c r="U63" s="32">
        <f>IFERROR(__xludf.DUMMYFUNCTION("IFNA(SUM(FILTER('2 серия'!$B$6:$C$15,'2 серия'!$B$6:$B$15=C63)), )
"),18.0)</f>
        <v>18</v>
      </c>
      <c r="V63" s="32" t="str">
        <f>IFERROR(__xludf.DUMMYFUNCTION("IFNA(SUM(FILTER('3 серия'!$B$6:$C$15,'3 серия'!$B$6:$B$15=C63)), )
"),"")</f>
        <v/>
      </c>
      <c r="W63" s="32">
        <f>IFERROR(__xludf.DUMMYFUNCTION("IFNA(SUM(FILTER('4 серия'!$B$6:$C$15,'4 серия'!$B$6:$B$15=C63)), )"),19.0)</f>
        <v>19</v>
      </c>
      <c r="X63" s="32" t="str">
        <f>IFERROR(__xludf.DUMMYFUNCTION("IFNA(SUM(FILTER('5 серия'!$B$6:$C$15,'5 серия'!$B$6:$B$15=C63)), )"),"")</f>
        <v/>
      </c>
      <c r="Y63" s="32" t="str">
        <f>IFERROR(__xludf.DUMMYFUNCTION("IFNA(SUM(FILTER('6 серия'!$B$6:$C$15,'6 серия'!$B$6:$B$15=C63)), )"),"")</f>
        <v/>
      </c>
      <c r="Z63" s="32" t="str">
        <f>IFERROR(__xludf.DUMMYFUNCTION("IFNA(SUM(FILTER('7 серия'!$B$6:$C$15,'7 серия'!$B$6:$B$15=C63)), )"),"")</f>
        <v/>
      </c>
      <c r="AA63" s="32" t="str">
        <f>IFERROR(__xludf.DUMMYFUNCTION("IFNA(SUM(FILTER('8 серия'!$B$6:$C$15,'8 серия'!$B$6:$B$15=C63)), )"),"")</f>
        <v/>
      </c>
      <c r="AB63" s="32" t="str">
        <f>IFERROR(__xludf.DUMMYFUNCTION("IFNA(SUM(FILTER('9 серия'!$B$7:$C$16,'9 серия'!$B$7:$B$16=C63)), )"),"")</f>
        <v/>
      </c>
      <c r="AC63" s="32" t="str">
        <f>IFERROR(__xludf.DUMMYFUNCTION("IFNA(SUM(FILTER('10 серия'!$B$6:$C$15,'10 серия'!$B$6:$B$15=C63)), )"),"")</f>
        <v/>
      </c>
      <c r="AD63" s="32" t="str">
        <f>IFERROR(__xludf.DUMMYFUNCTION("IFNA(SUM(FILTER('11 серия'!$B$6:$C$15,'11 серия'!$B$6:$B$15=C63)), )"),"")</f>
        <v/>
      </c>
      <c r="AE63" s="32" t="str">
        <f>IFERROR(__xludf.DUMMYFUNCTION("IFNA(SUM(FILTER('12 серия'!$B$6:$C$15,'12 серия'!$B$6:$B$15=C63)), )"),"")</f>
        <v/>
      </c>
      <c r="AF63" s="32" t="str">
        <f>IFERROR(__xludf.DUMMYFUNCTION("IFNA(SUM(FILTER('13 серия'!$B$6:$C$15,'13 серия'!$B$6:$B$15=C63)), )"),"")</f>
        <v/>
      </c>
      <c r="AG63" s="32" t="str">
        <f>IFERROR(__xludf.DUMMYFUNCTION("IFNA(SUM(FILTER('14 серия'!$B$6:$C$15,'14 серия'!$B$6:$B$15=C63)), )"),"")</f>
        <v/>
      </c>
      <c r="AH63" s="32" t="str">
        <f>IFERROR(__xludf.DUMMYFUNCTION("IFNA(SUM(FILTER('15 серия'!$B$6:$C$15,'15 серия'!$B$6:$B$15=C63)), )"),"")</f>
        <v/>
      </c>
      <c r="AI63" s="32" t="str">
        <f>IFERROR(__xludf.DUMMYFUNCTION("IFNA(SUM(FILTER('16 серия'!$B$6:$C$15,'16 серия'!$B$6:$B$15=C63)), )"),"")</f>
        <v/>
      </c>
      <c r="AJ63" s="32" t="str">
        <f>IFERROR(__xludf.DUMMYFUNCTION("IFNA(SUM(FILTER('17 серия'!$B$6:$C$15,'17 серия'!$B$6:$B$15=C63)), )"),"")</f>
        <v/>
      </c>
      <c r="AK63" s="32" t="str">
        <f>IFERROR(__xludf.DUMMYFUNCTION("IFNA(SUM(FILTER('18 серия'!$B$6:$C$15,'18 серия'!$B$6:$B$15=C63)), )"),"")</f>
        <v/>
      </c>
      <c r="AL63" s="32">
        <f>IFERROR(__xludf.DUMMYFUNCTION("IFNA(SUM(FILTER('19 серия'!$B$6:$C$15,'19 серия'!$B$6:$B$15=C63)), )"),22.25)</f>
        <v>22.25</v>
      </c>
      <c r="AM63" s="32" t="str">
        <f>IFERROR(__xludf.DUMMYFUNCTION("IFNA(SUM(FILTER('20 серия'!$B$6:$C$15,'20 серия'!$B$6:$B$15=C63)), )"),"")</f>
        <v/>
      </c>
      <c r="AN63" s="32" t="str">
        <f>IFERROR(__xludf.DUMMYFUNCTION("IFNA(SUM(FILTER('21 серия'!$B$6:$C$15,'21 серия'!$B$6:$B$15=C63)), )"),"")</f>
        <v/>
      </c>
      <c r="AO63" s="32" t="str">
        <f>IFERROR(__xludf.DUMMYFUNCTION("IFNA(SUM(FILTER('22 серия'!$B$6:$C$15,'22 серия'!$B$6:$B$15=C63)), )"),"")</f>
        <v/>
      </c>
      <c r="AP63" s="32">
        <f>IFERROR(__xludf.DUMMYFUNCTION("IFNA(SUM(FILTER('23 серия'!$B$6:$C$15,'23 серия'!$B$6:$B$15=C63)), )"),17.25)</f>
        <v>17.25</v>
      </c>
      <c r="AQ63" s="32" t="str">
        <f>IFERROR(__xludf.DUMMYFUNCTION("IFNA(SUM(FILTER('24 серия'!$B$6:$C$15,'24 серия'!$B$6:$B$15=C63)), )"),"")</f>
        <v/>
      </c>
      <c r="AR63" s="32" t="str">
        <f>IFERROR(__xludf.DUMMYFUNCTION("IFNA(SUM(FILTER('25 серия'!$B$6:$C$15,'25 серия'!$B$6:$B$15=C63)), )"),"")</f>
        <v/>
      </c>
      <c r="AS63" s="32" t="str">
        <f>IFERROR(__xludf.DUMMYFUNCTION("IFNA(SUM(FILTER('26 серия'!$B$6:$C$15,'26 серия'!$B$6:$B$15=C63)), )"),"")</f>
        <v/>
      </c>
      <c r="AT63" s="32">
        <f>IFERROR(__xludf.DUMMYFUNCTION("IFNA(SUM(FILTER('27 серия'!$B$6:$C$15,'27 серия'!$B$6:$B$15=C63)), )"),14.75)</f>
        <v>14.75</v>
      </c>
      <c r="AU63" s="32" t="str">
        <f>IFERROR(__xludf.DUMMYFUNCTION("IFNA(SUM(FILTER('28 серия'!$B$6:$C$15,'28 серия'!$B$6:$B$15=C63)), )"),"")</f>
        <v/>
      </c>
      <c r="AV63" s="32" t="str">
        <f>IFERROR(__xludf.DUMMYFUNCTION("IFNA(SUM(FILTER('29 серия'!$B$6:$C$15,'29 серия'!$B$6:$B$15=C63)), )"),"")</f>
        <v/>
      </c>
      <c r="AW63" s="32">
        <f>IFERROR(__xludf.DUMMYFUNCTION("IFNA(SUM(FILTER('30 серия'!$B$6:$C$15,'30 серия'!$B$6:$B$15=C63)), )"),19.5)</f>
        <v>19.5</v>
      </c>
      <c r="AX63" s="32" t="str">
        <f>IFERROR(__xludf.DUMMYFUNCTION("IFNA(SUM(FILTER('31 серия'!$B$6:$C$15,'31 серия'!$B$6:$B$15=C63)), )"),"")</f>
        <v/>
      </c>
      <c r="AY63" s="32" t="str">
        <f>IFERROR(__xludf.DUMMYFUNCTION("IFNA(SUM(FILTER('32 серия'!$B$6:$C$15,'32 серия'!$B$6:$B$15=C63)), )"),"")</f>
        <v/>
      </c>
      <c r="AZ63" s="32" t="str">
        <f>IFERROR(__xludf.DUMMYFUNCTION("IFNA(SUM(FILTER('33 серия'!$B$6:$C$15,'33 серия'!$B$6:$B$15=C63)), )"),"")</f>
        <v/>
      </c>
      <c r="BA63" s="32" t="str">
        <f>IFERROR(__xludf.DUMMYFUNCTION("IFNA(SUM(FILTER('34 серия'!$B$6:$C$15,'34 серия'!$B$6:$B$15=C63)), )"),"")</f>
        <v/>
      </c>
      <c r="BB63" s="32" t="str">
        <f>IFERROR(__xludf.DUMMYFUNCTION("IFNA(SUM(FILTER('35 серия'!$B$6:$C$15,'35 серия'!$B$6:$B$15=C63)), )"),"")</f>
        <v/>
      </c>
      <c r="BC63" s="32" t="str">
        <f>IFERROR(__xludf.DUMMYFUNCTION("IFNA(SUM(FILTER('36 серия'!$B$6:$C$15,'36 серия'!$B$6:$B$15=C63)), )"),"")</f>
        <v/>
      </c>
      <c r="BD63" s="32">
        <f>IFERROR(__xludf.DUMMYFUNCTION("IFNA(SUM(FILTER('37 серия'!$B$6:$C$15,'37 серия'!$B$6:$B$15=C63)), )"),21.25)</f>
        <v>21.25</v>
      </c>
      <c r="BE63" s="32" t="str">
        <f>IFERROR(__xludf.DUMMYFUNCTION("IFNA(SUM(FILTER('38 серия'!$B$6:$C$15,'38 серия'!$B$6:$B$15=C63)), )"),"")</f>
        <v/>
      </c>
      <c r="BF63" s="32" t="str">
        <f>IFERROR(__xludf.DUMMYFUNCTION("IFNA(SUM(FILTER('39 серия'!$B$6:$C$15,'39 серия'!$B$6:$B$15=C63)), )"),"")</f>
        <v/>
      </c>
      <c r="BG63" s="32" t="str">
        <f>IFERROR(__xludf.DUMMYFUNCTION("IFNA(SUM(FILTER('40 серия'!$B$6:$C$15,'40 серия'!$B$6:$B$15=C63)), )"),"")</f>
        <v/>
      </c>
      <c r="BH63" s="32" t="str">
        <f>IFERROR(__xludf.DUMMYFUNCTION("IFNA(SUM(FILTER('41 серия'!$B$6:$C$15,'41 серия'!$B$6:$B$15=C63)), )"),"")</f>
        <v/>
      </c>
      <c r="BI63" s="32" t="str">
        <f>IFERROR(__xludf.DUMMYFUNCTION("IFNA(SUM(FILTER('42 серия'!$B$6:$C$15,'42 серия'!$B$6:$B$15=C63)), )"),"")</f>
        <v/>
      </c>
      <c r="BJ63" s="32" t="str">
        <f>IFERROR(__xludf.DUMMYFUNCTION("IFNA(SUM(FILTER('43 серия'!$B$6:$C$15,'43 серия'!$B$6:$B$15=C63)), )"),"")</f>
        <v/>
      </c>
      <c r="BK63" s="32" t="str">
        <f>IFERROR(__xludf.DUMMYFUNCTION("IFNA(SUM(FILTER('44 серия'!$B$6:$C$15,'44 серия'!$B$6:$B$15=C63)), )"),"")</f>
        <v/>
      </c>
      <c r="BL63" s="32" t="str">
        <f>IFERROR(__xludf.DUMMYFUNCTION("IFNA(SUM(FILTER('45 серия'!$B$6:$C$15,'45 серия'!$B$6:$B$15=C63)), )"),"")</f>
        <v/>
      </c>
      <c r="BM63" s="32" t="str">
        <f>IFERROR(__xludf.DUMMYFUNCTION("IFNA(SUM(FILTER('46 серия'!$B$6:$C$15,'46 серия'!$B$6:$B$15=C63)), )"),"")</f>
        <v/>
      </c>
      <c r="BN63" s="32" t="str">
        <f>IFERROR(__xludf.DUMMYFUNCTION("IFNA(SUM(FILTER('47 серия'!$B$6:$C$15,'47 серия'!$B$6:$B$15=C63)), )"),"")</f>
        <v/>
      </c>
      <c r="BO63" s="42">
        <f>IFERROR(__xludf.DUMMYFUNCTION("IFNA(SUM(FILTER('48 серия'!$B$6:$C$15,'48 серия'!$B$6:$B$15=$C63)), )"),23.25)</f>
        <v>23.25</v>
      </c>
      <c r="BP63" s="43">
        <f>IFERROR(__xludf.DUMMYFUNCTION("IFNA(SUM(FILTER('49 серия'!$B$6:$C$15,'49 серия'!$B$6:$B$15=$C63)), )"),21.5)</f>
        <v>21.5</v>
      </c>
      <c r="BQ63" s="43">
        <f>IFERROR(__xludf.DUMMYFUNCTION("IFNA(SUM(FILTER('50 серия'!$B$6:$C$15,'50 серия'!$B$6:$B$15=$C63)), )"),17.5)</f>
        <v>17.5</v>
      </c>
      <c r="BR63" s="43" t="str">
        <f>IFERROR(__xludf.DUMMYFUNCTION("IFNA(SUM(FILTER('51 серия'!$B$6:$C$15,'51 серия'!$B$6:$B$15=$C63)), )"),"")</f>
        <v/>
      </c>
      <c r="BS63" s="49" t="str">
        <f>IFERROR(__xludf.DUMMYFUNCTION("IFNA(SUM(FILTER('52 серия'!$B$6:$C$15,'52 серия'!$B$6:$B$15=C63)), )"),"")</f>
        <v/>
      </c>
      <c r="BT63" s="32" t="str">
        <f>IFERROR(__xludf.DUMMYFUNCTION("IFNA(SUM(FILTER('53 серия'!$B$6:$C$15,'53 серия'!$B$6:$B$15=$C63)), )"),"")</f>
        <v/>
      </c>
      <c r="BU63" s="32" t="str">
        <f>IFERROR(__xludf.DUMMYFUNCTION("IFNA(SUM(FILTER('54 серия'!$B$6:$C$15,'54 серия'!$B$6:$B$15=$C63)), )"),"")</f>
        <v/>
      </c>
      <c r="BV63" s="32" t="str">
        <f>IFERROR(__xludf.DUMMYFUNCTION("IFNA(SUM(FILTER('55 серия'!$B$6:$C$15,'55 серия'!$B$6:$B$15=$C63)), )"),"")</f>
        <v/>
      </c>
      <c r="BW63" s="32" t="str">
        <f>IFERROR(__xludf.DUMMYFUNCTION("IFNA(SUM(FILTER('56 серия'!$B$6:$C$15,'56 серия'!$B$6:$B$15=$C63)), )"),"")</f>
        <v/>
      </c>
      <c r="BX63" s="32" t="str">
        <f>IFERROR(__xludf.DUMMYFUNCTION("IFNA(SUM(FILTER('57 серия'!$B$6:$C$15,'57 серия'!$B$6:$B$15=$C63)), )"),"")</f>
        <v/>
      </c>
      <c r="BY63" s="32" t="str">
        <f>IFERROR(__xludf.DUMMYFUNCTION("IFNA(SUM(FILTER('58 серия'!$B$6:$C$15,'58 серия'!$B$6:$B$15=$C63)), )"),"")</f>
        <v/>
      </c>
      <c r="BZ63" s="46" t="str">
        <f>IFERROR(__xludf.DUMMYFUNCTION("IFNA(SUM(FILTER('59 серия'!$B$6:$C$15,'59 серия'!$B$6:$B$15=C63)), )"),"")</f>
        <v/>
      </c>
      <c r="CA63" s="44" t="str">
        <f>IFERROR(__xludf.DUMMYFUNCTION("IFNA(SUM(FILTER('60 серия'!$B$6:$C$15,'60 серия'!$B$6:$B$15=$C63)), )"),"")</f>
        <v/>
      </c>
      <c r="CB63" s="4"/>
    </row>
    <row r="64">
      <c r="A64" s="10"/>
      <c r="B64" s="27">
        <f t="shared" si="1"/>
        <v>58</v>
      </c>
      <c r="C64" s="53" t="s">
        <v>136</v>
      </c>
      <c r="D64" s="29">
        <f>'Игроки статистика'!B62</f>
        <v>50</v>
      </c>
      <c r="E64" s="30">
        <f t="shared" si="2"/>
        <v>202.5</v>
      </c>
      <c r="F64" s="31">
        <f t="shared" si="3"/>
        <v>20.25</v>
      </c>
      <c r="G64" s="46">
        <f t="shared" si="4"/>
        <v>2.8</v>
      </c>
      <c r="H64" s="46">
        <f>SUMIFS('Все игры'!C$3:C1011,'Все игры'!A$3:A1011,C64)</f>
        <v>62.5</v>
      </c>
      <c r="I64" s="46">
        <f t="shared" si="5"/>
        <v>137.5</v>
      </c>
      <c r="J64" s="47">
        <f>SUMIFS('Все игры'!F$3:F1011,'Все игры'!A$3:A1011,C64)</f>
        <v>0.5</v>
      </c>
      <c r="K64" s="48">
        <f>SUMIFS('Все игры'!G$3:G1011,'Все игры'!A$3:A1011,C64)</f>
        <v>2</v>
      </c>
      <c r="L64" s="35">
        <f>'Игроки статистика'!G62</f>
        <v>4</v>
      </c>
      <c r="M64" s="36">
        <f t="shared" si="6"/>
        <v>25</v>
      </c>
      <c r="N64" s="36">
        <f>SUM('Игроки статистика'!O62,'Игроки статистика'!Q62)</f>
        <v>9</v>
      </c>
      <c r="O64" s="37">
        <f>SUM('Игроки статистика'!P62,'Игроки статистика'!R62)</f>
        <v>3</v>
      </c>
      <c r="P64" s="38" t="str">
        <f>IFERROR(__xludf.DUMMYFUNCTION("IFNA(SUM(FILTER('Штрафы'!$D$5:$D1011,'Штрафы'!$C$5:$C1011=C64)), )"),"")</f>
        <v/>
      </c>
      <c r="Q64" s="38" t="str">
        <f>IFERROR(__xludf.DUMMYFUNCTION("IFNA(SUM(FILTER('Штрафы'!$F$5:$F1011,'Штрафы'!$C$5:$C1011=C64)), )"),"")</f>
        <v/>
      </c>
      <c r="R64" s="39"/>
      <c r="S64" s="40"/>
      <c r="T64" s="31" t="str">
        <f>IFERROR(__xludf.DUMMYFUNCTION("IFNA(SUM(FILTER('1 серия'!$B$6:$C$15,'1 серия'!$B$6:$B$15=C64)), )"),"")</f>
        <v/>
      </c>
      <c r="U64" s="32" t="str">
        <f>IFERROR(__xludf.DUMMYFUNCTION("IFNA(SUM(FILTER('2 серия'!$B$6:$C$15,'2 серия'!$B$6:$B$15=C64)), )
"),"")</f>
        <v/>
      </c>
      <c r="V64" s="32">
        <f>IFERROR(__xludf.DUMMYFUNCTION("IFNA(SUM(FILTER('3 серия'!$B$6:$C$15,'3 серия'!$B$6:$B$15=C64)), )
"),14.5)</f>
        <v>14.5</v>
      </c>
      <c r="W64" s="32" t="str">
        <f>IFERROR(__xludf.DUMMYFUNCTION("IFNA(SUM(FILTER('4 серия'!$B$6:$C$15,'4 серия'!$B$6:$B$15=C64)), )"),"")</f>
        <v/>
      </c>
      <c r="X64" s="32" t="str">
        <f>IFERROR(__xludf.DUMMYFUNCTION("IFNA(SUM(FILTER('5 серия'!$B$6:$C$15,'5 серия'!$B$6:$B$15=C64)), )"),"")</f>
        <v/>
      </c>
      <c r="Y64" s="32" t="str">
        <f>IFERROR(__xludf.DUMMYFUNCTION("IFNA(SUM(FILTER('6 серия'!$B$6:$C$15,'6 серия'!$B$6:$B$15=C64)), )"),"")</f>
        <v/>
      </c>
      <c r="Z64" s="32" t="str">
        <f>IFERROR(__xludf.DUMMYFUNCTION("IFNA(SUM(FILTER('7 серия'!$B$6:$C$15,'7 серия'!$B$6:$B$15=C64)), )"),"")</f>
        <v/>
      </c>
      <c r="AA64" s="32" t="str">
        <f>IFERROR(__xludf.DUMMYFUNCTION("IFNA(SUM(FILTER('8 серия'!$B$6:$C$15,'8 серия'!$B$6:$B$15=C64)), )"),"")</f>
        <v/>
      </c>
      <c r="AB64" s="32" t="str">
        <f>IFERROR(__xludf.DUMMYFUNCTION("IFNA(SUM(FILTER('9 серия'!$B$7:$C$16,'9 серия'!$B$7:$B$16=C64)), )"),"")</f>
        <v/>
      </c>
      <c r="AC64" s="32">
        <f>IFERROR(__xludf.DUMMYFUNCTION("IFNA(SUM(FILTER('10 серия'!$B$6:$C$15,'10 серия'!$B$6:$B$15=C64)), )"),23.75)</f>
        <v>23.75</v>
      </c>
      <c r="AD64" s="32" t="str">
        <f>IFERROR(__xludf.DUMMYFUNCTION("IFNA(SUM(FILTER('11 серия'!$B$6:$C$15,'11 серия'!$B$6:$B$15=C64)), )"),"")</f>
        <v/>
      </c>
      <c r="AE64" s="32" t="str">
        <f>IFERROR(__xludf.DUMMYFUNCTION("IFNA(SUM(FILTER('12 серия'!$B$6:$C$15,'12 серия'!$B$6:$B$15=C64)), )"),"")</f>
        <v/>
      </c>
      <c r="AF64" s="32" t="str">
        <f>IFERROR(__xludf.DUMMYFUNCTION("IFNA(SUM(FILTER('13 серия'!$B$6:$C$15,'13 серия'!$B$6:$B$15=C64)), )"),"")</f>
        <v/>
      </c>
      <c r="AG64" s="32">
        <f>IFERROR(__xludf.DUMMYFUNCTION("IFNA(SUM(FILTER('14 серия'!$B$6:$C$15,'14 серия'!$B$6:$B$15=C64)), )"),27.75)</f>
        <v>27.75</v>
      </c>
      <c r="AH64" s="32" t="str">
        <f>IFERROR(__xludf.DUMMYFUNCTION("IFNA(SUM(FILTER('15 серия'!$B$6:$C$15,'15 серия'!$B$6:$B$15=C64)), )"),"")</f>
        <v/>
      </c>
      <c r="AI64" s="32" t="str">
        <f>IFERROR(__xludf.DUMMYFUNCTION("IFNA(SUM(FILTER('16 серия'!$B$6:$C$15,'16 серия'!$B$6:$B$15=C64)), )"),"")</f>
        <v/>
      </c>
      <c r="AJ64" s="32" t="str">
        <f>IFERROR(__xludf.DUMMYFUNCTION("IFNA(SUM(FILTER('17 серия'!$B$6:$C$15,'17 серия'!$B$6:$B$15=C64)), )"),"")</f>
        <v/>
      </c>
      <c r="AK64" s="32" t="str">
        <f>IFERROR(__xludf.DUMMYFUNCTION("IFNA(SUM(FILTER('18 серия'!$B$6:$C$15,'18 серия'!$B$6:$B$15=C64)), )"),"")</f>
        <v/>
      </c>
      <c r="AL64" s="32" t="str">
        <f>IFERROR(__xludf.DUMMYFUNCTION("IFNA(SUM(FILTER('19 серия'!$B$6:$C$15,'19 серия'!$B$6:$B$15=C64)), )"),"")</f>
        <v/>
      </c>
      <c r="AM64" s="32" t="str">
        <f>IFERROR(__xludf.DUMMYFUNCTION("IFNA(SUM(FILTER('20 серия'!$B$6:$C$15,'20 серия'!$B$6:$B$15=C64)), )"),"")</f>
        <v/>
      </c>
      <c r="AN64" s="32" t="str">
        <f>IFERROR(__xludf.DUMMYFUNCTION("IFNA(SUM(FILTER('21 серия'!$B$6:$C$15,'21 серия'!$B$6:$B$15=C64)), )"),"")</f>
        <v/>
      </c>
      <c r="AO64" s="32" t="str">
        <f>IFERROR(__xludf.DUMMYFUNCTION("IFNA(SUM(FILTER('22 серия'!$B$6:$C$15,'22 серия'!$B$6:$B$15=C64)), )"),"")</f>
        <v/>
      </c>
      <c r="AP64" s="32" t="str">
        <f>IFERROR(__xludf.DUMMYFUNCTION("IFNA(SUM(FILTER('23 серия'!$B$6:$C$15,'23 серия'!$B$6:$B$15=C64)), )"),"")</f>
        <v/>
      </c>
      <c r="AQ64" s="32" t="str">
        <f>IFERROR(__xludf.DUMMYFUNCTION("IFNA(SUM(FILTER('24 серия'!$B$6:$C$15,'24 серия'!$B$6:$B$15=C64)), )"),"")</f>
        <v/>
      </c>
      <c r="AR64" s="32">
        <f>IFERROR(__xludf.DUMMYFUNCTION("IFNA(SUM(FILTER('25 серия'!$B$6:$C$15,'25 серия'!$B$6:$B$15=C64)), )"),14.75)</f>
        <v>14.75</v>
      </c>
      <c r="AS64" s="32" t="str">
        <f>IFERROR(__xludf.DUMMYFUNCTION("IFNA(SUM(FILTER('26 серия'!$B$6:$C$15,'26 серия'!$B$6:$B$15=C64)), )"),"")</f>
        <v/>
      </c>
      <c r="AT64" s="32" t="str">
        <f>IFERROR(__xludf.DUMMYFUNCTION("IFNA(SUM(FILTER('27 серия'!$B$6:$C$15,'27 серия'!$B$6:$B$15=C64)), )"),"")</f>
        <v/>
      </c>
      <c r="AU64" s="32" t="str">
        <f>IFERROR(__xludf.DUMMYFUNCTION("IFNA(SUM(FILTER('28 серия'!$B$6:$C$15,'28 серия'!$B$6:$B$15=C64)), )"),"")</f>
        <v/>
      </c>
      <c r="AV64" s="32" t="str">
        <f>IFERROR(__xludf.DUMMYFUNCTION("IFNA(SUM(FILTER('29 серия'!$B$6:$C$15,'29 серия'!$B$6:$B$15=C64)), )"),"")</f>
        <v/>
      </c>
      <c r="AW64" s="32" t="str">
        <f>IFERROR(__xludf.DUMMYFUNCTION("IFNA(SUM(FILTER('30 серия'!$B$6:$C$15,'30 серия'!$B$6:$B$15=C64)), )"),"")</f>
        <v/>
      </c>
      <c r="AX64" s="32" t="str">
        <f>IFERROR(__xludf.DUMMYFUNCTION("IFNA(SUM(FILTER('31 серия'!$B$6:$C$15,'31 серия'!$B$6:$B$15=C64)), )"),"")</f>
        <v/>
      </c>
      <c r="AY64" s="32" t="str">
        <f>IFERROR(__xludf.DUMMYFUNCTION("IFNA(SUM(FILTER('32 серия'!$B$6:$C$15,'32 серия'!$B$6:$B$15=C64)), )"),"")</f>
        <v/>
      </c>
      <c r="AZ64" s="32" t="str">
        <f>IFERROR(__xludf.DUMMYFUNCTION("IFNA(SUM(FILTER('33 серия'!$B$6:$C$15,'33 серия'!$B$6:$B$15=C64)), )"),"")</f>
        <v/>
      </c>
      <c r="BA64" s="32" t="str">
        <f>IFERROR(__xludf.DUMMYFUNCTION("IFNA(SUM(FILTER('34 серия'!$B$6:$C$15,'34 серия'!$B$6:$B$15=C64)), )"),"")</f>
        <v/>
      </c>
      <c r="BB64" s="32" t="str">
        <f>IFERROR(__xludf.DUMMYFUNCTION("IFNA(SUM(FILTER('35 серия'!$B$6:$C$15,'35 серия'!$B$6:$B$15=C64)), )"),"")</f>
        <v/>
      </c>
      <c r="BC64" s="32" t="str">
        <f>IFERROR(__xludf.DUMMYFUNCTION("IFNA(SUM(FILTER('36 серия'!$B$6:$C$15,'36 серия'!$B$6:$B$15=C64)), )"),"")</f>
        <v/>
      </c>
      <c r="BD64" s="32">
        <f>IFERROR(__xludf.DUMMYFUNCTION("IFNA(SUM(FILTER('37 серия'!$B$6:$C$15,'37 серия'!$B$6:$B$15=C64)), )"),23.0)</f>
        <v>23</v>
      </c>
      <c r="BE64" s="32" t="str">
        <f>IFERROR(__xludf.DUMMYFUNCTION("IFNA(SUM(FILTER('38 серия'!$B$6:$C$15,'38 серия'!$B$6:$B$15=C64)), )"),"")</f>
        <v/>
      </c>
      <c r="BF64" s="32" t="str">
        <f>IFERROR(__xludf.DUMMYFUNCTION("IFNA(SUM(FILTER('39 серия'!$B$6:$C$15,'39 серия'!$B$6:$B$15=C64)), )"),"")</f>
        <v/>
      </c>
      <c r="BG64" s="32">
        <f>IFERROR(__xludf.DUMMYFUNCTION("IFNA(SUM(FILTER('40 серия'!$B$6:$C$15,'40 серия'!$B$6:$B$15=C64)), )"),18.25)</f>
        <v>18.25</v>
      </c>
      <c r="BH64" s="32" t="str">
        <f>IFERROR(__xludf.DUMMYFUNCTION("IFNA(SUM(FILTER('41 серия'!$B$6:$C$15,'41 серия'!$B$6:$B$15=C64)), )"),"")</f>
        <v/>
      </c>
      <c r="BI64" s="32" t="str">
        <f>IFERROR(__xludf.DUMMYFUNCTION("IFNA(SUM(FILTER('42 серия'!$B$6:$C$15,'42 серия'!$B$6:$B$15=C64)), )"),"")</f>
        <v/>
      </c>
      <c r="BJ64" s="32" t="str">
        <f>IFERROR(__xludf.DUMMYFUNCTION("IFNA(SUM(FILTER('43 серия'!$B$6:$C$15,'43 серия'!$B$6:$B$15=C64)), )"),"")</f>
        <v/>
      </c>
      <c r="BK64" s="32" t="str">
        <f>IFERROR(__xludf.DUMMYFUNCTION("IFNA(SUM(FILTER('44 серия'!$B$6:$C$15,'44 серия'!$B$6:$B$15=C64)), )"),"")</f>
        <v/>
      </c>
      <c r="BL64" s="32" t="str">
        <f>IFERROR(__xludf.DUMMYFUNCTION("IFNA(SUM(FILTER('45 серия'!$B$6:$C$15,'45 серия'!$B$6:$B$15=C64)), )"),"")</f>
        <v/>
      </c>
      <c r="BM64" s="32" t="str">
        <f>IFERROR(__xludf.DUMMYFUNCTION("IFNA(SUM(FILTER('46 серия'!$B$6:$C$15,'46 серия'!$B$6:$B$15=C64)), )"),"")</f>
        <v/>
      </c>
      <c r="BN64" s="32" t="str">
        <f>IFERROR(__xludf.DUMMYFUNCTION("IFNA(SUM(FILTER('47 серия'!$B$6:$C$15,'47 серия'!$B$6:$B$15=C64)), )"),"")</f>
        <v/>
      </c>
      <c r="BO64" s="42" t="str">
        <f>IFERROR(__xludf.DUMMYFUNCTION("IFNA(SUM(FILTER('48 серия'!$B$6:$C$15,'48 серия'!$B$6:$B$15=$C64)), )"),"")</f>
        <v/>
      </c>
      <c r="BP64" s="43" t="str">
        <f>IFERROR(__xludf.DUMMYFUNCTION("IFNA(SUM(FILTER('49 серия'!$B$6:$C$15,'49 серия'!$B$6:$B$15=$C64)), )"),"")</f>
        <v/>
      </c>
      <c r="BQ64" s="43" t="str">
        <f>IFERROR(__xludf.DUMMYFUNCTION("IFNA(SUM(FILTER('50 серия'!$B$6:$C$15,'50 серия'!$B$6:$B$15=$C64)), )"),"")</f>
        <v/>
      </c>
      <c r="BR64" s="43">
        <f>IFERROR(__xludf.DUMMYFUNCTION("IFNA(SUM(FILTER('51 серия'!$B$6:$C$15,'51 серия'!$B$6:$B$15=$C64)), )"),19.75)</f>
        <v>19.75</v>
      </c>
      <c r="BS64" s="49">
        <f>IFERROR(__xludf.DUMMYFUNCTION("IFNA(SUM(FILTER('52 серия'!$B$6:$C$15,'52 серия'!$B$6:$B$15=C64)), )"),22.0)</f>
        <v>22</v>
      </c>
      <c r="BT64" s="32">
        <f>IFERROR(__xludf.DUMMYFUNCTION("IFNA(SUM(FILTER('53 серия'!$B$6:$C$15,'53 серия'!$B$6:$B$15=$C64)), )"),18.5)</f>
        <v>18.5</v>
      </c>
      <c r="BU64" s="32" t="str">
        <f>IFERROR(__xludf.DUMMYFUNCTION("IFNA(SUM(FILTER('54 серия'!$B$6:$C$15,'54 серия'!$B$6:$B$15=$C64)), )"),"")</f>
        <v/>
      </c>
      <c r="BV64" s="32" t="str">
        <f>IFERROR(__xludf.DUMMYFUNCTION("IFNA(SUM(FILTER('55 серия'!$B$6:$C$15,'55 серия'!$B$6:$B$15=$C64)), )"),"")</f>
        <v/>
      </c>
      <c r="BW64" s="32" t="str">
        <f>IFERROR(__xludf.DUMMYFUNCTION("IFNA(SUM(FILTER('56 серия'!$B$6:$C$15,'56 серия'!$B$6:$B$15=$C64)), )"),"")</f>
        <v/>
      </c>
      <c r="BX64" s="32" t="str">
        <f>IFERROR(__xludf.DUMMYFUNCTION("IFNA(SUM(FILTER('57 серия'!$B$6:$C$15,'57 серия'!$B$6:$B$15=$C64)), )"),"")</f>
        <v/>
      </c>
      <c r="BY64" s="32">
        <f>IFERROR(__xludf.DUMMYFUNCTION("IFNA(SUM(FILTER('58 серия'!$B$6:$C$15,'58 серия'!$B$6:$B$15=$C64)), )"),20.25)</f>
        <v>20.25</v>
      </c>
      <c r="BZ64" s="46" t="str">
        <f>IFERROR(__xludf.DUMMYFUNCTION("IFNA(SUM(FILTER('59 серия'!$B$6:$C$15,'59 серия'!$B$6:$B$15=C64)), )"),"")</f>
        <v/>
      </c>
      <c r="CA64" s="44" t="str">
        <f>IFERROR(__xludf.DUMMYFUNCTION("IFNA(SUM(FILTER('60 серия'!$B$6:$C$15,'60 серия'!$B$6:$B$15=$C64)), )"),"")</f>
        <v/>
      </c>
      <c r="CB64" s="4"/>
    </row>
    <row r="65">
      <c r="A65" s="10"/>
      <c r="B65" s="27">
        <f t="shared" si="1"/>
        <v>59</v>
      </c>
      <c r="C65" s="54" t="s">
        <v>137</v>
      </c>
      <c r="D65" s="29">
        <f>'Игроки статистика'!B63</f>
        <v>50</v>
      </c>
      <c r="E65" s="30">
        <f t="shared" si="2"/>
        <v>180.75</v>
      </c>
      <c r="F65" s="31">
        <f t="shared" si="3"/>
        <v>18.075</v>
      </c>
      <c r="G65" s="46">
        <f t="shared" si="4"/>
        <v>2.615</v>
      </c>
      <c r="H65" s="46">
        <f>SUMIFS('Все игры'!C$3:C1011,'Все игры'!A$3:A1011,C65)</f>
        <v>50</v>
      </c>
      <c r="I65" s="46">
        <f t="shared" si="5"/>
        <v>129.75</v>
      </c>
      <c r="J65" s="47">
        <f>SUMIFS('Все игры'!F$3:F1011,'Все игры'!A$3:A1011,C65)</f>
        <v>0</v>
      </c>
      <c r="K65" s="48">
        <f>SUMIFS('Все игры'!G$3:G1011,'Все игры'!A$3:A1011,C65)</f>
        <v>1</v>
      </c>
      <c r="L65" s="35">
        <f>'Игроки статистика'!G63</f>
        <v>2</v>
      </c>
      <c r="M65" s="36">
        <f t="shared" si="6"/>
        <v>20</v>
      </c>
      <c r="N65" s="36">
        <f>SUM('Игроки статистика'!O63,'Игроки статистика'!Q63)</f>
        <v>2</v>
      </c>
      <c r="O65" s="37">
        <f>SUM('Игроки статистика'!P63,'Игроки статистика'!R63)</f>
        <v>3</v>
      </c>
      <c r="P65" s="38" t="str">
        <f>IFERROR(__xludf.DUMMYFUNCTION("IFNA(SUM(FILTER('Штрафы'!$D$5:$D1011,'Штрафы'!$C$5:$C1011=C65)), )"),"")</f>
        <v/>
      </c>
      <c r="Q65" s="38" t="str">
        <f>IFERROR(__xludf.DUMMYFUNCTION("IFNA(SUM(FILTER('Штрафы'!$F$5:$F1011,'Штрафы'!$C$5:$C1011=C65)), )"),"")</f>
        <v/>
      </c>
      <c r="R65" s="39"/>
      <c r="S65" s="40"/>
      <c r="T65" s="31" t="str">
        <f>IFERROR(__xludf.DUMMYFUNCTION("IFNA(SUM(FILTER('1 серия'!$B$6:$C$15,'1 серия'!$B$6:$B$15=C65)), )"),"")</f>
        <v/>
      </c>
      <c r="U65" s="32">
        <f>IFERROR(__xludf.DUMMYFUNCTION("IFNA(SUM(FILTER('2 серия'!$B$6:$C$15,'2 серия'!$B$6:$B$15=C65)), )
"),16.0)</f>
        <v>16</v>
      </c>
      <c r="V65" s="32">
        <f>IFERROR(__xludf.DUMMYFUNCTION("IFNA(SUM(FILTER('3 серия'!$B$6:$C$15,'3 серия'!$B$6:$B$15=C65)), )
"),17.5)</f>
        <v>17.5</v>
      </c>
      <c r="W65" s="32" t="str">
        <f>IFERROR(__xludf.DUMMYFUNCTION("IFNA(SUM(FILTER('4 серия'!$B$6:$C$15,'4 серия'!$B$6:$B$15=C65)), )"),"")</f>
        <v/>
      </c>
      <c r="X65" s="32" t="str">
        <f>IFERROR(__xludf.DUMMYFUNCTION("IFNA(SUM(FILTER('5 серия'!$B$6:$C$15,'5 серия'!$B$6:$B$15=C65)), )"),"")</f>
        <v/>
      </c>
      <c r="Y65" s="32" t="str">
        <f>IFERROR(__xludf.DUMMYFUNCTION("IFNA(SUM(FILTER('6 серия'!$B$6:$C$15,'6 серия'!$B$6:$B$15=C65)), )"),"")</f>
        <v/>
      </c>
      <c r="Z65" s="32" t="str">
        <f>IFERROR(__xludf.DUMMYFUNCTION("IFNA(SUM(FILTER('7 серия'!$B$6:$C$15,'7 серия'!$B$6:$B$15=C65)), )"),"")</f>
        <v/>
      </c>
      <c r="AA65" s="32" t="str">
        <f>IFERROR(__xludf.DUMMYFUNCTION("IFNA(SUM(FILTER('8 серия'!$B$6:$C$15,'8 серия'!$B$6:$B$15=C65)), )"),"")</f>
        <v/>
      </c>
      <c r="AB65" s="32" t="str">
        <f>IFERROR(__xludf.DUMMYFUNCTION("IFNA(SUM(FILTER('9 серия'!$B$7:$C$16,'9 серия'!$B$7:$B$16=C65)), )"),"")</f>
        <v/>
      </c>
      <c r="AC65" s="32" t="str">
        <f>IFERROR(__xludf.DUMMYFUNCTION("IFNA(SUM(FILTER('10 серия'!$B$6:$C$15,'10 серия'!$B$6:$B$15=C65)), )"),"")</f>
        <v/>
      </c>
      <c r="AD65" s="32" t="str">
        <f>IFERROR(__xludf.DUMMYFUNCTION("IFNA(SUM(FILTER('11 серия'!$B$6:$C$15,'11 серия'!$B$6:$B$15=C65)), )"),"")</f>
        <v/>
      </c>
      <c r="AE65" s="32" t="str">
        <f>IFERROR(__xludf.DUMMYFUNCTION("IFNA(SUM(FILTER('12 серия'!$B$6:$C$15,'12 серия'!$B$6:$B$15=C65)), )"),"")</f>
        <v/>
      </c>
      <c r="AF65" s="32" t="str">
        <f>IFERROR(__xludf.DUMMYFUNCTION("IFNA(SUM(FILTER('13 серия'!$B$6:$C$15,'13 серия'!$B$6:$B$15=C65)), )"),"")</f>
        <v/>
      </c>
      <c r="AG65" s="32" t="str">
        <f>IFERROR(__xludf.DUMMYFUNCTION("IFNA(SUM(FILTER('14 серия'!$B$6:$C$15,'14 серия'!$B$6:$B$15=C65)), )"),"")</f>
        <v/>
      </c>
      <c r="AH65" s="32" t="str">
        <f>IFERROR(__xludf.DUMMYFUNCTION("IFNA(SUM(FILTER('15 серия'!$B$6:$C$15,'15 серия'!$B$6:$B$15=C65)), )"),"")</f>
        <v/>
      </c>
      <c r="AI65" s="32" t="str">
        <f>IFERROR(__xludf.DUMMYFUNCTION("IFNA(SUM(FILTER('16 серия'!$B$6:$C$15,'16 серия'!$B$6:$B$15=C65)), )"),"")</f>
        <v/>
      </c>
      <c r="AJ65" s="32">
        <f>IFERROR(__xludf.DUMMYFUNCTION("IFNA(SUM(FILTER('17 серия'!$B$6:$C$15,'17 серия'!$B$6:$B$15=C65)), )"),14.0)</f>
        <v>14</v>
      </c>
      <c r="AK65" s="32" t="str">
        <f>IFERROR(__xludf.DUMMYFUNCTION("IFNA(SUM(FILTER('18 серия'!$B$6:$C$15,'18 серия'!$B$6:$B$15=C65)), )"),"")</f>
        <v/>
      </c>
      <c r="AL65" s="32" t="str">
        <f>IFERROR(__xludf.DUMMYFUNCTION("IFNA(SUM(FILTER('19 серия'!$B$6:$C$15,'19 серия'!$B$6:$B$15=C65)), )"),"")</f>
        <v/>
      </c>
      <c r="AM65" s="32" t="str">
        <f>IFERROR(__xludf.DUMMYFUNCTION("IFNA(SUM(FILTER('20 серия'!$B$6:$C$15,'20 серия'!$B$6:$B$15=C65)), )"),"")</f>
        <v/>
      </c>
      <c r="AN65" s="32" t="str">
        <f>IFERROR(__xludf.DUMMYFUNCTION("IFNA(SUM(FILTER('21 серия'!$B$6:$C$15,'21 серия'!$B$6:$B$15=C65)), )"),"")</f>
        <v/>
      </c>
      <c r="AO65" s="32">
        <f>IFERROR(__xludf.DUMMYFUNCTION("IFNA(SUM(FILTER('22 серия'!$B$6:$C$15,'22 серия'!$B$6:$B$15=C65)), )"),20.25)</f>
        <v>20.25</v>
      </c>
      <c r="AP65" s="32" t="str">
        <f>IFERROR(__xludf.DUMMYFUNCTION("IFNA(SUM(FILTER('23 серия'!$B$6:$C$15,'23 серия'!$B$6:$B$15=C65)), )"),"")</f>
        <v/>
      </c>
      <c r="AQ65" s="32" t="str">
        <f>IFERROR(__xludf.DUMMYFUNCTION("IFNA(SUM(FILTER('24 серия'!$B$6:$C$15,'24 серия'!$B$6:$B$15=C65)), )"),"")</f>
        <v/>
      </c>
      <c r="AR65" s="32" t="str">
        <f>IFERROR(__xludf.DUMMYFUNCTION("IFNA(SUM(FILTER('25 серия'!$B$6:$C$15,'25 серия'!$B$6:$B$15=C65)), )"),"")</f>
        <v/>
      </c>
      <c r="AS65" s="32" t="str">
        <f>IFERROR(__xludf.DUMMYFUNCTION("IFNA(SUM(FILTER('26 серия'!$B$6:$C$15,'26 серия'!$B$6:$B$15=C65)), )"),"")</f>
        <v/>
      </c>
      <c r="AT65" s="32">
        <f>IFERROR(__xludf.DUMMYFUNCTION("IFNA(SUM(FILTER('27 серия'!$B$6:$C$15,'27 серия'!$B$6:$B$15=C65)), )"),13.25)</f>
        <v>13.25</v>
      </c>
      <c r="AU65" s="32" t="str">
        <f>IFERROR(__xludf.DUMMYFUNCTION("IFNA(SUM(FILTER('28 серия'!$B$6:$C$15,'28 серия'!$B$6:$B$15=C65)), )"),"")</f>
        <v/>
      </c>
      <c r="AV65" s="32" t="str">
        <f>IFERROR(__xludf.DUMMYFUNCTION("IFNA(SUM(FILTER('29 серия'!$B$6:$C$15,'29 серия'!$B$6:$B$15=C65)), )"),"")</f>
        <v/>
      </c>
      <c r="AW65" s="32" t="str">
        <f>IFERROR(__xludf.DUMMYFUNCTION("IFNA(SUM(FILTER('30 серия'!$B$6:$C$15,'30 серия'!$B$6:$B$15=C65)), )"),"")</f>
        <v/>
      </c>
      <c r="AX65" s="32">
        <f>IFERROR(__xludf.DUMMYFUNCTION("IFNA(SUM(FILTER('31 серия'!$B$6:$C$15,'31 серия'!$B$6:$B$15=C65)), )"),18.5)</f>
        <v>18.5</v>
      </c>
      <c r="AY65" s="32">
        <f>IFERROR(__xludf.DUMMYFUNCTION("IFNA(SUM(FILTER('32 серия'!$B$6:$C$15,'32 серия'!$B$6:$B$15=C65)), )"),25.75)</f>
        <v>25.75</v>
      </c>
      <c r="AZ65" s="32" t="str">
        <f>IFERROR(__xludf.DUMMYFUNCTION("IFNA(SUM(FILTER('33 серия'!$B$6:$C$15,'33 серия'!$B$6:$B$15=C65)), )"),"")</f>
        <v/>
      </c>
      <c r="BA65" s="32" t="str">
        <f>IFERROR(__xludf.DUMMYFUNCTION("IFNA(SUM(FILTER('34 серия'!$B$6:$C$15,'34 серия'!$B$6:$B$15=C65)), )"),"")</f>
        <v/>
      </c>
      <c r="BB65" s="32" t="str">
        <f>IFERROR(__xludf.DUMMYFUNCTION("IFNA(SUM(FILTER('35 серия'!$B$6:$C$15,'35 серия'!$B$6:$B$15=C65)), )"),"")</f>
        <v/>
      </c>
      <c r="BC65" s="32" t="str">
        <f>IFERROR(__xludf.DUMMYFUNCTION("IFNA(SUM(FILTER('36 серия'!$B$6:$C$15,'36 серия'!$B$6:$B$15=C65)), )"),"")</f>
        <v/>
      </c>
      <c r="BD65" s="32" t="str">
        <f>IFERROR(__xludf.DUMMYFUNCTION("IFNA(SUM(FILTER('37 серия'!$B$6:$C$15,'37 серия'!$B$6:$B$15=C65)), )"),"")</f>
        <v/>
      </c>
      <c r="BE65" s="32" t="str">
        <f>IFERROR(__xludf.DUMMYFUNCTION("IFNA(SUM(FILTER('38 серия'!$B$6:$C$15,'38 серия'!$B$6:$B$15=C65)), )"),"")</f>
        <v/>
      </c>
      <c r="BF65" s="32">
        <f>IFERROR(__xludf.DUMMYFUNCTION("IFNA(SUM(FILTER('39 серия'!$B$6:$C$15,'39 серия'!$B$6:$B$15=C65)), )"),20.0)</f>
        <v>20</v>
      </c>
      <c r="BG65" s="32" t="str">
        <f>IFERROR(__xludf.DUMMYFUNCTION("IFNA(SUM(FILTER('40 серия'!$B$6:$C$15,'40 серия'!$B$6:$B$15=C65)), )"),"")</f>
        <v/>
      </c>
      <c r="BH65" s="32" t="str">
        <f>IFERROR(__xludf.DUMMYFUNCTION("IFNA(SUM(FILTER('41 серия'!$B$6:$C$15,'41 серия'!$B$6:$B$15=C65)), )"),"")</f>
        <v/>
      </c>
      <c r="BI65" s="32" t="str">
        <f>IFERROR(__xludf.DUMMYFUNCTION("IFNA(SUM(FILTER('42 серия'!$B$6:$C$15,'42 серия'!$B$6:$B$15=C65)), )"),"")</f>
        <v/>
      </c>
      <c r="BJ65" s="32" t="str">
        <f>IFERROR(__xludf.DUMMYFUNCTION("IFNA(SUM(FILTER('43 серия'!$B$6:$C$15,'43 серия'!$B$6:$B$15=C65)), )"),"")</f>
        <v/>
      </c>
      <c r="BK65" s="32" t="str">
        <f>IFERROR(__xludf.DUMMYFUNCTION("IFNA(SUM(FILTER('44 серия'!$B$6:$C$15,'44 серия'!$B$6:$B$15=C65)), )"),"")</f>
        <v/>
      </c>
      <c r="BL65" s="32">
        <f>IFERROR(__xludf.DUMMYFUNCTION("IFNA(SUM(FILTER('45 серия'!$B$6:$C$15,'45 серия'!$B$6:$B$15=C65)), )"),18.0)</f>
        <v>18</v>
      </c>
      <c r="BM65" s="32" t="str">
        <f>IFERROR(__xludf.DUMMYFUNCTION("IFNA(SUM(FILTER('46 серия'!$B$6:$C$15,'46 серия'!$B$6:$B$15=C65)), )"),"")</f>
        <v/>
      </c>
      <c r="BN65" s="32" t="str">
        <f>IFERROR(__xludf.DUMMYFUNCTION("IFNA(SUM(FILTER('47 серия'!$B$6:$C$15,'47 серия'!$B$6:$B$15=C65)), )"),"")</f>
        <v/>
      </c>
      <c r="BO65" s="42" t="str">
        <f>IFERROR(__xludf.DUMMYFUNCTION("IFNA(SUM(FILTER('48 серия'!$B$6:$C$15,'48 серия'!$B$6:$B$15=$C65)), )"),"")</f>
        <v/>
      </c>
      <c r="BP65" s="43" t="str">
        <f>IFERROR(__xludf.DUMMYFUNCTION("IFNA(SUM(FILTER('49 серия'!$B$6:$C$15,'49 серия'!$B$6:$B$15=$C65)), )"),"")</f>
        <v/>
      </c>
      <c r="BQ65" s="43">
        <f>IFERROR(__xludf.DUMMYFUNCTION("IFNA(SUM(FILTER('50 серия'!$B$6:$C$15,'50 серия'!$B$6:$B$15=$C65)), )"),17.5)</f>
        <v>17.5</v>
      </c>
      <c r="BR65" s="43" t="str">
        <f>IFERROR(__xludf.DUMMYFUNCTION("IFNA(SUM(FILTER('51 серия'!$B$6:$C$15,'51 серия'!$B$6:$B$15=$C65)), )"),"")</f>
        <v/>
      </c>
      <c r="BS65" s="49" t="str">
        <f>IFERROR(__xludf.DUMMYFUNCTION("IFNA(SUM(FILTER('52 серия'!$B$6:$C$15,'52 серия'!$B$6:$B$15=C65)), )"),"")</f>
        <v/>
      </c>
      <c r="BT65" s="32" t="str">
        <f>IFERROR(__xludf.DUMMYFUNCTION("IFNA(SUM(FILTER('53 серия'!$B$6:$C$15,'53 серия'!$B$6:$B$15=$C65)), )"),"")</f>
        <v/>
      </c>
      <c r="BU65" s="32" t="str">
        <f>IFERROR(__xludf.DUMMYFUNCTION("IFNA(SUM(FILTER('54 серия'!$B$6:$C$15,'54 серия'!$B$6:$B$15=$C65)), )"),"")</f>
        <v/>
      </c>
      <c r="BV65" s="32" t="str">
        <f>IFERROR(__xludf.DUMMYFUNCTION("IFNA(SUM(FILTER('55 серия'!$B$6:$C$15,'55 серия'!$B$6:$B$15=$C65)), )"),"")</f>
        <v/>
      </c>
      <c r="BW65" s="32" t="str">
        <f>IFERROR(__xludf.DUMMYFUNCTION("IFNA(SUM(FILTER('56 серия'!$B$6:$C$15,'56 серия'!$B$6:$B$15=$C65)), )"),"")</f>
        <v/>
      </c>
      <c r="BX65" s="32" t="str">
        <f>IFERROR(__xludf.DUMMYFUNCTION("IFNA(SUM(FILTER('57 серия'!$B$6:$C$15,'57 серия'!$B$6:$B$15=$C65)), )"),"")</f>
        <v/>
      </c>
      <c r="BY65" s="32" t="str">
        <f>IFERROR(__xludf.DUMMYFUNCTION("IFNA(SUM(FILTER('58 серия'!$B$6:$C$15,'58 серия'!$B$6:$B$15=$C65)), )"),"")</f>
        <v/>
      </c>
      <c r="BZ65" s="46" t="str">
        <f>IFERROR(__xludf.DUMMYFUNCTION("IFNA(SUM(FILTER('59 серия'!$B$6:$C$15,'59 серия'!$B$6:$B$15=C65)), )"),"")</f>
        <v/>
      </c>
      <c r="CA65" s="44" t="str">
        <f>IFERROR(__xludf.DUMMYFUNCTION("IFNA(SUM(FILTER('60 серия'!$B$6:$C$15,'60 серия'!$B$6:$B$15=$C65)), )"),"")</f>
        <v/>
      </c>
      <c r="CB65" s="4"/>
    </row>
    <row r="66">
      <c r="A66" s="10"/>
      <c r="B66" s="27">
        <f t="shared" si="1"/>
        <v>60</v>
      </c>
      <c r="C66" s="53" t="s">
        <v>138</v>
      </c>
      <c r="D66" s="29">
        <f>'Игроки статистика'!B64</f>
        <v>50</v>
      </c>
      <c r="E66" s="30">
        <f t="shared" si="2"/>
        <v>207.25</v>
      </c>
      <c r="F66" s="31">
        <f t="shared" si="3"/>
        <v>20.725</v>
      </c>
      <c r="G66" s="55">
        <f t="shared" si="4"/>
        <v>2.895</v>
      </c>
      <c r="H66" s="55">
        <f>SUMIFS('Все игры'!C$3:C1011,'Все игры'!A$3:A1011,C66)</f>
        <v>62.5</v>
      </c>
      <c r="I66" s="55">
        <f t="shared" si="5"/>
        <v>143.25</v>
      </c>
      <c r="J66" s="56">
        <f>SUMIFS('Все игры'!F$3:F1011,'Все игры'!A$3:A1011,C66)</f>
        <v>0</v>
      </c>
      <c r="K66" s="57">
        <f>SUMIFS('Все игры'!G$3:G1011,'Все игры'!A$3:A1011,C66)</f>
        <v>1.5</v>
      </c>
      <c r="L66" s="35">
        <f>'Игроки статистика'!G64</f>
        <v>3</v>
      </c>
      <c r="M66" s="36">
        <f t="shared" si="6"/>
        <v>25</v>
      </c>
      <c r="N66" s="36">
        <f>SUM('Игроки статистика'!O64,'Игроки статистика'!Q64)</f>
        <v>5</v>
      </c>
      <c r="O66" s="37">
        <f>SUM('Игроки статистика'!P64,'Игроки статистика'!R64)</f>
        <v>4</v>
      </c>
      <c r="P66" s="58" t="str">
        <f>IFERROR(__xludf.DUMMYFUNCTION("IFNA(SUM(FILTER('Штрафы'!$D$5:$D1011,'Штрафы'!$C$5:$C1011=C66)), )"),"")</f>
        <v/>
      </c>
      <c r="Q66" s="58" t="str">
        <f>IFERROR(__xludf.DUMMYFUNCTION("IFNA(SUM(FILTER('Штрафы'!$F$5:$F1011,'Штрафы'!$C$5:$C1011=C66)), )"),"")</f>
        <v/>
      </c>
      <c r="R66" s="39"/>
      <c r="S66" s="59"/>
      <c r="T66" s="31" t="str">
        <f>IFERROR(__xludf.DUMMYFUNCTION("IFNA(SUM(FILTER('1 серия'!$B$6:$C$15,'1 серия'!$B$6:$B$15=C66)), )"),"")</f>
        <v/>
      </c>
      <c r="U66" s="32">
        <f>IFERROR(__xludf.DUMMYFUNCTION("IFNA(SUM(FILTER('2 серия'!$B$6:$C$15,'2 серия'!$B$6:$B$15=C66)), )
"),26.0)</f>
        <v>26</v>
      </c>
      <c r="V66" s="32" t="str">
        <f>IFERROR(__xludf.DUMMYFUNCTION("IFNA(SUM(FILTER('3 серия'!$B$6:$C$15,'3 серия'!$B$6:$B$15=C66)), )
"),"")</f>
        <v/>
      </c>
      <c r="W66" s="32" t="str">
        <f>IFERROR(__xludf.DUMMYFUNCTION("IFNA(SUM(FILTER('4 серия'!$B$6:$C$15,'4 серия'!$B$6:$B$15=C66)), )"),"")</f>
        <v/>
      </c>
      <c r="X66" s="32" t="str">
        <f>IFERROR(__xludf.DUMMYFUNCTION("IFNA(SUM(FILTER('5 серия'!$B$6:$C$15,'5 серия'!$B$6:$B$15=C66)), )"),"")</f>
        <v/>
      </c>
      <c r="Y66" s="32" t="str">
        <f>IFERROR(__xludf.DUMMYFUNCTION("IFNA(SUM(FILTER('6 серия'!$B$6:$C$15,'6 серия'!$B$6:$B$15=C66)), )"),"")</f>
        <v/>
      </c>
      <c r="Z66" s="32" t="str">
        <f>IFERROR(__xludf.DUMMYFUNCTION("IFNA(SUM(FILTER('7 серия'!$B$6:$C$15,'7 серия'!$B$6:$B$15=C66)), )"),"")</f>
        <v/>
      </c>
      <c r="AA66" s="32">
        <f>IFERROR(__xludf.DUMMYFUNCTION("IFNA(SUM(FILTER('8 серия'!$B$6:$C$15,'8 серия'!$B$6:$B$15=C66)), )"),15.75)</f>
        <v>15.75</v>
      </c>
      <c r="AB66" s="32" t="str">
        <f>IFERROR(__xludf.DUMMYFUNCTION("IFNA(SUM(FILTER('9 серия'!$B$7:$C$16,'9 серия'!$B$7:$B$16=C66)), )"),"")</f>
        <v/>
      </c>
      <c r="AC66" s="32" t="str">
        <f>IFERROR(__xludf.DUMMYFUNCTION("IFNA(SUM(FILTER('10 серия'!$B$6:$C$15,'10 серия'!$B$6:$B$15=C66)), )"),"")</f>
        <v/>
      </c>
      <c r="AD66" s="32">
        <f>IFERROR(__xludf.DUMMYFUNCTION("IFNA(SUM(FILTER('11 серия'!$B$6:$C$15,'11 серия'!$B$6:$B$15=C66)), )"),17.75)</f>
        <v>17.75</v>
      </c>
      <c r="AE66" s="32" t="str">
        <f>IFERROR(__xludf.DUMMYFUNCTION("IFNA(SUM(FILTER('12 серия'!$B$6:$C$15,'12 серия'!$B$6:$B$15=C66)), )"),"")</f>
        <v/>
      </c>
      <c r="AF66" s="32" t="str">
        <f>IFERROR(__xludf.DUMMYFUNCTION("IFNA(SUM(FILTER('13 серия'!$B$6:$C$15,'13 серия'!$B$6:$B$15=C66)), )"),"")</f>
        <v/>
      </c>
      <c r="AG66" s="32">
        <f>IFERROR(__xludf.DUMMYFUNCTION("IFNA(SUM(FILTER('14 серия'!$B$6:$C$15,'14 серия'!$B$6:$B$15=C66)), )"),23.75)</f>
        <v>23.75</v>
      </c>
      <c r="AH66" s="32" t="str">
        <f>IFERROR(__xludf.DUMMYFUNCTION("IFNA(SUM(FILTER('15 серия'!$B$6:$C$15,'15 серия'!$B$6:$B$15=C66)), )"),"")</f>
        <v/>
      </c>
      <c r="AI66" s="32" t="str">
        <f>IFERROR(__xludf.DUMMYFUNCTION("IFNA(SUM(FILTER('16 серия'!$B$6:$C$15,'16 серия'!$B$6:$B$15=C66)), )"),"")</f>
        <v/>
      </c>
      <c r="AJ66" s="32" t="str">
        <f>IFERROR(__xludf.DUMMYFUNCTION("IFNA(SUM(FILTER('17 серия'!$B$6:$C$15,'17 серия'!$B$6:$B$15=C66)), )"),"")</f>
        <v/>
      </c>
      <c r="AK66" s="32" t="str">
        <f>IFERROR(__xludf.DUMMYFUNCTION("IFNA(SUM(FILTER('18 серия'!$B$6:$C$15,'18 серия'!$B$6:$B$15=C66)), )"),"")</f>
        <v/>
      </c>
      <c r="AL66" s="32" t="str">
        <f>IFERROR(__xludf.DUMMYFUNCTION("IFNA(SUM(FILTER('19 серия'!$B$6:$C$15,'19 серия'!$B$6:$B$15=C66)), )"),"")</f>
        <v/>
      </c>
      <c r="AM66" s="32" t="str">
        <f>IFERROR(__xludf.DUMMYFUNCTION("IFNA(SUM(FILTER('20 серия'!$B$6:$C$15,'20 серия'!$B$6:$B$15=C66)), )"),"")</f>
        <v/>
      </c>
      <c r="AN66" s="32" t="str">
        <f>IFERROR(__xludf.DUMMYFUNCTION("IFNA(SUM(FILTER('21 серия'!$B$6:$C$15,'21 серия'!$B$6:$B$15=C66)), )"),"")</f>
        <v/>
      </c>
      <c r="AO66" s="32">
        <f>IFERROR(__xludf.DUMMYFUNCTION("IFNA(SUM(FILTER('22 серия'!$B$6:$C$15,'22 серия'!$B$6:$B$15=C66)), )"),18.75)</f>
        <v>18.75</v>
      </c>
      <c r="AP66" s="32" t="str">
        <f>IFERROR(__xludf.DUMMYFUNCTION("IFNA(SUM(FILTER('23 серия'!$B$6:$C$15,'23 серия'!$B$6:$B$15=C66)), )"),"")</f>
        <v/>
      </c>
      <c r="AQ66" s="32" t="str">
        <f>IFERROR(__xludf.DUMMYFUNCTION("IFNA(SUM(FILTER('24 серия'!$B$6:$C$15,'24 серия'!$B$6:$B$15=C66)), )"),"")</f>
        <v/>
      </c>
      <c r="AR66" s="32">
        <f>IFERROR(__xludf.DUMMYFUNCTION("IFNA(SUM(FILTER('25 серия'!$B$6:$C$15,'25 серия'!$B$6:$B$15=C66)), )"),27.75)</f>
        <v>27.75</v>
      </c>
      <c r="AS66" s="32" t="str">
        <f>IFERROR(__xludf.DUMMYFUNCTION("IFNA(SUM(FILTER('26 серия'!$B$6:$C$15,'26 серия'!$B$6:$B$15=C66)), )"),"")</f>
        <v/>
      </c>
      <c r="AT66" s="32" t="str">
        <f>IFERROR(__xludf.DUMMYFUNCTION("IFNA(SUM(FILTER('27 серия'!$B$6:$C$15,'27 серия'!$B$6:$B$15=C66)), )"),"")</f>
        <v/>
      </c>
      <c r="AU66" s="32" t="str">
        <f>IFERROR(__xludf.DUMMYFUNCTION("IFNA(SUM(FILTER('28 серия'!$B$6:$C$15,'28 серия'!$B$6:$B$15=C66)), )"),"")</f>
        <v/>
      </c>
      <c r="AV66" s="32" t="str">
        <f>IFERROR(__xludf.DUMMYFUNCTION("IFNA(SUM(FILTER('29 серия'!$B$6:$C$15,'29 серия'!$B$6:$B$15=C66)), )"),"")</f>
        <v/>
      </c>
      <c r="AW66" s="32" t="str">
        <f>IFERROR(__xludf.DUMMYFUNCTION("IFNA(SUM(FILTER('30 серия'!$B$6:$C$15,'30 серия'!$B$6:$B$15=C66)), )"),"")</f>
        <v/>
      </c>
      <c r="AX66" s="32" t="str">
        <f>IFERROR(__xludf.DUMMYFUNCTION("IFNA(SUM(FILTER('31 серия'!$B$6:$C$15,'31 серия'!$B$6:$B$15=C66)), )"),"")</f>
        <v/>
      </c>
      <c r="AY66" s="32" t="str">
        <f>IFERROR(__xludf.DUMMYFUNCTION("IFNA(SUM(FILTER('32 серия'!$B$6:$C$15,'32 серия'!$B$6:$B$15=C66)), )"),"")</f>
        <v/>
      </c>
      <c r="AZ66" s="32" t="str">
        <f>IFERROR(__xludf.DUMMYFUNCTION("IFNA(SUM(FILTER('33 серия'!$B$6:$C$15,'33 серия'!$B$6:$B$15=C66)), )"),"")</f>
        <v/>
      </c>
      <c r="BA66" s="32" t="str">
        <f>IFERROR(__xludf.DUMMYFUNCTION("IFNA(SUM(FILTER('34 серия'!$B$6:$C$15,'34 серия'!$B$6:$B$15=C66)), )"),"")</f>
        <v/>
      </c>
      <c r="BB66" s="32">
        <f>IFERROR(__xludf.DUMMYFUNCTION("IFNA(SUM(FILTER('35 серия'!$B$6:$C$15,'35 серия'!$B$6:$B$15=C66)), )"),14.0)</f>
        <v>14</v>
      </c>
      <c r="BC66" s="32" t="str">
        <f>IFERROR(__xludf.DUMMYFUNCTION("IFNA(SUM(FILTER('36 серия'!$B$6:$C$15,'36 серия'!$B$6:$B$15=C66)), )"),"")</f>
        <v/>
      </c>
      <c r="BD66" s="32" t="str">
        <f>IFERROR(__xludf.DUMMYFUNCTION("IFNA(SUM(FILTER('37 серия'!$B$6:$C$15,'37 серия'!$B$6:$B$15=C66)), )"),"")</f>
        <v/>
      </c>
      <c r="BE66" s="32">
        <f>IFERROR(__xludf.DUMMYFUNCTION("IFNA(SUM(FILTER('38 серия'!$B$6:$C$15,'38 серия'!$B$6:$B$15=C66)), )"),26.0)</f>
        <v>26</v>
      </c>
      <c r="BF66" s="32" t="str">
        <f>IFERROR(__xludf.DUMMYFUNCTION("IFNA(SUM(FILTER('39 серия'!$B$6:$C$15,'39 серия'!$B$6:$B$15=C66)), )"),"")</f>
        <v/>
      </c>
      <c r="BG66" s="32" t="str">
        <f>IFERROR(__xludf.DUMMYFUNCTION("IFNA(SUM(FILTER('40 серия'!$B$6:$C$15,'40 серия'!$B$6:$B$15=C66)), )"),"")</f>
        <v/>
      </c>
      <c r="BH66" s="32" t="str">
        <f>IFERROR(__xludf.DUMMYFUNCTION("IFNA(SUM(FILTER('41 серия'!$B$6:$C$15,'41 серия'!$B$6:$B$15=C66)), )"),"")</f>
        <v/>
      </c>
      <c r="BI66" s="32" t="str">
        <f>IFERROR(__xludf.DUMMYFUNCTION("IFNA(SUM(FILTER('42 серия'!$B$6:$C$15,'42 серия'!$B$6:$B$15=C66)), )"),"")</f>
        <v/>
      </c>
      <c r="BJ66" s="32">
        <f>IFERROR(__xludf.DUMMYFUNCTION("IFNA(SUM(FILTER('43 серия'!$B$6:$C$15,'43 серия'!$B$6:$B$15=C66)), )"),19.0)</f>
        <v>19</v>
      </c>
      <c r="BK66" s="32" t="str">
        <f>IFERROR(__xludf.DUMMYFUNCTION("IFNA(SUM(FILTER('44 серия'!$B$6:$C$15,'44 серия'!$B$6:$B$15=C66)), )"),"")</f>
        <v/>
      </c>
      <c r="BL66" s="32" t="str">
        <f>IFERROR(__xludf.DUMMYFUNCTION("IFNA(SUM(FILTER('45 серия'!$B$6:$C$15,'45 серия'!$B$6:$B$15=C66)), )"),"")</f>
        <v/>
      </c>
      <c r="BM66" s="32" t="str">
        <f>IFERROR(__xludf.DUMMYFUNCTION("IFNA(SUM(FILTER('46 серия'!$B$6:$C$15,'46 серия'!$B$6:$B$15=C66)), )"),"")</f>
        <v/>
      </c>
      <c r="BN66" s="32" t="str">
        <f>IFERROR(__xludf.DUMMYFUNCTION("IFNA(SUM(FILTER('47 серия'!$B$6:$C$15,'47 серия'!$B$6:$B$15=C66)), )"),"")</f>
        <v/>
      </c>
      <c r="BO66" s="42" t="str">
        <f>IFERROR(__xludf.DUMMYFUNCTION("IFNA(SUM(FILTER('48 серия'!$B$6:$C$15,'48 серия'!$B$6:$B$15=$C66)), )"),"")</f>
        <v/>
      </c>
      <c r="BP66" s="43" t="str">
        <f>IFERROR(__xludf.DUMMYFUNCTION("IFNA(SUM(FILTER('49 серия'!$B$6:$C$15,'49 серия'!$B$6:$B$15=$C66)), )"),"")</f>
        <v/>
      </c>
      <c r="BQ66" s="43" t="str">
        <f>IFERROR(__xludf.DUMMYFUNCTION("IFNA(SUM(FILTER('50 серия'!$B$6:$C$15,'50 серия'!$B$6:$B$15=$C66)), )"),"")</f>
        <v/>
      </c>
      <c r="BR66" s="43" t="str">
        <f>IFERROR(__xludf.DUMMYFUNCTION("IFNA(SUM(FILTER('51 серия'!$B$6:$C$15,'51 серия'!$B$6:$B$15=$C66)), )"),"")</f>
        <v/>
      </c>
      <c r="BS66" s="49" t="str">
        <f>IFERROR(__xludf.DUMMYFUNCTION("IFNA(SUM(FILTER('52 серия'!$B$6:$C$15,'52 серия'!$B$6:$B$15=C66)), )"),"")</f>
        <v/>
      </c>
      <c r="BT66" s="32" t="str">
        <f>IFERROR(__xludf.DUMMYFUNCTION("IFNA(SUM(FILTER('53 серия'!$B$6:$C$15,'53 серия'!$B$6:$B$15=$C66)), )"),"")</f>
        <v/>
      </c>
      <c r="BU66" s="32" t="str">
        <f>IFERROR(__xludf.DUMMYFUNCTION("IFNA(SUM(FILTER('54 серия'!$B$6:$C$15,'54 серия'!$B$6:$B$15=$C66)), )"),"")</f>
        <v/>
      </c>
      <c r="BV66" s="32" t="str">
        <f>IFERROR(__xludf.DUMMYFUNCTION("IFNA(SUM(FILTER('55 серия'!$B$6:$C$15,'55 серия'!$B$6:$B$15=$C66)), )"),"")</f>
        <v/>
      </c>
      <c r="BW66" s="32" t="str">
        <f>IFERROR(__xludf.DUMMYFUNCTION("IFNA(SUM(FILTER('56 серия'!$B$6:$C$15,'56 серия'!$B$6:$B$15=$C66)), )"),"")</f>
        <v/>
      </c>
      <c r="BX66" s="32" t="str">
        <f>IFERROR(__xludf.DUMMYFUNCTION("IFNA(SUM(FILTER('57 серия'!$B$6:$C$15,'57 серия'!$B$6:$B$15=$C66)), )"),"")</f>
        <v/>
      </c>
      <c r="BY66" s="32" t="str">
        <f>IFERROR(__xludf.DUMMYFUNCTION("IFNA(SUM(FILTER('58 серия'!$B$6:$C$15,'58 серия'!$B$6:$B$15=$C66)), )"),"")</f>
        <v/>
      </c>
      <c r="BZ66" s="46">
        <f>IFERROR(__xludf.DUMMYFUNCTION("IFNA(SUM(FILTER('59 серия'!$B$6:$C$15,'59 серия'!$B$6:$B$15=C66)), )"),18.5)</f>
        <v>18.5</v>
      </c>
      <c r="CA66" s="44" t="str">
        <f>IFERROR(__xludf.DUMMYFUNCTION("IFNA(SUM(FILTER('60 серия'!$B$6:$C$15,'60 серия'!$B$6:$B$15=$C66)), )"),"")</f>
        <v/>
      </c>
      <c r="CB66" s="4"/>
    </row>
    <row r="67">
      <c r="A67" s="1"/>
      <c r="B67" s="1"/>
      <c r="C67" s="60" t="s">
        <v>139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3"/>
      <c r="BQ67" s="3"/>
      <c r="BR67" s="3"/>
      <c r="BS67" s="3"/>
      <c r="BT67" s="1"/>
      <c r="BU67" s="1"/>
      <c r="BV67" s="1"/>
      <c r="BW67" s="1"/>
      <c r="BX67" s="1"/>
      <c r="BY67" s="1"/>
      <c r="BZ67" s="1"/>
      <c r="CA67" s="1"/>
      <c r="CB67" s="4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3"/>
      <c r="BQ68" s="3"/>
      <c r="BR68" s="3"/>
      <c r="BS68" s="3"/>
      <c r="BT68" s="1"/>
      <c r="BU68" s="1"/>
      <c r="BV68" s="1"/>
      <c r="BW68" s="1"/>
      <c r="BX68" s="1"/>
      <c r="BY68" s="1"/>
      <c r="BZ68" s="1"/>
      <c r="CA68" s="1"/>
      <c r="CB68" s="4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3"/>
      <c r="BQ69" s="3"/>
      <c r="BR69" s="3"/>
      <c r="BS69" s="3"/>
      <c r="BT69" s="1"/>
      <c r="BU69" s="1"/>
      <c r="BV69" s="1"/>
      <c r="BW69" s="1"/>
      <c r="BX69" s="1"/>
      <c r="BY69" s="1"/>
      <c r="BZ69" s="1"/>
      <c r="CA69" s="1"/>
      <c r="CB69" s="4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9"/>
      <c r="BQ70" s="9"/>
      <c r="BR70" s="9"/>
      <c r="BS70" s="9"/>
      <c r="BT70" s="7"/>
      <c r="BU70" s="7"/>
      <c r="BV70" s="7"/>
      <c r="BW70" s="7"/>
      <c r="BX70" s="7"/>
      <c r="BY70" s="7"/>
      <c r="BZ70" s="7"/>
      <c r="CA70" s="7"/>
      <c r="CB70" s="4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2"/>
      <c r="BQ71" s="62"/>
      <c r="BR71" s="62"/>
      <c r="BS71" s="62"/>
      <c r="BT71" s="61"/>
      <c r="BU71" s="61"/>
      <c r="BV71" s="61"/>
      <c r="BW71" s="61"/>
      <c r="BX71" s="61"/>
      <c r="BY71" s="61"/>
      <c r="BZ71" s="61"/>
      <c r="CA71" s="61"/>
      <c r="CB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2"/>
      <c r="BQ72" s="62"/>
      <c r="BR72" s="62"/>
      <c r="BS72" s="62"/>
      <c r="BT72" s="61"/>
      <c r="BU72" s="61"/>
      <c r="BV72" s="61"/>
      <c r="BW72" s="61"/>
      <c r="BX72" s="61"/>
      <c r="BY72" s="61"/>
      <c r="BZ72" s="61"/>
      <c r="CA72" s="61"/>
      <c r="CB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2"/>
      <c r="BQ73" s="62"/>
      <c r="BR73" s="62"/>
      <c r="BS73" s="62"/>
      <c r="BT73" s="61"/>
      <c r="BU73" s="61"/>
      <c r="BV73" s="61"/>
      <c r="BW73" s="61"/>
      <c r="BX73" s="61"/>
      <c r="BY73" s="61"/>
      <c r="BZ73" s="61"/>
      <c r="CA73" s="61"/>
      <c r="CB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2"/>
      <c r="BQ74" s="62"/>
      <c r="BR74" s="62"/>
      <c r="BS74" s="62"/>
      <c r="BT74" s="61"/>
      <c r="BU74" s="61"/>
      <c r="BV74" s="61"/>
      <c r="BW74" s="61"/>
      <c r="BX74" s="61"/>
      <c r="BY74" s="61"/>
      <c r="BZ74" s="61"/>
      <c r="CA74" s="61"/>
      <c r="CB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2"/>
      <c r="BQ75" s="62"/>
      <c r="BR75" s="62"/>
      <c r="BS75" s="62"/>
      <c r="BT75" s="61"/>
      <c r="BU75" s="61"/>
      <c r="BV75" s="61"/>
      <c r="BW75" s="61"/>
      <c r="BX75" s="61"/>
      <c r="BY75" s="61"/>
      <c r="BZ75" s="61"/>
      <c r="CA75" s="61"/>
      <c r="CB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2"/>
      <c r="BQ76" s="62"/>
      <c r="BR76" s="62"/>
      <c r="BS76" s="62"/>
      <c r="BT76" s="61"/>
      <c r="BU76" s="61"/>
      <c r="BV76" s="61"/>
      <c r="BW76" s="61"/>
      <c r="BX76" s="61"/>
      <c r="BY76" s="61"/>
      <c r="BZ76" s="61"/>
      <c r="CA76" s="61"/>
      <c r="CB76" s="61"/>
    </row>
    <row r="77">
      <c r="A77" s="61"/>
      <c r="B77" s="61"/>
      <c r="C77" s="61"/>
      <c r="D77" s="63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2"/>
      <c r="BQ77" s="62"/>
      <c r="BR77" s="62"/>
      <c r="BS77" s="62"/>
      <c r="BT77" s="61"/>
      <c r="BU77" s="61"/>
      <c r="BV77" s="61"/>
      <c r="BW77" s="61"/>
      <c r="BX77" s="61"/>
      <c r="BY77" s="61"/>
      <c r="BZ77" s="61"/>
      <c r="CA77" s="61"/>
      <c r="CB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2"/>
      <c r="BQ78" s="62"/>
      <c r="BR78" s="62"/>
      <c r="BS78" s="62"/>
      <c r="BT78" s="61"/>
      <c r="BU78" s="61"/>
      <c r="BV78" s="61"/>
      <c r="BW78" s="61"/>
      <c r="BX78" s="61"/>
      <c r="BY78" s="61"/>
      <c r="BZ78" s="61"/>
      <c r="CA78" s="61"/>
      <c r="CB78" s="61"/>
    </row>
    <row r="79">
      <c r="A79" s="61"/>
      <c r="B79" s="61"/>
      <c r="C79" s="61"/>
      <c r="D79" s="63"/>
      <c r="E79" s="63"/>
      <c r="F79" s="63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2"/>
      <c r="BQ79" s="62"/>
      <c r="BR79" s="62"/>
      <c r="BS79" s="62"/>
      <c r="BT79" s="61"/>
      <c r="BU79" s="61"/>
      <c r="BV79" s="61"/>
      <c r="BW79" s="61"/>
      <c r="BX79" s="61"/>
      <c r="BY79" s="61"/>
      <c r="BZ79" s="61"/>
      <c r="CA79" s="61"/>
      <c r="CB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2"/>
      <c r="BQ80" s="62"/>
      <c r="BR80" s="62"/>
      <c r="BS80" s="62"/>
      <c r="BT80" s="61"/>
      <c r="BU80" s="61"/>
      <c r="BV80" s="61"/>
      <c r="BW80" s="61"/>
      <c r="BX80" s="61"/>
      <c r="BY80" s="61"/>
      <c r="BZ80" s="61"/>
      <c r="CA80" s="61"/>
      <c r="CB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2"/>
      <c r="BQ81" s="62"/>
      <c r="BR81" s="62"/>
      <c r="BS81" s="62"/>
      <c r="BT81" s="61"/>
      <c r="BU81" s="61"/>
      <c r="BV81" s="61"/>
      <c r="BW81" s="61"/>
      <c r="BX81" s="61"/>
      <c r="BY81" s="61"/>
      <c r="BZ81" s="61"/>
      <c r="CA81" s="61"/>
      <c r="CB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2"/>
      <c r="BQ82" s="62"/>
      <c r="BR82" s="62"/>
      <c r="BS82" s="62"/>
      <c r="BT82" s="61"/>
      <c r="BU82" s="61"/>
      <c r="BV82" s="61"/>
      <c r="BW82" s="61"/>
      <c r="BX82" s="61"/>
      <c r="BY82" s="61"/>
      <c r="BZ82" s="61"/>
      <c r="CA82" s="61"/>
      <c r="CB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2"/>
      <c r="BQ83" s="62"/>
      <c r="BR83" s="62"/>
      <c r="BS83" s="62"/>
      <c r="BT83" s="61"/>
      <c r="BU83" s="61"/>
      <c r="BV83" s="61"/>
      <c r="BW83" s="61"/>
      <c r="BX83" s="61"/>
      <c r="BY83" s="61"/>
      <c r="BZ83" s="61"/>
      <c r="CA83" s="61"/>
      <c r="CB83" s="61"/>
    </row>
    <row r="84">
      <c r="A84" s="61"/>
      <c r="B84" s="61"/>
      <c r="C84" s="61"/>
      <c r="D84" s="63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2"/>
      <c r="BQ84" s="62"/>
      <c r="BR84" s="62"/>
      <c r="BS84" s="62"/>
      <c r="BT84" s="61"/>
      <c r="BU84" s="61"/>
      <c r="BV84" s="61"/>
      <c r="BW84" s="61"/>
      <c r="BX84" s="61"/>
      <c r="BY84" s="61"/>
      <c r="BZ84" s="61"/>
      <c r="CA84" s="61"/>
      <c r="CB84" s="61"/>
    </row>
    <row r="85">
      <c r="A85" s="61"/>
      <c r="B85" s="61"/>
      <c r="C85" s="61"/>
      <c r="D85" s="63"/>
      <c r="E85" s="63"/>
      <c r="F85" s="63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2"/>
      <c r="BQ85" s="62"/>
      <c r="BR85" s="62"/>
      <c r="BS85" s="62"/>
      <c r="BT85" s="61"/>
      <c r="BU85" s="61"/>
      <c r="BV85" s="61"/>
      <c r="BW85" s="61"/>
      <c r="BX85" s="61"/>
      <c r="BY85" s="61"/>
      <c r="BZ85" s="61"/>
      <c r="CA85" s="61"/>
      <c r="CB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2"/>
      <c r="BQ86" s="62"/>
      <c r="BR86" s="62"/>
      <c r="BS86" s="62"/>
      <c r="BT86" s="61"/>
      <c r="BU86" s="61"/>
      <c r="BV86" s="61"/>
      <c r="BW86" s="61"/>
      <c r="BX86" s="61"/>
      <c r="BY86" s="61"/>
      <c r="BZ86" s="61"/>
      <c r="CA86" s="61"/>
      <c r="CB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2"/>
      <c r="BQ87" s="62"/>
      <c r="BR87" s="62"/>
      <c r="BS87" s="62"/>
      <c r="BT87" s="61"/>
      <c r="BU87" s="61"/>
      <c r="BV87" s="61"/>
      <c r="BW87" s="61"/>
      <c r="BX87" s="61"/>
      <c r="BY87" s="61"/>
      <c r="BZ87" s="61"/>
      <c r="CA87" s="61"/>
      <c r="CB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2"/>
      <c r="BQ88" s="62"/>
      <c r="BR88" s="62"/>
      <c r="BS88" s="62"/>
      <c r="BT88" s="61"/>
      <c r="BU88" s="61"/>
      <c r="BV88" s="61"/>
      <c r="BW88" s="61"/>
      <c r="BX88" s="61"/>
      <c r="BY88" s="61"/>
      <c r="BZ88" s="61"/>
      <c r="CA88" s="61"/>
      <c r="CB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2"/>
      <c r="BQ89" s="62"/>
      <c r="BR89" s="62"/>
      <c r="BS89" s="62"/>
      <c r="BT89" s="61"/>
      <c r="BU89" s="61"/>
      <c r="BV89" s="61"/>
      <c r="BW89" s="61"/>
      <c r="BX89" s="61"/>
      <c r="BY89" s="61"/>
      <c r="BZ89" s="61"/>
      <c r="CA89" s="61"/>
      <c r="CB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2"/>
      <c r="BQ90" s="62"/>
      <c r="BR90" s="62"/>
      <c r="BS90" s="62"/>
      <c r="BT90" s="61"/>
      <c r="BU90" s="61"/>
      <c r="BV90" s="61"/>
      <c r="BW90" s="61"/>
      <c r="BX90" s="61"/>
      <c r="BY90" s="61"/>
      <c r="BZ90" s="61"/>
      <c r="CA90" s="61"/>
      <c r="CB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2"/>
      <c r="BQ91" s="62"/>
      <c r="BR91" s="62"/>
      <c r="BS91" s="62"/>
      <c r="BT91" s="61"/>
      <c r="BU91" s="61"/>
      <c r="BV91" s="61"/>
      <c r="BW91" s="61"/>
      <c r="BX91" s="61"/>
      <c r="BY91" s="61"/>
      <c r="BZ91" s="61"/>
      <c r="CA91" s="61"/>
      <c r="CB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2"/>
      <c r="BQ92" s="62"/>
      <c r="BR92" s="62"/>
      <c r="BS92" s="62"/>
      <c r="BT92" s="61"/>
      <c r="BU92" s="61"/>
      <c r="BV92" s="61"/>
      <c r="BW92" s="61"/>
      <c r="BX92" s="61"/>
      <c r="BY92" s="61"/>
      <c r="BZ92" s="61"/>
      <c r="CA92" s="61"/>
      <c r="CB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2"/>
      <c r="BQ93" s="62"/>
      <c r="BR93" s="62"/>
      <c r="BS93" s="62"/>
      <c r="BT93" s="61"/>
      <c r="BU93" s="61"/>
      <c r="BV93" s="61"/>
      <c r="BW93" s="61"/>
      <c r="BX93" s="61"/>
      <c r="BY93" s="61"/>
      <c r="BZ93" s="61"/>
      <c r="CA93" s="61"/>
      <c r="CB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2"/>
      <c r="BQ94" s="62"/>
      <c r="BR94" s="62"/>
      <c r="BS94" s="62"/>
      <c r="BT94" s="61"/>
      <c r="BU94" s="61"/>
      <c r="BV94" s="61"/>
      <c r="BW94" s="61"/>
      <c r="BX94" s="61"/>
      <c r="BY94" s="61"/>
      <c r="BZ94" s="61"/>
      <c r="CA94" s="61"/>
      <c r="CB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2"/>
      <c r="BQ95" s="62"/>
      <c r="BR95" s="62"/>
      <c r="BS95" s="62"/>
      <c r="BT95" s="61"/>
      <c r="BU95" s="61"/>
      <c r="BV95" s="61"/>
      <c r="BW95" s="61"/>
      <c r="BX95" s="61"/>
      <c r="BY95" s="61"/>
      <c r="BZ95" s="61"/>
      <c r="CA95" s="61"/>
      <c r="CB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2"/>
      <c r="BQ96" s="62"/>
      <c r="BR96" s="62"/>
      <c r="BS96" s="62"/>
      <c r="BT96" s="61"/>
      <c r="BU96" s="61"/>
      <c r="BV96" s="61"/>
      <c r="BW96" s="61"/>
      <c r="BX96" s="61"/>
      <c r="BY96" s="61"/>
      <c r="BZ96" s="61"/>
      <c r="CA96" s="61"/>
      <c r="CB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2"/>
      <c r="BQ97" s="62"/>
      <c r="BR97" s="62"/>
      <c r="BS97" s="62"/>
      <c r="BT97" s="61"/>
      <c r="BU97" s="61"/>
      <c r="BV97" s="61"/>
      <c r="BW97" s="61"/>
      <c r="BX97" s="61"/>
      <c r="BY97" s="61"/>
      <c r="BZ97" s="61"/>
      <c r="CA97" s="61"/>
      <c r="CB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2"/>
      <c r="BQ98" s="62"/>
      <c r="BR98" s="62"/>
      <c r="BS98" s="62"/>
      <c r="BT98" s="61"/>
      <c r="BU98" s="61"/>
      <c r="BV98" s="61"/>
      <c r="BW98" s="61"/>
      <c r="BX98" s="61"/>
      <c r="BY98" s="61"/>
      <c r="BZ98" s="61"/>
      <c r="CA98" s="61"/>
      <c r="CB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2"/>
      <c r="BQ99" s="62"/>
      <c r="BR99" s="62"/>
      <c r="BS99" s="62"/>
      <c r="BT99" s="61"/>
      <c r="BU99" s="61"/>
      <c r="BV99" s="61"/>
      <c r="BW99" s="61"/>
      <c r="BX99" s="61"/>
      <c r="BY99" s="61"/>
      <c r="BZ99" s="61"/>
      <c r="CA99" s="61"/>
      <c r="CB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2"/>
      <c r="BQ100" s="62"/>
      <c r="BR100" s="62"/>
      <c r="BS100" s="62"/>
      <c r="BT100" s="61"/>
      <c r="BU100" s="61"/>
      <c r="BV100" s="61"/>
      <c r="BW100" s="61"/>
      <c r="BX100" s="61"/>
      <c r="BY100" s="61"/>
      <c r="BZ100" s="61"/>
      <c r="CA100" s="61"/>
      <c r="CB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2"/>
      <c r="BQ101" s="62"/>
      <c r="BR101" s="62"/>
      <c r="BS101" s="62"/>
      <c r="BT101" s="61"/>
      <c r="BU101" s="61"/>
      <c r="BV101" s="61"/>
      <c r="BW101" s="61"/>
      <c r="BX101" s="61"/>
      <c r="BY101" s="61"/>
      <c r="BZ101" s="61"/>
      <c r="CA101" s="61"/>
      <c r="CB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2"/>
      <c r="BQ102" s="62"/>
      <c r="BR102" s="62"/>
      <c r="BS102" s="62"/>
      <c r="BT102" s="61"/>
      <c r="BU102" s="61"/>
      <c r="BV102" s="61"/>
      <c r="BW102" s="61"/>
      <c r="BX102" s="61"/>
      <c r="BY102" s="61"/>
      <c r="BZ102" s="61"/>
      <c r="CA102" s="61"/>
      <c r="CB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2"/>
      <c r="BQ103" s="62"/>
      <c r="BR103" s="62"/>
      <c r="BS103" s="62"/>
      <c r="BT103" s="61"/>
      <c r="BU103" s="61"/>
      <c r="BV103" s="61"/>
      <c r="BW103" s="61"/>
      <c r="BX103" s="61"/>
      <c r="BY103" s="61"/>
      <c r="BZ103" s="61"/>
      <c r="CA103" s="61"/>
      <c r="CB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2"/>
      <c r="BQ104" s="62"/>
      <c r="BR104" s="62"/>
      <c r="BS104" s="62"/>
      <c r="BT104" s="61"/>
      <c r="BU104" s="61"/>
      <c r="BV104" s="61"/>
      <c r="BW104" s="61"/>
      <c r="BX104" s="61"/>
      <c r="BY104" s="61"/>
      <c r="BZ104" s="61"/>
      <c r="CA104" s="61"/>
      <c r="CB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2"/>
      <c r="BQ105" s="62"/>
      <c r="BR105" s="62"/>
      <c r="BS105" s="62"/>
      <c r="BT105" s="61"/>
      <c r="BU105" s="61"/>
      <c r="BV105" s="61"/>
      <c r="BW105" s="61"/>
      <c r="BX105" s="61"/>
      <c r="BY105" s="61"/>
      <c r="BZ105" s="61"/>
      <c r="CA105" s="61"/>
      <c r="CB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2"/>
      <c r="BQ106" s="62"/>
      <c r="BR106" s="62"/>
      <c r="BS106" s="62"/>
      <c r="BT106" s="61"/>
      <c r="BU106" s="61"/>
      <c r="BV106" s="61"/>
      <c r="BW106" s="61"/>
      <c r="BX106" s="61"/>
      <c r="BY106" s="61"/>
      <c r="BZ106" s="61"/>
      <c r="CA106" s="61"/>
      <c r="CB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2"/>
      <c r="BQ107" s="62"/>
      <c r="BR107" s="62"/>
      <c r="BS107" s="62"/>
      <c r="BT107" s="61"/>
      <c r="BU107" s="61"/>
      <c r="BV107" s="61"/>
      <c r="BW107" s="61"/>
      <c r="BX107" s="61"/>
      <c r="BY107" s="61"/>
      <c r="BZ107" s="61"/>
      <c r="CA107" s="61"/>
      <c r="CB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2"/>
      <c r="BQ108" s="62"/>
      <c r="BR108" s="62"/>
      <c r="BS108" s="62"/>
      <c r="BT108" s="61"/>
      <c r="BU108" s="61"/>
      <c r="BV108" s="61"/>
      <c r="BW108" s="61"/>
      <c r="BX108" s="61"/>
      <c r="BY108" s="61"/>
      <c r="BZ108" s="61"/>
      <c r="CA108" s="61"/>
      <c r="CB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2"/>
      <c r="BQ109" s="62"/>
      <c r="BR109" s="62"/>
      <c r="BS109" s="62"/>
      <c r="BT109" s="61"/>
      <c r="BU109" s="61"/>
      <c r="BV109" s="61"/>
      <c r="BW109" s="61"/>
      <c r="BX109" s="61"/>
      <c r="BY109" s="61"/>
      <c r="BZ109" s="61"/>
      <c r="CA109" s="61"/>
      <c r="CB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2"/>
      <c r="BQ110" s="62"/>
      <c r="BR110" s="62"/>
      <c r="BS110" s="62"/>
      <c r="BT110" s="61"/>
      <c r="BU110" s="61"/>
      <c r="BV110" s="61"/>
      <c r="BW110" s="61"/>
      <c r="BX110" s="61"/>
      <c r="BY110" s="61"/>
      <c r="BZ110" s="61"/>
      <c r="CA110" s="61"/>
      <c r="CB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2"/>
      <c r="BQ111" s="62"/>
      <c r="BR111" s="62"/>
      <c r="BS111" s="62"/>
      <c r="BT111" s="61"/>
      <c r="BU111" s="61"/>
      <c r="BV111" s="61"/>
      <c r="BW111" s="61"/>
      <c r="BX111" s="61"/>
      <c r="BY111" s="61"/>
      <c r="BZ111" s="61"/>
      <c r="CA111" s="61"/>
      <c r="CB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2"/>
      <c r="BQ112" s="62"/>
      <c r="BR112" s="62"/>
      <c r="BS112" s="62"/>
      <c r="BT112" s="61"/>
      <c r="BU112" s="61"/>
      <c r="BV112" s="61"/>
      <c r="BW112" s="61"/>
      <c r="BX112" s="61"/>
      <c r="BY112" s="61"/>
      <c r="BZ112" s="61"/>
      <c r="CA112" s="61"/>
      <c r="CB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2"/>
      <c r="BQ113" s="62"/>
      <c r="BR113" s="62"/>
      <c r="BS113" s="62"/>
      <c r="BT113" s="61"/>
      <c r="BU113" s="61"/>
      <c r="BV113" s="61"/>
      <c r="BW113" s="61"/>
      <c r="BX113" s="61"/>
      <c r="BY113" s="61"/>
      <c r="BZ113" s="61"/>
      <c r="CA113" s="61"/>
      <c r="CB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2"/>
      <c r="BQ114" s="62"/>
      <c r="BR114" s="62"/>
      <c r="BS114" s="62"/>
      <c r="BT114" s="61"/>
      <c r="BU114" s="61"/>
      <c r="BV114" s="61"/>
      <c r="BW114" s="61"/>
      <c r="BX114" s="61"/>
      <c r="BY114" s="61"/>
      <c r="BZ114" s="61"/>
      <c r="CA114" s="61"/>
      <c r="CB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2"/>
      <c r="BQ115" s="62"/>
      <c r="BR115" s="62"/>
      <c r="BS115" s="62"/>
      <c r="BT115" s="61"/>
      <c r="BU115" s="61"/>
      <c r="BV115" s="61"/>
      <c r="BW115" s="61"/>
      <c r="BX115" s="61"/>
      <c r="BY115" s="61"/>
      <c r="BZ115" s="61"/>
      <c r="CA115" s="61"/>
      <c r="CB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2"/>
      <c r="BQ116" s="62"/>
      <c r="BR116" s="62"/>
      <c r="BS116" s="62"/>
      <c r="BT116" s="61"/>
      <c r="BU116" s="61"/>
      <c r="BV116" s="61"/>
      <c r="BW116" s="61"/>
      <c r="BX116" s="61"/>
      <c r="BY116" s="61"/>
      <c r="BZ116" s="61"/>
      <c r="CA116" s="61"/>
      <c r="CB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2"/>
      <c r="BQ117" s="62"/>
      <c r="BR117" s="62"/>
      <c r="BS117" s="62"/>
      <c r="BT117" s="61"/>
      <c r="BU117" s="61"/>
      <c r="BV117" s="61"/>
      <c r="BW117" s="61"/>
      <c r="BX117" s="61"/>
      <c r="BY117" s="61"/>
      <c r="BZ117" s="61"/>
      <c r="CA117" s="61"/>
      <c r="CB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2"/>
      <c r="BQ118" s="62"/>
      <c r="BR118" s="62"/>
      <c r="BS118" s="62"/>
      <c r="BT118" s="61"/>
      <c r="BU118" s="61"/>
      <c r="BV118" s="61"/>
      <c r="BW118" s="61"/>
      <c r="BX118" s="61"/>
      <c r="BY118" s="61"/>
      <c r="BZ118" s="61"/>
      <c r="CA118" s="61"/>
      <c r="CB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2"/>
      <c r="BQ119" s="62"/>
      <c r="BR119" s="62"/>
      <c r="BS119" s="62"/>
      <c r="BT119" s="61"/>
      <c r="BU119" s="61"/>
      <c r="BV119" s="61"/>
      <c r="BW119" s="61"/>
      <c r="BX119" s="61"/>
      <c r="BY119" s="61"/>
      <c r="BZ119" s="61"/>
      <c r="CA119" s="61"/>
      <c r="CB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2"/>
      <c r="BQ120" s="62"/>
      <c r="BR120" s="62"/>
      <c r="BS120" s="62"/>
      <c r="BT120" s="61"/>
      <c r="BU120" s="61"/>
      <c r="BV120" s="61"/>
      <c r="BW120" s="61"/>
      <c r="BX120" s="61"/>
      <c r="BY120" s="61"/>
      <c r="BZ120" s="61"/>
      <c r="CA120" s="61"/>
      <c r="CB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2"/>
      <c r="BQ121" s="62"/>
      <c r="BR121" s="62"/>
      <c r="BS121" s="62"/>
      <c r="BT121" s="61"/>
      <c r="BU121" s="61"/>
      <c r="BV121" s="61"/>
      <c r="BW121" s="61"/>
      <c r="BX121" s="61"/>
      <c r="BY121" s="61"/>
      <c r="BZ121" s="61"/>
      <c r="CA121" s="61"/>
      <c r="CB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2"/>
      <c r="BQ122" s="62"/>
      <c r="BR122" s="62"/>
      <c r="BS122" s="62"/>
      <c r="BT122" s="61"/>
      <c r="BU122" s="61"/>
      <c r="BV122" s="61"/>
      <c r="BW122" s="61"/>
      <c r="BX122" s="61"/>
      <c r="BY122" s="61"/>
      <c r="BZ122" s="61"/>
      <c r="CA122" s="61"/>
      <c r="CB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2"/>
      <c r="BQ123" s="62"/>
      <c r="BR123" s="62"/>
      <c r="BS123" s="62"/>
      <c r="BT123" s="61"/>
      <c r="BU123" s="61"/>
      <c r="BV123" s="61"/>
      <c r="BW123" s="61"/>
      <c r="BX123" s="61"/>
      <c r="BY123" s="61"/>
      <c r="BZ123" s="61"/>
      <c r="CA123" s="61"/>
      <c r="CB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2"/>
      <c r="BQ124" s="62"/>
      <c r="BR124" s="62"/>
      <c r="BS124" s="62"/>
      <c r="BT124" s="61"/>
      <c r="BU124" s="61"/>
      <c r="BV124" s="61"/>
      <c r="BW124" s="61"/>
      <c r="BX124" s="61"/>
      <c r="BY124" s="61"/>
      <c r="BZ124" s="61"/>
      <c r="CA124" s="61"/>
      <c r="CB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2"/>
      <c r="BQ125" s="62"/>
      <c r="BR125" s="62"/>
      <c r="BS125" s="62"/>
      <c r="BT125" s="61"/>
      <c r="BU125" s="61"/>
      <c r="BV125" s="61"/>
      <c r="BW125" s="61"/>
      <c r="BX125" s="61"/>
      <c r="BY125" s="61"/>
      <c r="BZ125" s="61"/>
      <c r="CA125" s="61"/>
      <c r="CB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2"/>
      <c r="BQ126" s="62"/>
      <c r="BR126" s="62"/>
      <c r="BS126" s="62"/>
      <c r="BT126" s="61"/>
      <c r="BU126" s="61"/>
      <c r="BV126" s="61"/>
      <c r="BW126" s="61"/>
      <c r="BX126" s="61"/>
      <c r="BY126" s="61"/>
      <c r="BZ126" s="61"/>
      <c r="CA126" s="61"/>
      <c r="CB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2"/>
      <c r="BQ127" s="62"/>
      <c r="BR127" s="62"/>
      <c r="BS127" s="62"/>
      <c r="BT127" s="61"/>
      <c r="BU127" s="61"/>
      <c r="BV127" s="61"/>
      <c r="BW127" s="61"/>
      <c r="BX127" s="61"/>
      <c r="BY127" s="61"/>
      <c r="BZ127" s="61"/>
      <c r="CA127" s="61"/>
      <c r="CB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2"/>
      <c r="BQ128" s="62"/>
      <c r="BR128" s="62"/>
      <c r="BS128" s="62"/>
      <c r="BT128" s="61"/>
      <c r="BU128" s="61"/>
      <c r="BV128" s="61"/>
      <c r="BW128" s="61"/>
      <c r="BX128" s="61"/>
      <c r="BY128" s="61"/>
      <c r="BZ128" s="61"/>
      <c r="CA128" s="61"/>
      <c r="CB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2"/>
      <c r="BQ129" s="62"/>
      <c r="BR129" s="62"/>
      <c r="BS129" s="62"/>
      <c r="BT129" s="61"/>
      <c r="BU129" s="61"/>
      <c r="BV129" s="61"/>
      <c r="BW129" s="61"/>
      <c r="BX129" s="61"/>
      <c r="BY129" s="61"/>
      <c r="BZ129" s="61"/>
      <c r="CA129" s="61"/>
      <c r="CB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2"/>
      <c r="BQ130" s="62"/>
      <c r="BR130" s="62"/>
      <c r="BS130" s="62"/>
      <c r="BT130" s="61"/>
      <c r="BU130" s="61"/>
      <c r="BV130" s="61"/>
      <c r="BW130" s="61"/>
      <c r="BX130" s="61"/>
      <c r="BY130" s="61"/>
      <c r="BZ130" s="61"/>
      <c r="CA130" s="61"/>
      <c r="CB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2"/>
      <c r="BQ131" s="62"/>
      <c r="BR131" s="62"/>
      <c r="BS131" s="62"/>
      <c r="BT131" s="61"/>
      <c r="BU131" s="61"/>
      <c r="BV131" s="61"/>
      <c r="BW131" s="61"/>
      <c r="BX131" s="61"/>
      <c r="BY131" s="61"/>
      <c r="BZ131" s="61"/>
      <c r="CA131" s="61"/>
      <c r="CB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2"/>
      <c r="BQ132" s="62"/>
      <c r="BR132" s="62"/>
      <c r="BS132" s="62"/>
      <c r="BT132" s="61"/>
      <c r="BU132" s="61"/>
      <c r="BV132" s="61"/>
      <c r="BW132" s="61"/>
      <c r="BX132" s="61"/>
      <c r="BY132" s="61"/>
      <c r="BZ132" s="61"/>
      <c r="CA132" s="61"/>
      <c r="CB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2"/>
      <c r="BQ133" s="62"/>
      <c r="BR133" s="62"/>
      <c r="BS133" s="62"/>
      <c r="BT133" s="61"/>
      <c r="BU133" s="61"/>
      <c r="BV133" s="61"/>
      <c r="BW133" s="61"/>
      <c r="BX133" s="61"/>
      <c r="BY133" s="61"/>
      <c r="BZ133" s="61"/>
      <c r="CA133" s="61"/>
      <c r="CB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2"/>
      <c r="BQ134" s="62"/>
      <c r="BR134" s="62"/>
      <c r="BS134" s="62"/>
      <c r="BT134" s="61"/>
      <c r="BU134" s="61"/>
      <c r="BV134" s="61"/>
      <c r="BW134" s="61"/>
      <c r="BX134" s="61"/>
      <c r="BY134" s="61"/>
      <c r="BZ134" s="61"/>
      <c r="CA134" s="61"/>
      <c r="CB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2"/>
      <c r="BQ135" s="62"/>
      <c r="BR135" s="62"/>
      <c r="BS135" s="62"/>
      <c r="BT135" s="61"/>
      <c r="BU135" s="61"/>
      <c r="BV135" s="61"/>
      <c r="BW135" s="61"/>
      <c r="BX135" s="61"/>
      <c r="BY135" s="61"/>
      <c r="BZ135" s="61"/>
      <c r="CA135" s="61"/>
      <c r="CB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2"/>
      <c r="BQ136" s="62"/>
      <c r="BR136" s="62"/>
      <c r="BS136" s="62"/>
      <c r="BT136" s="61"/>
      <c r="BU136" s="61"/>
      <c r="BV136" s="61"/>
      <c r="BW136" s="61"/>
      <c r="BX136" s="61"/>
      <c r="BY136" s="61"/>
      <c r="BZ136" s="61"/>
      <c r="CA136" s="61"/>
      <c r="CB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2"/>
      <c r="BQ137" s="62"/>
      <c r="BR137" s="62"/>
      <c r="BS137" s="62"/>
      <c r="BT137" s="61"/>
      <c r="BU137" s="61"/>
      <c r="BV137" s="61"/>
      <c r="BW137" s="61"/>
      <c r="BX137" s="61"/>
      <c r="BY137" s="61"/>
      <c r="BZ137" s="61"/>
      <c r="CA137" s="61"/>
      <c r="CB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2"/>
      <c r="BQ138" s="62"/>
      <c r="BR138" s="62"/>
      <c r="BS138" s="62"/>
      <c r="BT138" s="61"/>
      <c r="BU138" s="61"/>
      <c r="BV138" s="61"/>
      <c r="BW138" s="61"/>
      <c r="BX138" s="61"/>
      <c r="BY138" s="61"/>
      <c r="BZ138" s="61"/>
      <c r="CA138" s="61"/>
      <c r="CB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2"/>
      <c r="BQ139" s="62"/>
      <c r="BR139" s="62"/>
      <c r="BS139" s="62"/>
      <c r="BT139" s="61"/>
      <c r="BU139" s="61"/>
      <c r="BV139" s="61"/>
      <c r="BW139" s="61"/>
      <c r="BX139" s="61"/>
      <c r="BY139" s="61"/>
      <c r="BZ139" s="61"/>
      <c r="CA139" s="61"/>
      <c r="CB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2"/>
      <c r="BQ140" s="62"/>
      <c r="BR140" s="62"/>
      <c r="BS140" s="62"/>
      <c r="BT140" s="61"/>
      <c r="BU140" s="61"/>
      <c r="BV140" s="61"/>
      <c r="BW140" s="61"/>
      <c r="BX140" s="61"/>
      <c r="BY140" s="61"/>
      <c r="BZ140" s="61"/>
      <c r="CA140" s="61"/>
      <c r="CB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2"/>
      <c r="BQ141" s="62"/>
      <c r="BR141" s="62"/>
      <c r="BS141" s="62"/>
      <c r="BT141" s="61"/>
      <c r="BU141" s="61"/>
      <c r="BV141" s="61"/>
      <c r="BW141" s="61"/>
      <c r="BX141" s="61"/>
      <c r="BY141" s="61"/>
      <c r="BZ141" s="61"/>
      <c r="CA141" s="61"/>
      <c r="CB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2"/>
      <c r="BQ142" s="62"/>
      <c r="BR142" s="62"/>
      <c r="BS142" s="62"/>
      <c r="BT142" s="61"/>
      <c r="BU142" s="61"/>
      <c r="BV142" s="61"/>
      <c r="BW142" s="61"/>
      <c r="BX142" s="61"/>
      <c r="BY142" s="61"/>
      <c r="BZ142" s="61"/>
      <c r="CA142" s="61"/>
      <c r="CB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2"/>
      <c r="BQ143" s="62"/>
      <c r="BR143" s="62"/>
      <c r="BS143" s="62"/>
      <c r="BT143" s="61"/>
      <c r="BU143" s="61"/>
      <c r="BV143" s="61"/>
      <c r="BW143" s="61"/>
      <c r="BX143" s="61"/>
      <c r="BY143" s="61"/>
      <c r="BZ143" s="61"/>
      <c r="CA143" s="61"/>
      <c r="CB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2"/>
      <c r="BQ144" s="62"/>
      <c r="BR144" s="62"/>
      <c r="BS144" s="62"/>
      <c r="BT144" s="61"/>
      <c r="BU144" s="61"/>
      <c r="BV144" s="61"/>
      <c r="BW144" s="61"/>
      <c r="BX144" s="61"/>
      <c r="BY144" s="61"/>
      <c r="BZ144" s="61"/>
      <c r="CA144" s="61"/>
      <c r="CB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2"/>
      <c r="BQ145" s="62"/>
      <c r="BR145" s="62"/>
      <c r="BS145" s="62"/>
      <c r="BT145" s="61"/>
      <c r="BU145" s="61"/>
      <c r="BV145" s="61"/>
      <c r="BW145" s="61"/>
      <c r="BX145" s="61"/>
      <c r="BY145" s="61"/>
      <c r="BZ145" s="61"/>
      <c r="CA145" s="61"/>
      <c r="CB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2"/>
      <c r="BQ146" s="62"/>
      <c r="BR146" s="62"/>
      <c r="BS146" s="62"/>
      <c r="BT146" s="61"/>
      <c r="BU146" s="61"/>
      <c r="BV146" s="61"/>
      <c r="BW146" s="61"/>
      <c r="BX146" s="61"/>
      <c r="BY146" s="61"/>
      <c r="BZ146" s="61"/>
      <c r="CA146" s="61"/>
      <c r="CB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2"/>
      <c r="BQ147" s="62"/>
      <c r="BR147" s="62"/>
      <c r="BS147" s="62"/>
      <c r="BT147" s="61"/>
      <c r="BU147" s="61"/>
      <c r="BV147" s="61"/>
      <c r="BW147" s="61"/>
      <c r="BX147" s="61"/>
      <c r="BY147" s="61"/>
      <c r="BZ147" s="61"/>
      <c r="CA147" s="61"/>
      <c r="CB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2"/>
      <c r="BQ148" s="62"/>
      <c r="BR148" s="62"/>
      <c r="BS148" s="62"/>
      <c r="BT148" s="61"/>
      <c r="BU148" s="61"/>
      <c r="BV148" s="61"/>
      <c r="BW148" s="61"/>
      <c r="BX148" s="61"/>
      <c r="BY148" s="61"/>
      <c r="BZ148" s="61"/>
      <c r="CA148" s="61"/>
      <c r="CB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2"/>
      <c r="BQ149" s="62"/>
      <c r="BR149" s="62"/>
      <c r="BS149" s="62"/>
      <c r="BT149" s="61"/>
      <c r="BU149" s="61"/>
      <c r="BV149" s="61"/>
      <c r="BW149" s="61"/>
      <c r="BX149" s="61"/>
      <c r="BY149" s="61"/>
      <c r="BZ149" s="61"/>
      <c r="CA149" s="61"/>
      <c r="CB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2"/>
      <c r="BQ150" s="62"/>
      <c r="BR150" s="62"/>
      <c r="BS150" s="62"/>
      <c r="BT150" s="61"/>
      <c r="BU150" s="61"/>
      <c r="BV150" s="61"/>
      <c r="BW150" s="61"/>
      <c r="BX150" s="61"/>
      <c r="BY150" s="61"/>
      <c r="BZ150" s="61"/>
      <c r="CA150" s="61"/>
      <c r="CB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2"/>
      <c r="BQ151" s="62"/>
      <c r="BR151" s="62"/>
      <c r="BS151" s="62"/>
      <c r="BT151" s="61"/>
      <c r="BU151" s="61"/>
      <c r="BV151" s="61"/>
      <c r="BW151" s="61"/>
      <c r="BX151" s="61"/>
      <c r="BY151" s="61"/>
      <c r="BZ151" s="61"/>
      <c r="CA151" s="61"/>
      <c r="CB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2"/>
      <c r="BQ152" s="62"/>
      <c r="BR152" s="62"/>
      <c r="BS152" s="62"/>
      <c r="BT152" s="61"/>
      <c r="BU152" s="61"/>
      <c r="BV152" s="61"/>
      <c r="BW152" s="61"/>
      <c r="BX152" s="61"/>
      <c r="BY152" s="61"/>
      <c r="BZ152" s="61"/>
      <c r="CA152" s="61"/>
      <c r="CB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2"/>
      <c r="BQ153" s="62"/>
      <c r="BR153" s="62"/>
      <c r="BS153" s="62"/>
      <c r="BT153" s="61"/>
      <c r="BU153" s="61"/>
      <c r="BV153" s="61"/>
      <c r="BW153" s="61"/>
      <c r="BX153" s="61"/>
      <c r="BY153" s="61"/>
      <c r="BZ153" s="61"/>
      <c r="CA153" s="61"/>
      <c r="CB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2"/>
      <c r="BQ154" s="62"/>
      <c r="BR154" s="62"/>
      <c r="BS154" s="62"/>
      <c r="BT154" s="61"/>
      <c r="BU154" s="61"/>
      <c r="BV154" s="61"/>
      <c r="BW154" s="61"/>
      <c r="BX154" s="61"/>
      <c r="BY154" s="61"/>
      <c r="BZ154" s="61"/>
      <c r="CA154" s="61"/>
      <c r="CB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2"/>
      <c r="BQ155" s="62"/>
      <c r="BR155" s="62"/>
      <c r="BS155" s="62"/>
      <c r="BT155" s="61"/>
      <c r="BU155" s="61"/>
      <c r="BV155" s="61"/>
      <c r="BW155" s="61"/>
      <c r="BX155" s="61"/>
      <c r="BY155" s="61"/>
      <c r="BZ155" s="61"/>
      <c r="CA155" s="61"/>
      <c r="CB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2"/>
      <c r="BQ156" s="62"/>
      <c r="BR156" s="62"/>
      <c r="BS156" s="62"/>
      <c r="BT156" s="61"/>
      <c r="BU156" s="61"/>
      <c r="BV156" s="61"/>
      <c r="BW156" s="61"/>
      <c r="BX156" s="61"/>
      <c r="BY156" s="61"/>
      <c r="BZ156" s="61"/>
      <c r="CA156" s="61"/>
      <c r="CB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2"/>
      <c r="BQ157" s="62"/>
      <c r="BR157" s="62"/>
      <c r="BS157" s="62"/>
      <c r="BT157" s="61"/>
      <c r="BU157" s="61"/>
      <c r="BV157" s="61"/>
      <c r="BW157" s="61"/>
      <c r="BX157" s="61"/>
      <c r="BY157" s="61"/>
      <c r="BZ157" s="61"/>
      <c r="CA157" s="61"/>
      <c r="CB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2"/>
      <c r="BQ158" s="62"/>
      <c r="BR158" s="62"/>
      <c r="BS158" s="62"/>
      <c r="BT158" s="61"/>
      <c r="BU158" s="61"/>
      <c r="BV158" s="61"/>
      <c r="BW158" s="61"/>
      <c r="BX158" s="61"/>
      <c r="BY158" s="61"/>
      <c r="BZ158" s="61"/>
      <c r="CA158" s="61"/>
      <c r="CB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2"/>
      <c r="BQ159" s="62"/>
      <c r="BR159" s="62"/>
      <c r="BS159" s="62"/>
      <c r="BT159" s="61"/>
      <c r="BU159" s="61"/>
      <c r="BV159" s="61"/>
      <c r="BW159" s="61"/>
      <c r="BX159" s="61"/>
      <c r="BY159" s="61"/>
      <c r="BZ159" s="61"/>
      <c r="CA159" s="61"/>
      <c r="CB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2"/>
      <c r="BQ160" s="62"/>
      <c r="BR160" s="62"/>
      <c r="BS160" s="62"/>
      <c r="BT160" s="61"/>
      <c r="BU160" s="61"/>
      <c r="BV160" s="61"/>
      <c r="BW160" s="61"/>
      <c r="BX160" s="61"/>
      <c r="BY160" s="61"/>
      <c r="BZ160" s="61"/>
      <c r="CA160" s="61"/>
      <c r="CB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2"/>
      <c r="BQ161" s="62"/>
      <c r="BR161" s="62"/>
      <c r="BS161" s="62"/>
      <c r="BT161" s="61"/>
      <c r="BU161" s="61"/>
      <c r="BV161" s="61"/>
      <c r="BW161" s="61"/>
      <c r="BX161" s="61"/>
      <c r="BY161" s="61"/>
      <c r="BZ161" s="61"/>
      <c r="CA161" s="61"/>
      <c r="CB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2"/>
      <c r="BQ162" s="62"/>
      <c r="BR162" s="62"/>
      <c r="BS162" s="62"/>
      <c r="BT162" s="61"/>
      <c r="BU162" s="61"/>
      <c r="BV162" s="61"/>
      <c r="BW162" s="61"/>
      <c r="BX162" s="61"/>
      <c r="BY162" s="61"/>
      <c r="BZ162" s="61"/>
      <c r="CA162" s="61"/>
      <c r="CB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2"/>
      <c r="BQ163" s="62"/>
      <c r="BR163" s="62"/>
      <c r="BS163" s="62"/>
      <c r="BT163" s="61"/>
      <c r="BU163" s="61"/>
      <c r="BV163" s="61"/>
      <c r="BW163" s="61"/>
      <c r="BX163" s="61"/>
      <c r="BY163" s="61"/>
      <c r="BZ163" s="61"/>
      <c r="CA163" s="61"/>
      <c r="CB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2"/>
      <c r="BQ164" s="62"/>
      <c r="BR164" s="62"/>
      <c r="BS164" s="62"/>
      <c r="BT164" s="61"/>
      <c r="BU164" s="61"/>
      <c r="BV164" s="61"/>
      <c r="BW164" s="61"/>
      <c r="BX164" s="61"/>
      <c r="BY164" s="61"/>
      <c r="BZ164" s="61"/>
      <c r="CA164" s="61"/>
      <c r="CB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2"/>
      <c r="BQ165" s="62"/>
      <c r="BR165" s="62"/>
      <c r="BS165" s="62"/>
      <c r="BT165" s="61"/>
      <c r="BU165" s="61"/>
      <c r="BV165" s="61"/>
      <c r="BW165" s="61"/>
      <c r="BX165" s="61"/>
      <c r="BY165" s="61"/>
      <c r="BZ165" s="61"/>
      <c r="CA165" s="61"/>
      <c r="CB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2"/>
      <c r="BQ166" s="62"/>
      <c r="BR166" s="62"/>
      <c r="BS166" s="62"/>
      <c r="BT166" s="61"/>
      <c r="BU166" s="61"/>
      <c r="BV166" s="61"/>
      <c r="BW166" s="61"/>
      <c r="BX166" s="61"/>
      <c r="BY166" s="61"/>
      <c r="BZ166" s="61"/>
      <c r="CA166" s="61"/>
      <c r="CB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2"/>
      <c r="BQ167" s="62"/>
      <c r="BR167" s="62"/>
      <c r="BS167" s="62"/>
      <c r="BT167" s="61"/>
      <c r="BU167" s="61"/>
      <c r="BV167" s="61"/>
      <c r="BW167" s="61"/>
      <c r="BX167" s="61"/>
      <c r="BY167" s="61"/>
      <c r="BZ167" s="61"/>
      <c r="CA167" s="61"/>
      <c r="CB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2"/>
      <c r="BQ168" s="62"/>
      <c r="BR168" s="62"/>
      <c r="BS168" s="62"/>
      <c r="BT168" s="61"/>
      <c r="BU168" s="61"/>
      <c r="BV168" s="61"/>
      <c r="BW168" s="61"/>
      <c r="BX168" s="61"/>
      <c r="BY168" s="61"/>
      <c r="BZ168" s="61"/>
      <c r="CA168" s="61"/>
      <c r="CB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2"/>
      <c r="BQ169" s="62"/>
      <c r="BR169" s="62"/>
      <c r="BS169" s="62"/>
      <c r="BT169" s="61"/>
      <c r="BU169" s="61"/>
      <c r="BV169" s="61"/>
      <c r="BW169" s="61"/>
      <c r="BX169" s="61"/>
      <c r="BY169" s="61"/>
      <c r="BZ169" s="61"/>
      <c r="CA169" s="61"/>
      <c r="CB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2"/>
      <c r="BQ170" s="62"/>
      <c r="BR170" s="62"/>
      <c r="BS170" s="62"/>
      <c r="BT170" s="61"/>
      <c r="BU170" s="61"/>
      <c r="BV170" s="61"/>
      <c r="BW170" s="61"/>
      <c r="BX170" s="61"/>
      <c r="BY170" s="61"/>
      <c r="BZ170" s="61"/>
      <c r="CA170" s="61"/>
      <c r="CB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2"/>
      <c r="BQ171" s="62"/>
      <c r="BR171" s="62"/>
      <c r="BS171" s="62"/>
      <c r="BT171" s="61"/>
      <c r="BU171" s="61"/>
      <c r="BV171" s="61"/>
      <c r="BW171" s="61"/>
      <c r="BX171" s="61"/>
      <c r="BY171" s="61"/>
      <c r="BZ171" s="61"/>
      <c r="CA171" s="61"/>
      <c r="CB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2"/>
      <c r="BQ172" s="62"/>
      <c r="BR172" s="62"/>
      <c r="BS172" s="62"/>
      <c r="BT172" s="61"/>
      <c r="BU172" s="61"/>
      <c r="BV172" s="61"/>
      <c r="BW172" s="61"/>
      <c r="BX172" s="61"/>
      <c r="BY172" s="61"/>
      <c r="BZ172" s="61"/>
      <c r="CA172" s="61"/>
      <c r="CB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2"/>
      <c r="BQ173" s="62"/>
      <c r="BR173" s="62"/>
      <c r="BS173" s="62"/>
      <c r="BT173" s="61"/>
      <c r="BU173" s="61"/>
      <c r="BV173" s="61"/>
      <c r="BW173" s="61"/>
      <c r="BX173" s="61"/>
      <c r="BY173" s="61"/>
      <c r="BZ173" s="61"/>
      <c r="CA173" s="61"/>
      <c r="CB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2"/>
      <c r="BQ174" s="62"/>
      <c r="BR174" s="62"/>
      <c r="BS174" s="62"/>
      <c r="BT174" s="61"/>
      <c r="BU174" s="61"/>
      <c r="BV174" s="61"/>
      <c r="BW174" s="61"/>
      <c r="BX174" s="61"/>
      <c r="BY174" s="61"/>
      <c r="BZ174" s="61"/>
      <c r="CA174" s="61"/>
      <c r="CB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2"/>
      <c r="BQ175" s="62"/>
      <c r="BR175" s="62"/>
      <c r="BS175" s="62"/>
      <c r="BT175" s="61"/>
      <c r="BU175" s="61"/>
      <c r="BV175" s="61"/>
      <c r="BW175" s="61"/>
      <c r="BX175" s="61"/>
      <c r="BY175" s="61"/>
      <c r="BZ175" s="61"/>
      <c r="CA175" s="61"/>
      <c r="CB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2"/>
      <c r="BQ176" s="62"/>
      <c r="BR176" s="62"/>
      <c r="BS176" s="62"/>
      <c r="BT176" s="61"/>
      <c r="BU176" s="61"/>
      <c r="BV176" s="61"/>
      <c r="BW176" s="61"/>
      <c r="BX176" s="61"/>
      <c r="BY176" s="61"/>
      <c r="BZ176" s="61"/>
      <c r="CA176" s="61"/>
      <c r="CB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2"/>
      <c r="BQ177" s="62"/>
      <c r="BR177" s="62"/>
      <c r="BS177" s="62"/>
      <c r="BT177" s="61"/>
      <c r="BU177" s="61"/>
      <c r="BV177" s="61"/>
      <c r="BW177" s="61"/>
      <c r="BX177" s="61"/>
      <c r="BY177" s="61"/>
      <c r="BZ177" s="61"/>
      <c r="CA177" s="61"/>
      <c r="CB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2"/>
      <c r="BQ178" s="62"/>
      <c r="BR178" s="62"/>
      <c r="BS178" s="62"/>
      <c r="BT178" s="61"/>
      <c r="BU178" s="61"/>
      <c r="BV178" s="61"/>
      <c r="BW178" s="61"/>
      <c r="BX178" s="61"/>
      <c r="BY178" s="61"/>
      <c r="BZ178" s="61"/>
      <c r="CA178" s="61"/>
      <c r="CB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2"/>
      <c r="BQ179" s="62"/>
      <c r="BR179" s="62"/>
      <c r="BS179" s="62"/>
      <c r="BT179" s="61"/>
      <c r="BU179" s="61"/>
      <c r="BV179" s="61"/>
      <c r="BW179" s="61"/>
      <c r="BX179" s="61"/>
      <c r="BY179" s="61"/>
      <c r="BZ179" s="61"/>
      <c r="CA179" s="61"/>
      <c r="CB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2"/>
      <c r="BQ180" s="62"/>
      <c r="BR180" s="62"/>
      <c r="BS180" s="62"/>
      <c r="BT180" s="61"/>
      <c r="BU180" s="61"/>
      <c r="BV180" s="61"/>
      <c r="BW180" s="61"/>
      <c r="BX180" s="61"/>
      <c r="BY180" s="61"/>
      <c r="BZ180" s="61"/>
      <c r="CA180" s="61"/>
      <c r="CB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2"/>
      <c r="BQ181" s="62"/>
      <c r="BR181" s="62"/>
      <c r="BS181" s="62"/>
      <c r="BT181" s="61"/>
      <c r="BU181" s="61"/>
      <c r="BV181" s="61"/>
      <c r="BW181" s="61"/>
      <c r="BX181" s="61"/>
      <c r="BY181" s="61"/>
      <c r="BZ181" s="61"/>
      <c r="CA181" s="61"/>
      <c r="CB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2"/>
      <c r="BQ182" s="62"/>
      <c r="BR182" s="62"/>
      <c r="BS182" s="62"/>
      <c r="BT182" s="61"/>
      <c r="BU182" s="61"/>
      <c r="BV182" s="61"/>
      <c r="BW182" s="61"/>
      <c r="BX182" s="61"/>
      <c r="BY182" s="61"/>
      <c r="BZ182" s="61"/>
      <c r="CA182" s="61"/>
      <c r="CB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2"/>
      <c r="BQ183" s="62"/>
      <c r="BR183" s="62"/>
      <c r="BS183" s="62"/>
      <c r="BT183" s="61"/>
      <c r="BU183" s="61"/>
      <c r="BV183" s="61"/>
      <c r="BW183" s="61"/>
      <c r="BX183" s="61"/>
      <c r="BY183" s="61"/>
      <c r="BZ183" s="61"/>
      <c r="CA183" s="61"/>
      <c r="CB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2"/>
      <c r="BQ184" s="62"/>
      <c r="BR184" s="62"/>
      <c r="BS184" s="62"/>
      <c r="BT184" s="61"/>
      <c r="BU184" s="61"/>
      <c r="BV184" s="61"/>
      <c r="BW184" s="61"/>
      <c r="BX184" s="61"/>
      <c r="BY184" s="61"/>
      <c r="BZ184" s="61"/>
      <c r="CA184" s="61"/>
      <c r="CB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2"/>
      <c r="BQ185" s="62"/>
      <c r="BR185" s="62"/>
      <c r="BS185" s="62"/>
      <c r="BT185" s="61"/>
      <c r="BU185" s="61"/>
      <c r="BV185" s="61"/>
      <c r="BW185" s="61"/>
      <c r="BX185" s="61"/>
      <c r="BY185" s="61"/>
      <c r="BZ185" s="61"/>
      <c r="CA185" s="61"/>
      <c r="CB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2"/>
      <c r="BQ186" s="62"/>
      <c r="BR186" s="62"/>
      <c r="BS186" s="62"/>
      <c r="BT186" s="61"/>
      <c r="BU186" s="61"/>
      <c r="BV186" s="61"/>
      <c r="BW186" s="61"/>
      <c r="BX186" s="61"/>
      <c r="BY186" s="61"/>
      <c r="BZ186" s="61"/>
      <c r="CA186" s="61"/>
      <c r="CB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2"/>
      <c r="BQ187" s="62"/>
      <c r="BR187" s="62"/>
      <c r="BS187" s="62"/>
      <c r="BT187" s="61"/>
      <c r="BU187" s="61"/>
      <c r="BV187" s="61"/>
      <c r="BW187" s="61"/>
      <c r="BX187" s="61"/>
      <c r="BY187" s="61"/>
      <c r="BZ187" s="61"/>
      <c r="CA187" s="61"/>
      <c r="CB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2"/>
      <c r="BQ188" s="62"/>
      <c r="BR188" s="62"/>
      <c r="BS188" s="62"/>
      <c r="BT188" s="61"/>
      <c r="BU188" s="61"/>
      <c r="BV188" s="61"/>
      <c r="BW188" s="61"/>
      <c r="BX188" s="61"/>
      <c r="BY188" s="61"/>
      <c r="BZ188" s="61"/>
      <c r="CA188" s="61"/>
      <c r="CB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2"/>
      <c r="BQ189" s="62"/>
      <c r="BR189" s="62"/>
      <c r="BS189" s="62"/>
      <c r="BT189" s="61"/>
      <c r="BU189" s="61"/>
      <c r="BV189" s="61"/>
      <c r="BW189" s="61"/>
      <c r="BX189" s="61"/>
      <c r="BY189" s="61"/>
      <c r="BZ189" s="61"/>
      <c r="CA189" s="61"/>
      <c r="CB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2"/>
      <c r="BQ190" s="62"/>
      <c r="BR190" s="62"/>
      <c r="BS190" s="62"/>
      <c r="BT190" s="61"/>
      <c r="BU190" s="61"/>
      <c r="BV190" s="61"/>
      <c r="BW190" s="61"/>
      <c r="BX190" s="61"/>
      <c r="BY190" s="61"/>
      <c r="BZ190" s="61"/>
      <c r="CA190" s="61"/>
      <c r="CB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2"/>
      <c r="BQ191" s="62"/>
      <c r="BR191" s="62"/>
      <c r="BS191" s="62"/>
      <c r="BT191" s="61"/>
      <c r="BU191" s="61"/>
      <c r="BV191" s="61"/>
      <c r="BW191" s="61"/>
      <c r="BX191" s="61"/>
      <c r="BY191" s="61"/>
      <c r="BZ191" s="61"/>
      <c r="CA191" s="61"/>
      <c r="CB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2"/>
      <c r="BQ192" s="62"/>
      <c r="BR192" s="62"/>
      <c r="BS192" s="62"/>
      <c r="BT192" s="61"/>
      <c r="BU192" s="61"/>
      <c r="BV192" s="61"/>
      <c r="BW192" s="61"/>
      <c r="BX192" s="61"/>
      <c r="BY192" s="61"/>
      <c r="BZ192" s="61"/>
      <c r="CA192" s="61"/>
      <c r="CB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2"/>
      <c r="BQ193" s="62"/>
      <c r="BR193" s="62"/>
      <c r="BS193" s="62"/>
      <c r="BT193" s="61"/>
      <c r="BU193" s="61"/>
      <c r="BV193" s="61"/>
      <c r="BW193" s="61"/>
      <c r="BX193" s="61"/>
      <c r="BY193" s="61"/>
      <c r="BZ193" s="61"/>
      <c r="CA193" s="61"/>
      <c r="CB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2"/>
      <c r="BQ194" s="62"/>
      <c r="BR194" s="62"/>
      <c r="BS194" s="62"/>
      <c r="BT194" s="61"/>
      <c r="BU194" s="61"/>
      <c r="BV194" s="61"/>
      <c r="BW194" s="61"/>
      <c r="BX194" s="61"/>
      <c r="BY194" s="61"/>
      <c r="BZ194" s="61"/>
      <c r="CA194" s="61"/>
      <c r="CB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2"/>
      <c r="BQ195" s="62"/>
      <c r="BR195" s="62"/>
      <c r="BS195" s="62"/>
      <c r="BT195" s="61"/>
      <c r="BU195" s="61"/>
      <c r="BV195" s="61"/>
      <c r="BW195" s="61"/>
      <c r="BX195" s="61"/>
      <c r="BY195" s="61"/>
      <c r="BZ195" s="61"/>
      <c r="CA195" s="61"/>
      <c r="CB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2"/>
      <c r="BQ196" s="62"/>
      <c r="BR196" s="62"/>
      <c r="BS196" s="62"/>
      <c r="BT196" s="61"/>
      <c r="BU196" s="61"/>
      <c r="BV196" s="61"/>
      <c r="BW196" s="61"/>
      <c r="BX196" s="61"/>
      <c r="BY196" s="61"/>
      <c r="BZ196" s="61"/>
      <c r="CA196" s="61"/>
      <c r="CB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2"/>
      <c r="BQ197" s="62"/>
      <c r="BR197" s="62"/>
      <c r="BS197" s="62"/>
      <c r="BT197" s="61"/>
      <c r="BU197" s="61"/>
      <c r="BV197" s="61"/>
      <c r="BW197" s="61"/>
      <c r="BX197" s="61"/>
      <c r="BY197" s="61"/>
      <c r="BZ197" s="61"/>
      <c r="CA197" s="61"/>
      <c r="CB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2"/>
      <c r="BQ198" s="62"/>
      <c r="BR198" s="62"/>
      <c r="BS198" s="62"/>
      <c r="BT198" s="61"/>
      <c r="BU198" s="61"/>
      <c r="BV198" s="61"/>
      <c r="BW198" s="61"/>
      <c r="BX198" s="61"/>
      <c r="BY198" s="61"/>
      <c r="BZ198" s="61"/>
      <c r="CA198" s="61"/>
      <c r="CB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2"/>
      <c r="BQ199" s="62"/>
      <c r="BR199" s="62"/>
      <c r="BS199" s="62"/>
      <c r="BT199" s="61"/>
      <c r="BU199" s="61"/>
      <c r="BV199" s="61"/>
      <c r="BW199" s="61"/>
      <c r="BX199" s="61"/>
      <c r="BY199" s="61"/>
      <c r="BZ199" s="61"/>
      <c r="CA199" s="61"/>
      <c r="CB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2"/>
      <c r="BQ200" s="62"/>
      <c r="BR200" s="62"/>
      <c r="BS200" s="62"/>
      <c r="BT200" s="61"/>
      <c r="BU200" s="61"/>
      <c r="BV200" s="61"/>
      <c r="BW200" s="61"/>
      <c r="BX200" s="61"/>
      <c r="BY200" s="61"/>
      <c r="BZ200" s="61"/>
      <c r="CA200" s="61"/>
      <c r="CB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2"/>
      <c r="BQ201" s="62"/>
      <c r="BR201" s="62"/>
      <c r="BS201" s="62"/>
      <c r="BT201" s="61"/>
      <c r="BU201" s="61"/>
      <c r="BV201" s="61"/>
      <c r="BW201" s="61"/>
      <c r="BX201" s="61"/>
      <c r="BY201" s="61"/>
      <c r="BZ201" s="61"/>
      <c r="CA201" s="61"/>
      <c r="CB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2"/>
      <c r="BQ202" s="62"/>
      <c r="BR202" s="62"/>
      <c r="BS202" s="62"/>
      <c r="BT202" s="61"/>
      <c r="BU202" s="61"/>
      <c r="BV202" s="61"/>
      <c r="BW202" s="61"/>
      <c r="BX202" s="61"/>
      <c r="BY202" s="61"/>
      <c r="BZ202" s="61"/>
      <c r="CA202" s="61"/>
      <c r="CB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2"/>
      <c r="BQ203" s="62"/>
      <c r="BR203" s="62"/>
      <c r="BS203" s="62"/>
      <c r="BT203" s="61"/>
      <c r="BU203" s="61"/>
      <c r="BV203" s="61"/>
      <c r="BW203" s="61"/>
      <c r="BX203" s="61"/>
      <c r="BY203" s="61"/>
      <c r="BZ203" s="61"/>
      <c r="CA203" s="61"/>
      <c r="CB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2"/>
      <c r="BQ204" s="62"/>
      <c r="BR204" s="62"/>
      <c r="BS204" s="62"/>
      <c r="BT204" s="61"/>
      <c r="BU204" s="61"/>
      <c r="BV204" s="61"/>
      <c r="BW204" s="61"/>
      <c r="BX204" s="61"/>
      <c r="BY204" s="61"/>
      <c r="BZ204" s="61"/>
      <c r="CA204" s="61"/>
      <c r="CB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2"/>
      <c r="BQ205" s="62"/>
      <c r="BR205" s="62"/>
      <c r="BS205" s="62"/>
      <c r="BT205" s="61"/>
      <c r="BU205" s="61"/>
      <c r="BV205" s="61"/>
      <c r="BW205" s="61"/>
      <c r="BX205" s="61"/>
      <c r="BY205" s="61"/>
      <c r="BZ205" s="61"/>
      <c r="CA205" s="61"/>
      <c r="CB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2"/>
      <c r="BQ206" s="62"/>
      <c r="BR206" s="62"/>
      <c r="BS206" s="62"/>
      <c r="BT206" s="61"/>
      <c r="BU206" s="61"/>
      <c r="BV206" s="61"/>
      <c r="BW206" s="61"/>
      <c r="BX206" s="61"/>
      <c r="BY206" s="61"/>
      <c r="BZ206" s="61"/>
      <c r="CA206" s="61"/>
      <c r="CB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2"/>
      <c r="BQ207" s="62"/>
      <c r="BR207" s="62"/>
      <c r="BS207" s="62"/>
      <c r="BT207" s="61"/>
      <c r="BU207" s="61"/>
      <c r="BV207" s="61"/>
      <c r="BW207" s="61"/>
      <c r="BX207" s="61"/>
      <c r="BY207" s="61"/>
      <c r="BZ207" s="61"/>
      <c r="CA207" s="61"/>
      <c r="CB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2"/>
      <c r="BQ208" s="62"/>
      <c r="BR208" s="62"/>
      <c r="BS208" s="62"/>
      <c r="BT208" s="61"/>
      <c r="BU208" s="61"/>
      <c r="BV208" s="61"/>
      <c r="BW208" s="61"/>
      <c r="BX208" s="61"/>
      <c r="BY208" s="61"/>
      <c r="BZ208" s="61"/>
      <c r="CA208" s="61"/>
      <c r="CB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2"/>
      <c r="BQ209" s="62"/>
      <c r="BR209" s="62"/>
      <c r="BS209" s="62"/>
      <c r="BT209" s="61"/>
      <c r="BU209" s="61"/>
      <c r="BV209" s="61"/>
      <c r="BW209" s="61"/>
      <c r="BX209" s="61"/>
      <c r="BY209" s="61"/>
      <c r="BZ209" s="61"/>
      <c r="CA209" s="61"/>
      <c r="CB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2"/>
      <c r="BQ210" s="62"/>
      <c r="BR210" s="62"/>
      <c r="BS210" s="62"/>
      <c r="BT210" s="61"/>
      <c r="BU210" s="61"/>
      <c r="BV210" s="61"/>
      <c r="BW210" s="61"/>
      <c r="BX210" s="61"/>
      <c r="BY210" s="61"/>
      <c r="BZ210" s="61"/>
      <c r="CA210" s="61"/>
      <c r="CB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2"/>
      <c r="BQ211" s="62"/>
      <c r="BR211" s="62"/>
      <c r="BS211" s="62"/>
      <c r="BT211" s="61"/>
      <c r="BU211" s="61"/>
      <c r="BV211" s="61"/>
      <c r="BW211" s="61"/>
      <c r="BX211" s="61"/>
      <c r="BY211" s="61"/>
      <c r="BZ211" s="61"/>
      <c r="CA211" s="61"/>
      <c r="CB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2"/>
      <c r="BQ212" s="62"/>
      <c r="BR212" s="62"/>
      <c r="BS212" s="62"/>
      <c r="BT212" s="61"/>
      <c r="BU212" s="61"/>
      <c r="BV212" s="61"/>
      <c r="BW212" s="61"/>
      <c r="BX212" s="61"/>
      <c r="BY212" s="61"/>
      <c r="BZ212" s="61"/>
      <c r="CA212" s="61"/>
      <c r="CB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2"/>
      <c r="BQ213" s="62"/>
      <c r="BR213" s="62"/>
      <c r="BS213" s="62"/>
      <c r="BT213" s="61"/>
      <c r="BU213" s="61"/>
      <c r="BV213" s="61"/>
      <c r="BW213" s="61"/>
      <c r="BX213" s="61"/>
      <c r="BY213" s="61"/>
      <c r="BZ213" s="61"/>
      <c r="CA213" s="61"/>
      <c r="CB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2"/>
      <c r="BQ214" s="62"/>
      <c r="BR214" s="62"/>
      <c r="BS214" s="62"/>
      <c r="BT214" s="61"/>
      <c r="BU214" s="61"/>
      <c r="BV214" s="61"/>
      <c r="BW214" s="61"/>
      <c r="BX214" s="61"/>
      <c r="BY214" s="61"/>
      <c r="BZ214" s="61"/>
      <c r="CA214" s="61"/>
      <c r="CB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2"/>
      <c r="BQ215" s="62"/>
      <c r="BR215" s="62"/>
      <c r="BS215" s="62"/>
      <c r="BT215" s="61"/>
      <c r="BU215" s="61"/>
      <c r="BV215" s="61"/>
      <c r="BW215" s="61"/>
      <c r="BX215" s="61"/>
      <c r="BY215" s="61"/>
      <c r="BZ215" s="61"/>
      <c r="CA215" s="61"/>
      <c r="CB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2"/>
      <c r="BQ216" s="62"/>
      <c r="BR216" s="62"/>
      <c r="BS216" s="62"/>
      <c r="BT216" s="61"/>
      <c r="BU216" s="61"/>
      <c r="BV216" s="61"/>
      <c r="BW216" s="61"/>
      <c r="BX216" s="61"/>
      <c r="BY216" s="61"/>
      <c r="BZ216" s="61"/>
      <c r="CA216" s="61"/>
      <c r="CB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2"/>
      <c r="BQ217" s="62"/>
      <c r="BR217" s="62"/>
      <c r="BS217" s="62"/>
      <c r="BT217" s="61"/>
      <c r="BU217" s="61"/>
      <c r="BV217" s="61"/>
      <c r="BW217" s="61"/>
      <c r="BX217" s="61"/>
      <c r="BY217" s="61"/>
      <c r="BZ217" s="61"/>
      <c r="CA217" s="61"/>
      <c r="CB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2"/>
      <c r="BQ218" s="62"/>
      <c r="BR218" s="62"/>
      <c r="BS218" s="62"/>
      <c r="BT218" s="61"/>
      <c r="BU218" s="61"/>
      <c r="BV218" s="61"/>
      <c r="BW218" s="61"/>
      <c r="BX218" s="61"/>
      <c r="BY218" s="61"/>
      <c r="BZ218" s="61"/>
      <c r="CA218" s="61"/>
      <c r="CB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2"/>
      <c r="BQ219" s="62"/>
      <c r="BR219" s="62"/>
      <c r="BS219" s="62"/>
      <c r="BT219" s="61"/>
      <c r="BU219" s="61"/>
      <c r="BV219" s="61"/>
      <c r="BW219" s="61"/>
      <c r="BX219" s="61"/>
      <c r="BY219" s="61"/>
      <c r="BZ219" s="61"/>
      <c r="CA219" s="61"/>
      <c r="CB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2"/>
      <c r="BQ220" s="62"/>
      <c r="BR220" s="62"/>
      <c r="BS220" s="62"/>
      <c r="BT220" s="61"/>
      <c r="BU220" s="61"/>
      <c r="BV220" s="61"/>
      <c r="BW220" s="61"/>
      <c r="BX220" s="61"/>
      <c r="BY220" s="61"/>
      <c r="BZ220" s="61"/>
      <c r="CA220" s="61"/>
      <c r="CB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2"/>
      <c r="BQ221" s="62"/>
      <c r="BR221" s="62"/>
      <c r="BS221" s="62"/>
      <c r="BT221" s="61"/>
      <c r="BU221" s="61"/>
      <c r="BV221" s="61"/>
      <c r="BW221" s="61"/>
      <c r="BX221" s="61"/>
      <c r="BY221" s="61"/>
      <c r="BZ221" s="61"/>
      <c r="CA221" s="61"/>
      <c r="CB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2"/>
      <c r="BQ222" s="62"/>
      <c r="BR222" s="62"/>
      <c r="BS222" s="62"/>
      <c r="BT222" s="61"/>
      <c r="BU222" s="61"/>
      <c r="BV222" s="61"/>
      <c r="BW222" s="61"/>
      <c r="BX222" s="61"/>
      <c r="BY222" s="61"/>
      <c r="BZ222" s="61"/>
      <c r="CA222" s="61"/>
      <c r="CB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2"/>
      <c r="BQ223" s="62"/>
      <c r="BR223" s="62"/>
      <c r="BS223" s="62"/>
      <c r="BT223" s="61"/>
      <c r="BU223" s="61"/>
      <c r="BV223" s="61"/>
      <c r="BW223" s="61"/>
      <c r="BX223" s="61"/>
      <c r="BY223" s="61"/>
      <c r="BZ223" s="61"/>
      <c r="CA223" s="61"/>
      <c r="CB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2"/>
      <c r="BQ224" s="62"/>
      <c r="BR224" s="62"/>
      <c r="BS224" s="62"/>
      <c r="BT224" s="61"/>
      <c r="BU224" s="61"/>
      <c r="BV224" s="61"/>
      <c r="BW224" s="61"/>
      <c r="BX224" s="61"/>
      <c r="BY224" s="61"/>
      <c r="BZ224" s="61"/>
      <c r="CA224" s="61"/>
      <c r="CB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2"/>
      <c r="BQ225" s="62"/>
      <c r="BR225" s="62"/>
      <c r="BS225" s="62"/>
      <c r="BT225" s="61"/>
      <c r="BU225" s="61"/>
      <c r="BV225" s="61"/>
      <c r="BW225" s="61"/>
      <c r="BX225" s="61"/>
      <c r="BY225" s="61"/>
      <c r="BZ225" s="61"/>
      <c r="CA225" s="61"/>
      <c r="CB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2"/>
      <c r="BQ226" s="62"/>
      <c r="BR226" s="62"/>
      <c r="BS226" s="62"/>
      <c r="BT226" s="61"/>
      <c r="BU226" s="61"/>
      <c r="BV226" s="61"/>
      <c r="BW226" s="61"/>
      <c r="BX226" s="61"/>
      <c r="BY226" s="61"/>
      <c r="BZ226" s="61"/>
      <c r="CA226" s="61"/>
      <c r="CB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2"/>
      <c r="BQ227" s="62"/>
      <c r="BR227" s="62"/>
      <c r="BS227" s="62"/>
      <c r="BT227" s="61"/>
      <c r="BU227" s="61"/>
      <c r="BV227" s="61"/>
      <c r="BW227" s="61"/>
      <c r="BX227" s="61"/>
      <c r="BY227" s="61"/>
      <c r="BZ227" s="61"/>
      <c r="CA227" s="61"/>
      <c r="CB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2"/>
      <c r="BQ228" s="62"/>
      <c r="BR228" s="62"/>
      <c r="BS228" s="62"/>
      <c r="BT228" s="61"/>
      <c r="BU228" s="61"/>
      <c r="BV228" s="61"/>
      <c r="BW228" s="61"/>
      <c r="BX228" s="61"/>
      <c r="BY228" s="61"/>
      <c r="BZ228" s="61"/>
      <c r="CA228" s="61"/>
      <c r="CB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2"/>
      <c r="BQ229" s="62"/>
      <c r="BR229" s="62"/>
      <c r="BS229" s="62"/>
      <c r="BT229" s="61"/>
      <c r="BU229" s="61"/>
      <c r="BV229" s="61"/>
      <c r="BW229" s="61"/>
      <c r="BX229" s="61"/>
      <c r="BY229" s="61"/>
      <c r="BZ229" s="61"/>
      <c r="CA229" s="61"/>
      <c r="CB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2"/>
      <c r="BQ230" s="62"/>
      <c r="BR230" s="62"/>
      <c r="BS230" s="62"/>
      <c r="BT230" s="61"/>
      <c r="BU230" s="61"/>
      <c r="BV230" s="61"/>
      <c r="BW230" s="61"/>
      <c r="BX230" s="61"/>
      <c r="BY230" s="61"/>
      <c r="BZ230" s="61"/>
      <c r="CA230" s="61"/>
      <c r="CB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2"/>
      <c r="BQ231" s="62"/>
      <c r="BR231" s="62"/>
      <c r="BS231" s="62"/>
      <c r="BT231" s="61"/>
      <c r="BU231" s="61"/>
      <c r="BV231" s="61"/>
      <c r="BW231" s="61"/>
      <c r="BX231" s="61"/>
      <c r="BY231" s="61"/>
      <c r="BZ231" s="61"/>
      <c r="CA231" s="61"/>
      <c r="CB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2"/>
      <c r="BQ232" s="62"/>
      <c r="BR232" s="62"/>
      <c r="BS232" s="62"/>
      <c r="BT232" s="61"/>
      <c r="BU232" s="61"/>
      <c r="BV232" s="61"/>
      <c r="BW232" s="61"/>
      <c r="BX232" s="61"/>
      <c r="BY232" s="61"/>
      <c r="BZ232" s="61"/>
      <c r="CA232" s="61"/>
      <c r="CB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2"/>
      <c r="BQ233" s="62"/>
      <c r="BR233" s="62"/>
      <c r="BS233" s="62"/>
      <c r="BT233" s="61"/>
      <c r="BU233" s="61"/>
      <c r="BV233" s="61"/>
      <c r="BW233" s="61"/>
      <c r="BX233" s="61"/>
      <c r="BY233" s="61"/>
      <c r="BZ233" s="61"/>
      <c r="CA233" s="61"/>
      <c r="CB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2"/>
      <c r="BQ234" s="62"/>
      <c r="BR234" s="62"/>
      <c r="BS234" s="62"/>
      <c r="BT234" s="61"/>
      <c r="BU234" s="61"/>
      <c r="BV234" s="61"/>
      <c r="BW234" s="61"/>
      <c r="BX234" s="61"/>
      <c r="BY234" s="61"/>
      <c r="BZ234" s="61"/>
      <c r="CA234" s="61"/>
      <c r="CB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2"/>
      <c r="BQ235" s="62"/>
      <c r="BR235" s="62"/>
      <c r="BS235" s="62"/>
      <c r="BT235" s="61"/>
      <c r="BU235" s="61"/>
      <c r="BV235" s="61"/>
      <c r="BW235" s="61"/>
      <c r="BX235" s="61"/>
      <c r="BY235" s="61"/>
      <c r="BZ235" s="61"/>
      <c r="CA235" s="61"/>
      <c r="CB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2"/>
      <c r="BQ236" s="62"/>
      <c r="BR236" s="62"/>
      <c r="BS236" s="62"/>
      <c r="BT236" s="61"/>
      <c r="BU236" s="61"/>
      <c r="BV236" s="61"/>
      <c r="BW236" s="61"/>
      <c r="BX236" s="61"/>
      <c r="BY236" s="61"/>
      <c r="BZ236" s="61"/>
      <c r="CA236" s="61"/>
      <c r="CB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2"/>
      <c r="BQ237" s="62"/>
      <c r="BR237" s="62"/>
      <c r="BS237" s="62"/>
      <c r="BT237" s="61"/>
      <c r="BU237" s="61"/>
      <c r="BV237" s="61"/>
      <c r="BW237" s="61"/>
      <c r="BX237" s="61"/>
      <c r="BY237" s="61"/>
      <c r="BZ237" s="61"/>
      <c r="CA237" s="61"/>
      <c r="CB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2"/>
      <c r="BQ238" s="62"/>
      <c r="BR238" s="62"/>
      <c r="BS238" s="62"/>
      <c r="BT238" s="61"/>
      <c r="BU238" s="61"/>
      <c r="BV238" s="61"/>
      <c r="BW238" s="61"/>
      <c r="BX238" s="61"/>
      <c r="BY238" s="61"/>
      <c r="BZ238" s="61"/>
      <c r="CA238" s="61"/>
      <c r="CB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2"/>
      <c r="BQ239" s="62"/>
      <c r="BR239" s="62"/>
      <c r="BS239" s="62"/>
      <c r="BT239" s="61"/>
      <c r="BU239" s="61"/>
      <c r="BV239" s="61"/>
      <c r="BW239" s="61"/>
      <c r="BX239" s="61"/>
      <c r="BY239" s="61"/>
      <c r="BZ239" s="61"/>
      <c r="CA239" s="61"/>
      <c r="CB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2"/>
      <c r="BQ240" s="62"/>
      <c r="BR240" s="62"/>
      <c r="BS240" s="62"/>
      <c r="BT240" s="61"/>
      <c r="BU240" s="61"/>
      <c r="BV240" s="61"/>
      <c r="BW240" s="61"/>
      <c r="BX240" s="61"/>
      <c r="BY240" s="61"/>
      <c r="BZ240" s="61"/>
      <c r="CA240" s="61"/>
      <c r="CB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2"/>
      <c r="BQ241" s="62"/>
      <c r="BR241" s="62"/>
      <c r="BS241" s="62"/>
      <c r="BT241" s="61"/>
      <c r="BU241" s="61"/>
      <c r="BV241" s="61"/>
      <c r="BW241" s="61"/>
      <c r="BX241" s="61"/>
      <c r="BY241" s="61"/>
      <c r="BZ241" s="61"/>
      <c r="CA241" s="61"/>
      <c r="CB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2"/>
      <c r="BQ242" s="62"/>
      <c r="BR242" s="62"/>
      <c r="BS242" s="62"/>
      <c r="BT242" s="61"/>
      <c r="BU242" s="61"/>
      <c r="BV242" s="61"/>
      <c r="BW242" s="61"/>
      <c r="BX242" s="61"/>
      <c r="BY242" s="61"/>
      <c r="BZ242" s="61"/>
      <c r="CA242" s="61"/>
      <c r="CB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2"/>
      <c r="BQ243" s="62"/>
      <c r="BR243" s="62"/>
      <c r="BS243" s="62"/>
      <c r="BT243" s="61"/>
      <c r="BU243" s="61"/>
      <c r="BV243" s="61"/>
      <c r="BW243" s="61"/>
      <c r="BX243" s="61"/>
      <c r="BY243" s="61"/>
      <c r="BZ243" s="61"/>
      <c r="CA243" s="61"/>
      <c r="CB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2"/>
      <c r="BQ244" s="62"/>
      <c r="BR244" s="62"/>
      <c r="BS244" s="62"/>
      <c r="BT244" s="61"/>
      <c r="BU244" s="61"/>
      <c r="BV244" s="61"/>
      <c r="BW244" s="61"/>
      <c r="BX244" s="61"/>
      <c r="BY244" s="61"/>
      <c r="BZ244" s="61"/>
      <c r="CA244" s="61"/>
      <c r="CB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2"/>
      <c r="BQ245" s="62"/>
      <c r="BR245" s="62"/>
      <c r="BS245" s="62"/>
      <c r="BT245" s="61"/>
      <c r="BU245" s="61"/>
      <c r="BV245" s="61"/>
      <c r="BW245" s="61"/>
      <c r="BX245" s="61"/>
      <c r="BY245" s="61"/>
      <c r="BZ245" s="61"/>
      <c r="CA245" s="61"/>
      <c r="CB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2"/>
      <c r="BQ246" s="62"/>
      <c r="BR246" s="62"/>
      <c r="BS246" s="62"/>
      <c r="BT246" s="61"/>
      <c r="BU246" s="61"/>
      <c r="BV246" s="61"/>
      <c r="BW246" s="61"/>
      <c r="BX246" s="61"/>
      <c r="BY246" s="61"/>
      <c r="BZ246" s="61"/>
      <c r="CA246" s="61"/>
      <c r="CB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2"/>
      <c r="BQ247" s="62"/>
      <c r="BR247" s="62"/>
      <c r="BS247" s="62"/>
      <c r="BT247" s="61"/>
      <c r="BU247" s="61"/>
      <c r="BV247" s="61"/>
      <c r="BW247" s="61"/>
      <c r="BX247" s="61"/>
      <c r="BY247" s="61"/>
      <c r="BZ247" s="61"/>
      <c r="CA247" s="61"/>
      <c r="CB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2"/>
      <c r="BQ248" s="62"/>
      <c r="BR248" s="62"/>
      <c r="BS248" s="62"/>
      <c r="BT248" s="61"/>
      <c r="BU248" s="61"/>
      <c r="BV248" s="61"/>
      <c r="BW248" s="61"/>
      <c r="BX248" s="61"/>
      <c r="BY248" s="61"/>
      <c r="BZ248" s="61"/>
      <c r="CA248" s="61"/>
      <c r="CB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2"/>
      <c r="BQ249" s="62"/>
      <c r="BR249" s="62"/>
      <c r="BS249" s="62"/>
      <c r="BT249" s="61"/>
      <c r="BU249" s="61"/>
      <c r="BV249" s="61"/>
      <c r="BW249" s="61"/>
      <c r="BX249" s="61"/>
      <c r="BY249" s="61"/>
      <c r="BZ249" s="61"/>
      <c r="CA249" s="61"/>
      <c r="CB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2"/>
      <c r="BQ250" s="62"/>
      <c r="BR250" s="62"/>
      <c r="BS250" s="62"/>
      <c r="BT250" s="61"/>
      <c r="BU250" s="61"/>
      <c r="BV250" s="61"/>
      <c r="BW250" s="61"/>
      <c r="BX250" s="61"/>
      <c r="BY250" s="61"/>
      <c r="BZ250" s="61"/>
      <c r="CA250" s="61"/>
      <c r="CB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2"/>
      <c r="BQ251" s="62"/>
      <c r="BR251" s="62"/>
      <c r="BS251" s="62"/>
      <c r="BT251" s="61"/>
      <c r="BU251" s="61"/>
      <c r="BV251" s="61"/>
      <c r="BW251" s="61"/>
      <c r="BX251" s="61"/>
      <c r="BY251" s="61"/>
      <c r="BZ251" s="61"/>
      <c r="CA251" s="61"/>
      <c r="CB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2"/>
      <c r="BQ252" s="62"/>
      <c r="BR252" s="62"/>
      <c r="BS252" s="62"/>
      <c r="BT252" s="61"/>
      <c r="BU252" s="61"/>
      <c r="BV252" s="61"/>
      <c r="BW252" s="61"/>
      <c r="BX252" s="61"/>
      <c r="BY252" s="61"/>
      <c r="BZ252" s="61"/>
      <c r="CA252" s="61"/>
      <c r="CB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2"/>
      <c r="BQ253" s="62"/>
      <c r="BR253" s="62"/>
      <c r="BS253" s="62"/>
      <c r="BT253" s="61"/>
      <c r="BU253" s="61"/>
      <c r="BV253" s="61"/>
      <c r="BW253" s="61"/>
      <c r="BX253" s="61"/>
      <c r="BY253" s="61"/>
      <c r="BZ253" s="61"/>
      <c r="CA253" s="61"/>
      <c r="CB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2"/>
      <c r="BQ254" s="62"/>
      <c r="BR254" s="62"/>
      <c r="BS254" s="62"/>
      <c r="BT254" s="61"/>
      <c r="BU254" s="61"/>
      <c r="BV254" s="61"/>
      <c r="BW254" s="61"/>
      <c r="BX254" s="61"/>
      <c r="BY254" s="61"/>
      <c r="BZ254" s="61"/>
      <c r="CA254" s="61"/>
      <c r="CB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2"/>
      <c r="BQ255" s="62"/>
      <c r="BR255" s="62"/>
      <c r="BS255" s="62"/>
      <c r="BT255" s="61"/>
      <c r="BU255" s="61"/>
      <c r="BV255" s="61"/>
      <c r="BW255" s="61"/>
      <c r="BX255" s="61"/>
      <c r="BY255" s="61"/>
      <c r="BZ255" s="61"/>
      <c r="CA255" s="61"/>
      <c r="CB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2"/>
      <c r="BQ256" s="62"/>
      <c r="BR256" s="62"/>
      <c r="BS256" s="62"/>
      <c r="BT256" s="61"/>
      <c r="BU256" s="61"/>
      <c r="BV256" s="61"/>
      <c r="BW256" s="61"/>
      <c r="BX256" s="61"/>
      <c r="BY256" s="61"/>
      <c r="BZ256" s="61"/>
      <c r="CA256" s="61"/>
      <c r="CB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2"/>
      <c r="BQ257" s="62"/>
      <c r="BR257" s="62"/>
      <c r="BS257" s="62"/>
      <c r="BT257" s="61"/>
      <c r="BU257" s="61"/>
      <c r="BV257" s="61"/>
      <c r="BW257" s="61"/>
      <c r="BX257" s="61"/>
      <c r="BY257" s="61"/>
      <c r="BZ257" s="61"/>
      <c r="CA257" s="61"/>
      <c r="CB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2"/>
      <c r="BQ258" s="62"/>
      <c r="BR258" s="62"/>
      <c r="BS258" s="62"/>
      <c r="BT258" s="61"/>
      <c r="BU258" s="61"/>
      <c r="BV258" s="61"/>
      <c r="BW258" s="61"/>
      <c r="BX258" s="61"/>
      <c r="BY258" s="61"/>
      <c r="BZ258" s="61"/>
      <c r="CA258" s="61"/>
      <c r="CB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2"/>
      <c r="BQ259" s="62"/>
      <c r="BR259" s="62"/>
      <c r="BS259" s="62"/>
      <c r="BT259" s="61"/>
      <c r="BU259" s="61"/>
      <c r="BV259" s="61"/>
      <c r="BW259" s="61"/>
      <c r="BX259" s="61"/>
      <c r="BY259" s="61"/>
      <c r="BZ259" s="61"/>
      <c r="CA259" s="61"/>
      <c r="CB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2"/>
      <c r="BQ260" s="62"/>
      <c r="BR260" s="62"/>
      <c r="BS260" s="62"/>
      <c r="BT260" s="61"/>
      <c r="BU260" s="61"/>
      <c r="BV260" s="61"/>
      <c r="BW260" s="61"/>
      <c r="BX260" s="61"/>
      <c r="BY260" s="61"/>
      <c r="BZ260" s="61"/>
      <c r="CA260" s="61"/>
      <c r="CB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2"/>
      <c r="BQ261" s="62"/>
      <c r="BR261" s="62"/>
      <c r="BS261" s="62"/>
      <c r="BT261" s="61"/>
      <c r="BU261" s="61"/>
      <c r="BV261" s="61"/>
      <c r="BW261" s="61"/>
      <c r="BX261" s="61"/>
      <c r="BY261" s="61"/>
      <c r="BZ261" s="61"/>
      <c r="CA261" s="61"/>
      <c r="CB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2"/>
      <c r="BQ262" s="62"/>
      <c r="BR262" s="62"/>
      <c r="BS262" s="62"/>
      <c r="BT262" s="61"/>
      <c r="BU262" s="61"/>
      <c r="BV262" s="61"/>
      <c r="BW262" s="61"/>
      <c r="BX262" s="61"/>
      <c r="BY262" s="61"/>
      <c r="BZ262" s="61"/>
      <c r="CA262" s="61"/>
      <c r="CB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2"/>
      <c r="BQ263" s="62"/>
      <c r="BR263" s="62"/>
      <c r="BS263" s="62"/>
      <c r="BT263" s="61"/>
      <c r="BU263" s="61"/>
      <c r="BV263" s="61"/>
      <c r="BW263" s="61"/>
      <c r="BX263" s="61"/>
      <c r="BY263" s="61"/>
      <c r="BZ263" s="61"/>
      <c r="CA263" s="61"/>
      <c r="CB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2"/>
      <c r="BQ264" s="62"/>
      <c r="BR264" s="62"/>
      <c r="BS264" s="62"/>
      <c r="BT264" s="61"/>
      <c r="BU264" s="61"/>
      <c r="BV264" s="61"/>
      <c r="BW264" s="61"/>
      <c r="BX264" s="61"/>
      <c r="BY264" s="61"/>
      <c r="BZ264" s="61"/>
      <c r="CA264" s="61"/>
      <c r="CB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2"/>
      <c r="BQ265" s="62"/>
      <c r="BR265" s="62"/>
      <c r="BS265" s="62"/>
      <c r="BT265" s="61"/>
      <c r="BU265" s="61"/>
      <c r="BV265" s="61"/>
      <c r="BW265" s="61"/>
      <c r="BX265" s="61"/>
      <c r="BY265" s="61"/>
      <c r="BZ265" s="61"/>
      <c r="CA265" s="61"/>
      <c r="CB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2"/>
      <c r="BQ266" s="62"/>
      <c r="BR266" s="62"/>
      <c r="BS266" s="62"/>
      <c r="BT266" s="61"/>
      <c r="BU266" s="61"/>
      <c r="BV266" s="61"/>
      <c r="BW266" s="61"/>
      <c r="BX266" s="61"/>
      <c r="BY266" s="61"/>
      <c r="BZ266" s="61"/>
      <c r="CA266" s="61"/>
      <c r="CB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2"/>
      <c r="BQ267" s="62"/>
      <c r="BR267" s="62"/>
      <c r="BS267" s="62"/>
      <c r="BT267" s="61"/>
      <c r="BU267" s="61"/>
      <c r="BV267" s="61"/>
      <c r="BW267" s="61"/>
      <c r="BX267" s="61"/>
      <c r="BY267" s="61"/>
      <c r="BZ267" s="61"/>
      <c r="CA267" s="61"/>
      <c r="CB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2"/>
      <c r="BQ268" s="62"/>
      <c r="BR268" s="62"/>
      <c r="BS268" s="62"/>
      <c r="BT268" s="61"/>
      <c r="BU268" s="61"/>
      <c r="BV268" s="61"/>
      <c r="BW268" s="61"/>
      <c r="BX268" s="61"/>
      <c r="BY268" s="61"/>
      <c r="BZ268" s="61"/>
      <c r="CA268" s="61"/>
      <c r="CB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2"/>
      <c r="BQ269" s="62"/>
      <c r="BR269" s="62"/>
      <c r="BS269" s="62"/>
      <c r="BT269" s="61"/>
      <c r="BU269" s="61"/>
      <c r="BV269" s="61"/>
      <c r="BW269" s="61"/>
      <c r="BX269" s="61"/>
      <c r="BY269" s="61"/>
      <c r="BZ269" s="61"/>
      <c r="CA269" s="61"/>
      <c r="CB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2"/>
      <c r="BQ270" s="62"/>
      <c r="BR270" s="62"/>
      <c r="BS270" s="62"/>
      <c r="BT270" s="61"/>
      <c r="BU270" s="61"/>
      <c r="BV270" s="61"/>
      <c r="BW270" s="61"/>
      <c r="BX270" s="61"/>
      <c r="BY270" s="61"/>
      <c r="BZ270" s="61"/>
      <c r="CA270" s="61"/>
      <c r="CB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2"/>
      <c r="BQ271" s="62"/>
      <c r="BR271" s="62"/>
      <c r="BS271" s="62"/>
      <c r="BT271" s="61"/>
      <c r="BU271" s="61"/>
      <c r="BV271" s="61"/>
      <c r="BW271" s="61"/>
      <c r="BX271" s="61"/>
      <c r="BY271" s="61"/>
      <c r="BZ271" s="61"/>
      <c r="CA271" s="61"/>
      <c r="CB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2"/>
      <c r="BQ272" s="62"/>
      <c r="BR272" s="62"/>
      <c r="BS272" s="62"/>
      <c r="BT272" s="61"/>
      <c r="BU272" s="61"/>
      <c r="BV272" s="61"/>
      <c r="BW272" s="61"/>
      <c r="BX272" s="61"/>
      <c r="BY272" s="61"/>
      <c r="BZ272" s="61"/>
      <c r="CA272" s="61"/>
      <c r="CB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2"/>
      <c r="BQ273" s="62"/>
      <c r="BR273" s="62"/>
      <c r="BS273" s="62"/>
      <c r="BT273" s="61"/>
      <c r="BU273" s="61"/>
      <c r="BV273" s="61"/>
      <c r="BW273" s="61"/>
      <c r="BX273" s="61"/>
      <c r="BY273" s="61"/>
      <c r="BZ273" s="61"/>
      <c r="CA273" s="61"/>
      <c r="CB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2"/>
      <c r="BQ274" s="62"/>
      <c r="BR274" s="62"/>
      <c r="BS274" s="62"/>
      <c r="BT274" s="61"/>
      <c r="BU274" s="61"/>
      <c r="BV274" s="61"/>
      <c r="BW274" s="61"/>
      <c r="BX274" s="61"/>
      <c r="BY274" s="61"/>
      <c r="BZ274" s="61"/>
      <c r="CA274" s="61"/>
      <c r="CB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2"/>
      <c r="BQ275" s="62"/>
      <c r="BR275" s="62"/>
      <c r="BS275" s="62"/>
      <c r="BT275" s="61"/>
      <c r="BU275" s="61"/>
      <c r="BV275" s="61"/>
      <c r="BW275" s="61"/>
      <c r="BX275" s="61"/>
      <c r="BY275" s="61"/>
      <c r="BZ275" s="61"/>
      <c r="CA275" s="61"/>
      <c r="CB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2"/>
      <c r="BQ276" s="62"/>
      <c r="BR276" s="62"/>
      <c r="BS276" s="62"/>
      <c r="BT276" s="61"/>
      <c r="BU276" s="61"/>
      <c r="BV276" s="61"/>
      <c r="BW276" s="61"/>
      <c r="BX276" s="61"/>
      <c r="BY276" s="61"/>
      <c r="BZ276" s="61"/>
      <c r="CA276" s="61"/>
      <c r="CB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2"/>
      <c r="BQ277" s="62"/>
      <c r="BR277" s="62"/>
      <c r="BS277" s="62"/>
      <c r="BT277" s="61"/>
      <c r="BU277" s="61"/>
      <c r="BV277" s="61"/>
      <c r="BW277" s="61"/>
      <c r="BX277" s="61"/>
      <c r="BY277" s="61"/>
      <c r="BZ277" s="61"/>
      <c r="CA277" s="61"/>
      <c r="CB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2"/>
      <c r="BQ278" s="62"/>
      <c r="BR278" s="62"/>
      <c r="BS278" s="62"/>
      <c r="BT278" s="61"/>
      <c r="BU278" s="61"/>
      <c r="BV278" s="61"/>
      <c r="BW278" s="61"/>
      <c r="BX278" s="61"/>
      <c r="BY278" s="61"/>
      <c r="BZ278" s="61"/>
      <c r="CA278" s="61"/>
      <c r="CB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2"/>
      <c r="BQ279" s="62"/>
      <c r="BR279" s="62"/>
      <c r="BS279" s="62"/>
      <c r="BT279" s="61"/>
      <c r="BU279" s="61"/>
      <c r="BV279" s="61"/>
      <c r="BW279" s="61"/>
      <c r="BX279" s="61"/>
      <c r="BY279" s="61"/>
      <c r="BZ279" s="61"/>
      <c r="CA279" s="61"/>
      <c r="CB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2"/>
      <c r="BQ280" s="62"/>
      <c r="BR280" s="62"/>
      <c r="BS280" s="62"/>
      <c r="BT280" s="61"/>
      <c r="BU280" s="61"/>
      <c r="BV280" s="61"/>
      <c r="BW280" s="61"/>
      <c r="BX280" s="61"/>
      <c r="BY280" s="61"/>
      <c r="BZ280" s="61"/>
      <c r="CA280" s="61"/>
      <c r="CB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2"/>
      <c r="BQ281" s="62"/>
      <c r="BR281" s="62"/>
      <c r="BS281" s="62"/>
      <c r="BT281" s="61"/>
      <c r="BU281" s="61"/>
      <c r="BV281" s="61"/>
      <c r="BW281" s="61"/>
      <c r="BX281" s="61"/>
      <c r="BY281" s="61"/>
      <c r="BZ281" s="61"/>
      <c r="CA281" s="61"/>
      <c r="CB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2"/>
      <c r="BQ282" s="62"/>
      <c r="BR282" s="62"/>
      <c r="BS282" s="62"/>
      <c r="BT282" s="61"/>
      <c r="BU282" s="61"/>
      <c r="BV282" s="61"/>
      <c r="BW282" s="61"/>
      <c r="BX282" s="61"/>
      <c r="BY282" s="61"/>
      <c r="BZ282" s="61"/>
      <c r="CA282" s="61"/>
      <c r="CB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2"/>
      <c r="BQ283" s="62"/>
      <c r="BR283" s="62"/>
      <c r="BS283" s="62"/>
      <c r="BT283" s="61"/>
      <c r="BU283" s="61"/>
      <c r="BV283" s="61"/>
      <c r="BW283" s="61"/>
      <c r="BX283" s="61"/>
      <c r="BY283" s="61"/>
      <c r="BZ283" s="61"/>
      <c r="CA283" s="61"/>
      <c r="CB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2"/>
      <c r="BQ284" s="62"/>
      <c r="BR284" s="62"/>
      <c r="BS284" s="62"/>
      <c r="BT284" s="61"/>
      <c r="BU284" s="61"/>
      <c r="BV284" s="61"/>
      <c r="BW284" s="61"/>
      <c r="BX284" s="61"/>
      <c r="BY284" s="61"/>
      <c r="BZ284" s="61"/>
      <c r="CA284" s="61"/>
      <c r="CB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2"/>
      <c r="BQ285" s="62"/>
      <c r="BR285" s="62"/>
      <c r="BS285" s="62"/>
      <c r="BT285" s="61"/>
      <c r="BU285" s="61"/>
      <c r="BV285" s="61"/>
      <c r="BW285" s="61"/>
      <c r="BX285" s="61"/>
      <c r="BY285" s="61"/>
      <c r="BZ285" s="61"/>
      <c r="CA285" s="61"/>
      <c r="CB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2"/>
      <c r="BQ286" s="62"/>
      <c r="BR286" s="62"/>
      <c r="BS286" s="62"/>
      <c r="BT286" s="61"/>
      <c r="BU286" s="61"/>
      <c r="BV286" s="61"/>
      <c r="BW286" s="61"/>
      <c r="BX286" s="61"/>
      <c r="BY286" s="61"/>
      <c r="BZ286" s="61"/>
      <c r="CA286" s="61"/>
      <c r="CB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2"/>
      <c r="BQ287" s="62"/>
      <c r="BR287" s="62"/>
      <c r="BS287" s="62"/>
      <c r="BT287" s="61"/>
      <c r="BU287" s="61"/>
      <c r="BV287" s="61"/>
      <c r="BW287" s="61"/>
      <c r="BX287" s="61"/>
      <c r="BY287" s="61"/>
      <c r="BZ287" s="61"/>
      <c r="CA287" s="61"/>
      <c r="CB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2"/>
      <c r="BQ288" s="62"/>
      <c r="BR288" s="62"/>
      <c r="BS288" s="62"/>
      <c r="BT288" s="61"/>
      <c r="BU288" s="61"/>
      <c r="BV288" s="61"/>
      <c r="BW288" s="61"/>
      <c r="BX288" s="61"/>
      <c r="BY288" s="61"/>
      <c r="BZ288" s="61"/>
      <c r="CA288" s="61"/>
      <c r="CB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2"/>
      <c r="BQ289" s="62"/>
      <c r="BR289" s="62"/>
      <c r="BS289" s="62"/>
      <c r="BT289" s="61"/>
      <c r="BU289" s="61"/>
      <c r="BV289" s="61"/>
      <c r="BW289" s="61"/>
      <c r="BX289" s="61"/>
      <c r="BY289" s="61"/>
      <c r="BZ289" s="61"/>
      <c r="CA289" s="61"/>
      <c r="CB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2"/>
      <c r="BQ290" s="62"/>
      <c r="BR290" s="62"/>
      <c r="BS290" s="62"/>
      <c r="BT290" s="61"/>
      <c r="BU290" s="61"/>
      <c r="BV290" s="61"/>
      <c r="BW290" s="61"/>
      <c r="BX290" s="61"/>
      <c r="BY290" s="61"/>
      <c r="BZ290" s="61"/>
      <c r="CA290" s="61"/>
      <c r="CB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2"/>
      <c r="BQ291" s="62"/>
      <c r="BR291" s="62"/>
      <c r="BS291" s="62"/>
      <c r="BT291" s="61"/>
      <c r="BU291" s="61"/>
      <c r="BV291" s="61"/>
      <c r="BW291" s="61"/>
      <c r="BX291" s="61"/>
      <c r="BY291" s="61"/>
      <c r="BZ291" s="61"/>
      <c r="CA291" s="61"/>
      <c r="CB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2"/>
      <c r="BQ292" s="62"/>
      <c r="BR292" s="62"/>
      <c r="BS292" s="62"/>
      <c r="BT292" s="61"/>
      <c r="BU292" s="61"/>
      <c r="BV292" s="61"/>
      <c r="BW292" s="61"/>
      <c r="BX292" s="61"/>
      <c r="BY292" s="61"/>
      <c r="BZ292" s="61"/>
      <c r="CA292" s="61"/>
      <c r="CB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2"/>
      <c r="BQ293" s="62"/>
      <c r="BR293" s="62"/>
      <c r="BS293" s="62"/>
      <c r="BT293" s="61"/>
      <c r="BU293" s="61"/>
      <c r="BV293" s="61"/>
      <c r="BW293" s="61"/>
      <c r="BX293" s="61"/>
      <c r="BY293" s="61"/>
      <c r="BZ293" s="61"/>
      <c r="CA293" s="61"/>
      <c r="CB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2"/>
      <c r="BQ294" s="62"/>
      <c r="BR294" s="62"/>
      <c r="BS294" s="62"/>
      <c r="BT294" s="61"/>
      <c r="BU294" s="61"/>
      <c r="BV294" s="61"/>
      <c r="BW294" s="61"/>
      <c r="BX294" s="61"/>
      <c r="BY294" s="61"/>
      <c r="BZ294" s="61"/>
      <c r="CA294" s="61"/>
      <c r="CB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2"/>
      <c r="BQ295" s="62"/>
      <c r="BR295" s="62"/>
      <c r="BS295" s="62"/>
      <c r="BT295" s="61"/>
      <c r="BU295" s="61"/>
      <c r="BV295" s="61"/>
      <c r="BW295" s="61"/>
      <c r="BX295" s="61"/>
      <c r="BY295" s="61"/>
      <c r="BZ295" s="61"/>
      <c r="CA295" s="61"/>
      <c r="CB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2"/>
      <c r="BQ296" s="62"/>
      <c r="BR296" s="62"/>
      <c r="BS296" s="62"/>
      <c r="BT296" s="61"/>
      <c r="BU296" s="61"/>
      <c r="BV296" s="61"/>
      <c r="BW296" s="61"/>
      <c r="BX296" s="61"/>
      <c r="BY296" s="61"/>
      <c r="BZ296" s="61"/>
      <c r="CA296" s="61"/>
      <c r="CB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2"/>
      <c r="BQ297" s="62"/>
      <c r="BR297" s="62"/>
      <c r="BS297" s="62"/>
      <c r="BT297" s="61"/>
      <c r="BU297" s="61"/>
      <c r="BV297" s="61"/>
      <c r="BW297" s="61"/>
      <c r="BX297" s="61"/>
      <c r="BY297" s="61"/>
      <c r="BZ297" s="61"/>
      <c r="CA297" s="61"/>
      <c r="CB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2"/>
      <c r="BQ298" s="62"/>
      <c r="BR298" s="62"/>
      <c r="BS298" s="62"/>
      <c r="BT298" s="61"/>
      <c r="BU298" s="61"/>
      <c r="BV298" s="61"/>
      <c r="BW298" s="61"/>
      <c r="BX298" s="61"/>
      <c r="BY298" s="61"/>
      <c r="BZ298" s="61"/>
      <c r="CA298" s="61"/>
      <c r="CB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2"/>
      <c r="BQ299" s="62"/>
      <c r="BR299" s="62"/>
      <c r="BS299" s="62"/>
      <c r="BT299" s="61"/>
      <c r="BU299" s="61"/>
      <c r="BV299" s="61"/>
      <c r="BW299" s="61"/>
      <c r="BX299" s="61"/>
      <c r="BY299" s="61"/>
      <c r="BZ299" s="61"/>
      <c r="CA299" s="61"/>
      <c r="CB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2"/>
      <c r="BQ300" s="62"/>
      <c r="BR300" s="62"/>
      <c r="BS300" s="62"/>
      <c r="BT300" s="61"/>
      <c r="BU300" s="61"/>
      <c r="BV300" s="61"/>
      <c r="BW300" s="61"/>
      <c r="BX300" s="61"/>
      <c r="BY300" s="61"/>
      <c r="BZ300" s="61"/>
      <c r="CA300" s="61"/>
      <c r="CB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2"/>
      <c r="BQ301" s="62"/>
      <c r="BR301" s="62"/>
      <c r="BS301" s="62"/>
      <c r="BT301" s="61"/>
      <c r="BU301" s="61"/>
      <c r="BV301" s="61"/>
      <c r="BW301" s="61"/>
      <c r="BX301" s="61"/>
      <c r="BY301" s="61"/>
      <c r="BZ301" s="61"/>
      <c r="CA301" s="61"/>
      <c r="CB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2"/>
      <c r="BQ302" s="62"/>
      <c r="BR302" s="62"/>
      <c r="BS302" s="62"/>
      <c r="BT302" s="61"/>
      <c r="BU302" s="61"/>
      <c r="BV302" s="61"/>
      <c r="BW302" s="61"/>
      <c r="BX302" s="61"/>
      <c r="BY302" s="61"/>
      <c r="BZ302" s="61"/>
      <c r="CA302" s="61"/>
      <c r="CB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2"/>
      <c r="BQ303" s="62"/>
      <c r="BR303" s="62"/>
      <c r="BS303" s="62"/>
      <c r="BT303" s="61"/>
      <c r="BU303" s="61"/>
      <c r="BV303" s="61"/>
      <c r="BW303" s="61"/>
      <c r="BX303" s="61"/>
      <c r="BY303" s="61"/>
      <c r="BZ303" s="61"/>
      <c r="CA303" s="61"/>
      <c r="CB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2"/>
      <c r="BQ304" s="62"/>
      <c r="BR304" s="62"/>
      <c r="BS304" s="62"/>
      <c r="BT304" s="61"/>
      <c r="BU304" s="61"/>
      <c r="BV304" s="61"/>
      <c r="BW304" s="61"/>
      <c r="BX304" s="61"/>
      <c r="BY304" s="61"/>
      <c r="BZ304" s="61"/>
      <c r="CA304" s="61"/>
      <c r="CB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2"/>
      <c r="BQ305" s="62"/>
      <c r="BR305" s="62"/>
      <c r="BS305" s="62"/>
      <c r="BT305" s="61"/>
      <c r="BU305" s="61"/>
      <c r="BV305" s="61"/>
      <c r="BW305" s="61"/>
      <c r="BX305" s="61"/>
      <c r="BY305" s="61"/>
      <c r="BZ305" s="61"/>
      <c r="CA305" s="61"/>
      <c r="CB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2"/>
      <c r="BQ306" s="62"/>
      <c r="BR306" s="62"/>
      <c r="BS306" s="62"/>
      <c r="BT306" s="61"/>
      <c r="BU306" s="61"/>
      <c r="BV306" s="61"/>
      <c r="BW306" s="61"/>
      <c r="BX306" s="61"/>
      <c r="BY306" s="61"/>
      <c r="BZ306" s="61"/>
      <c r="CA306" s="61"/>
      <c r="CB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2"/>
      <c r="BQ307" s="62"/>
      <c r="BR307" s="62"/>
      <c r="BS307" s="62"/>
      <c r="BT307" s="61"/>
      <c r="BU307" s="61"/>
      <c r="BV307" s="61"/>
      <c r="BW307" s="61"/>
      <c r="BX307" s="61"/>
      <c r="BY307" s="61"/>
      <c r="BZ307" s="61"/>
      <c r="CA307" s="61"/>
      <c r="CB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2"/>
      <c r="BQ308" s="62"/>
      <c r="BR308" s="62"/>
      <c r="BS308" s="62"/>
      <c r="BT308" s="61"/>
      <c r="BU308" s="61"/>
      <c r="BV308" s="61"/>
      <c r="BW308" s="61"/>
      <c r="BX308" s="61"/>
      <c r="BY308" s="61"/>
      <c r="BZ308" s="61"/>
      <c r="CA308" s="61"/>
      <c r="CB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2"/>
      <c r="BQ309" s="62"/>
      <c r="BR309" s="62"/>
      <c r="BS309" s="62"/>
      <c r="BT309" s="61"/>
      <c r="BU309" s="61"/>
      <c r="BV309" s="61"/>
      <c r="BW309" s="61"/>
      <c r="BX309" s="61"/>
      <c r="BY309" s="61"/>
      <c r="BZ309" s="61"/>
      <c r="CA309" s="61"/>
      <c r="CB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2"/>
      <c r="BQ310" s="62"/>
      <c r="BR310" s="62"/>
      <c r="BS310" s="62"/>
      <c r="BT310" s="61"/>
      <c r="BU310" s="61"/>
      <c r="BV310" s="61"/>
      <c r="BW310" s="61"/>
      <c r="BX310" s="61"/>
      <c r="BY310" s="61"/>
      <c r="BZ310" s="61"/>
      <c r="CA310" s="61"/>
      <c r="CB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2"/>
      <c r="BQ311" s="62"/>
      <c r="BR311" s="62"/>
      <c r="BS311" s="62"/>
      <c r="BT311" s="61"/>
      <c r="BU311" s="61"/>
      <c r="BV311" s="61"/>
      <c r="BW311" s="61"/>
      <c r="BX311" s="61"/>
      <c r="BY311" s="61"/>
      <c r="BZ311" s="61"/>
      <c r="CA311" s="61"/>
      <c r="CB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2"/>
      <c r="BQ312" s="62"/>
      <c r="BR312" s="62"/>
      <c r="BS312" s="62"/>
      <c r="BT312" s="61"/>
      <c r="BU312" s="61"/>
      <c r="BV312" s="61"/>
      <c r="BW312" s="61"/>
      <c r="BX312" s="61"/>
      <c r="BY312" s="61"/>
      <c r="BZ312" s="61"/>
      <c r="CA312" s="61"/>
      <c r="CB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2"/>
      <c r="BQ313" s="62"/>
      <c r="BR313" s="62"/>
      <c r="BS313" s="62"/>
      <c r="BT313" s="61"/>
      <c r="BU313" s="61"/>
      <c r="BV313" s="61"/>
      <c r="BW313" s="61"/>
      <c r="BX313" s="61"/>
      <c r="BY313" s="61"/>
      <c r="BZ313" s="61"/>
      <c r="CA313" s="61"/>
      <c r="CB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2"/>
      <c r="BQ314" s="62"/>
      <c r="BR314" s="62"/>
      <c r="BS314" s="62"/>
      <c r="BT314" s="61"/>
      <c r="BU314" s="61"/>
      <c r="BV314" s="61"/>
      <c r="BW314" s="61"/>
      <c r="BX314" s="61"/>
      <c r="BY314" s="61"/>
      <c r="BZ314" s="61"/>
      <c r="CA314" s="61"/>
      <c r="CB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2"/>
      <c r="BQ315" s="62"/>
      <c r="BR315" s="62"/>
      <c r="BS315" s="62"/>
      <c r="BT315" s="61"/>
      <c r="BU315" s="61"/>
      <c r="BV315" s="61"/>
      <c r="BW315" s="61"/>
      <c r="BX315" s="61"/>
      <c r="BY315" s="61"/>
      <c r="BZ315" s="61"/>
      <c r="CA315" s="61"/>
      <c r="CB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2"/>
      <c r="BQ316" s="62"/>
      <c r="BR316" s="62"/>
      <c r="BS316" s="62"/>
      <c r="BT316" s="61"/>
      <c r="BU316" s="61"/>
      <c r="BV316" s="61"/>
      <c r="BW316" s="61"/>
      <c r="BX316" s="61"/>
      <c r="BY316" s="61"/>
      <c r="BZ316" s="61"/>
      <c r="CA316" s="61"/>
      <c r="CB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2"/>
      <c r="BQ317" s="62"/>
      <c r="BR317" s="62"/>
      <c r="BS317" s="62"/>
      <c r="BT317" s="61"/>
      <c r="BU317" s="61"/>
      <c r="BV317" s="61"/>
      <c r="BW317" s="61"/>
      <c r="BX317" s="61"/>
      <c r="BY317" s="61"/>
      <c r="BZ317" s="61"/>
      <c r="CA317" s="61"/>
      <c r="CB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2"/>
      <c r="BQ318" s="62"/>
      <c r="BR318" s="62"/>
      <c r="BS318" s="62"/>
      <c r="BT318" s="61"/>
      <c r="BU318" s="61"/>
      <c r="BV318" s="61"/>
      <c r="BW318" s="61"/>
      <c r="BX318" s="61"/>
      <c r="BY318" s="61"/>
      <c r="BZ318" s="61"/>
      <c r="CA318" s="61"/>
      <c r="CB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2"/>
      <c r="BQ319" s="62"/>
      <c r="BR319" s="62"/>
      <c r="BS319" s="62"/>
      <c r="BT319" s="61"/>
      <c r="BU319" s="61"/>
      <c r="BV319" s="61"/>
      <c r="BW319" s="61"/>
      <c r="BX319" s="61"/>
      <c r="BY319" s="61"/>
      <c r="BZ319" s="61"/>
      <c r="CA319" s="61"/>
      <c r="CB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2"/>
      <c r="BQ320" s="62"/>
      <c r="BR320" s="62"/>
      <c r="BS320" s="62"/>
      <c r="BT320" s="61"/>
      <c r="BU320" s="61"/>
      <c r="BV320" s="61"/>
      <c r="BW320" s="61"/>
      <c r="BX320" s="61"/>
      <c r="BY320" s="61"/>
      <c r="BZ320" s="61"/>
      <c r="CA320" s="61"/>
      <c r="CB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2"/>
      <c r="BQ321" s="62"/>
      <c r="BR321" s="62"/>
      <c r="BS321" s="62"/>
      <c r="BT321" s="61"/>
      <c r="BU321" s="61"/>
      <c r="BV321" s="61"/>
      <c r="BW321" s="61"/>
      <c r="BX321" s="61"/>
      <c r="BY321" s="61"/>
      <c r="BZ321" s="61"/>
      <c r="CA321" s="61"/>
      <c r="CB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2"/>
      <c r="BQ322" s="62"/>
      <c r="BR322" s="62"/>
      <c r="BS322" s="62"/>
      <c r="BT322" s="61"/>
      <c r="BU322" s="61"/>
      <c r="BV322" s="61"/>
      <c r="BW322" s="61"/>
      <c r="BX322" s="61"/>
      <c r="BY322" s="61"/>
      <c r="BZ322" s="61"/>
      <c r="CA322" s="61"/>
      <c r="CB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2"/>
      <c r="BQ323" s="62"/>
      <c r="BR323" s="62"/>
      <c r="BS323" s="62"/>
      <c r="BT323" s="61"/>
      <c r="BU323" s="61"/>
      <c r="BV323" s="61"/>
      <c r="BW323" s="61"/>
      <c r="BX323" s="61"/>
      <c r="BY323" s="61"/>
      <c r="BZ323" s="61"/>
      <c r="CA323" s="61"/>
      <c r="CB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2"/>
      <c r="BQ324" s="62"/>
      <c r="BR324" s="62"/>
      <c r="BS324" s="62"/>
      <c r="BT324" s="61"/>
      <c r="BU324" s="61"/>
      <c r="BV324" s="61"/>
      <c r="BW324" s="61"/>
      <c r="BX324" s="61"/>
      <c r="BY324" s="61"/>
      <c r="BZ324" s="61"/>
      <c r="CA324" s="61"/>
      <c r="CB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2"/>
      <c r="BQ325" s="62"/>
      <c r="BR325" s="62"/>
      <c r="BS325" s="62"/>
      <c r="BT325" s="61"/>
      <c r="BU325" s="61"/>
      <c r="BV325" s="61"/>
      <c r="BW325" s="61"/>
      <c r="BX325" s="61"/>
      <c r="BY325" s="61"/>
      <c r="BZ325" s="61"/>
      <c r="CA325" s="61"/>
      <c r="CB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2"/>
      <c r="BQ326" s="62"/>
      <c r="BR326" s="62"/>
      <c r="BS326" s="62"/>
      <c r="BT326" s="61"/>
      <c r="BU326" s="61"/>
      <c r="BV326" s="61"/>
      <c r="BW326" s="61"/>
      <c r="BX326" s="61"/>
      <c r="BY326" s="61"/>
      <c r="BZ326" s="61"/>
      <c r="CA326" s="61"/>
      <c r="CB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2"/>
      <c r="BQ327" s="62"/>
      <c r="BR327" s="62"/>
      <c r="BS327" s="62"/>
      <c r="BT327" s="61"/>
      <c r="BU327" s="61"/>
      <c r="BV327" s="61"/>
      <c r="BW327" s="61"/>
      <c r="BX327" s="61"/>
      <c r="BY327" s="61"/>
      <c r="BZ327" s="61"/>
      <c r="CA327" s="61"/>
      <c r="CB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2"/>
      <c r="BQ328" s="62"/>
      <c r="BR328" s="62"/>
      <c r="BS328" s="62"/>
      <c r="BT328" s="61"/>
      <c r="BU328" s="61"/>
      <c r="BV328" s="61"/>
      <c r="BW328" s="61"/>
      <c r="BX328" s="61"/>
      <c r="BY328" s="61"/>
      <c r="BZ328" s="61"/>
      <c r="CA328" s="61"/>
      <c r="CB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2"/>
      <c r="BQ329" s="62"/>
      <c r="BR329" s="62"/>
      <c r="BS329" s="62"/>
      <c r="BT329" s="61"/>
      <c r="BU329" s="61"/>
      <c r="BV329" s="61"/>
      <c r="BW329" s="61"/>
      <c r="BX329" s="61"/>
      <c r="BY329" s="61"/>
      <c r="BZ329" s="61"/>
      <c r="CA329" s="61"/>
      <c r="CB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2"/>
      <c r="BQ330" s="62"/>
      <c r="BR330" s="62"/>
      <c r="BS330" s="62"/>
      <c r="BT330" s="61"/>
      <c r="BU330" s="61"/>
      <c r="BV330" s="61"/>
      <c r="BW330" s="61"/>
      <c r="BX330" s="61"/>
      <c r="BY330" s="61"/>
      <c r="BZ330" s="61"/>
      <c r="CA330" s="61"/>
      <c r="CB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2"/>
      <c r="BQ331" s="62"/>
      <c r="BR331" s="62"/>
      <c r="BS331" s="62"/>
      <c r="BT331" s="61"/>
      <c r="BU331" s="61"/>
      <c r="BV331" s="61"/>
      <c r="BW331" s="61"/>
      <c r="BX331" s="61"/>
      <c r="BY331" s="61"/>
      <c r="BZ331" s="61"/>
      <c r="CA331" s="61"/>
      <c r="CB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2"/>
      <c r="BQ332" s="62"/>
      <c r="BR332" s="62"/>
      <c r="BS332" s="62"/>
      <c r="BT332" s="61"/>
      <c r="BU332" s="61"/>
      <c r="BV332" s="61"/>
      <c r="BW332" s="61"/>
      <c r="BX332" s="61"/>
      <c r="BY332" s="61"/>
      <c r="BZ332" s="61"/>
      <c r="CA332" s="61"/>
      <c r="CB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2"/>
      <c r="BQ333" s="62"/>
      <c r="BR333" s="62"/>
      <c r="BS333" s="62"/>
      <c r="BT333" s="61"/>
      <c r="BU333" s="61"/>
      <c r="BV333" s="61"/>
      <c r="BW333" s="61"/>
      <c r="BX333" s="61"/>
      <c r="BY333" s="61"/>
      <c r="BZ333" s="61"/>
      <c r="CA333" s="61"/>
      <c r="CB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2"/>
      <c r="BQ334" s="62"/>
      <c r="BR334" s="62"/>
      <c r="BS334" s="62"/>
      <c r="BT334" s="61"/>
      <c r="BU334" s="61"/>
      <c r="BV334" s="61"/>
      <c r="BW334" s="61"/>
      <c r="BX334" s="61"/>
      <c r="BY334" s="61"/>
      <c r="BZ334" s="61"/>
      <c r="CA334" s="61"/>
      <c r="CB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2"/>
      <c r="BQ335" s="62"/>
      <c r="BR335" s="62"/>
      <c r="BS335" s="62"/>
      <c r="BT335" s="61"/>
      <c r="BU335" s="61"/>
      <c r="BV335" s="61"/>
      <c r="BW335" s="61"/>
      <c r="BX335" s="61"/>
      <c r="BY335" s="61"/>
      <c r="BZ335" s="61"/>
      <c r="CA335" s="61"/>
      <c r="CB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2"/>
      <c r="BQ336" s="62"/>
      <c r="BR336" s="62"/>
      <c r="BS336" s="62"/>
      <c r="BT336" s="61"/>
      <c r="BU336" s="61"/>
      <c r="BV336" s="61"/>
      <c r="BW336" s="61"/>
      <c r="BX336" s="61"/>
      <c r="BY336" s="61"/>
      <c r="BZ336" s="61"/>
      <c r="CA336" s="61"/>
      <c r="CB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2"/>
      <c r="BQ337" s="62"/>
      <c r="BR337" s="62"/>
      <c r="BS337" s="62"/>
      <c r="BT337" s="61"/>
      <c r="BU337" s="61"/>
      <c r="BV337" s="61"/>
      <c r="BW337" s="61"/>
      <c r="BX337" s="61"/>
      <c r="BY337" s="61"/>
      <c r="BZ337" s="61"/>
      <c r="CA337" s="61"/>
      <c r="CB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2"/>
      <c r="BQ338" s="62"/>
      <c r="BR338" s="62"/>
      <c r="BS338" s="62"/>
      <c r="BT338" s="61"/>
      <c r="BU338" s="61"/>
      <c r="BV338" s="61"/>
      <c r="BW338" s="61"/>
      <c r="BX338" s="61"/>
      <c r="BY338" s="61"/>
      <c r="BZ338" s="61"/>
      <c r="CA338" s="61"/>
      <c r="CB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2"/>
      <c r="BQ339" s="62"/>
      <c r="BR339" s="62"/>
      <c r="BS339" s="62"/>
      <c r="BT339" s="61"/>
      <c r="BU339" s="61"/>
      <c r="BV339" s="61"/>
      <c r="BW339" s="61"/>
      <c r="BX339" s="61"/>
      <c r="BY339" s="61"/>
      <c r="BZ339" s="61"/>
      <c r="CA339" s="61"/>
      <c r="CB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2"/>
      <c r="BQ340" s="62"/>
      <c r="BR340" s="62"/>
      <c r="BS340" s="62"/>
      <c r="BT340" s="61"/>
      <c r="BU340" s="61"/>
      <c r="BV340" s="61"/>
      <c r="BW340" s="61"/>
      <c r="BX340" s="61"/>
      <c r="BY340" s="61"/>
      <c r="BZ340" s="61"/>
      <c r="CA340" s="61"/>
      <c r="CB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2"/>
      <c r="BQ341" s="62"/>
      <c r="BR341" s="62"/>
      <c r="BS341" s="62"/>
      <c r="BT341" s="61"/>
      <c r="BU341" s="61"/>
      <c r="BV341" s="61"/>
      <c r="BW341" s="61"/>
      <c r="BX341" s="61"/>
      <c r="BY341" s="61"/>
      <c r="BZ341" s="61"/>
      <c r="CA341" s="61"/>
      <c r="CB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2"/>
      <c r="BQ342" s="62"/>
      <c r="BR342" s="62"/>
      <c r="BS342" s="62"/>
      <c r="BT342" s="61"/>
      <c r="BU342" s="61"/>
      <c r="BV342" s="61"/>
      <c r="BW342" s="61"/>
      <c r="BX342" s="61"/>
      <c r="BY342" s="61"/>
      <c r="BZ342" s="61"/>
      <c r="CA342" s="61"/>
      <c r="CB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2"/>
      <c r="BQ343" s="62"/>
      <c r="BR343" s="62"/>
      <c r="BS343" s="62"/>
      <c r="BT343" s="61"/>
      <c r="BU343" s="61"/>
      <c r="BV343" s="61"/>
      <c r="BW343" s="61"/>
      <c r="BX343" s="61"/>
      <c r="BY343" s="61"/>
      <c r="BZ343" s="61"/>
      <c r="CA343" s="61"/>
      <c r="CB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2"/>
      <c r="BQ344" s="62"/>
      <c r="BR344" s="62"/>
      <c r="BS344" s="62"/>
      <c r="BT344" s="61"/>
      <c r="BU344" s="61"/>
      <c r="BV344" s="61"/>
      <c r="BW344" s="61"/>
      <c r="BX344" s="61"/>
      <c r="BY344" s="61"/>
      <c r="BZ344" s="61"/>
      <c r="CA344" s="61"/>
      <c r="CB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2"/>
      <c r="BQ345" s="62"/>
      <c r="BR345" s="62"/>
      <c r="BS345" s="62"/>
      <c r="BT345" s="61"/>
      <c r="BU345" s="61"/>
      <c r="BV345" s="61"/>
      <c r="BW345" s="61"/>
      <c r="BX345" s="61"/>
      <c r="BY345" s="61"/>
      <c r="BZ345" s="61"/>
      <c r="CA345" s="61"/>
      <c r="CB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2"/>
      <c r="BQ346" s="62"/>
      <c r="BR346" s="62"/>
      <c r="BS346" s="62"/>
      <c r="BT346" s="61"/>
      <c r="BU346" s="61"/>
      <c r="BV346" s="61"/>
      <c r="BW346" s="61"/>
      <c r="BX346" s="61"/>
      <c r="BY346" s="61"/>
      <c r="BZ346" s="61"/>
      <c r="CA346" s="61"/>
      <c r="CB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2"/>
      <c r="BQ347" s="62"/>
      <c r="BR347" s="62"/>
      <c r="BS347" s="62"/>
      <c r="BT347" s="61"/>
      <c r="BU347" s="61"/>
      <c r="BV347" s="61"/>
      <c r="BW347" s="61"/>
      <c r="BX347" s="61"/>
      <c r="BY347" s="61"/>
      <c r="BZ347" s="61"/>
      <c r="CA347" s="61"/>
      <c r="CB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2"/>
      <c r="BQ348" s="62"/>
      <c r="BR348" s="62"/>
      <c r="BS348" s="62"/>
      <c r="BT348" s="61"/>
      <c r="BU348" s="61"/>
      <c r="BV348" s="61"/>
      <c r="BW348" s="61"/>
      <c r="BX348" s="61"/>
      <c r="BY348" s="61"/>
      <c r="BZ348" s="61"/>
      <c r="CA348" s="61"/>
      <c r="CB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2"/>
      <c r="BQ349" s="62"/>
      <c r="BR349" s="62"/>
      <c r="BS349" s="62"/>
      <c r="BT349" s="61"/>
      <c r="BU349" s="61"/>
      <c r="BV349" s="61"/>
      <c r="BW349" s="61"/>
      <c r="BX349" s="61"/>
      <c r="BY349" s="61"/>
      <c r="BZ349" s="61"/>
      <c r="CA349" s="61"/>
      <c r="CB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2"/>
      <c r="BQ350" s="62"/>
      <c r="BR350" s="62"/>
      <c r="BS350" s="62"/>
      <c r="BT350" s="61"/>
      <c r="BU350" s="61"/>
      <c r="BV350" s="61"/>
      <c r="BW350" s="61"/>
      <c r="BX350" s="61"/>
      <c r="BY350" s="61"/>
      <c r="BZ350" s="61"/>
      <c r="CA350" s="61"/>
      <c r="CB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2"/>
      <c r="BQ351" s="62"/>
      <c r="BR351" s="62"/>
      <c r="BS351" s="62"/>
      <c r="BT351" s="61"/>
      <c r="BU351" s="61"/>
      <c r="BV351" s="61"/>
      <c r="BW351" s="61"/>
      <c r="BX351" s="61"/>
      <c r="BY351" s="61"/>
      <c r="BZ351" s="61"/>
      <c r="CA351" s="61"/>
      <c r="CB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2"/>
      <c r="BQ352" s="62"/>
      <c r="BR352" s="62"/>
      <c r="BS352" s="62"/>
      <c r="BT352" s="61"/>
      <c r="BU352" s="61"/>
      <c r="BV352" s="61"/>
      <c r="BW352" s="61"/>
      <c r="BX352" s="61"/>
      <c r="BY352" s="61"/>
      <c r="BZ352" s="61"/>
      <c r="CA352" s="61"/>
      <c r="CB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2"/>
      <c r="BQ353" s="62"/>
      <c r="BR353" s="62"/>
      <c r="BS353" s="62"/>
      <c r="BT353" s="61"/>
      <c r="BU353" s="61"/>
      <c r="BV353" s="61"/>
      <c r="BW353" s="61"/>
      <c r="BX353" s="61"/>
      <c r="BY353" s="61"/>
      <c r="BZ353" s="61"/>
      <c r="CA353" s="61"/>
      <c r="CB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2"/>
      <c r="BQ354" s="62"/>
      <c r="BR354" s="62"/>
      <c r="BS354" s="62"/>
      <c r="BT354" s="61"/>
      <c r="BU354" s="61"/>
      <c r="BV354" s="61"/>
      <c r="BW354" s="61"/>
      <c r="BX354" s="61"/>
      <c r="BY354" s="61"/>
      <c r="BZ354" s="61"/>
      <c r="CA354" s="61"/>
      <c r="CB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2"/>
      <c r="BQ355" s="62"/>
      <c r="BR355" s="62"/>
      <c r="BS355" s="62"/>
      <c r="BT355" s="61"/>
      <c r="BU355" s="61"/>
      <c r="BV355" s="61"/>
      <c r="BW355" s="61"/>
      <c r="BX355" s="61"/>
      <c r="BY355" s="61"/>
      <c r="BZ355" s="61"/>
      <c r="CA355" s="61"/>
      <c r="CB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2"/>
      <c r="BQ356" s="62"/>
      <c r="BR356" s="62"/>
      <c r="BS356" s="62"/>
      <c r="BT356" s="61"/>
      <c r="BU356" s="61"/>
      <c r="BV356" s="61"/>
      <c r="BW356" s="61"/>
      <c r="BX356" s="61"/>
      <c r="BY356" s="61"/>
      <c r="BZ356" s="61"/>
      <c r="CA356" s="61"/>
      <c r="CB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2"/>
      <c r="BQ357" s="62"/>
      <c r="BR357" s="62"/>
      <c r="BS357" s="62"/>
      <c r="BT357" s="61"/>
      <c r="BU357" s="61"/>
      <c r="BV357" s="61"/>
      <c r="BW357" s="61"/>
      <c r="BX357" s="61"/>
      <c r="BY357" s="61"/>
      <c r="BZ357" s="61"/>
      <c r="CA357" s="61"/>
      <c r="CB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2"/>
      <c r="BQ358" s="62"/>
      <c r="BR358" s="62"/>
      <c r="BS358" s="62"/>
      <c r="BT358" s="61"/>
      <c r="BU358" s="61"/>
      <c r="BV358" s="61"/>
      <c r="BW358" s="61"/>
      <c r="BX358" s="61"/>
      <c r="BY358" s="61"/>
      <c r="BZ358" s="61"/>
      <c r="CA358" s="61"/>
      <c r="CB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2"/>
      <c r="BQ359" s="62"/>
      <c r="BR359" s="62"/>
      <c r="BS359" s="62"/>
      <c r="BT359" s="61"/>
      <c r="BU359" s="61"/>
      <c r="BV359" s="61"/>
      <c r="BW359" s="61"/>
      <c r="BX359" s="61"/>
      <c r="BY359" s="61"/>
      <c r="BZ359" s="61"/>
      <c r="CA359" s="61"/>
      <c r="CB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2"/>
      <c r="BQ360" s="62"/>
      <c r="BR360" s="62"/>
      <c r="BS360" s="62"/>
      <c r="BT360" s="61"/>
      <c r="BU360" s="61"/>
      <c r="BV360" s="61"/>
      <c r="BW360" s="61"/>
      <c r="BX360" s="61"/>
      <c r="BY360" s="61"/>
      <c r="BZ360" s="61"/>
      <c r="CA360" s="61"/>
      <c r="CB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2"/>
      <c r="BQ361" s="62"/>
      <c r="BR361" s="62"/>
      <c r="BS361" s="62"/>
      <c r="BT361" s="61"/>
      <c r="BU361" s="61"/>
      <c r="BV361" s="61"/>
      <c r="BW361" s="61"/>
      <c r="BX361" s="61"/>
      <c r="BY361" s="61"/>
      <c r="BZ361" s="61"/>
      <c r="CA361" s="61"/>
      <c r="CB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2"/>
      <c r="BQ362" s="62"/>
      <c r="BR362" s="62"/>
      <c r="BS362" s="62"/>
      <c r="BT362" s="61"/>
      <c r="BU362" s="61"/>
      <c r="BV362" s="61"/>
      <c r="BW362" s="61"/>
      <c r="BX362" s="61"/>
      <c r="BY362" s="61"/>
      <c r="BZ362" s="61"/>
      <c r="CA362" s="61"/>
      <c r="CB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2"/>
      <c r="BQ363" s="62"/>
      <c r="BR363" s="62"/>
      <c r="BS363" s="62"/>
      <c r="BT363" s="61"/>
      <c r="BU363" s="61"/>
      <c r="BV363" s="61"/>
      <c r="BW363" s="61"/>
      <c r="BX363" s="61"/>
      <c r="BY363" s="61"/>
      <c r="BZ363" s="61"/>
      <c r="CA363" s="61"/>
      <c r="CB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2"/>
      <c r="BQ364" s="62"/>
      <c r="BR364" s="62"/>
      <c r="BS364" s="62"/>
      <c r="BT364" s="61"/>
      <c r="BU364" s="61"/>
      <c r="BV364" s="61"/>
      <c r="BW364" s="61"/>
      <c r="BX364" s="61"/>
      <c r="BY364" s="61"/>
      <c r="BZ364" s="61"/>
      <c r="CA364" s="61"/>
      <c r="CB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2"/>
      <c r="BQ365" s="62"/>
      <c r="BR365" s="62"/>
      <c r="BS365" s="62"/>
      <c r="BT365" s="61"/>
      <c r="BU365" s="61"/>
      <c r="BV365" s="61"/>
      <c r="BW365" s="61"/>
      <c r="BX365" s="61"/>
      <c r="BY365" s="61"/>
      <c r="BZ365" s="61"/>
      <c r="CA365" s="61"/>
      <c r="CB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2"/>
      <c r="BQ366" s="62"/>
      <c r="BR366" s="62"/>
      <c r="BS366" s="62"/>
      <c r="BT366" s="61"/>
      <c r="BU366" s="61"/>
      <c r="BV366" s="61"/>
      <c r="BW366" s="61"/>
      <c r="BX366" s="61"/>
      <c r="BY366" s="61"/>
      <c r="BZ366" s="61"/>
      <c r="CA366" s="61"/>
      <c r="CB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2"/>
      <c r="BQ367" s="62"/>
      <c r="BR367" s="62"/>
      <c r="BS367" s="62"/>
      <c r="BT367" s="61"/>
      <c r="BU367" s="61"/>
      <c r="BV367" s="61"/>
      <c r="BW367" s="61"/>
      <c r="BX367" s="61"/>
      <c r="BY367" s="61"/>
      <c r="BZ367" s="61"/>
      <c r="CA367" s="61"/>
      <c r="CB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2"/>
      <c r="BQ368" s="62"/>
      <c r="BR368" s="62"/>
      <c r="BS368" s="62"/>
      <c r="BT368" s="61"/>
      <c r="BU368" s="61"/>
      <c r="BV368" s="61"/>
      <c r="BW368" s="61"/>
      <c r="BX368" s="61"/>
      <c r="BY368" s="61"/>
      <c r="BZ368" s="61"/>
      <c r="CA368" s="61"/>
      <c r="CB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2"/>
      <c r="BQ369" s="62"/>
      <c r="BR369" s="62"/>
      <c r="BS369" s="62"/>
      <c r="BT369" s="61"/>
      <c r="BU369" s="61"/>
      <c r="BV369" s="61"/>
      <c r="BW369" s="61"/>
      <c r="BX369" s="61"/>
      <c r="BY369" s="61"/>
      <c r="BZ369" s="61"/>
      <c r="CA369" s="61"/>
      <c r="CB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2"/>
      <c r="BQ370" s="62"/>
      <c r="BR370" s="62"/>
      <c r="BS370" s="62"/>
      <c r="BT370" s="61"/>
      <c r="BU370" s="61"/>
      <c r="BV370" s="61"/>
      <c r="BW370" s="61"/>
      <c r="BX370" s="61"/>
      <c r="BY370" s="61"/>
      <c r="BZ370" s="61"/>
      <c r="CA370" s="61"/>
      <c r="CB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2"/>
      <c r="BQ371" s="62"/>
      <c r="BR371" s="62"/>
      <c r="BS371" s="62"/>
      <c r="BT371" s="61"/>
      <c r="BU371" s="61"/>
      <c r="BV371" s="61"/>
      <c r="BW371" s="61"/>
      <c r="BX371" s="61"/>
      <c r="BY371" s="61"/>
      <c r="BZ371" s="61"/>
      <c r="CA371" s="61"/>
      <c r="CB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2"/>
      <c r="BQ372" s="62"/>
      <c r="BR372" s="62"/>
      <c r="BS372" s="62"/>
      <c r="BT372" s="61"/>
      <c r="BU372" s="61"/>
      <c r="BV372" s="61"/>
      <c r="BW372" s="61"/>
      <c r="BX372" s="61"/>
      <c r="BY372" s="61"/>
      <c r="BZ372" s="61"/>
      <c r="CA372" s="61"/>
      <c r="CB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2"/>
      <c r="BQ373" s="62"/>
      <c r="BR373" s="62"/>
      <c r="BS373" s="62"/>
      <c r="BT373" s="61"/>
      <c r="BU373" s="61"/>
      <c r="BV373" s="61"/>
      <c r="BW373" s="61"/>
      <c r="BX373" s="61"/>
      <c r="BY373" s="61"/>
      <c r="BZ373" s="61"/>
      <c r="CA373" s="61"/>
      <c r="CB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2"/>
      <c r="BQ374" s="62"/>
      <c r="BR374" s="62"/>
      <c r="BS374" s="62"/>
      <c r="BT374" s="61"/>
      <c r="BU374" s="61"/>
      <c r="BV374" s="61"/>
      <c r="BW374" s="61"/>
      <c r="BX374" s="61"/>
      <c r="BY374" s="61"/>
      <c r="BZ374" s="61"/>
      <c r="CA374" s="61"/>
      <c r="CB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2"/>
      <c r="BQ375" s="62"/>
      <c r="BR375" s="62"/>
      <c r="BS375" s="62"/>
      <c r="BT375" s="61"/>
      <c r="BU375" s="61"/>
      <c r="BV375" s="61"/>
      <c r="BW375" s="61"/>
      <c r="BX375" s="61"/>
      <c r="BY375" s="61"/>
      <c r="BZ375" s="61"/>
      <c r="CA375" s="61"/>
      <c r="CB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2"/>
      <c r="BQ376" s="62"/>
      <c r="BR376" s="62"/>
      <c r="BS376" s="62"/>
      <c r="BT376" s="61"/>
      <c r="BU376" s="61"/>
      <c r="BV376" s="61"/>
      <c r="BW376" s="61"/>
      <c r="BX376" s="61"/>
      <c r="BY376" s="61"/>
      <c r="BZ376" s="61"/>
      <c r="CA376" s="61"/>
      <c r="CB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2"/>
      <c r="BQ377" s="62"/>
      <c r="BR377" s="62"/>
      <c r="BS377" s="62"/>
      <c r="BT377" s="61"/>
      <c r="BU377" s="61"/>
      <c r="BV377" s="61"/>
      <c r="BW377" s="61"/>
      <c r="BX377" s="61"/>
      <c r="BY377" s="61"/>
      <c r="BZ377" s="61"/>
      <c r="CA377" s="61"/>
      <c r="CB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2"/>
      <c r="BQ378" s="62"/>
      <c r="BR378" s="62"/>
      <c r="BS378" s="62"/>
      <c r="BT378" s="61"/>
      <c r="BU378" s="61"/>
      <c r="BV378" s="61"/>
      <c r="BW378" s="61"/>
      <c r="BX378" s="61"/>
      <c r="BY378" s="61"/>
      <c r="BZ378" s="61"/>
      <c r="CA378" s="61"/>
      <c r="CB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2"/>
      <c r="BQ379" s="62"/>
      <c r="BR379" s="62"/>
      <c r="BS379" s="62"/>
      <c r="BT379" s="61"/>
      <c r="BU379" s="61"/>
      <c r="BV379" s="61"/>
      <c r="BW379" s="61"/>
      <c r="BX379" s="61"/>
      <c r="BY379" s="61"/>
      <c r="BZ379" s="61"/>
      <c r="CA379" s="61"/>
      <c r="CB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2"/>
      <c r="BQ380" s="62"/>
      <c r="BR380" s="62"/>
      <c r="BS380" s="62"/>
      <c r="BT380" s="61"/>
      <c r="BU380" s="61"/>
      <c r="BV380" s="61"/>
      <c r="BW380" s="61"/>
      <c r="BX380" s="61"/>
      <c r="BY380" s="61"/>
      <c r="BZ380" s="61"/>
      <c r="CA380" s="61"/>
      <c r="CB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2"/>
      <c r="BQ381" s="62"/>
      <c r="BR381" s="62"/>
      <c r="BS381" s="62"/>
      <c r="BT381" s="61"/>
      <c r="BU381" s="61"/>
      <c r="BV381" s="61"/>
      <c r="BW381" s="61"/>
      <c r="BX381" s="61"/>
      <c r="BY381" s="61"/>
      <c r="BZ381" s="61"/>
      <c r="CA381" s="61"/>
      <c r="CB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2"/>
      <c r="BQ382" s="62"/>
      <c r="BR382" s="62"/>
      <c r="BS382" s="62"/>
      <c r="BT382" s="61"/>
      <c r="BU382" s="61"/>
      <c r="BV382" s="61"/>
      <c r="BW382" s="61"/>
      <c r="BX382" s="61"/>
      <c r="BY382" s="61"/>
      <c r="BZ382" s="61"/>
      <c r="CA382" s="61"/>
      <c r="CB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2"/>
      <c r="BQ383" s="62"/>
      <c r="BR383" s="62"/>
      <c r="BS383" s="62"/>
      <c r="BT383" s="61"/>
      <c r="BU383" s="61"/>
      <c r="BV383" s="61"/>
      <c r="BW383" s="61"/>
      <c r="BX383" s="61"/>
      <c r="BY383" s="61"/>
      <c r="BZ383" s="61"/>
      <c r="CA383" s="61"/>
      <c r="CB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2"/>
      <c r="BQ384" s="62"/>
      <c r="BR384" s="62"/>
      <c r="BS384" s="62"/>
      <c r="BT384" s="61"/>
      <c r="BU384" s="61"/>
      <c r="BV384" s="61"/>
      <c r="BW384" s="61"/>
      <c r="BX384" s="61"/>
      <c r="BY384" s="61"/>
      <c r="BZ384" s="61"/>
      <c r="CA384" s="61"/>
      <c r="CB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2"/>
      <c r="BQ385" s="62"/>
      <c r="BR385" s="62"/>
      <c r="BS385" s="62"/>
      <c r="BT385" s="61"/>
      <c r="BU385" s="61"/>
      <c r="BV385" s="61"/>
      <c r="BW385" s="61"/>
      <c r="BX385" s="61"/>
      <c r="BY385" s="61"/>
      <c r="BZ385" s="61"/>
      <c r="CA385" s="61"/>
      <c r="CB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2"/>
      <c r="BQ386" s="62"/>
      <c r="BR386" s="62"/>
      <c r="BS386" s="62"/>
      <c r="BT386" s="61"/>
      <c r="BU386" s="61"/>
      <c r="BV386" s="61"/>
      <c r="BW386" s="61"/>
      <c r="BX386" s="61"/>
      <c r="BY386" s="61"/>
      <c r="BZ386" s="61"/>
      <c r="CA386" s="61"/>
      <c r="CB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2"/>
      <c r="BQ387" s="62"/>
      <c r="BR387" s="62"/>
      <c r="BS387" s="62"/>
      <c r="BT387" s="61"/>
      <c r="BU387" s="61"/>
      <c r="BV387" s="61"/>
      <c r="BW387" s="61"/>
      <c r="BX387" s="61"/>
      <c r="BY387" s="61"/>
      <c r="BZ387" s="61"/>
      <c r="CA387" s="61"/>
      <c r="CB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2"/>
      <c r="BQ388" s="62"/>
      <c r="BR388" s="62"/>
      <c r="BS388" s="62"/>
      <c r="BT388" s="61"/>
      <c r="BU388" s="61"/>
      <c r="BV388" s="61"/>
      <c r="BW388" s="61"/>
      <c r="BX388" s="61"/>
      <c r="BY388" s="61"/>
      <c r="BZ388" s="61"/>
      <c r="CA388" s="61"/>
      <c r="CB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2"/>
      <c r="BQ389" s="62"/>
      <c r="BR389" s="62"/>
      <c r="BS389" s="62"/>
      <c r="BT389" s="61"/>
      <c r="BU389" s="61"/>
      <c r="BV389" s="61"/>
      <c r="BW389" s="61"/>
      <c r="BX389" s="61"/>
      <c r="BY389" s="61"/>
      <c r="BZ389" s="61"/>
      <c r="CA389" s="61"/>
      <c r="CB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2"/>
      <c r="BQ390" s="62"/>
      <c r="BR390" s="62"/>
      <c r="BS390" s="62"/>
      <c r="BT390" s="61"/>
      <c r="BU390" s="61"/>
      <c r="BV390" s="61"/>
      <c r="BW390" s="61"/>
      <c r="BX390" s="61"/>
      <c r="BY390" s="61"/>
      <c r="BZ390" s="61"/>
      <c r="CA390" s="61"/>
      <c r="CB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2"/>
      <c r="BQ391" s="62"/>
      <c r="BR391" s="62"/>
      <c r="BS391" s="62"/>
      <c r="BT391" s="61"/>
      <c r="BU391" s="61"/>
      <c r="BV391" s="61"/>
      <c r="BW391" s="61"/>
      <c r="BX391" s="61"/>
      <c r="BY391" s="61"/>
      <c r="BZ391" s="61"/>
      <c r="CA391" s="61"/>
      <c r="CB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2"/>
      <c r="BQ392" s="62"/>
      <c r="BR392" s="62"/>
      <c r="BS392" s="62"/>
      <c r="BT392" s="61"/>
      <c r="BU392" s="61"/>
      <c r="BV392" s="61"/>
      <c r="BW392" s="61"/>
      <c r="BX392" s="61"/>
      <c r="BY392" s="61"/>
      <c r="BZ392" s="61"/>
      <c r="CA392" s="61"/>
      <c r="CB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2"/>
      <c r="BQ393" s="62"/>
      <c r="BR393" s="62"/>
      <c r="BS393" s="62"/>
      <c r="BT393" s="61"/>
      <c r="BU393" s="61"/>
      <c r="BV393" s="61"/>
      <c r="BW393" s="61"/>
      <c r="BX393" s="61"/>
      <c r="BY393" s="61"/>
      <c r="BZ393" s="61"/>
      <c r="CA393" s="61"/>
      <c r="CB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2"/>
      <c r="BQ394" s="62"/>
      <c r="BR394" s="62"/>
      <c r="BS394" s="62"/>
      <c r="BT394" s="61"/>
      <c r="BU394" s="61"/>
      <c r="BV394" s="61"/>
      <c r="BW394" s="61"/>
      <c r="BX394" s="61"/>
      <c r="BY394" s="61"/>
      <c r="BZ394" s="61"/>
      <c r="CA394" s="61"/>
      <c r="CB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2"/>
      <c r="BQ395" s="62"/>
      <c r="BR395" s="62"/>
      <c r="BS395" s="62"/>
      <c r="BT395" s="61"/>
      <c r="BU395" s="61"/>
      <c r="BV395" s="61"/>
      <c r="BW395" s="61"/>
      <c r="BX395" s="61"/>
      <c r="BY395" s="61"/>
      <c r="BZ395" s="61"/>
      <c r="CA395" s="61"/>
      <c r="CB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2"/>
      <c r="BQ396" s="62"/>
      <c r="BR396" s="62"/>
      <c r="BS396" s="62"/>
      <c r="BT396" s="61"/>
      <c r="BU396" s="61"/>
      <c r="BV396" s="61"/>
      <c r="BW396" s="61"/>
      <c r="BX396" s="61"/>
      <c r="BY396" s="61"/>
      <c r="BZ396" s="61"/>
      <c r="CA396" s="61"/>
      <c r="CB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2"/>
      <c r="BQ397" s="62"/>
      <c r="BR397" s="62"/>
      <c r="BS397" s="62"/>
      <c r="BT397" s="61"/>
      <c r="BU397" s="61"/>
      <c r="BV397" s="61"/>
      <c r="BW397" s="61"/>
      <c r="BX397" s="61"/>
      <c r="BY397" s="61"/>
      <c r="BZ397" s="61"/>
      <c r="CA397" s="61"/>
      <c r="CB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2"/>
      <c r="BQ398" s="62"/>
      <c r="BR398" s="62"/>
      <c r="BS398" s="62"/>
      <c r="BT398" s="61"/>
      <c r="BU398" s="61"/>
      <c r="BV398" s="61"/>
      <c r="BW398" s="61"/>
      <c r="BX398" s="61"/>
      <c r="BY398" s="61"/>
      <c r="BZ398" s="61"/>
      <c r="CA398" s="61"/>
      <c r="CB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2"/>
      <c r="BQ399" s="62"/>
      <c r="BR399" s="62"/>
      <c r="BS399" s="62"/>
      <c r="BT399" s="61"/>
      <c r="BU399" s="61"/>
      <c r="BV399" s="61"/>
      <c r="BW399" s="61"/>
      <c r="BX399" s="61"/>
      <c r="BY399" s="61"/>
      <c r="BZ399" s="61"/>
      <c r="CA399" s="61"/>
      <c r="CB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2"/>
      <c r="BQ400" s="62"/>
      <c r="BR400" s="62"/>
      <c r="BS400" s="62"/>
      <c r="BT400" s="61"/>
      <c r="BU400" s="61"/>
      <c r="BV400" s="61"/>
      <c r="BW400" s="61"/>
      <c r="BX400" s="61"/>
      <c r="BY400" s="61"/>
      <c r="BZ400" s="61"/>
      <c r="CA400" s="61"/>
      <c r="CB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2"/>
      <c r="BQ401" s="62"/>
      <c r="BR401" s="62"/>
      <c r="BS401" s="62"/>
      <c r="BT401" s="61"/>
      <c r="BU401" s="61"/>
      <c r="BV401" s="61"/>
      <c r="BW401" s="61"/>
      <c r="BX401" s="61"/>
      <c r="BY401" s="61"/>
      <c r="BZ401" s="61"/>
      <c r="CA401" s="61"/>
      <c r="CB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2"/>
      <c r="BQ402" s="62"/>
      <c r="BR402" s="62"/>
      <c r="BS402" s="62"/>
      <c r="BT402" s="61"/>
      <c r="BU402" s="61"/>
      <c r="BV402" s="61"/>
      <c r="BW402" s="61"/>
      <c r="BX402" s="61"/>
      <c r="BY402" s="61"/>
      <c r="BZ402" s="61"/>
      <c r="CA402" s="61"/>
      <c r="CB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2"/>
      <c r="BQ403" s="62"/>
      <c r="BR403" s="62"/>
      <c r="BS403" s="62"/>
      <c r="BT403" s="61"/>
      <c r="BU403" s="61"/>
      <c r="BV403" s="61"/>
      <c r="BW403" s="61"/>
      <c r="BX403" s="61"/>
      <c r="BY403" s="61"/>
      <c r="BZ403" s="61"/>
      <c r="CA403" s="61"/>
      <c r="CB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2"/>
      <c r="BQ404" s="62"/>
      <c r="BR404" s="62"/>
      <c r="BS404" s="62"/>
      <c r="BT404" s="61"/>
      <c r="BU404" s="61"/>
      <c r="BV404" s="61"/>
      <c r="BW404" s="61"/>
      <c r="BX404" s="61"/>
      <c r="BY404" s="61"/>
      <c r="BZ404" s="61"/>
      <c r="CA404" s="61"/>
      <c r="CB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2"/>
      <c r="BQ405" s="62"/>
      <c r="BR405" s="62"/>
      <c r="BS405" s="62"/>
      <c r="BT405" s="61"/>
      <c r="BU405" s="61"/>
      <c r="BV405" s="61"/>
      <c r="BW405" s="61"/>
      <c r="BX405" s="61"/>
      <c r="BY405" s="61"/>
      <c r="BZ405" s="61"/>
      <c r="CA405" s="61"/>
      <c r="CB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2"/>
      <c r="BQ406" s="62"/>
      <c r="BR406" s="62"/>
      <c r="BS406" s="62"/>
      <c r="BT406" s="61"/>
      <c r="BU406" s="61"/>
      <c r="BV406" s="61"/>
      <c r="BW406" s="61"/>
      <c r="BX406" s="61"/>
      <c r="BY406" s="61"/>
      <c r="BZ406" s="61"/>
      <c r="CA406" s="61"/>
      <c r="CB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2"/>
      <c r="BQ407" s="62"/>
      <c r="BR407" s="62"/>
      <c r="BS407" s="62"/>
      <c r="BT407" s="61"/>
      <c r="BU407" s="61"/>
      <c r="BV407" s="61"/>
      <c r="BW407" s="61"/>
      <c r="BX407" s="61"/>
      <c r="BY407" s="61"/>
      <c r="BZ407" s="61"/>
      <c r="CA407" s="61"/>
      <c r="CB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2"/>
      <c r="BQ408" s="62"/>
      <c r="BR408" s="62"/>
      <c r="BS408" s="62"/>
      <c r="BT408" s="61"/>
      <c r="BU408" s="61"/>
      <c r="BV408" s="61"/>
      <c r="BW408" s="61"/>
      <c r="BX408" s="61"/>
      <c r="BY408" s="61"/>
      <c r="BZ408" s="61"/>
      <c r="CA408" s="61"/>
      <c r="CB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2"/>
      <c r="BQ409" s="62"/>
      <c r="BR409" s="62"/>
      <c r="BS409" s="62"/>
      <c r="BT409" s="61"/>
      <c r="BU409" s="61"/>
      <c r="BV409" s="61"/>
      <c r="BW409" s="61"/>
      <c r="BX409" s="61"/>
      <c r="BY409" s="61"/>
      <c r="BZ409" s="61"/>
      <c r="CA409" s="61"/>
      <c r="CB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2"/>
      <c r="BQ410" s="62"/>
      <c r="BR410" s="62"/>
      <c r="BS410" s="62"/>
      <c r="BT410" s="61"/>
      <c r="BU410" s="61"/>
      <c r="BV410" s="61"/>
      <c r="BW410" s="61"/>
      <c r="BX410" s="61"/>
      <c r="BY410" s="61"/>
      <c r="BZ410" s="61"/>
      <c r="CA410" s="61"/>
      <c r="CB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2"/>
      <c r="BQ411" s="62"/>
      <c r="BR411" s="62"/>
      <c r="BS411" s="62"/>
      <c r="BT411" s="61"/>
      <c r="BU411" s="61"/>
      <c r="BV411" s="61"/>
      <c r="BW411" s="61"/>
      <c r="BX411" s="61"/>
      <c r="BY411" s="61"/>
      <c r="BZ411" s="61"/>
      <c r="CA411" s="61"/>
      <c r="CB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2"/>
      <c r="BQ412" s="62"/>
      <c r="BR412" s="62"/>
      <c r="BS412" s="62"/>
      <c r="BT412" s="61"/>
      <c r="BU412" s="61"/>
      <c r="BV412" s="61"/>
      <c r="BW412" s="61"/>
      <c r="BX412" s="61"/>
      <c r="BY412" s="61"/>
      <c r="BZ412" s="61"/>
      <c r="CA412" s="61"/>
      <c r="CB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2"/>
      <c r="BQ413" s="62"/>
      <c r="BR413" s="62"/>
      <c r="BS413" s="62"/>
      <c r="BT413" s="61"/>
      <c r="BU413" s="61"/>
      <c r="BV413" s="61"/>
      <c r="BW413" s="61"/>
      <c r="BX413" s="61"/>
      <c r="BY413" s="61"/>
      <c r="BZ413" s="61"/>
      <c r="CA413" s="61"/>
      <c r="CB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2"/>
      <c r="BQ414" s="62"/>
      <c r="BR414" s="62"/>
      <c r="BS414" s="62"/>
      <c r="BT414" s="61"/>
      <c r="BU414" s="61"/>
      <c r="BV414" s="61"/>
      <c r="BW414" s="61"/>
      <c r="BX414" s="61"/>
      <c r="BY414" s="61"/>
      <c r="BZ414" s="61"/>
      <c r="CA414" s="61"/>
      <c r="CB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2"/>
      <c r="BQ415" s="62"/>
      <c r="BR415" s="62"/>
      <c r="BS415" s="62"/>
      <c r="BT415" s="61"/>
      <c r="BU415" s="61"/>
      <c r="BV415" s="61"/>
      <c r="BW415" s="61"/>
      <c r="BX415" s="61"/>
      <c r="BY415" s="61"/>
      <c r="BZ415" s="61"/>
      <c r="CA415" s="61"/>
      <c r="CB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2"/>
      <c r="BQ416" s="62"/>
      <c r="BR416" s="62"/>
      <c r="BS416" s="62"/>
      <c r="BT416" s="61"/>
      <c r="BU416" s="61"/>
      <c r="BV416" s="61"/>
      <c r="BW416" s="61"/>
      <c r="BX416" s="61"/>
      <c r="BY416" s="61"/>
      <c r="BZ416" s="61"/>
      <c r="CA416" s="61"/>
      <c r="CB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2"/>
      <c r="BQ417" s="62"/>
      <c r="BR417" s="62"/>
      <c r="BS417" s="62"/>
      <c r="BT417" s="61"/>
      <c r="BU417" s="61"/>
      <c r="BV417" s="61"/>
      <c r="BW417" s="61"/>
      <c r="BX417" s="61"/>
      <c r="BY417" s="61"/>
      <c r="BZ417" s="61"/>
      <c r="CA417" s="61"/>
      <c r="CB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2"/>
      <c r="BQ418" s="62"/>
      <c r="BR418" s="62"/>
      <c r="BS418" s="62"/>
      <c r="BT418" s="61"/>
      <c r="BU418" s="61"/>
      <c r="BV418" s="61"/>
      <c r="BW418" s="61"/>
      <c r="BX418" s="61"/>
      <c r="BY418" s="61"/>
      <c r="BZ418" s="61"/>
      <c r="CA418" s="61"/>
      <c r="CB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2"/>
      <c r="BQ419" s="62"/>
      <c r="BR419" s="62"/>
      <c r="BS419" s="62"/>
      <c r="BT419" s="61"/>
      <c r="BU419" s="61"/>
      <c r="BV419" s="61"/>
      <c r="BW419" s="61"/>
      <c r="BX419" s="61"/>
      <c r="BY419" s="61"/>
      <c r="BZ419" s="61"/>
      <c r="CA419" s="61"/>
      <c r="CB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2"/>
      <c r="BQ420" s="62"/>
      <c r="BR420" s="62"/>
      <c r="BS420" s="62"/>
      <c r="BT420" s="61"/>
      <c r="BU420" s="61"/>
      <c r="BV420" s="61"/>
      <c r="BW420" s="61"/>
      <c r="BX420" s="61"/>
      <c r="BY420" s="61"/>
      <c r="BZ420" s="61"/>
      <c r="CA420" s="61"/>
      <c r="CB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2"/>
      <c r="BQ421" s="62"/>
      <c r="BR421" s="62"/>
      <c r="BS421" s="62"/>
      <c r="BT421" s="61"/>
      <c r="BU421" s="61"/>
      <c r="BV421" s="61"/>
      <c r="BW421" s="61"/>
      <c r="BX421" s="61"/>
      <c r="BY421" s="61"/>
      <c r="BZ421" s="61"/>
      <c r="CA421" s="61"/>
      <c r="CB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2"/>
      <c r="BQ422" s="62"/>
      <c r="BR422" s="62"/>
      <c r="BS422" s="62"/>
      <c r="BT422" s="61"/>
      <c r="BU422" s="61"/>
      <c r="BV422" s="61"/>
      <c r="BW422" s="61"/>
      <c r="BX422" s="61"/>
      <c r="BY422" s="61"/>
      <c r="BZ422" s="61"/>
      <c r="CA422" s="61"/>
      <c r="CB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2"/>
      <c r="BQ423" s="62"/>
      <c r="BR423" s="62"/>
      <c r="BS423" s="62"/>
      <c r="BT423" s="61"/>
      <c r="BU423" s="61"/>
      <c r="BV423" s="61"/>
      <c r="BW423" s="61"/>
      <c r="BX423" s="61"/>
      <c r="BY423" s="61"/>
      <c r="BZ423" s="61"/>
      <c r="CA423" s="61"/>
      <c r="CB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2"/>
      <c r="BQ424" s="62"/>
      <c r="BR424" s="62"/>
      <c r="BS424" s="62"/>
      <c r="BT424" s="61"/>
      <c r="BU424" s="61"/>
      <c r="BV424" s="61"/>
      <c r="BW424" s="61"/>
      <c r="BX424" s="61"/>
      <c r="BY424" s="61"/>
      <c r="BZ424" s="61"/>
      <c r="CA424" s="61"/>
      <c r="CB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2"/>
      <c r="BQ425" s="62"/>
      <c r="BR425" s="62"/>
      <c r="BS425" s="62"/>
      <c r="BT425" s="61"/>
      <c r="BU425" s="61"/>
      <c r="BV425" s="61"/>
      <c r="BW425" s="61"/>
      <c r="BX425" s="61"/>
      <c r="BY425" s="61"/>
      <c r="BZ425" s="61"/>
      <c r="CA425" s="61"/>
      <c r="CB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2"/>
      <c r="BQ426" s="62"/>
      <c r="BR426" s="62"/>
      <c r="BS426" s="62"/>
      <c r="BT426" s="61"/>
      <c r="BU426" s="61"/>
      <c r="BV426" s="61"/>
      <c r="BW426" s="61"/>
      <c r="BX426" s="61"/>
      <c r="BY426" s="61"/>
      <c r="BZ426" s="61"/>
      <c r="CA426" s="61"/>
      <c r="CB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2"/>
      <c r="BQ427" s="62"/>
      <c r="BR427" s="62"/>
      <c r="BS427" s="62"/>
      <c r="BT427" s="61"/>
      <c r="BU427" s="61"/>
      <c r="BV427" s="61"/>
      <c r="BW427" s="61"/>
      <c r="BX427" s="61"/>
      <c r="BY427" s="61"/>
      <c r="BZ427" s="61"/>
      <c r="CA427" s="61"/>
      <c r="CB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2"/>
      <c r="BQ428" s="62"/>
      <c r="BR428" s="62"/>
      <c r="BS428" s="62"/>
      <c r="BT428" s="61"/>
      <c r="BU428" s="61"/>
      <c r="BV428" s="61"/>
      <c r="BW428" s="61"/>
      <c r="BX428" s="61"/>
      <c r="BY428" s="61"/>
      <c r="BZ428" s="61"/>
      <c r="CA428" s="61"/>
      <c r="CB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2"/>
      <c r="BQ429" s="62"/>
      <c r="BR429" s="62"/>
      <c r="BS429" s="62"/>
      <c r="BT429" s="61"/>
      <c r="BU429" s="61"/>
      <c r="BV429" s="61"/>
      <c r="BW429" s="61"/>
      <c r="BX429" s="61"/>
      <c r="BY429" s="61"/>
      <c r="BZ429" s="61"/>
      <c r="CA429" s="61"/>
      <c r="CB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2"/>
      <c r="BQ430" s="62"/>
      <c r="BR430" s="62"/>
      <c r="BS430" s="62"/>
      <c r="BT430" s="61"/>
      <c r="BU430" s="61"/>
      <c r="BV430" s="61"/>
      <c r="BW430" s="61"/>
      <c r="BX430" s="61"/>
      <c r="BY430" s="61"/>
      <c r="BZ430" s="61"/>
      <c r="CA430" s="61"/>
      <c r="CB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2"/>
      <c r="BQ431" s="62"/>
      <c r="BR431" s="62"/>
      <c r="BS431" s="62"/>
      <c r="BT431" s="61"/>
      <c r="BU431" s="61"/>
      <c r="BV431" s="61"/>
      <c r="BW431" s="61"/>
      <c r="BX431" s="61"/>
      <c r="BY431" s="61"/>
      <c r="BZ431" s="61"/>
      <c r="CA431" s="61"/>
      <c r="CB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2"/>
      <c r="BQ432" s="62"/>
      <c r="BR432" s="62"/>
      <c r="BS432" s="62"/>
      <c r="BT432" s="61"/>
      <c r="BU432" s="61"/>
      <c r="BV432" s="61"/>
      <c r="BW432" s="61"/>
      <c r="BX432" s="61"/>
      <c r="BY432" s="61"/>
      <c r="BZ432" s="61"/>
      <c r="CA432" s="61"/>
      <c r="CB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2"/>
      <c r="BQ433" s="62"/>
      <c r="BR433" s="62"/>
      <c r="BS433" s="62"/>
      <c r="BT433" s="61"/>
      <c r="BU433" s="61"/>
      <c r="BV433" s="61"/>
      <c r="BW433" s="61"/>
      <c r="BX433" s="61"/>
      <c r="BY433" s="61"/>
      <c r="BZ433" s="61"/>
      <c r="CA433" s="61"/>
      <c r="CB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2"/>
      <c r="BQ434" s="62"/>
      <c r="BR434" s="62"/>
      <c r="BS434" s="62"/>
      <c r="BT434" s="61"/>
      <c r="BU434" s="61"/>
      <c r="BV434" s="61"/>
      <c r="BW434" s="61"/>
      <c r="BX434" s="61"/>
      <c r="BY434" s="61"/>
      <c r="BZ434" s="61"/>
      <c r="CA434" s="61"/>
      <c r="CB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2"/>
      <c r="BQ435" s="62"/>
      <c r="BR435" s="62"/>
      <c r="BS435" s="62"/>
      <c r="BT435" s="61"/>
      <c r="BU435" s="61"/>
      <c r="BV435" s="61"/>
      <c r="BW435" s="61"/>
      <c r="BX435" s="61"/>
      <c r="BY435" s="61"/>
      <c r="BZ435" s="61"/>
      <c r="CA435" s="61"/>
      <c r="CB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2"/>
      <c r="BQ436" s="62"/>
      <c r="BR436" s="62"/>
      <c r="BS436" s="62"/>
      <c r="BT436" s="61"/>
      <c r="BU436" s="61"/>
      <c r="BV436" s="61"/>
      <c r="BW436" s="61"/>
      <c r="BX436" s="61"/>
      <c r="BY436" s="61"/>
      <c r="BZ436" s="61"/>
      <c r="CA436" s="61"/>
      <c r="CB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2"/>
      <c r="BQ437" s="62"/>
      <c r="BR437" s="62"/>
      <c r="BS437" s="62"/>
      <c r="BT437" s="61"/>
      <c r="BU437" s="61"/>
      <c r="BV437" s="61"/>
      <c r="BW437" s="61"/>
      <c r="BX437" s="61"/>
      <c r="BY437" s="61"/>
      <c r="BZ437" s="61"/>
      <c r="CA437" s="61"/>
      <c r="CB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2"/>
      <c r="BQ438" s="62"/>
      <c r="BR438" s="62"/>
      <c r="BS438" s="62"/>
      <c r="BT438" s="61"/>
      <c r="BU438" s="61"/>
      <c r="BV438" s="61"/>
      <c r="BW438" s="61"/>
      <c r="BX438" s="61"/>
      <c r="BY438" s="61"/>
      <c r="BZ438" s="61"/>
      <c r="CA438" s="61"/>
      <c r="CB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2"/>
      <c r="BQ439" s="62"/>
      <c r="BR439" s="62"/>
      <c r="BS439" s="62"/>
      <c r="BT439" s="61"/>
      <c r="BU439" s="61"/>
      <c r="BV439" s="61"/>
      <c r="BW439" s="61"/>
      <c r="BX439" s="61"/>
      <c r="BY439" s="61"/>
      <c r="BZ439" s="61"/>
      <c r="CA439" s="61"/>
      <c r="CB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2"/>
      <c r="BQ440" s="62"/>
      <c r="BR440" s="62"/>
      <c r="BS440" s="62"/>
      <c r="BT440" s="61"/>
      <c r="BU440" s="61"/>
      <c r="BV440" s="61"/>
      <c r="BW440" s="61"/>
      <c r="BX440" s="61"/>
      <c r="BY440" s="61"/>
      <c r="BZ440" s="61"/>
      <c r="CA440" s="61"/>
      <c r="CB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2"/>
      <c r="BQ441" s="62"/>
      <c r="BR441" s="62"/>
      <c r="BS441" s="62"/>
      <c r="BT441" s="61"/>
      <c r="BU441" s="61"/>
      <c r="BV441" s="61"/>
      <c r="BW441" s="61"/>
      <c r="BX441" s="61"/>
      <c r="BY441" s="61"/>
      <c r="BZ441" s="61"/>
      <c r="CA441" s="61"/>
      <c r="CB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2"/>
      <c r="BQ442" s="62"/>
      <c r="BR442" s="62"/>
      <c r="BS442" s="62"/>
      <c r="BT442" s="61"/>
      <c r="BU442" s="61"/>
      <c r="BV442" s="61"/>
      <c r="BW442" s="61"/>
      <c r="BX442" s="61"/>
      <c r="BY442" s="61"/>
      <c r="BZ442" s="61"/>
      <c r="CA442" s="61"/>
      <c r="CB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2"/>
      <c r="BQ443" s="62"/>
      <c r="BR443" s="62"/>
      <c r="BS443" s="62"/>
      <c r="BT443" s="61"/>
      <c r="BU443" s="61"/>
      <c r="BV443" s="61"/>
      <c r="BW443" s="61"/>
      <c r="BX443" s="61"/>
      <c r="BY443" s="61"/>
      <c r="BZ443" s="61"/>
      <c r="CA443" s="61"/>
      <c r="CB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2"/>
      <c r="BQ444" s="62"/>
      <c r="BR444" s="62"/>
      <c r="BS444" s="62"/>
      <c r="BT444" s="61"/>
      <c r="BU444" s="61"/>
      <c r="BV444" s="61"/>
      <c r="BW444" s="61"/>
      <c r="BX444" s="61"/>
      <c r="BY444" s="61"/>
      <c r="BZ444" s="61"/>
      <c r="CA444" s="61"/>
      <c r="CB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2"/>
      <c r="BQ445" s="62"/>
      <c r="BR445" s="62"/>
      <c r="BS445" s="62"/>
      <c r="BT445" s="61"/>
      <c r="BU445" s="61"/>
      <c r="BV445" s="61"/>
      <c r="BW445" s="61"/>
      <c r="BX445" s="61"/>
      <c r="BY445" s="61"/>
      <c r="BZ445" s="61"/>
      <c r="CA445" s="61"/>
      <c r="CB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2"/>
      <c r="BQ446" s="62"/>
      <c r="BR446" s="62"/>
      <c r="BS446" s="62"/>
      <c r="BT446" s="61"/>
      <c r="BU446" s="61"/>
      <c r="BV446" s="61"/>
      <c r="BW446" s="61"/>
      <c r="BX446" s="61"/>
      <c r="BY446" s="61"/>
      <c r="BZ446" s="61"/>
      <c r="CA446" s="61"/>
      <c r="CB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2"/>
      <c r="BQ447" s="62"/>
      <c r="BR447" s="62"/>
      <c r="BS447" s="62"/>
      <c r="BT447" s="61"/>
      <c r="BU447" s="61"/>
      <c r="BV447" s="61"/>
      <c r="BW447" s="61"/>
      <c r="BX447" s="61"/>
      <c r="BY447" s="61"/>
      <c r="BZ447" s="61"/>
      <c r="CA447" s="61"/>
      <c r="CB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2"/>
      <c r="BQ448" s="62"/>
      <c r="BR448" s="62"/>
      <c r="BS448" s="62"/>
      <c r="BT448" s="61"/>
      <c r="BU448" s="61"/>
      <c r="BV448" s="61"/>
      <c r="BW448" s="61"/>
      <c r="BX448" s="61"/>
      <c r="BY448" s="61"/>
      <c r="BZ448" s="61"/>
      <c r="CA448" s="61"/>
      <c r="CB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2"/>
      <c r="BQ449" s="62"/>
      <c r="BR449" s="62"/>
      <c r="BS449" s="62"/>
      <c r="BT449" s="61"/>
      <c r="BU449" s="61"/>
      <c r="BV449" s="61"/>
      <c r="BW449" s="61"/>
      <c r="BX449" s="61"/>
      <c r="BY449" s="61"/>
      <c r="BZ449" s="61"/>
      <c r="CA449" s="61"/>
      <c r="CB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2"/>
      <c r="BQ450" s="62"/>
      <c r="BR450" s="62"/>
      <c r="BS450" s="62"/>
      <c r="BT450" s="61"/>
      <c r="BU450" s="61"/>
      <c r="BV450" s="61"/>
      <c r="BW450" s="61"/>
      <c r="BX450" s="61"/>
      <c r="BY450" s="61"/>
      <c r="BZ450" s="61"/>
      <c r="CA450" s="61"/>
      <c r="CB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2"/>
      <c r="BQ451" s="62"/>
      <c r="BR451" s="62"/>
      <c r="BS451" s="62"/>
      <c r="BT451" s="61"/>
      <c r="BU451" s="61"/>
      <c r="BV451" s="61"/>
      <c r="BW451" s="61"/>
      <c r="BX451" s="61"/>
      <c r="BY451" s="61"/>
      <c r="BZ451" s="61"/>
      <c r="CA451" s="61"/>
      <c r="CB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2"/>
      <c r="BQ452" s="62"/>
      <c r="BR452" s="62"/>
      <c r="BS452" s="62"/>
      <c r="BT452" s="61"/>
      <c r="BU452" s="61"/>
      <c r="BV452" s="61"/>
      <c r="BW452" s="61"/>
      <c r="BX452" s="61"/>
      <c r="BY452" s="61"/>
      <c r="BZ452" s="61"/>
      <c r="CA452" s="61"/>
      <c r="CB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2"/>
      <c r="BQ453" s="62"/>
      <c r="BR453" s="62"/>
      <c r="BS453" s="62"/>
      <c r="BT453" s="61"/>
      <c r="BU453" s="61"/>
      <c r="BV453" s="61"/>
      <c r="BW453" s="61"/>
      <c r="BX453" s="61"/>
      <c r="BY453" s="61"/>
      <c r="BZ453" s="61"/>
      <c r="CA453" s="61"/>
      <c r="CB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2"/>
      <c r="BQ454" s="62"/>
      <c r="BR454" s="62"/>
      <c r="BS454" s="62"/>
      <c r="BT454" s="61"/>
      <c r="BU454" s="61"/>
      <c r="BV454" s="61"/>
      <c r="BW454" s="61"/>
      <c r="BX454" s="61"/>
      <c r="BY454" s="61"/>
      <c r="BZ454" s="61"/>
      <c r="CA454" s="61"/>
      <c r="CB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2"/>
      <c r="BQ455" s="62"/>
      <c r="BR455" s="62"/>
      <c r="BS455" s="62"/>
      <c r="BT455" s="61"/>
      <c r="BU455" s="61"/>
      <c r="BV455" s="61"/>
      <c r="BW455" s="61"/>
      <c r="BX455" s="61"/>
      <c r="BY455" s="61"/>
      <c r="BZ455" s="61"/>
      <c r="CA455" s="61"/>
      <c r="CB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2"/>
      <c r="BQ456" s="62"/>
      <c r="BR456" s="62"/>
      <c r="BS456" s="62"/>
      <c r="BT456" s="61"/>
      <c r="BU456" s="61"/>
      <c r="BV456" s="61"/>
      <c r="BW456" s="61"/>
      <c r="BX456" s="61"/>
      <c r="BY456" s="61"/>
      <c r="BZ456" s="61"/>
      <c r="CA456" s="61"/>
      <c r="CB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2"/>
      <c r="BQ457" s="62"/>
      <c r="BR457" s="62"/>
      <c r="BS457" s="62"/>
      <c r="BT457" s="61"/>
      <c r="BU457" s="61"/>
      <c r="BV457" s="61"/>
      <c r="BW457" s="61"/>
      <c r="BX457" s="61"/>
      <c r="BY457" s="61"/>
      <c r="BZ457" s="61"/>
      <c r="CA457" s="61"/>
      <c r="CB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2"/>
      <c r="BQ458" s="62"/>
      <c r="BR458" s="62"/>
      <c r="BS458" s="62"/>
      <c r="BT458" s="61"/>
      <c r="BU458" s="61"/>
      <c r="BV458" s="61"/>
      <c r="BW458" s="61"/>
      <c r="BX458" s="61"/>
      <c r="BY458" s="61"/>
      <c r="BZ458" s="61"/>
      <c r="CA458" s="61"/>
      <c r="CB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2"/>
      <c r="BQ459" s="62"/>
      <c r="BR459" s="62"/>
      <c r="BS459" s="62"/>
      <c r="BT459" s="61"/>
      <c r="BU459" s="61"/>
      <c r="BV459" s="61"/>
      <c r="BW459" s="61"/>
      <c r="BX459" s="61"/>
      <c r="BY459" s="61"/>
      <c r="BZ459" s="61"/>
      <c r="CA459" s="61"/>
      <c r="CB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2"/>
      <c r="BQ460" s="62"/>
      <c r="BR460" s="62"/>
      <c r="BS460" s="62"/>
      <c r="BT460" s="61"/>
      <c r="BU460" s="61"/>
      <c r="BV460" s="61"/>
      <c r="BW460" s="61"/>
      <c r="BX460" s="61"/>
      <c r="BY460" s="61"/>
      <c r="BZ460" s="61"/>
      <c r="CA460" s="61"/>
      <c r="CB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2"/>
      <c r="BQ461" s="62"/>
      <c r="BR461" s="62"/>
      <c r="BS461" s="62"/>
      <c r="BT461" s="61"/>
      <c r="BU461" s="61"/>
      <c r="BV461" s="61"/>
      <c r="BW461" s="61"/>
      <c r="BX461" s="61"/>
      <c r="BY461" s="61"/>
      <c r="BZ461" s="61"/>
      <c r="CA461" s="61"/>
      <c r="CB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2"/>
      <c r="BQ462" s="62"/>
      <c r="BR462" s="62"/>
      <c r="BS462" s="62"/>
      <c r="BT462" s="61"/>
      <c r="BU462" s="61"/>
      <c r="BV462" s="61"/>
      <c r="BW462" s="61"/>
      <c r="BX462" s="61"/>
      <c r="BY462" s="61"/>
      <c r="BZ462" s="61"/>
      <c r="CA462" s="61"/>
      <c r="CB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2"/>
      <c r="BQ463" s="62"/>
      <c r="BR463" s="62"/>
      <c r="BS463" s="62"/>
      <c r="BT463" s="61"/>
      <c r="BU463" s="61"/>
      <c r="BV463" s="61"/>
      <c r="BW463" s="61"/>
      <c r="BX463" s="61"/>
      <c r="BY463" s="61"/>
      <c r="BZ463" s="61"/>
      <c r="CA463" s="61"/>
      <c r="CB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2"/>
      <c r="BQ464" s="62"/>
      <c r="BR464" s="62"/>
      <c r="BS464" s="62"/>
      <c r="BT464" s="61"/>
      <c r="BU464" s="61"/>
      <c r="BV464" s="61"/>
      <c r="BW464" s="61"/>
      <c r="BX464" s="61"/>
      <c r="BY464" s="61"/>
      <c r="BZ464" s="61"/>
      <c r="CA464" s="61"/>
      <c r="CB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2"/>
      <c r="BQ465" s="62"/>
      <c r="BR465" s="62"/>
      <c r="BS465" s="62"/>
      <c r="BT465" s="61"/>
      <c r="BU465" s="61"/>
      <c r="BV465" s="61"/>
      <c r="BW465" s="61"/>
      <c r="BX465" s="61"/>
      <c r="BY465" s="61"/>
      <c r="BZ465" s="61"/>
      <c r="CA465" s="61"/>
      <c r="CB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2"/>
      <c r="BQ466" s="62"/>
      <c r="BR466" s="62"/>
      <c r="BS466" s="62"/>
      <c r="BT466" s="61"/>
      <c r="BU466" s="61"/>
      <c r="BV466" s="61"/>
      <c r="BW466" s="61"/>
      <c r="BX466" s="61"/>
      <c r="BY466" s="61"/>
      <c r="BZ466" s="61"/>
      <c r="CA466" s="61"/>
      <c r="CB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2"/>
      <c r="BQ467" s="62"/>
      <c r="BR467" s="62"/>
      <c r="BS467" s="62"/>
      <c r="BT467" s="61"/>
      <c r="BU467" s="61"/>
      <c r="BV467" s="61"/>
      <c r="BW467" s="61"/>
      <c r="BX467" s="61"/>
      <c r="BY467" s="61"/>
      <c r="BZ467" s="61"/>
      <c r="CA467" s="61"/>
      <c r="CB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2"/>
      <c r="BQ468" s="62"/>
      <c r="BR468" s="62"/>
      <c r="BS468" s="62"/>
      <c r="BT468" s="61"/>
      <c r="BU468" s="61"/>
      <c r="BV468" s="61"/>
      <c r="BW468" s="61"/>
      <c r="BX468" s="61"/>
      <c r="BY468" s="61"/>
      <c r="BZ468" s="61"/>
      <c r="CA468" s="61"/>
      <c r="CB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2"/>
      <c r="BQ469" s="62"/>
      <c r="BR469" s="62"/>
      <c r="BS469" s="62"/>
      <c r="BT469" s="61"/>
      <c r="BU469" s="61"/>
      <c r="BV469" s="61"/>
      <c r="BW469" s="61"/>
      <c r="BX469" s="61"/>
      <c r="BY469" s="61"/>
      <c r="BZ469" s="61"/>
      <c r="CA469" s="61"/>
      <c r="CB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2"/>
      <c r="BQ470" s="62"/>
      <c r="BR470" s="62"/>
      <c r="BS470" s="62"/>
      <c r="BT470" s="61"/>
      <c r="BU470" s="61"/>
      <c r="BV470" s="61"/>
      <c r="BW470" s="61"/>
      <c r="BX470" s="61"/>
      <c r="BY470" s="61"/>
      <c r="BZ470" s="61"/>
      <c r="CA470" s="61"/>
      <c r="CB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2"/>
      <c r="BQ471" s="62"/>
      <c r="BR471" s="62"/>
      <c r="BS471" s="62"/>
      <c r="BT471" s="61"/>
      <c r="BU471" s="61"/>
      <c r="BV471" s="61"/>
      <c r="BW471" s="61"/>
      <c r="BX471" s="61"/>
      <c r="BY471" s="61"/>
      <c r="BZ471" s="61"/>
      <c r="CA471" s="61"/>
      <c r="CB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2"/>
      <c r="BQ472" s="62"/>
      <c r="BR472" s="62"/>
      <c r="BS472" s="62"/>
      <c r="BT472" s="61"/>
      <c r="BU472" s="61"/>
      <c r="BV472" s="61"/>
      <c r="BW472" s="61"/>
      <c r="BX472" s="61"/>
      <c r="BY472" s="61"/>
      <c r="BZ472" s="61"/>
      <c r="CA472" s="61"/>
      <c r="CB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2"/>
      <c r="BQ473" s="62"/>
      <c r="BR473" s="62"/>
      <c r="BS473" s="62"/>
      <c r="BT473" s="61"/>
      <c r="BU473" s="61"/>
      <c r="BV473" s="61"/>
      <c r="BW473" s="61"/>
      <c r="BX473" s="61"/>
      <c r="BY473" s="61"/>
      <c r="BZ473" s="61"/>
      <c r="CA473" s="61"/>
      <c r="CB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2"/>
      <c r="BQ474" s="62"/>
      <c r="BR474" s="62"/>
      <c r="BS474" s="62"/>
      <c r="BT474" s="61"/>
      <c r="BU474" s="61"/>
      <c r="BV474" s="61"/>
      <c r="BW474" s="61"/>
      <c r="BX474" s="61"/>
      <c r="BY474" s="61"/>
      <c r="BZ474" s="61"/>
      <c r="CA474" s="61"/>
      <c r="CB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2"/>
      <c r="BQ475" s="62"/>
      <c r="BR475" s="62"/>
      <c r="BS475" s="62"/>
      <c r="BT475" s="61"/>
      <c r="BU475" s="61"/>
      <c r="BV475" s="61"/>
      <c r="BW475" s="61"/>
      <c r="BX475" s="61"/>
      <c r="BY475" s="61"/>
      <c r="BZ475" s="61"/>
      <c r="CA475" s="61"/>
      <c r="CB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2"/>
      <c r="BQ476" s="62"/>
      <c r="BR476" s="62"/>
      <c r="BS476" s="62"/>
      <c r="BT476" s="61"/>
      <c r="BU476" s="61"/>
      <c r="BV476" s="61"/>
      <c r="BW476" s="61"/>
      <c r="BX476" s="61"/>
      <c r="BY476" s="61"/>
      <c r="BZ476" s="61"/>
      <c r="CA476" s="61"/>
      <c r="CB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2"/>
      <c r="BQ477" s="62"/>
      <c r="BR477" s="62"/>
      <c r="BS477" s="62"/>
      <c r="BT477" s="61"/>
      <c r="BU477" s="61"/>
      <c r="BV477" s="61"/>
      <c r="BW477" s="61"/>
      <c r="BX477" s="61"/>
      <c r="BY477" s="61"/>
      <c r="BZ477" s="61"/>
      <c r="CA477" s="61"/>
      <c r="CB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2"/>
      <c r="BQ478" s="62"/>
      <c r="BR478" s="62"/>
      <c r="BS478" s="62"/>
      <c r="BT478" s="61"/>
      <c r="BU478" s="61"/>
      <c r="BV478" s="61"/>
      <c r="BW478" s="61"/>
      <c r="BX478" s="61"/>
      <c r="BY478" s="61"/>
      <c r="BZ478" s="61"/>
      <c r="CA478" s="61"/>
      <c r="CB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2"/>
      <c r="BQ479" s="62"/>
      <c r="BR479" s="62"/>
      <c r="BS479" s="62"/>
      <c r="BT479" s="61"/>
      <c r="BU479" s="61"/>
      <c r="BV479" s="61"/>
      <c r="BW479" s="61"/>
      <c r="BX479" s="61"/>
      <c r="BY479" s="61"/>
      <c r="BZ479" s="61"/>
      <c r="CA479" s="61"/>
      <c r="CB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2"/>
      <c r="BQ480" s="62"/>
      <c r="BR480" s="62"/>
      <c r="BS480" s="62"/>
      <c r="BT480" s="61"/>
      <c r="BU480" s="61"/>
      <c r="BV480" s="61"/>
      <c r="BW480" s="61"/>
      <c r="BX480" s="61"/>
      <c r="BY480" s="61"/>
      <c r="BZ480" s="61"/>
      <c r="CA480" s="61"/>
      <c r="CB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2"/>
      <c r="BQ481" s="62"/>
      <c r="BR481" s="62"/>
      <c r="BS481" s="62"/>
      <c r="BT481" s="61"/>
      <c r="BU481" s="61"/>
      <c r="BV481" s="61"/>
      <c r="BW481" s="61"/>
      <c r="BX481" s="61"/>
      <c r="BY481" s="61"/>
      <c r="BZ481" s="61"/>
      <c r="CA481" s="61"/>
      <c r="CB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2"/>
      <c r="BQ482" s="62"/>
      <c r="BR482" s="62"/>
      <c r="BS482" s="62"/>
      <c r="BT482" s="61"/>
      <c r="BU482" s="61"/>
      <c r="BV482" s="61"/>
      <c r="BW482" s="61"/>
      <c r="BX482" s="61"/>
      <c r="BY482" s="61"/>
      <c r="BZ482" s="61"/>
      <c r="CA482" s="61"/>
      <c r="CB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2"/>
      <c r="BQ483" s="62"/>
      <c r="BR483" s="62"/>
      <c r="BS483" s="62"/>
      <c r="BT483" s="61"/>
      <c r="BU483" s="61"/>
      <c r="BV483" s="61"/>
      <c r="BW483" s="61"/>
      <c r="BX483" s="61"/>
      <c r="BY483" s="61"/>
      <c r="BZ483" s="61"/>
      <c r="CA483" s="61"/>
      <c r="CB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2"/>
      <c r="BQ484" s="62"/>
      <c r="BR484" s="62"/>
      <c r="BS484" s="62"/>
      <c r="BT484" s="61"/>
      <c r="BU484" s="61"/>
      <c r="BV484" s="61"/>
      <c r="BW484" s="61"/>
      <c r="BX484" s="61"/>
      <c r="BY484" s="61"/>
      <c r="BZ484" s="61"/>
      <c r="CA484" s="61"/>
      <c r="CB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2"/>
      <c r="BQ485" s="62"/>
      <c r="BR485" s="62"/>
      <c r="BS485" s="62"/>
      <c r="BT485" s="61"/>
      <c r="BU485" s="61"/>
      <c r="BV485" s="61"/>
      <c r="BW485" s="61"/>
      <c r="BX485" s="61"/>
      <c r="BY485" s="61"/>
      <c r="BZ485" s="61"/>
      <c r="CA485" s="61"/>
      <c r="CB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2"/>
      <c r="BQ486" s="62"/>
      <c r="BR486" s="62"/>
      <c r="BS486" s="62"/>
      <c r="BT486" s="61"/>
      <c r="BU486" s="61"/>
      <c r="BV486" s="61"/>
      <c r="BW486" s="61"/>
      <c r="BX486" s="61"/>
      <c r="BY486" s="61"/>
      <c r="BZ486" s="61"/>
      <c r="CA486" s="61"/>
      <c r="CB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2"/>
      <c r="BQ487" s="62"/>
      <c r="BR487" s="62"/>
      <c r="BS487" s="62"/>
      <c r="BT487" s="61"/>
      <c r="BU487" s="61"/>
      <c r="BV487" s="61"/>
      <c r="BW487" s="61"/>
      <c r="BX487" s="61"/>
      <c r="BY487" s="61"/>
      <c r="BZ487" s="61"/>
      <c r="CA487" s="61"/>
      <c r="CB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2"/>
      <c r="BQ488" s="62"/>
      <c r="BR488" s="62"/>
      <c r="BS488" s="62"/>
      <c r="BT488" s="61"/>
      <c r="BU488" s="61"/>
      <c r="BV488" s="61"/>
      <c r="BW488" s="61"/>
      <c r="BX488" s="61"/>
      <c r="BY488" s="61"/>
      <c r="BZ488" s="61"/>
      <c r="CA488" s="61"/>
      <c r="CB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2"/>
      <c r="BQ489" s="62"/>
      <c r="BR489" s="62"/>
      <c r="BS489" s="62"/>
      <c r="BT489" s="61"/>
      <c r="BU489" s="61"/>
      <c r="BV489" s="61"/>
      <c r="BW489" s="61"/>
      <c r="BX489" s="61"/>
      <c r="BY489" s="61"/>
      <c r="BZ489" s="61"/>
      <c r="CA489" s="61"/>
      <c r="CB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2"/>
      <c r="BQ490" s="62"/>
      <c r="BR490" s="62"/>
      <c r="BS490" s="62"/>
      <c r="BT490" s="61"/>
      <c r="BU490" s="61"/>
      <c r="BV490" s="61"/>
      <c r="BW490" s="61"/>
      <c r="BX490" s="61"/>
      <c r="BY490" s="61"/>
      <c r="BZ490" s="61"/>
      <c r="CA490" s="61"/>
      <c r="CB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2"/>
      <c r="BQ491" s="62"/>
      <c r="BR491" s="62"/>
      <c r="BS491" s="62"/>
      <c r="BT491" s="61"/>
      <c r="BU491" s="61"/>
      <c r="BV491" s="61"/>
      <c r="BW491" s="61"/>
      <c r="BX491" s="61"/>
      <c r="BY491" s="61"/>
      <c r="BZ491" s="61"/>
      <c r="CA491" s="61"/>
      <c r="CB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2"/>
      <c r="BQ492" s="62"/>
      <c r="BR492" s="62"/>
      <c r="BS492" s="62"/>
      <c r="BT492" s="61"/>
      <c r="BU492" s="61"/>
      <c r="BV492" s="61"/>
      <c r="BW492" s="61"/>
      <c r="BX492" s="61"/>
      <c r="BY492" s="61"/>
      <c r="BZ492" s="61"/>
      <c r="CA492" s="61"/>
      <c r="CB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2"/>
      <c r="BQ493" s="62"/>
      <c r="BR493" s="62"/>
      <c r="BS493" s="62"/>
      <c r="BT493" s="61"/>
      <c r="BU493" s="61"/>
      <c r="BV493" s="61"/>
      <c r="BW493" s="61"/>
      <c r="BX493" s="61"/>
      <c r="BY493" s="61"/>
      <c r="BZ493" s="61"/>
      <c r="CA493" s="61"/>
      <c r="CB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2"/>
      <c r="BQ494" s="62"/>
      <c r="BR494" s="62"/>
      <c r="BS494" s="62"/>
      <c r="BT494" s="61"/>
      <c r="BU494" s="61"/>
      <c r="BV494" s="61"/>
      <c r="BW494" s="61"/>
      <c r="BX494" s="61"/>
      <c r="BY494" s="61"/>
      <c r="BZ494" s="61"/>
      <c r="CA494" s="61"/>
      <c r="CB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2"/>
      <c r="BQ495" s="62"/>
      <c r="BR495" s="62"/>
      <c r="BS495" s="62"/>
      <c r="BT495" s="61"/>
      <c r="BU495" s="61"/>
      <c r="BV495" s="61"/>
      <c r="BW495" s="61"/>
      <c r="BX495" s="61"/>
      <c r="BY495" s="61"/>
      <c r="BZ495" s="61"/>
      <c r="CA495" s="61"/>
      <c r="CB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2"/>
      <c r="BQ496" s="62"/>
      <c r="BR496" s="62"/>
      <c r="BS496" s="62"/>
      <c r="BT496" s="61"/>
      <c r="BU496" s="61"/>
      <c r="BV496" s="61"/>
      <c r="BW496" s="61"/>
      <c r="BX496" s="61"/>
      <c r="BY496" s="61"/>
      <c r="BZ496" s="61"/>
      <c r="CA496" s="61"/>
      <c r="CB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2"/>
      <c r="BQ497" s="62"/>
      <c r="BR497" s="62"/>
      <c r="BS497" s="62"/>
      <c r="BT497" s="61"/>
      <c r="BU497" s="61"/>
      <c r="BV497" s="61"/>
      <c r="BW497" s="61"/>
      <c r="BX497" s="61"/>
      <c r="BY497" s="61"/>
      <c r="BZ497" s="61"/>
      <c r="CA497" s="61"/>
      <c r="CB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2"/>
      <c r="BQ498" s="62"/>
      <c r="BR498" s="62"/>
      <c r="BS498" s="62"/>
      <c r="BT498" s="61"/>
      <c r="BU498" s="61"/>
      <c r="BV498" s="61"/>
      <c r="BW498" s="61"/>
      <c r="BX498" s="61"/>
      <c r="BY498" s="61"/>
      <c r="BZ498" s="61"/>
      <c r="CA498" s="61"/>
      <c r="CB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2"/>
      <c r="BQ499" s="62"/>
      <c r="BR499" s="62"/>
      <c r="BS499" s="62"/>
      <c r="BT499" s="61"/>
      <c r="BU499" s="61"/>
      <c r="BV499" s="61"/>
      <c r="BW499" s="61"/>
      <c r="BX499" s="61"/>
      <c r="BY499" s="61"/>
      <c r="BZ499" s="61"/>
      <c r="CA499" s="61"/>
      <c r="CB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2"/>
      <c r="BQ500" s="62"/>
      <c r="BR500" s="62"/>
      <c r="BS500" s="62"/>
      <c r="BT500" s="61"/>
      <c r="BU500" s="61"/>
      <c r="BV500" s="61"/>
      <c r="BW500" s="61"/>
      <c r="BX500" s="61"/>
      <c r="BY500" s="61"/>
      <c r="BZ500" s="61"/>
      <c r="CA500" s="61"/>
      <c r="CB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2"/>
      <c r="BQ501" s="62"/>
      <c r="BR501" s="62"/>
      <c r="BS501" s="62"/>
      <c r="BT501" s="61"/>
      <c r="BU501" s="61"/>
      <c r="BV501" s="61"/>
      <c r="BW501" s="61"/>
      <c r="BX501" s="61"/>
      <c r="BY501" s="61"/>
      <c r="BZ501" s="61"/>
      <c r="CA501" s="61"/>
      <c r="CB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2"/>
      <c r="BQ502" s="62"/>
      <c r="BR502" s="62"/>
      <c r="BS502" s="62"/>
      <c r="BT502" s="61"/>
      <c r="BU502" s="61"/>
      <c r="BV502" s="61"/>
      <c r="BW502" s="61"/>
      <c r="BX502" s="61"/>
      <c r="BY502" s="61"/>
      <c r="BZ502" s="61"/>
      <c r="CA502" s="61"/>
      <c r="CB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2"/>
      <c r="BQ503" s="62"/>
      <c r="BR503" s="62"/>
      <c r="BS503" s="62"/>
      <c r="BT503" s="61"/>
      <c r="BU503" s="61"/>
      <c r="BV503" s="61"/>
      <c r="BW503" s="61"/>
      <c r="BX503" s="61"/>
      <c r="BY503" s="61"/>
      <c r="BZ503" s="61"/>
      <c r="CA503" s="61"/>
      <c r="CB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2"/>
      <c r="BQ504" s="62"/>
      <c r="BR504" s="62"/>
      <c r="BS504" s="62"/>
      <c r="BT504" s="61"/>
      <c r="BU504" s="61"/>
      <c r="BV504" s="61"/>
      <c r="BW504" s="61"/>
      <c r="BX504" s="61"/>
      <c r="BY504" s="61"/>
      <c r="BZ504" s="61"/>
      <c r="CA504" s="61"/>
      <c r="CB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2"/>
      <c r="BQ505" s="62"/>
      <c r="BR505" s="62"/>
      <c r="BS505" s="62"/>
      <c r="BT505" s="61"/>
      <c r="BU505" s="61"/>
      <c r="BV505" s="61"/>
      <c r="BW505" s="61"/>
      <c r="BX505" s="61"/>
      <c r="BY505" s="61"/>
      <c r="BZ505" s="61"/>
      <c r="CA505" s="61"/>
      <c r="CB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2"/>
      <c r="BQ506" s="62"/>
      <c r="BR506" s="62"/>
      <c r="BS506" s="62"/>
      <c r="BT506" s="61"/>
      <c r="BU506" s="61"/>
      <c r="BV506" s="61"/>
      <c r="BW506" s="61"/>
      <c r="BX506" s="61"/>
      <c r="BY506" s="61"/>
      <c r="BZ506" s="61"/>
      <c r="CA506" s="61"/>
      <c r="CB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2"/>
      <c r="BQ507" s="62"/>
      <c r="BR507" s="62"/>
      <c r="BS507" s="62"/>
      <c r="BT507" s="61"/>
      <c r="BU507" s="61"/>
      <c r="BV507" s="61"/>
      <c r="BW507" s="61"/>
      <c r="BX507" s="61"/>
      <c r="BY507" s="61"/>
      <c r="BZ507" s="61"/>
      <c r="CA507" s="61"/>
      <c r="CB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2"/>
      <c r="BQ508" s="62"/>
      <c r="BR508" s="62"/>
      <c r="BS508" s="62"/>
      <c r="BT508" s="61"/>
      <c r="BU508" s="61"/>
      <c r="BV508" s="61"/>
      <c r="BW508" s="61"/>
      <c r="BX508" s="61"/>
      <c r="BY508" s="61"/>
      <c r="BZ508" s="61"/>
      <c r="CA508" s="61"/>
      <c r="CB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2"/>
      <c r="BQ509" s="62"/>
      <c r="BR509" s="62"/>
      <c r="BS509" s="62"/>
      <c r="BT509" s="61"/>
      <c r="BU509" s="61"/>
      <c r="BV509" s="61"/>
      <c r="BW509" s="61"/>
      <c r="BX509" s="61"/>
      <c r="BY509" s="61"/>
      <c r="BZ509" s="61"/>
      <c r="CA509" s="61"/>
      <c r="CB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2"/>
      <c r="BQ510" s="62"/>
      <c r="BR510" s="62"/>
      <c r="BS510" s="62"/>
      <c r="BT510" s="61"/>
      <c r="BU510" s="61"/>
      <c r="BV510" s="61"/>
      <c r="BW510" s="61"/>
      <c r="BX510" s="61"/>
      <c r="BY510" s="61"/>
      <c r="BZ510" s="61"/>
      <c r="CA510" s="61"/>
      <c r="CB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2"/>
      <c r="BQ511" s="62"/>
      <c r="BR511" s="62"/>
      <c r="BS511" s="62"/>
      <c r="BT511" s="61"/>
      <c r="BU511" s="61"/>
      <c r="BV511" s="61"/>
      <c r="BW511" s="61"/>
      <c r="BX511" s="61"/>
      <c r="BY511" s="61"/>
      <c r="BZ511" s="61"/>
      <c r="CA511" s="61"/>
      <c r="CB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2"/>
      <c r="BQ512" s="62"/>
      <c r="BR512" s="62"/>
      <c r="BS512" s="62"/>
      <c r="BT512" s="61"/>
      <c r="BU512" s="61"/>
      <c r="BV512" s="61"/>
      <c r="BW512" s="61"/>
      <c r="BX512" s="61"/>
      <c r="BY512" s="61"/>
      <c r="BZ512" s="61"/>
      <c r="CA512" s="61"/>
      <c r="CB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2"/>
      <c r="BQ513" s="62"/>
      <c r="BR513" s="62"/>
      <c r="BS513" s="62"/>
      <c r="BT513" s="61"/>
      <c r="BU513" s="61"/>
      <c r="BV513" s="61"/>
      <c r="BW513" s="61"/>
      <c r="BX513" s="61"/>
      <c r="BY513" s="61"/>
      <c r="BZ513" s="61"/>
      <c r="CA513" s="61"/>
      <c r="CB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2"/>
      <c r="BQ514" s="62"/>
      <c r="BR514" s="62"/>
      <c r="BS514" s="62"/>
      <c r="BT514" s="61"/>
      <c r="BU514" s="61"/>
      <c r="BV514" s="61"/>
      <c r="BW514" s="61"/>
      <c r="BX514" s="61"/>
      <c r="BY514" s="61"/>
      <c r="BZ514" s="61"/>
      <c r="CA514" s="61"/>
      <c r="CB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2"/>
      <c r="BQ515" s="62"/>
      <c r="BR515" s="62"/>
      <c r="BS515" s="62"/>
      <c r="BT515" s="61"/>
      <c r="BU515" s="61"/>
      <c r="BV515" s="61"/>
      <c r="BW515" s="61"/>
      <c r="BX515" s="61"/>
      <c r="BY515" s="61"/>
      <c r="BZ515" s="61"/>
      <c r="CA515" s="61"/>
      <c r="CB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2"/>
      <c r="BQ516" s="62"/>
      <c r="BR516" s="62"/>
      <c r="BS516" s="62"/>
      <c r="BT516" s="61"/>
      <c r="BU516" s="61"/>
      <c r="BV516" s="61"/>
      <c r="BW516" s="61"/>
      <c r="BX516" s="61"/>
      <c r="BY516" s="61"/>
      <c r="BZ516" s="61"/>
      <c r="CA516" s="61"/>
      <c r="CB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2"/>
      <c r="BQ517" s="62"/>
      <c r="BR517" s="62"/>
      <c r="BS517" s="62"/>
      <c r="BT517" s="61"/>
      <c r="BU517" s="61"/>
      <c r="BV517" s="61"/>
      <c r="BW517" s="61"/>
      <c r="BX517" s="61"/>
      <c r="BY517" s="61"/>
      <c r="BZ517" s="61"/>
      <c r="CA517" s="61"/>
      <c r="CB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2"/>
      <c r="BQ518" s="62"/>
      <c r="BR518" s="62"/>
      <c r="BS518" s="62"/>
      <c r="BT518" s="61"/>
      <c r="BU518" s="61"/>
      <c r="BV518" s="61"/>
      <c r="BW518" s="61"/>
      <c r="BX518" s="61"/>
      <c r="BY518" s="61"/>
      <c r="BZ518" s="61"/>
      <c r="CA518" s="61"/>
      <c r="CB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2"/>
      <c r="BQ519" s="62"/>
      <c r="BR519" s="62"/>
      <c r="BS519" s="62"/>
      <c r="BT519" s="61"/>
      <c r="BU519" s="61"/>
      <c r="BV519" s="61"/>
      <c r="BW519" s="61"/>
      <c r="BX519" s="61"/>
      <c r="BY519" s="61"/>
      <c r="BZ519" s="61"/>
      <c r="CA519" s="61"/>
      <c r="CB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2"/>
      <c r="BQ520" s="62"/>
      <c r="BR520" s="62"/>
      <c r="BS520" s="62"/>
      <c r="BT520" s="61"/>
      <c r="BU520" s="61"/>
      <c r="BV520" s="61"/>
      <c r="BW520" s="61"/>
      <c r="BX520" s="61"/>
      <c r="BY520" s="61"/>
      <c r="BZ520" s="61"/>
      <c r="CA520" s="61"/>
      <c r="CB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2"/>
      <c r="BQ521" s="62"/>
      <c r="BR521" s="62"/>
      <c r="BS521" s="62"/>
      <c r="BT521" s="61"/>
      <c r="BU521" s="61"/>
      <c r="BV521" s="61"/>
      <c r="BW521" s="61"/>
      <c r="BX521" s="61"/>
      <c r="BY521" s="61"/>
      <c r="BZ521" s="61"/>
      <c r="CA521" s="61"/>
      <c r="CB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2"/>
      <c r="BQ522" s="62"/>
      <c r="BR522" s="62"/>
      <c r="BS522" s="62"/>
      <c r="BT522" s="61"/>
      <c r="BU522" s="61"/>
      <c r="BV522" s="61"/>
      <c r="BW522" s="61"/>
      <c r="BX522" s="61"/>
      <c r="BY522" s="61"/>
      <c r="BZ522" s="61"/>
      <c r="CA522" s="61"/>
      <c r="CB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2"/>
      <c r="BQ523" s="62"/>
      <c r="BR523" s="62"/>
      <c r="BS523" s="62"/>
      <c r="BT523" s="61"/>
      <c r="BU523" s="61"/>
      <c r="BV523" s="61"/>
      <c r="BW523" s="61"/>
      <c r="BX523" s="61"/>
      <c r="BY523" s="61"/>
      <c r="BZ523" s="61"/>
      <c r="CA523" s="61"/>
      <c r="CB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2"/>
      <c r="BQ524" s="62"/>
      <c r="BR524" s="62"/>
      <c r="BS524" s="62"/>
      <c r="BT524" s="61"/>
      <c r="BU524" s="61"/>
      <c r="BV524" s="61"/>
      <c r="BW524" s="61"/>
      <c r="BX524" s="61"/>
      <c r="BY524" s="61"/>
      <c r="BZ524" s="61"/>
      <c r="CA524" s="61"/>
      <c r="CB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2"/>
      <c r="BQ525" s="62"/>
      <c r="BR525" s="62"/>
      <c r="BS525" s="62"/>
      <c r="BT525" s="61"/>
      <c r="BU525" s="61"/>
      <c r="BV525" s="61"/>
      <c r="BW525" s="61"/>
      <c r="BX525" s="61"/>
      <c r="BY525" s="61"/>
      <c r="BZ525" s="61"/>
      <c r="CA525" s="61"/>
      <c r="CB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2"/>
      <c r="BQ526" s="62"/>
      <c r="BR526" s="62"/>
      <c r="BS526" s="62"/>
      <c r="BT526" s="61"/>
      <c r="BU526" s="61"/>
      <c r="BV526" s="61"/>
      <c r="BW526" s="61"/>
      <c r="BX526" s="61"/>
      <c r="BY526" s="61"/>
      <c r="BZ526" s="61"/>
      <c r="CA526" s="61"/>
      <c r="CB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2"/>
      <c r="BQ527" s="62"/>
      <c r="BR527" s="62"/>
      <c r="BS527" s="62"/>
      <c r="BT527" s="61"/>
      <c r="BU527" s="61"/>
      <c r="BV527" s="61"/>
      <c r="BW527" s="61"/>
      <c r="BX527" s="61"/>
      <c r="BY527" s="61"/>
      <c r="BZ527" s="61"/>
      <c r="CA527" s="61"/>
      <c r="CB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2"/>
      <c r="BQ528" s="62"/>
      <c r="BR528" s="62"/>
      <c r="BS528" s="62"/>
      <c r="BT528" s="61"/>
      <c r="BU528" s="61"/>
      <c r="BV528" s="61"/>
      <c r="BW528" s="61"/>
      <c r="BX528" s="61"/>
      <c r="BY528" s="61"/>
      <c r="BZ528" s="61"/>
      <c r="CA528" s="61"/>
      <c r="CB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2"/>
      <c r="BQ529" s="62"/>
      <c r="BR529" s="62"/>
      <c r="BS529" s="62"/>
      <c r="BT529" s="61"/>
      <c r="BU529" s="61"/>
      <c r="BV529" s="61"/>
      <c r="BW529" s="61"/>
      <c r="BX529" s="61"/>
      <c r="BY529" s="61"/>
      <c r="BZ529" s="61"/>
      <c r="CA529" s="61"/>
      <c r="CB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2"/>
      <c r="BQ530" s="62"/>
      <c r="BR530" s="62"/>
      <c r="BS530" s="62"/>
      <c r="BT530" s="61"/>
      <c r="BU530" s="61"/>
      <c r="BV530" s="61"/>
      <c r="BW530" s="61"/>
      <c r="BX530" s="61"/>
      <c r="BY530" s="61"/>
      <c r="BZ530" s="61"/>
      <c r="CA530" s="61"/>
      <c r="CB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2"/>
      <c r="BQ531" s="62"/>
      <c r="BR531" s="62"/>
      <c r="BS531" s="62"/>
      <c r="BT531" s="61"/>
      <c r="BU531" s="61"/>
      <c r="BV531" s="61"/>
      <c r="BW531" s="61"/>
      <c r="BX531" s="61"/>
      <c r="BY531" s="61"/>
      <c r="BZ531" s="61"/>
      <c r="CA531" s="61"/>
      <c r="CB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2"/>
      <c r="BQ532" s="62"/>
      <c r="BR532" s="62"/>
      <c r="BS532" s="62"/>
      <c r="BT532" s="61"/>
      <c r="BU532" s="61"/>
      <c r="BV532" s="61"/>
      <c r="BW532" s="61"/>
      <c r="BX532" s="61"/>
      <c r="BY532" s="61"/>
      <c r="BZ532" s="61"/>
      <c r="CA532" s="61"/>
      <c r="CB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2"/>
      <c r="BQ533" s="62"/>
      <c r="BR533" s="62"/>
      <c r="BS533" s="62"/>
      <c r="BT533" s="61"/>
      <c r="BU533" s="61"/>
      <c r="BV533" s="61"/>
      <c r="BW533" s="61"/>
      <c r="BX533" s="61"/>
      <c r="BY533" s="61"/>
      <c r="BZ533" s="61"/>
      <c r="CA533" s="61"/>
      <c r="CB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2"/>
      <c r="BQ534" s="62"/>
      <c r="BR534" s="62"/>
      <c r="BS534" s="62"/>
      <c r="BT534" s="61"/>
      <c r="BU534" s="61"/>
      <c r="BV534" s="61"/>
      <c r="BW534" s="61"/>
      <c r="BX534" s="61"/>
      <c r="BY534" s="61"/>
      <c r="BZ534" s="61"/>
      <c r="CA534" s="61"/>
      <c r="CB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2"/>
      <c r="BQ535" s="62"/>
      <c r="BR535" s="62"/>
      <c r="BS535" s="62"/>
      <c r="BT535" s="61"/>
      <c r="BU535" s="61"/>
      <c r="BV535" s="61"/>
      <c r="BW535" s="61"/>
      <c r="BX535" s="61"/>
      <c r="BY535" s="61"/>
      <c r="BZ535" s="61"/>
      <c r="CA535" s="61"/>
      <c r="CB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2"/>
      <c r="BQ536" s="62"/>
      <c r="BR536" s="62"/>
      <c r="BS536" s="62"/>
      <c r="BT536" s="61"/>
      <c r="BU536" s="61"/>
      <c r="BV536" s="61"/>
      <c r="BW536" s="61"/>
      <c r="BX536" s="61"/>
      <c r="BY536" s="61"/>
      <c r="BZ536" s="61"/>
      <c r="CA536" s="61"/>
      <c r="CB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2"/>
      <c r="BQ537" s="62"/>
      <c r="BR537" s="62"/>
      <c r="BS537" s="62"/>
      <c r="BT537" s="61"/>
      <c r="BU537" s="61"/>
      <c r="BV537" s="61"/>
      <c r="BW537" s="61"/>
      <c r="BX537" s="61"/>
      <c r="BY537" s="61"/>
      <c r="BZ537" s="61"/>
      <c r="CA537" s="61"/>
      <c r="CB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2"/>
      <c r="BQ538" s="62"/>
      <c r="BR538" s="62"/>
      <c r="BS538" s="62"/>
      <c r="BT538" s="61"/>
      <c r="BU538" s="61"/>
      <c r="BV538" s="61"/>
      <c r="BW538" s="61"/>
      <c r="BX538" s="61"/>
      <c r="BY538" s="61"/>
      <c r="BZ538" s="61"/>
      <c r="CA538" s="61"/>
      <c r="CB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2"/>
      <c r="BQ539" s="62"/>
      <c r="BR539" s="62"/>
      <c r="BS539" s="62"/>
      <c r="BT539" s="61"/>
      <c r="BU539" s="61"/>
      <c r="BV539" s="61"/>
      <c r="BW539" s="61"/>
      <c r="BX539" s="61"/>
      <c r="BY539" s="61"/>
      <c r="BZ539" s="61"/>
      <c r="CA539" s="61"/>
      <c r="CB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2"/>
      <c r="BQ540" s="62"/>
      <c r="BR540" s="62"/>
      <c r="BS540" s="62"/>
      <c r="BT540" s="61"/>
      <c r="BU540" s="61"/>
      <c r="BV540" s="61"/>
      <c r="BW540" s="61"/>
      <c r="BX540" s="61"/>
      <c r="BY540" s="61"/>
      <c r="BZ540" s="61"/>
      <c r="CA540" s="61"/>
      <c r="CB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2"/>
      <c r="BQ541" s="62"/>
      <c r="BR541" s="62"/>
      <c r="BS541" s="62"/>
      <c r="BT541" s="61"/>
      <c r="BU541" s="61"/>
      <c r="BV541" s="61"/>
      <c r="BW541" s="61"/>
      <c r="BX541" s="61"/>
      <c r="BY541" s="61"/>
      <c r="BZ541" s="61"/>
      <c r="CA541" s="61"/>
      <c r="CB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2"/>
      <c r="BQ542" s="62"/>
      <c r="BR542" s="62"/>
      <c r="BS542" s="62"/>
      <c r="BT542" s="61"/>
      <c r="BU542" s="61"/>
      <c r="BV542" s="61"/>
      <c r="BW542" s="61"/>
      <c r="BX542" s="61"/>
      <c r="BY542" s="61"/>
      <c r="BZ542" s="61"/>
      <c r="CA542" s="61"/>
      <c r="CB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2"/>
      <c r="BQ543" s="62"/>
      <c r="BR543" s="62"/>
      <c r="BS543" s="62"/>
      <c r="BT543" s="61"/>
      <c r="BU543" s="61"/>
      <c r="BV543" s="61"/>
      <c r="BW543" s="61"/>
      <c r="BX543" s="61"/>
      <c r="BY543" s="61"/>
      <c r="BZ543" s="61"/>
      <c r="CA543" s="61"/>
      <c r="CB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2"/>
      <c r="BQ544" s="62"/>
      <c r="BR544" s="62"/>
      <c r="BS544" s="62"/>
      <c r="BT544" s="61"/>
      <c r="BU544" s="61"/>
      <c r="BV544" s="61"/>
      <c r="BW544" s="61"/>
      <c r="BX544" s="61"/>
      <c r="BY544" s="61"/>
      <c r="BZ544" s="61"/>
      <c r="CA544" s="61"/>
      <c r="CB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2"/>
      <c r="BQ545" s="62"/>
      <c r="BR545" s="62"/>
      <c r="BS545" s="62"/>
      <c r="BT545" s="61"/>
      <c r="BU545" s="61"/>
      <c r="BV545" s="61"/>
      <c r="BW545" s="61"/>
      <c r="BX545" s="61"/>
      <c r="BY545" s="61"/>
      <c r="BZ545" s="61"/>
      <c r="CA545" s="61"/>
      <c r="CB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2"/>
      <c r="BQ546" s="62"/>
      <c r="BR546" s="62"/>
      <c r="BS546" s="62"/>
      <c r="BT546" s="61"/>
      <c r="BU546" s="61"/>
      <c r="BV546" s="61"/>
      <c r="BW546" s="61"/>
      <c r="BX546" s="61"/>
      <c r="BY546" s="61"/>
      <c r="BZ546" s="61"/>
      <c r="CA546" s="61"/>
      <c r="CB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2"/>
      <c r="BQ547" s="62"/>
      <c r="BR547" s="62"/>
      <c r="BS547" s="62"/>
      <c r="BT547" s="61"/>
      <c r="BU547" s="61"/>
      <c r="BV547" s="61"/>
      <c r="BW547" s="61"/>
      <c r="BX547" s="61"/>
      <c r="BY547" s="61"/>
      <c r="BZ547" s="61"/>
      <c r="CA547" s="61"/>
      <c r="CB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2"/>
      <c r="BQ548" s="62"/>
      <c r="BR548" s="62"/>
      <c r="BS548" s="62"/>
      <c r="BT548" s="61"/>
      <c r="BU548" s="61"/>
      <c r="BV548" s="61"/>
      <c r="BW548" s="61"/>
      <c r="BX548" s="61"/>
      <c r="BY548" s="61"/>
      <c r="BZ548" s="61"/>
      <c r="CA548" s="61"/>
      <c r="CB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2"/>
      <c r="BQ549" s="62"/>
      <c r="BR549" s="62"/>
      <c r="BS549" s="62"/>
      <c r="BT549" s="61"/>
      <c r="BU549" s="61"/>
      <c r="BV549" s="61"/>
      <c r="BW549" s="61"/>
      <c r="BX549" s="61"/>
      <c r="BY549" s="61"/>
      <c r="BZ549" s="61"/>
      <c r="CA549" s="61"/>
      <c r="CB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2"/>
      <c r="BQ550" s="62"/>
      <c r="BR550" s="62"/>
      <c r="BS550" s="62"/>
      <c r="BT550" s="61"/>
      <c r="BU550" s="61"/>
      <c r="BV550" s="61"/>
      <c r="BW550" s="61"/>
      <c r="BX550" s="61"/>
      <c r="BY550" s="61"/>
      <c r="BZ550" s="61"/>
      <c r="CA550" s="61"/>
      <c r="CB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2"/>
      <c r="BQ551" s="62"/>
      <c r="BR551" s="62"/>
      <c r="BS551" s="62"/>
      <c r="BT551" s="61"/>
      <c r="BU551" s="61"/>
      <c r="BV551" s="61"/>
      <c r="BW551" s="61"/>
      <c r="BX551" s="61"/>
      <c r="BY551" s="61"/>
      <c r="BZ551" s="61"/>
      <c r="CA551" s="61"/>
      <c r="CB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2"/>
      <c r="BQ552" s="62"/>
      <c r="BR552" s="62"/>
      <c r="BS552" s="62"/>
      <c r="BT552" s="61"/>
      <c r="BU552" s="61"/>
      <c r="BV552" s="61"/>
      <c r="BW552" s="61"/>
      <c r="BX552" s="61"/>
      <c r="BY552" s="61"/>
      <c r="BZ552" s="61"/>
      <c r="CA552" s="61"/>
      <c r="CB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2"/>
      <c r="BQ553" s="62"/>
      <c r="BR553" s="62"/>
      <c r="BS553" s="62"/>
      <c r="BT553" s="61"/>
      <c r="BU553" s="61"/>
      <c r="BV553" s="61"/>
      <c r="BW553" s="61"/>
      <c r="BX553" s="61"/>
      <c r="BY553" s="61"/>
      <c r="BZ553" s="61"/>
      <c r="CA553" s="61"/>
      <c r="CB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2"/>
      <c r="BQ554" s="62"/>
      <c r="BR554" s="62"/>
      <c r="BS554" s="62"/>
      <c r="BT554" s="61"/>
      <c r="BU554" s="61"/>
      <c r="BV554" s="61"/>
      <c r="BW554" s="61"/>
      <c r="BX554" s="61"/>
      <c r="BY554" s="61"/>
      <c r="BZ554" s="61"/>
      <c r="CA554" s="61"/>
      <c r="CB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2"/>
      <c r="BQ555" s="62"/>
      <c r="BR555" s="62"/>
      <c r="BS555" s="62"/>
      <c r="BT555" s="61"/>
      <c r="BU555" s="61"/>
      <c r="BV555" s="61"/>
      <c r="BW555" s="61"/>
      <c r="BX555" s="61"/>
      <c r="BY555" s="61"/>
      <c r="BZ555" s="61"/>
      <c r="CA555" s="61"/>
      <c r="CB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2"/>
      <c r="BQ556" s="62"/>
      <c r="BR556" s="62"/>
      <c r="BS556" s="62"/>
      <c r="BT556" s="61"/>
      <c r="BU556" s="61"/>
      <c r="BV556" s="61"/>
      <c r="BW556" s="61"/>
      <c r="BX556" s="61"/>
      <c r="BY556" s="61"/>
      <c r="BZ556" s="61"/>
      <c r="CA556" s="61"/>
      <c r="CB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2"/>
      <c r="BQ557" s="62"/>
      <c r="BR557" s="62"/>
      <c r="BS557" s="62"/>
      <c r="BT557" s="61"/>
      <c r="BU557" s="61"/>
      <c r="BV557" s="61"/>
      <c r="BW557" s="61"/>
      <c r="BX557" s="61"/>
      <c r="BY557" s="61"/>
      <c r="BZ557" s="61"/>
      <c r="CA557" s="61"/>
      <c r="CB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2"/>
      <c r="BQ558" s="62"/>
      <c r="BR558" s="62"/>
      <c r="BS558" s="62"/>
      <c r="BT558" s="61"/>
      <c r="BU558" s="61"/>
      <c r="BV558" s="61"/>
      <c r="BW558" s="61"/>
      <c r="BX558" s="61"/>
      <c r="BY558" s="61"/>
      <c r="BZ558" s="61"/>
      <c r="CA558" s="61"/>
      <c r="CB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2"/>
      <c r="BQ559" s="62"/>
      <c r="BR559" s="62"/>
      <c r="BS559" s="62"/>
      <c r="BT559" s="61"/>
      <c r="BU559" s="61"/>
      <c r="BV559" s="61"/>
      <c r="BW559" s="61"/>
      <c r="BX559" s="61"/>
      <c r="BY559" s="61"/>
      <c r="BZ559" s="61"/>
      <c r="CA559" s="61"/>
      <c r="CB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2"/>
      <c r="BQ560" s="62"/>
      <c r="BR560" s="62"/>
      <c r="BS560" s="62"/>
      <c r="BT560" s="61"/>
      <c r="BU560" s="61"/>
      <c r="BV560" s="61"/>
      <c r="BW560" s="61"/>
      <c r="BX560" s="61"/>
      <c r="BY560" s="61"/>
      <c r="BZ560" s="61"/>
      <c r="CA560" s="61"/>
      <c r="CB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2"/>
      <c r="BQ561" s="62"/>
      <c r="BR561" s="62"/>
      <c r="BS561" s="62"/>
      <c r="BT561" s="61"/>
      <c r="BU561" s="61"/>
      <c r="BV561" s="61"/>
      <c r="BW561" s="61"/>
      <c r="BX561" s="61"/>
      <c r="BY561" s="61"/>
      <c r="BZ561" s="61"/>
      <c r="CA561" s="61"/>
      <c r="CB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2"/>
      <c r="BQ562" s="62"/>
      <c r="BR562" s="62"/>
      <c r="BS562" s="62"/>
      <c r="BT562" s="61"/>
      <c r="BU562" s="61"/>
      <c r="BV562" s="61"/>
      <c r="BW562" s="61"/>
      <c r="BX562" s="61"/>
      <c r="BY562" s="61"/>
      <c r="BZ562" s="61"/>
      <c r="CA562" s="61"/>
      <c r="CB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2"/>
      <c r="BQ563" s="62"/>
      <c r="BR563" s="62"/>
      <c r="BS563" s="62"/>
      <c r="BT563" s="61"/>
      <c r="BU563" s="61"/>
      <c r="BV563" s="61"/>
      <c r="BW563" s="61"/>
      <c r="BX563" s="61"/>
      <c r="BY563" s="61"/>
      <c r="BZ563" s="61"/>
      <c r="CA563" s="61"/>
      <c r="CB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2"/>
      <c r="BQ564" s="62"/>
      <c r="BR564" s="62"/>
      <c r="BS564" s="62"/>
      <c r="BT564" s="61"/>
      <c r="BU564" s="61"/>
      <c r="BV564" s="61"/>
      <c r="BW564" s="61"/>
      <c r="BX564" s="61"/>
      <c r="BY564" s="61"/>
      <c r="BZ564" s="61"/>
      <c r="CA564" s="61"/>
      <c r="CB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2"/>
      <c r="BQ565" s="62"/>
      <c r="BR565" s="62"/>
      <c r="BS565" s="62"/>
      <c r="BT565" s="61"/>
      <c r="BU565" s="61"/>
      <c r="BV565" s="61"/>
      <c r="BW565" s="61"/>
      <c r="BX565" s="61"/>
      <c r="BY565" s="61"/>
      <c r="BZ565" s="61"/>
      <c r="CA565" s="61"/>
      <c r="CB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2"/>
      <c r="BQ566" s="62"/>
      <c r="BR566" s="62"/>
      <c r="BS566" s="62"/>
      <c r="BT566" s="61"/>
      <c r="BU566" s="61"/>
      <c r="BV566" s="61"/>
      <c r="BW566" s="61"/>
      <c r="BX566" s="61"/>
      <c r="BY566" s="61"/>
      <c r="BZ566" s="61"/>
      <c r="CA566" s="61"/>
      <c r="CB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2"/>
      <c r="BQ567" s="62"/>
      <c r="BR567" s="62"/>
      <c r="BS567" s="62"/>
      <c r="BT567" s="61"/>
      <c r="BU567" s="61"/>
      <c r="BV567" s="61"/>
      <c r="BW567" s="61"/>
      <c r="BX567" s="61"/>
      <c r="BY567" s="61"/>
      <c r="BZ567" s="61"/>
      <c r="CA567" s="61"/>
      <c r="CB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2"/>
      <c r="BQ568" s="62"/>
      <c r="BR568" s="62"/>
      <c r="BS568" s="62"/>
      <c r="BT568" s="61"/>
      <c r="BU568" s="61"/>
      <c r="BV568" s="61"/>
      <c r="BW568" s="61"/>
      <c r="BX568" s="61"/>
      <c r="BY568" s="61"/>
      <c r="BZ568" s="61"/>
      <c r="CA568" s="61"/>
      <c r="CB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2"/>
      <c r="BQ569" s="62"/>
      <c r="BR569" s="62"/>
      <c r="BS569" s="62"/>
      <c r="BT569" s="61"/>
      <c r="BU569" s="61"/>
      <c r="BV569" s="61"/>
      <c r="BW569" s="61"/>
      <c r="BX569" s="61"/>
      <c r="BY569" s="61"/>
      <c r="BZ569" s="61"/>
      <c r="CA569" s="61"/>
      <c r="CB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2"/>
      <c r="BQ570" s="62"/>
      <c r="BR570" s="62"/>
      <c r="BS570" s="62"/>
      <c r="BT570" s="61"/>
      <c r="BU570" s="61"/>
      <c r="BV570" s="61"/>
      <c r="BW570" s="61"/>
      <c r="BX570" s="61"/>
      <c r="BY570" s="61"/>
      <c r="BZ570" s="61"/>
      <c r="CA570" s="61"/>
      <c r="CB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2"/>
      <c r="BQ571" s="62"/>
      <c r="BR571" s="62"/>
      <c r="BS571" s="62"/>
      <c r="BT571" s="61"/>
      <c r="BU571" s="61"/>
      <c r="BV571" s="61"/>
      <c r="BW571" s="61"/>
      <c r="BX571" s="61"/>
      <c r="BY571" s="61"/>
      <c r="BZ571" s="61"/>
      <c r="CA571" s="61"/>
      <c r="CB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2"/>
      <c r="BQ572" s="62"/>
      <c r="BR572" s="62"/>
      <c r="BS572" s="62"/>
      <c r="BT572" s="61"/>
      <c r="BU572" s="61"/>
      <c r="BV572" s="61"/>
      <c r="BW572" s="61"/>
      <c r="BX572" s="61"/>
      <c r="BY572" s="61"/>
      <c r="BZ572" s="61"/>
      <c r="CA572" s="61"/>
      <c r="CB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2"/>
      <c r="BQ573" s="62"/>
      <c r="BR573" s="62"/>
      <c r="BS573" s="62"/>
      <c r="BT573" s="61"/>
      <c r="BU573" s="61"/>
      <c r="BV573" s="61"/>
      <c r="BW573" s="61"/>
      <c r="BX573" s="61"/>
      <c r="BY573" s="61"/>
      <c r="BZ573" s="61"/>
      <c r="CA573" s="61"/>
      <c r="CB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2"/>
      <c r="BQ574" s="62"/>
      <c r="BR574" s="62"/>
      <c r="BS574" s="62"/>
      <c r="BT574" s="61"/>
      <c r="BU574" s="61"/>
      <c r="BV574" s="61"/>
      <c r="BW574" s="61"/>
      <c r="BX574" s="61"/>
      <c r="BY574" s="61"/>
      <c r="BZ574" s="61"/>
      <c r="CA574" s="61"/>
      <c r="CB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2"/>
      <c r="BQ575" s="62"/>
      <c r="BR575" s="62"/>
      <c r="BS575" s="62"/>
      <c r="BT575" s="61"/>
      <c r="BU575" s="61"/>
      <c r="BV575" s="61"/>
      <c r="BW575" s="61"/>
      <c r="BX575" s="61"/>
      <c r="BY575" s="61"/>
      <c r="BZ575" s="61"/>
      <c r="CA575" s="61"/>
      <c r="CB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2"/>
      <c r="BQ576" s="62"/>
      <c r="BR576" s="62"/>
      <c r="BS576" s="62"/>
      <c r="BT576" s="61"/>
      <c r="BU576" s="61"/>
      <c r="BV576" s="61"/>
      <c r="BW576" s="61"/>
      <c r="BX576" s="61"/>
      <c r="BY576" s="61"/>
      <c r="BZ576" s="61"/>
      <c r="CA576" s="61"/>
      <c r="CB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2"/>
      <c r="BQ577" s="62"/>
      <c r="BR577" s="62"/>
      <c r="BS577" s="62"/>
      <c r="BT577" s="61"/>
      <c r="BU577" s="61"/>
      <c r="BV577" s="61"/>
      <c r="BW577" s="61"/>
      <c r="BX577" s="61"/>
      <c r="BY577" s="61"/>
      <c r="BZ577" s="61"/>
      <c r="CA577" s="61"/>
      <c r="CB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2"/>
      <c r="BQ578" s="62"/>
      <c r="BR578" s="62"/>
      <c r="BS578" s="62"/>
      <c r="BT578" s="61"/>
      <c r="BU578" s="61"/>
      <c r="BV578" s="61"/>
      <c r="BW578" s="61"/>
      <c r="BX578" s="61"/>
      <c r="BY578" s="61"/>
      <c r="BZ578" s="61"/>
      <c r="CA578" s="61"/>
      <c r="CB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2"/>
      <c r="BQ579" s="62"/>
      <c r="BR579" s="62"/>
      <c r="BS579" s="62"/>
      <c r="BT579" s="61"/>
      <c r="BU579" s="61"/>
      <c r="BV579" s="61"/>
      <c r="BW579" s="61"/>
      <c r="BX579" s="61"/>
      <c r="BY579" s="61"/>
      <c r="BZ579" s="61"/>
      <c r="CA579" s="61"/>
      <c r="CB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2"/>
      <c r="BQ580" s="62"/>
      <c r="BR580" s="62"/>
      <c r="BS580" s="62"/>
      <c r="BT580" s="61"/>
      <c r="BU580" s="61"/>
      <c r="BV580" s="61"/>
      <c r="BW580" s="61"/>
      <c r="BX580" s="61"/>
      <c r="BY580" s="61"/>
      <c r="BZ580" s="61"/>
      <c r="CA580" s="61"/>
      <c r="CB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2"/>
      <c r="BQ581" s="62"/>
      <c r="BR581" s="62"/>
      <c r="BS581" s="62"/>
      <c r="BT581" s="61"/>
      <c r="BU581" s="61"/>
      <c r="BV581" s="61"/>
      <c r="BW581" s="61"/>
      <c r="BX581" s="61"/>
      <c r="BY581" s="61"/>
      <c r="BZ581" s="61"/>
      <c r="CA581" s="61"/>
      <c r="CB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2"/>
      <c r="BQ582" s="62"/>
      <c r="BR582" s="62"/>
      <c r="BS582" s="62"/>
      <c r="BT582" s="61"/>
      <c r="BU582" s="61"/>
      <c r="BV582" s="61"/>
      <c r="BW582" s="61"/>
      <c r="BX582" s="61"/>
      <c r="BY582" s="61"/>
      <c r="BZ582" s="61"/>
      <c r="CA582" s="61"/>
      <c r="CB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2"/>
      <c r="BQ583" s="62"/>
      <c r="BR583" s="62"/>
      <c r="BS583" s="62"/>
      <c r="BT583" s="61"/>
      <c r="BU583" s="61"/>
      <c r="BV583" s="61"/>
      <c r="BW583" s="61"/>
      <c r="BX583" s="61"/>
      <c r="BY583" s="61"/>
      <c r="BZ583" s="61"/>
      <c r="CA583" s="61"/>
      <c r="CB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2"/>
      <c r="BQ584" s="62"/>
      <c r="BR584" s="62"/>
      <c r="BS584" s="62"/>
      <c r="BT584" s="61"/>
      <c r="BU584" s="61"/>
      <c r="BV584" s="61"/>
      <c r="BW584" s="61"/>
      <c r="BX584" s="61"/>
      <c r="BY584" s="61"/>
      <c r="BZ584" s="61"/>
      <c r="CA584" s="61"/>
      <c r="CB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2"/>
      <c r="BQ585" s="62"/>
      <c r="BR585" s="62"/>
      <c r="BS585" s="62"/>
      <c r="BT585" s="61"/>
      <c r="BU585" s="61"/>
      <c r="BV585" s="61"/>
      <c r="BW585" s="61"/>
      <c r="BX585" s="61"/>
      <c r="BY585" s="61"/>
      <c r="BZ585" s="61"/>
      <c r="CA585" s="61"/>
      <c r="CB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2"/>
      <c r="BQ586" s="62"/>
      <c r="BR586" s="62"/>
      <c r="BS586" s="62"/>
      <c r="BT586" s="61"/>
      <c r="BU586" s="61"/>
      <c r="BV586" s="61"/>
      <c r="BW586" s="61"/>
      <c r="BX586" s="61"/>
      <c r="BY586" s="61"/>
      <c r="BZ586" s="61"/>
      <c r="CA586" s="61"/>
      <c r="CB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2"/>
      <c r="BQ587" s="62"/>
      <c r="BR587" s="62"/>
      <c r="BS587" s="62"/>
      <c r="BT587" s="61"/>
      <c r="BU587" s="61"/>
      <c r="BV587" s="61"/>
      <c r="BW587" s="61"/>
      <c r="BX587" s="61"/>
      <c r="BY587" s="61"/>
      <c r="BZ587" s="61"/>
      <c r="CA587" s="61"/>
      <c r="CB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2"/>
      <c r="BQ588" s="62"/>
      <c r="BR588" s="62"/>
      <c r="BS588" s="62"/>
      <c r="BT588" s="61"/>
      <c r="BU588" s="61"/>
      <c r="BV588" s="61"/>
      <c r="BW588" s="61"/>
      <c r="BX588" s="61"/>
      <c r="BY588" s="61"/>
      <c r="BZ588" s="61"/>
      <c r="CA588" s="61"/>
      <c r="CB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2"/>
      <c r="BQ589" s="62"/>
      <c r="BR589" s="62"/>
      <c r="BS589" s="62"/>
      <c r="BT589" s="61"/>
      <c r="BU589" s="61"/>
      <c r="BV589" s="61"/>
      <c r="BW589" s="61"/>
      <c r="BX589" s="61"/>
      <c r="BY589" s="61"/>
      <c r="BZ589" s="61"/>
      <c r="CA589" s="61"/>
      <c r="CB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2"/>
      <c r="BQ590" s="62"/>
      <c r="BR590" s="62"/>
      <c r="BS590" s="62"/>
      <c r="BT590" s="61"/>
      <c r="BU590" s="61"/>
      <c r="BV590" s="61"/>
      <c r="BW590" s="61"/>
      <c r="BX590" s="61"/>
      <c r="BY590" s="61"/>
      <c r="BZ590" s="61"/>
      <c r="CA590" s="61"/>
      <c r="CB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2"/>
      <c r="BQ591" s="62"/>
      <c r="BR591" s="62"/>
      <c r="BS591" s="62"/>
      <c r="BT591" s="61"/>
      <c r="BU591" s="61"/>
      <c r="BV591" s="61"/>
      <c r="BW591" s="61"/>
      <c r="BX591" s="61"/>
      <c r="BY591" s="61"/>
      <c r="BZ591" s="61"/>
      <c r="CA591" s="61"/>
      <c r="CB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2"/>
      <c r="BQ592" s="62"/>
      <c r="BR592" s="62"/>
      <c r="BS592" s="62"/>
      <c r="BT592" s="61"/>
      <c r="BU592" s="61"/>
      <c r="BV592" s="61"/>
      <c r="BW592" s="61"/>
      <c r="BX592" s="61"/>
      <c r="BY592" s="61"/>
      <c r="BZ592" s="61"/>
      <c r="CA592" s="61"/>
      <c r="CB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2"/>
      <c r="BQ593" s="62"/>
      <c r="BR593" s="62"/>
      <c r="BS593" s="62"/>
      <c r="BT593" s="61"/>
      <c r="BU593" s="61"/>
      <c r="BV593" s="61"/>
      <c r="BW593" s="61"/>
      <c r="BX593" s="61"/>
      <c r="BY593" s="61"/>
      <c r="BZ593" s="61"/>
      <c r="CA593" s="61"/>
      <c r="CB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2"/>
      <c r="BQ594" s="62"/>
      <c r="BR594" s="62"/>
      <c r="BS594" s="62"/>
      <c r="BT594" s="61"/>
      <c r="BU594" s="61"/>
      <c r="BV594" s="61"/>
      <c r="BW594" s="61"/>
      <c r="BX594" s="61"/>
      <c r="BY594" s="61"/>
      <c r="BZ594" s="61"/>
      <c r="CA594" s="61"/>
      <c r="CB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2"/>
      <c r="BQ595" s="62"/>
      <c r="BR595" s="62"/>
      <c r="BS595" s="62"/>
      <c r="BT595" s="61"/>
      <c r="BU595" s="61"/>
      <c r="BV595" s="61"/>
      <c r="BW595" s="61"/>
      <c r="BX595" s="61"/>
      <c r="BY595" s="61"/>
      <c r="BZ595" s="61"/>
      <c r="CA595" s="61"/>
      <c r="CB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2"/>
      <c r="BQ596" s="62"/>
      <c r="BR596" s="62"/>
      <c r="BS596" s="62"/>
      <c r="BT596" s="61"/>
      <c r="BU596" s="61"/>
      <c r="BV596" s="61"/>
      <c r="BW596" s="61"/>
      <c r="BX596" s="61"/>
      <c r="BY596" s="61"/>
      <c r="BZ596" s="61"/>
      <c r="CA596" s="61"/>
      <c r="CB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2"/>
      <c r="BQ597" s="62"/>
      <c r="BR597" s="62"/>
      <c r="BS597" s="62"/>
      <c r="BT597" s="61"/>
      <c r="BU597" s="61"/>
      <c r="BV597" s="61"/>
      <c r="BW597" s="61"/>
      <c r="BX597" s="61"/>
      <c r="BY597" s="61"/>
      <c r="BZ597" s="61"/>
      <c r="CA597" s="61"/>
      <c r="CB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2"/>
      <c r="BQ598" s="62"/>
      <c r="BR598" s="62"/>
      <c r="BS598" s="62"/>
      <c r="BT598" s="61"/>
      <c r="BU598" s="61"/>
      <c r="BV598" s="61"/>
      <c r="BW598" s="61"/>
      <c r="BX598" s="61"/>
      <c r="BY598" s="61"/>
      <c r="BZ598" s="61"/>
      <c r="CA598" s="61"/>
      <c r="CB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2"/>
      <c r="BQ599" s="62"/>
      <c r="BR599" s="62"/>
      <c r="BS599" s="62"/>
      <c r="BT599" s="61"/>
      <c r="BU599" s="61"/>
      <c r="BV599" s="61"/>
      <c r="BW599" s="61"/>
      <c r="BX599" s="61"/>
      <c r="BY599" s="61"/>
      <c r="BZ599" s="61"/>
      <c r="CA599" s="61"/>
      <c r="CB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2"/>
      <c r="BQ600" s="62"/>
      <c r="BR600" s="62"/>
      <c r="BS600" s="62"/>
      <c r="BT600" s="61"/>
      <c r="BU600" s="61"/>
      <c r="BV600" s="61"/>
      <c r="BW600" s="61"/>
      <c r="BX600" s="61"/>
      <c r="BY600" s="61"/>
      <c r="BZ600" s="61"/>
      <c r="CA600" s="61"/>
      <c r="CB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2"/>
      <c r="BQ601" s="62"/>
      <c r="BR601" s="62"/>
      <c r="BS601" s="62"/>
      <c r="BT601" s="61"/>
      <c r="BU601" s="61"/>
      <c r="BV601" s="61"/>
      <c r="BW601" s="61"/>
      <c r="BX601" s="61"/>
      <c r="BY601" s="61"/>
      <c r="BZ601" s="61"/>
      <c r="CA601" s="61"/>
      <c r="CB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2"/>
      <c r="BQ602" s="62"/>
      <c r="BR602" s="62"/>
      <c r="BS602" s="62"/>
      <c r="BT602" s="61"/>
      <c r="BU602" s="61"/>
      <c r="BV602" s="61"/>
      <c r="BW602" s="61"/>
      <c r="BX602" s="61"/>
      <c r="BY602" s="61"/>
      <c r="BZ602" s="61"/>
      <c r="CA602" s="61"/>
      <c r="CB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2"/>
      <c r="BQ603" s="62"/>
      <c r="BR603" s="62"/>
      <c r="BS603" s="62"/>
      <c r="BT603" s="61"/>
      <c r="BU603" s="61"/>
      <c r="BV603" s="61"/>
      <c r="BW603" s="61"/>
      <c r="BX603" s="61"/>
      <c r="BY603" s="61"/>
      <c r="BZ603" s="61"/>
      <c r="CA603" s="61"/>
      <c r="CB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2"/>
      <c r="BQ604" s="62"/>
      <c r="BR604" s="62"/>
      <c r="BS604" s="62"/>
      <c r="BT604" s="61"/>
      <c r="BU604" s="61"/>
      <c r="BV604" s="61"/>
      <c r="BW604" s="61"/>
      <c r="BX604" s="61"/>
      <c r="BY604" s="61"/>
      <c r="BZ604" s="61"/>
      <c r="CA604" s="61"/>
      <c r="CB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2"/>
      <c r="BQ605" s="62"/>
      <c r="BR605" s="62"/>
      <c r="BS605" s="62"/>
      <c r="BT605" s="61"/>
      <c r="BU605" s="61"/>
      <c r="BV605" s="61"/>
      <c r="BW605" s="61"/>
      <c r="BX605" s="61"/>
      <c r="BY605" s="61"/>
      <c r="BZ605" s="61"/>
      <c r="CA605" s="61"/>
      <c r="CB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2"/>
      <c r="BQ606" s="62"/>
      <c r="BR606" s="62"/>
      <c r="BS606" s="62"/>
      <c r="BT606" s="61"/>
      <c r="BU606" s="61"/>
      <c r="BV606" s="61"/>
      <c r="BW606" s="61"/>
      <c r="BX606" s="61"/>
      <c r="BY606" s="61"/>
      <c r="BZ606" s="61"/>
      <c r="CA606" s="61"/>
      <c r="CB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2"/>
      <c r="BQ607" s="62"/>
      <c r="BR607" s="62"/>
      <c r="BS607" s="62"/>
      <c r="BT607" s="61"/>
      <c r="BU607" s="61"/>
      <c r="BV607" s="61"/>
      <c r="BW607" s="61"/>
      <c r="BX607" s="61"/>
      <c r="BY607" s="61"/>
      <c r="BZ607" s="61"/>
      <c r="CA607" s="61"/>
      <c r="CB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2"/>
      <c r="BQ608" s="62"/>
      <c r="BR608" s="62"/>
      <c r="BS608" s="62"/>
      <c r="BT608" s="61"/>
      <c r="BU608" s="61"/>
      <c r="BV608" s="61"/>
      <c r="BW608" s="61"/>
      <c r="BX608" s="61"/>
      <c r="BY608" s="61"/>
      <c r="BZ608" s="61"/>
      <c r="CA608" s="61"/>
      <c r="CB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2"/>
      <c r="BQ609" s="62"/>
      <c r="BR609" s="62"/>
      <c r="BS609" s="62"/>
      <c r="BT609" s="61"/>
      <c r="BU609" s="61"/>
      <c r="BV609" s="61"/>
      <c r="BW609" s="61"/>
      <c r="BX609" s="61"/>
      <c r="BY609" s="61"/>
      <c r="BZ609" s="61"/>
      <c r="CA609" s="61"/>
      <c r="CB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2"/>
      <c r="BQ610" s="62"/>
      <c r="BR610" s="62"/>
      <c r="BS610" s="62"/>
      <c r="BT610" s="61"/>
      <c r="BU610" s="61"/>
      <c r="BV610" s="61"/>
      <c r="BW610" s="61"/>
      <c r="BX610" s="61"/>
      <c r="BY610" s="61"/>
      <c r="BZ610" s="61"/>
      <c r="CA610" s="61"/>
      <c r="CB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2"/>
      <c r="BQ611" s="62"/>
      <c r="BR611" s="62"/>
      <c r="BS611" s="62"/>
      <c r="BT611" s="61"/>
      <c r="BU611" s="61"/>
      <c r="BV611" s="61"/>
      <c r="BW611" s="61"/>
      <c r="BX611" s="61"/>
      <c r="BY611" s="61"/>
      <c r="BZ611" s="61"/>
      <c r="CA611" s="61"/>
      <c r="CB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2"/>
      <c r="BQ612" s="62"/>
      <c r="BR612" s="62"/>
      <c r="BS612" s="62"/>
      <c r="BT612" s="61"/>
      <c r="BU612" s="61"/>
      <c r="BV612" s="61"/>
      <c r="BW612" s="61"/>
      <c r="BX612" s="61"/>
      <c r="BY612" s="61"/>
      <c r="BZ612" s="61"/>
      <c r="CA612" s="61"/>
      <c r="CB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2"/>
      <c r="BQ613" s="62"/>
      <c r="BR613" s="62"/>
      <c r="BS613" s="62"/>
      <c r="BT613" s="61"/>
      <c r="BU613" s="61"/>
      <c r="BV613" s="61"/>
      <c r="BW613" s="61"/>
      <c r="BX613" s="61"/>
      <c r="BY613" s="61"/>
      <c r="BZ613" s="61"/>
      <c r="CA613" s="61"/>
      <c r="CB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2"/>
      <c r="BQ614" s="62"/>
      <c r="BR614" s="62"/>
      <c r="BS614" s="62"/>
      <c r="BT614" s="61"/>
      <c r="BU614" s="61"/>
      <c r="BV614" s="61"/>
      <c r="BW614" s="61"/>
      <c r="BX614" s="61"/>
      <c r="BY614" s="61"/>
      <c r="BZ614" s="61"/>
      <c r="CA614" s="61"/>
      <c r="CB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2"/>
      <c r="BQ615" s="62"/>
      <c r="BR615" s="62"/>
      <c r="BS615" s="62"/>
      <c r="BT615" s="61"/>
      <c r="BU615" s="61"/>
      <c r="BV615" s="61"/>
      <c r="BW615" s="61"/>
      <c r="BX615" s="61"/>
      <c r="BY615" s="61"/>
      <c r="BZ615" s="61"/>
      <c r="CA615" s="61"/>
      <c r="CB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2"/>
      <c r="BQ616" s="62"/>
      <c r="BR616" s="62"/>
      <c r="BS616" s="62"/>
      <c r="BT616" s="61"/>
      <c r="BU616" s="61"/>
      <c r="BV616" s="61"/>
      <c r="BW616" s="61"/>
      <c r="BX616" s="61"/>
      <c r="BY616" s="61"/>
      <c r="BZ616" s="61"/>
      <c r="CA616" s="61"/>
      <c r="CB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2"/>
      <c r="BQ617" s="62"/>
      <c r="BR617" s="62"/>
      <c r="BS617" s="62"/>
      <c r="BT617" s="61"/>
      <c r="BU617" s="61"/>
      <c r="BV617" s="61"/>
      <c r="BW617" s="61"/>
      <c r="BX617" s="61"/>
      <c r="BY617" s="61"/>
      <c r="BZ617" s="61"/>
      <c r="CA617" s="61"/>
      <c r="CB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2"/>
      <c r="BQ618" s="62"/>
      <c r="BR618" s="62"/>
      <c r="BS618" s="62"/>
      <c r="BT618" s="61"/>
      <c r="BU618" s="61"/>
      <c r="BV618" s="61"/>
      <c r="BW618" s="61"/>
      <c r="BX618" s="61"/>
      <c r="BY618" s="61"/>
      <c r="BZ618" s="61"/>
      <c r="CA618" s="61"/>
      <c r="CB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2"/>
      <c r="BQ619" s="62"/>
      <c r="BR619" s="62"/>
      <c r="BS619" s="62"/>
      <c r="BT619" s="61"/>
      <c r="BU619" s="61"/>
      <c r="BV619" s="61"/>
      <c r="BW619" s="61"/>
      <c r="BX619" s="61"/>
      <c r="BY619" s="61"/>
      <c r="BZ619" s="61"/>
      <c r="CA619" s="61"/>
      <c r="CB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2"/>
      <c r="BQ620" s="62"/>
      <c r="BR620" s="62"/>
      <c r="BS620" s="62"/>
      <c r="BT620" s="61"/>
      <c r="BU620" s="61"/>
      <c r="BV620" s="61"/>
      <c r="BW620" s="61"/>
      <c r="BX620" s="61"/>
      <c r="BY620" s="61"/>
      <c r="BZ620" s="61"/>
      <c r="CA620" s="61"/>
      <c r="CB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2"/>
      <c r="BQ621" s="62"/>
      <c r="BR621" s="62"/>
      <c r="BS621" s="62"/>
      <c r="BT621" s="61"/>
      <c r="BU621" s="61"/>
      <c r="BV621" s="61"/>
      <c r="BW621" s="61"/>
      <c r="BX621" s="61"/>
      <c r="BY621" s="61"/>
      <c r="BZ621" s="61"/>
      <c r="CA621" s="61"/>
      <c r="CB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2"/>
      <c r="BQ622" s="62"/>
      <c r="BR622" s="62"/>
      <c r="BS622" s="62"/>
      <c r="BT622" s="61"/>
      <c r="BU622" s="61"/>
      <c r="BV622" s="61"/>
      <c r="BW622" s="61"/>
      <c r="BX622" s="61"/>
      <c r="BY622" s="61"/>
      <c r="BZ622" s="61"/>
      <c r="CA622" s="61"/>
      <c r="CB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2"/>
      <c r="BQ623" s="62"/>
      <c r="BR623" s="62"/>
      <c r="BS623" s="62"/>
      <c r="BT623" s="61"/>
      <c r="BU623" s="61"/>
      <c r="BV623" s="61"/>
      <c r="BW623" s="61"/>
      <c r="BX623" s="61"/>
      <c r="BY623" s="61"/>
      <c r="BZ623" s="61"/>
      <c r="CA623" s="61"/>
      <c r="CB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2"/>
      <c r="BQ624" s="62"/>
      <c r="BR624" s="62"/>
      <c r="BS624" s="62"/>
      <c r="BT624" s="61"/>
      <c r="BU624" s="61"/>
      <c r="BV624" s="61"/>
      <c r="BW624" s="61"/>
      <c r="BX624" s="61"/>
      <c r="BY624" s="61"/>
      <c r="BZ624" s="61"/>
      <c r="CA624" s="61"/>
      <c r="CB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2"/>
      <c r="BQ625" s="62"/>
      <c r="BR625" s="62"/>
      <c r="BS625" s="62"/>
      <c r="BT625" s="61"/>
      <c r="BU625" s="61"/>
      <c r="BV625" s="61"/>
      <c r="BW625" s="61"/>
      <c r="BX625" s="61"/>
      <c r="BY625" s="61"/>
      <c r="BZ625" s="61"/>
      <c r="CA625" s="61"/>
      <c r="CB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2"/>
      <c r="BQ626" s="62"/>
      <c r="BR626" s="62"/>
      <c r="BS626" s="62"/>
      <c r="BT626" s="61"/>
      <c r="BU626" s="61"/>
      <c r="BV626" s="61"/>
      <c r="BW626" s="61"/>
      <c r="BX626" s="61"/>
      <c r="BY626" s="61"/>
      <c r="BZ626" s="61"/>
      <c r="CA626" s="61"/>
      <c r="CB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2"/>
      <c r="BQ627" s="62"/>
      <c r="BR627" s="62"/>
      <c r="BS627" s="62"/>
      <c r="BT627" s="61"/>
      <c r="BU627" s="61"/>
      <c r="BV627" s="61"/>
      <c r="BW627" s="61"/>
      <c r="BX627" s="61"/>
      <c r="BY627" s="61"/>
      <c r="BZ627" s="61"/>
      <c r="CA627" s="61"/>
      <c r="CB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2"/>
      <c r="BQ628" s="62"/>
      <c r="BR628" s="62"/>
      <c r="BS628" s="62"/>
      <c r="BT628" s="61"/>
      <c r="BU628" s="61"/>
      <c r="BV628" s="61"/>
      <c r="BW628" s="61"/>
      <c r="BX628" s="61"/>
      <c r="BY628" s="61"/>
      <c r="BZ628" s="61"/>
      <c r="CA628" s="61"/>
      <c r="CB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2"/>
      <c r="BQ629" s="62"/>
      <c r="BR629" s="62"/>
      <c r="BS629" s="62"/>
      <c r="BT629" s="61"/>
      <c r="BU629" s="61"/>
      <c r="BV629" s="61"/>
      <c r="BW629" s="61"/>
      <c r="BX629" s="61"/>
      <c r="BY629" s="61"/>
      <c r="BZ629" s="61"/>
      <c r="CA629" s="61"/>
      <c r="CB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2"/>
      <c r="BQ630" s="62"/>
      <c r="BR630" s="62"/>
      <c r="BS630" s="62"/>
      <c r="BT630" s="61"/>
      <c r="BU630" s="61"/>
      <c r="BV630" s="61"/>
      <c r="BW630" s="61"/>
      <c r="BX630" s="61"/>
      <c r="BY630" s="61"/>
      <c r="BZ630" s="61"/>
      <c r="CA630" s="61"/>
      <c r="CB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2"/>
      <c r="BQ631" s="62"/>
      <c r="BR631" s="62"/>
      <c r="BS631" s="62"/>
      <c r="BT631" s="61"/>
      <c r="BU631" s="61"/>
      <c r="BV631" s="61"/>
      <c r="BW631" s="61"/>
      <c r="BX631" s="61"/>
      <c r="BY631" s="61"/>
      <c r="BZ631" s="61"/>
      <c r="CA631" s="61"/>
      <c r="CB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2"/>
      <c r="BQ632" s="62"/>
      <c r="BR632" s="62"/>
      <c r="BS632" s="62"/>
      <c r="BT632" s="61"/>
      <c r="BU632" s="61"/>
      <c r="BV632" s="61"/>
      <c r="BW632" s="61"/>
      <c r="BX632" s="61"/>
      <c r="BY632" s="61"/>
      <c r="BZ632" s="61"/>
      <c r="CA632" s="61"/>
      <c r="CB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2"/>
      <c r="BQ633" s="62"/>
      <c r="BR633" s="62"/>
      <c r="BS633" s="62"/>
      <c r="BT633" s="61"/>
      <c r="BU633" s="61"/>
      <c r="BV633" s="61"/>
      <c r="BW633" s="61"/>
      <c r="BX633" s="61"/>
      <c r="BY633" s="61"/>
      <c r="BZ633" s="61"/>
      <c r="CA633" s="61"/>
      <c r="CB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2"/>
      <c r="BQ634" s="62"/>
      <c r="BR634" s="62"/>
      <c r="BS634" s="62"/>
      <c r="BT634" s="61"/>
      <c r="BU634" s="61"/>
      <c r="BV634" s="61"/>
      <c r="BW634" s="61"/>
      <c r="BX634" s="61"/>
      <c r="BY634" s="61"/>
      <c r="BZ634" s="61"/>
      <c r="CA634" s="61"/>
      <c r="CB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2"/>
      <c r="BQ635" s="62"/>
      <c r="BR635" s="62"/>
      <c r="BS635" s="62"/>
      <c r="BT635" s="61"/>
      <c r="BU635" s="61"/>
      <c r="BV635" s="61"/>
      <c r="BW635" s="61"/>
      <c r="BX635" s="61"/>
      <c r="BY635" s="61"/>
      <c r="BZ635" s="61"/>
      <c r="CA635" s="61"/>
      <c r="CB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2"/>
      <c r="BQ636" s="62"/>
      <c r="BR636" s="62"/>
      <c r="BS636" s="62"/>
      <c r="BT636" s="61"/>
      <c r="BU636" s="61"/>
      <c r="BV636" s="61"/>
      <c r="BW636" s="61"/>
      <c r="BX636" s="61"/>
      <c r="BY636" s="61"/>
      <c r="BZ636" s="61"/>
      <c r="CA636" s="61"/>
      <c r="CB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2"/>
      <c r="BQ637" s="62"/>
      <c r="BR637" s="62"/>
      <c r="BS637" s="62"/>
      <c r="BT637" s="61"/>
      <c r="BU637" s="61"/>
      <c r="BV637" s="61"/>
      <c r="BW637" s="61"/>
      <c r="BX637" s="61"/>
      <c r="BY637" s="61"/>
      <c r="BZ637" s="61"/>
      <c r="CA637" s="61"/>
      <c r="CB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2"/>
      <c r="BQ638" s="62"/>
      <c r="BR638" s="62"/>
      <c r="BS638" s="62"/>
      <c r="BT638" s="61"/>
      <c r="BU638" s="61"/>
      <c r="BV638" s="61"/>
      <c r="BW638" s="61"/>
      <c r="BX638" s="61"/>
      <c r="BY638" s="61"/>
      <c r="BZ638" s="61"/>
      <c r="CA638" s="61"/>
      <c r="CB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2"/>
      <c r="BQ639" s="62"/>
      <c r="BR639" s="62"/>
      <c r="BS639" s="62"/>
      <c r="BT639" s="61"/>
      <c r="BU639" s="61"/>
      <c r="BV639" s="61"/>
      <c r="BW639" s="61"/>
      <c r="BX639" s="61"/>
      <c r="BY639" s="61"/>
      <c r="BZ639" s="61"/>
      <c r="CA639" s="61"/>
      <c r="CB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2"/>
      <c r="BQ640" s="62"/>
      <c r="BR640" s="62"/>
      <c r="BS640" s="62"/>
      <c r="BT640" s="61"/>
      <c r="BU640" s="61"/>
      <c r="BV640" s="61"/>
      <c r="BW640" s="61"/>
      <c r="BX640" s="61"/>
      <c r="BY640" s="61"/>
      <c r="BZ640" s="61"/>
      <c r="CA640" s="61"/>
      <c r="CB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2"/>
      <c r="BQ641" s="62"/>
      <c r="BR641" s="62"/>
      <c r="BS641" s="62"/>
      <c r="BT641" s="61"/>
      <c r="BU641" s="61"/>
      <c r="BV641" s="61"/>
      <c r="BW641" s="61"/>
      <c r="BX641" s="61"/>
      <c r="BY641" s="61"/>
      <c r="BZ641" s="61"/>
      <c r="CA641" s="61"/>
      <c r="CB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2"/>
      <c r="BQ642" s="62"/>
      <c r="BR642" s="62"/>
      <c r="BS642" s="62"/>
      <c r="BT642" s="61"/>
      <c r="BU642" s="61"/>
      <c r="BV642" s="61"/>
      <c r="BW642" s="61"/>
      <c r="BX642" s="61"/>
      <c r="BY642" s="61"/>
      <c r="BZ642" s="61"/>
      <c r="CA642" s="61"/>
      <c r="CB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2"/>
      <c r="BQ643" s="62"/>
      <c r="BR643" s="62"/>
      <c r="BS643" s="62"/>
      <c r="BT643" s="61"/>
      <c r="BU643" s="61"/>
      <c r="BV643" s="61"/>
      <c r="BW643" s="61"/>
      <c r="BX643" s="61"/>
      <c r="BY643" s="61"/>
      <c r="BZ643" s="61"/>
      <c r="CA643" s="61"/>
      <c r="CB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2"/>
      <c r="BQ644" s="62"/>
      <c r="BR644" s="62"/>
      <c r="BS644" s="62"/>
      <c r="BT644" s="61"/>
      <c r="BU644" s="61"/>
      <c r="BV644" s="61"/>
      <c r="BW644" s="61"/>
      <c r="BX644" s="61"/>
      <c r="BY644" s="61"/>
      <c r="BZ644" s="61"/>
      <c r="CA644" s="61"/>
      <c r="CB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2"/>
      <c r="BQ645" s="62"/>
      <c r="BR645" s="62"/>
      <c r="BS645" s="62"/>
      <c r="BT645" s="61"/>
      <c r="BU645" s="61"/>
      <c r="BV645" s="61"/>
      <c r="BW645" s="61"/>
      <c r="BX645" s="61"/>
      <c r="BY645" s="61"/>
      <c r="BZ645" s="61"/>
      <c r="CA645" s="61"/>
      <c r="CB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2"/>
      <c r="BQ646" s="62"/>
      <c r="BR646" s="62"/>
      <c r="BS646" s="62"/>
      <c r="BT646" s="61"/>
      <c r="BU646" s="61"/>
      <c r="BV646" s="61"/>
      <c r="BW646" s="61"/>
      <c r="BX646" s="61"/>
      <c r="BY646" s="61"/>
      <c r="BZ646" s="61"/>
      <c r="CA646" s="61"/>
      <c r="CB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2"/>
      <c r="BQ647" s="62"/>
      <c r="BR647" s="62"/>
      <c r="BS647" s="62"/>
      <c r="BT647" s="61"/>
      <c r="BU647" s="61"/>
      <c r="BV647" s="61"/>
      <c r="BW647" s="61"/>
      <c r="BX647" s="61"/>
      <c r="BY647" s="61"/>
      <c r="BZ647" s="61"/>
      <c r="CA647" s="61"/>
      <c r="CB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2"/>
      <c r="BQ648" s="62"/>
      <c r="BR648" s="62"/>
      <c r="BS648" s="62"/>
      <c r="BT648" s="61"/>
      <c r="BU648" s="61"/>
      <c r="BV648" s="61"/>
      <c r="BW648" s="61"/>
      <c r="BX648" s="61"/>
      <c r="BY648" s="61"/>
      <c r="BZ648" s="61"/>
      <c r="CA648" s="61"/>
      <c r="CB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2"/>
      <c r="BQ649" s="62"/>
      <c r="BR649" s="62"/>
      <c r="BS649" s="62"/>
      <c r="BT649" s="61"/>
      <c r="BU649" s="61"/>
      <c r="BV649" s="61"/>
      <c r="BW649" s="61"/>
      <c r="BX649" s="61"/>
      <c r="BY649" s="61"/>
      <c r="BZ649" s="61"/>
      <c r="CA649" s="61"/>
      <c r="CB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2"/>
      <c r="BQ650" s="62"/>
      <c r="BR650" s="62"/>
      <c r="BS650" s="62"/>
      <c r="BT650" s="61"/>
      <c r="BU650" s="61"/>
      <c r="BV650" s="61"/>
      <c r="BW650" s="61"/>
      <c r="BX650" s="61"/>
      <c r="BY650" s="61"/>
      <c r="BZ650" s="61"/>
      <c r="CA650" s="61"/>
      <c r="CB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2"/>
      <c r="BQ651" s="62"/>
      <c r="BR651" s="62"/>
      <c r="BS651" s="62"/>
      <c r="BT651" s="61"/>
      <c r="BU651" s="61"/>
      <c r="BV651" s="61"/>
      <c r="BW651" s="61"/>
      <c r="BX651" s="61"/>
      <c r="BY651" s="61"/>
      <c r="BZ651" s="61"/>
      <c r="CA651" s="61"/>
      <c r="CB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2"/>
      <c r="BQ652" s="62"/>
      <c r="BR652" s="62"/>
      <c r="BS652" s="62"/>
      <c r="BT652" s="61"/>
      <c r="BU652" s="61"/>
      <c r="BV652" s="61"/>
      <c r="BW652" s="61"/>
      <c r="BX652" s="61"/>
      <c r="BY652" s="61"/>
      <c r="BZ652" s="61"/>
      <c r="CA652" s="61"/>
      <c r="CB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2"/>
      <c r="BQ653" s="62"/>
      <c r="BR653" s="62"/>
      <c r="BS653" s="62"/>
      <c r="BT653" s="61"/>
      <c r="BU653" s="61"/>
      <c r="BV653" s="61"/>
      <c r="BW653" s="61"/>
      <c r="BX653" s="61"/>
      <c r="BY653" s="61"/>
      <c r="BZ653" s="61"/>
      <c r="CA653" s="61"/>
      <c r="CB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2"/>
      <c r="BQ654" s="62"/>
      <c r="BR654" s="62"/>
      <c r="BS654" s="62"/>
      <c r="BT654" s="61"/>
      <c r="BU654" s="61"/>
      <c r="BV654" s="61"/>
      <c r="BW654" s="61"/>
      <c r="BX654" s="61"/>
      <c r="BY654" s="61"/>
      <c r="BZ654" s="61"/>
      <c r="CA654" s="61"/>
      <c r="CB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2"/>
      <c r="BQ655" s="62"/>
      <c r="BR655" s="62"/>
      <c r="BS655" s="62"/>
      <c r="BT655" s="61"/>
      <c r="BU655" s="61"/>
      <c r="BV655" s="61"/>
      <c r="BW655" s="61"/>
      <c r="BX655" s="61"/>
      <c r="BY655" s="61"/>
      <c r="BZ655" s="61"/>
      <c r="CA655" s="61"/>
      <c r="CB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2"/>
      <c r="BQ656" s="62"/>
      <c r="BR656" s="62"/>
      <c r="BS656" s="62"/>
      <c r="BT656" s="61"/>
      <c r="BU656" s="61"/>
      <c r="BV656" s="61"/>
      <c r="BW656" s="61"/>
      <c r="BX656" s="61"/>
      <c r="BY656" s="61"/>
      <c r="BZ656" s="61"/>
      <c r="CA656" s="61"/>
      <c r="CB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2"/>
      <c r="BQ657" s="62"/>
      <c r="BR657" s="62"/>
      <c r="BS657" s="62"/>
      <c r="BT657" s="61"/>
      <c r="BU657" s="61"/>
      <c r="BV657" s="61"/>
      <c r="BW657" s="61"/>
      <c r="BX657" s="61"/>
      <c r="BY657" s="61"/>
      <c r="BZ657" s="61"/>
      <c r="CA657" s="61"/>
      <c r="CB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2"/>
      <c r="BQ658" s="62"/>
      <c r="BR658" s="62"/>
      <c r="BS658" s="62"/>
      <c r="BT658" s="61"/>
      <c r="BU658" s="61"/>
      <c r="BV658" s="61"/>
      <c r="BW658" s="61"/>
      <c r="BX658" s="61"/>
      <c r="BY658" s="61"/>
      <c r="BZ658" s="61"/>
      <c r="CA658" s="61"/>
      <c r="CB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2"/>
      <c r="BQ659" s="62"/>
      <c r="BR659" s="62"/>
      <c r="BS659" s="62"/>
      <c r="BT659" s="61"/>
      <c r="BU659" s="61"/>
      <c r="BV659" s="61"/>
      <c r="BW659" s="61"/>
      <c r="BX659" s="61"/>
      <c r="BY659" s="61"/>
      <c r="BZ659" s="61"/>
      <c r="CA659" s="61"/>
      <c r="CB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2"/>
      <c r="BQ660" s="62"/>
      <c r="BR660" s="62"/>
      <c r="BS660" s="62"/>
      <c r="BT660" s="61"/>
      <c r="BU660" s="61"/>
      <c r="BV660" s="61"/>
      <c r="BW660" s="61"/>
      <c r="BX660" s="61"/>
      <c r="BY660" s="61"/>
      <c r="BZ660" s="61"/>
      <c r="CA660" s="61"/>
      <c r="CB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2"/>
      <c r="BQ661" s="62"/>
      <c r="BR661" s="62"/>
      <c r="BS661" s="62"/>
      <c r="BT661" s="61"/>
      <c r="BU661" s="61"/>
      <c r="BV661" s="61"/>
      <c r="BW661" s="61"/>
      <c r="BX661" s="61"/>
      <c r="BY661" s="61"/>
      <c r="BZ661" s="61"/>
      <c r="CA661" s="61"/>
      <c r="CB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2"/>
      <c r="BQ662" s="62"/>
      <c r="BR662" s="62"/>
      <c r="BS662" s="62"/>
      <c r="BT662" s="61"/>
      <c r="BU662" s="61"/>
      <c r="BV662" s="61"/>
      <c r="BW662" s="61"/>
      <c r="BX662" s="61"/>
      <c r="BY662" s="61"/>
      <c r="BZ662" s="61"/>
      <c r="CA662" s="61"/>
      <c r="CB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2"/>
      <c r="BQ663" s="62"/>
      <c r="BR663" s="62"/>
      <c r="BS663" s="62"/>
      <c r="BT663" s="61"/>
      <c r="BU663" s="61"/>
      <c r="BV663" s="61"/>
      <c r="BW663" s="61"/>
      <c r="BX663" s="61"/>
      <c r="BY663" s="61"/>
      <c r="BZ663" s="61"/>
      <c r="CA663" s="61"/>
      <c r="CB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2"/>
      <c r="BQ664" s="62"/>
      <c r="BR664" s="62"/>
      <c r="BS664" s="62"/>
      <c r="BT664" s="61"/>
      <c r="BU664" s="61"/>
      <c r="BV664" s="61"/>
      <c r="BW664" s="61"/>
      <c r="BX664" s="61"/>
      <c r="BY664" s="61"/>
      <c r="BZ664" s="61"/>
      <c r="CA664" s="61"/>
      <c r="CB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2"/>
      <c r="BQ665" s="62"/>
      <c r="BR665" s="62"/>
      <c r="BS665" s="62"/>
      <c r="BT665" s="61"/>
      <c r="BU665" s="61"/>
      <c r="BV665" s="61"/>
      <c r="BW665" s="61"/>
      <c r="BX665" s="61"/>
      <c r="BY665" s="61"/>
      <c r="BZ665" s="61"/>
      <c r="CA665" s="61"/>
      <c r="CB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2"/>
      <c r="BQ666" s="62"/>
      <c r="BR666" s="62"/>
      <c r="BS666" s="62"/>
      <c r="BT666" s="61"/>
      <c r="BU666" s="61"/>
      <c r="BV666" s="61"/>
      <c r="BW666" s="61"/>
      <c r="BX666" s="61"/>
      <c r="BY666" s="61"/>
      <c r="BZ666" s="61"/>
      <c r="CA666" s="61"/>
      <c r="CB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2"/>
      <c r="BQ667" s="62"/>
      <c r="BR667" s="62"/>
      <c r="BS667" s="62"/>
      <c r="BT667" s="61"/>
      <c r="BU667" s="61"/>
      <c r="BV667" s="61"/>
      <c r="BW667" s="61"/>
      <c r="BX667" s="61"/>
      <c r="BY667" s="61"/>
      <c r="BZ667" s="61"/>
      <c r="CA667" s="61"/>
      <c r="CB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2"/>
      <c r="BQ668" s="62"/>
      <c r="BR668" s="62"/>
      <c r="BS668" s="62"/>
      <c r="BT668" s="61"/>
      <c r="BU668" s="61"/>
      <c r="BV668" s="61"/>
      <c r="BW668" s="61"/>
      <c r="BX668" s="61"/>
      <c r="BY668" s="61"/>
      <c r="BZ668" s="61"/>
      <c r="CA668" s="61"/>
      <c r="CB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2"/>
      <c r="BQ669" s="62"/>
      <c r="BR669" s="62"/>
      <c r="BS669" s="62"/>
      <c r="BT669" s="61"/>
      <c r="BU669" s="61"/>
      <c r="BV669" s="61"/>
      <c r="BW669" s="61"/>
      <c r="BX669" s="61"/>
      <c r="BY669" s="61"/>
      <c r="BZ669" s="61"/>
      <c r="CA669" s="61"/>
      <c r="CB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2"/>
      <c r="BQ670" s="62"/>
      <c r="BR670" s="62"/>
      <c r="BS670" s="62"/>
      <c r="BT670" s="61"/>
      <c r="BU670" s="61"/>
      <c r="BV670" s="61"/>
      <c r="BW670" s="61"/>
      <c r="BX670" s="61"/>
      <c r="BY670" s="61"/>
      <c r="BZ670" s="61"/>
      <c r="CA670" s="61"/>
      <c r="CB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2"/>
      <c r="BQ671" s="62"/>
      <c r="BR671" s="62"/>
      <c r="BS671" s="62"/>
      <c r="BT671" s="61"/>
      <c r="BU671" s="61"/>
      <c r="BV671" s="61"/>
      <c r="BW671" s="61"/>
      <c r="BX671" s="61"/>
      <c r="BY671" s="61"/>
      <c r="BZ671" s="61"/>
      <c r="CA671" s="61"/>
      <c r="CB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2"/>
      <c r="BQ672" s="62"/>
      <c r="BR672" s="62"/>
      <c r="BS672" s="62"/>
      <c r="BT672" s="61"/>
      <c r="BU672" s="61"/>
      <c r="BV672" s="61"/>
      <c r="BW672" s="61"/>
      <c r="BX672" s="61"/>
      <c r="BY672" s="61"/>
      <c r="BZ672" s="61"/>
      <c r="CA672" s="61"/>
      <c r="CB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2"/>
      <c r="BQ673" s="62"/>
      <c r="BR673" s="62"/>
      <c r="BS673" s="62"/>
      <c r="BT673" s="61"/>
      <c r="BU673" s="61"/>
      <c r="BV673" s="61"/>
      <c r="BW673" s="61"/>
      <c r="BX673" s="61"/>
      <c r="BY673" s="61"/>
      <c r="BZ673" s="61"/>
      <c r="CA673" s="61"/>
      <c r="CB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2"/>
      <c r="BQ674" s="62"/>
      <c r="BR674" s="62"/>
      <c r="BS674" s="62"/>
      <c r="BT674" s="61"/>
      <c r="BU674" s="61"/>
      <c r="BV674" s="61"/>
      <c r="BW674" s="61"/>
      <c r="BX674" s="61"/>
      <c r="BY674" s="61"/>
      <c r="BZ674" s="61"/>
      <c r="CA674" s="61"/>
      <c r="CB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2"/>
      <c r="BQ675" s="62"/>
      <c r="BR675" s="62"/>
      <c r="BS675" s="62"/>
      <c r="BT675" s="61"/>
      <c r="BU675" s="61"/>
      <c r="BV675" s="61"/>
      <c r="BW675" s="61"/>
      <c r="BX675" s="61"/>
      <c r="BY675" s="61"/>
      <c r="BZ675" s="61"/>
      <c r="CA675" s="61"/>
      <c r="CB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2"/>
      <c r="BQ676" s="62"/>
      <c r="BR676" s="62"/>
      <c r="BS676" s="62"/>
      <c r="BT676" s="61"/>
      <c r="BU676" s="61"/>
      <c r="BV676" s="61"/>
      <c r="BW676" s="61"/>
      <c r="BX676" s="61"/>
      <c r="BY676" s="61"/>
      <c r="BZ676" s="61"/>
      <c r="CA676" s="61"/>
      <c r="CB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2"/>
      <c r="BQ677" s="62"/>
      <c r="BR677" s="62"/>
      <c r="BS677" s="62"/>
      <c r="BT677" s="61"/>
      <c r="BU677" s="61"/>
      <c r="BV677" s="61"/>
      <c r="BW677" s="61"/>
      <c r="BX677" s="61"/>
      <c r="BY677" s="61"/>
      <c r="BZ677" s="61"/>
      <c r="CA677" s="61"/>
      <c r="CB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2"/>
      <c r="BQ678" s="62"/>
      <c r="BR678" s="62"/>
      <c r="BS678" s="62"/>
      <c r="BT678" s="61"/>
      <c r="BU678" s="61"/>
      <c r="BV678" s="61"/>
      <c r="BW678" s="61"/>
      <c r="BX678" s="61"/>
      <c r="BY678" s="61"/>
      <c r="BZ678" s="61"/>
      <c r="CA678" s="61"/>
      <c r="CB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2"/>
      <c r="BQ679" s="62"/>
      <c r="BR679" s="62"/>
      <c r="BS679" s="62"/>
      <c r="BT679" s="61"/>
      <c r="BU679" s="61"/>
      <c r="BV679" s="61"/>
      <c r="BW679" s="61"/>
      <c r="BX679" s="61"/>
      <c r="BY679" s="61"/>
      <c r="BZ679" s="61"/>
      <c r="CA679" s="61"/>
      <c r="CB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2"/>
      <c r="BQ680" s="62"/>
      <c r="BR680" s="62"/>
      <c r="BS680" s="62"/>
      <c r="BT680" s="61"/>
      <c r="BU680" s="61"/>
      <c r="BV680" s="61"/>
      <c r="BW680" s="61"/>
      <c r="BX680" s="61"/>
      <c r="BY680" s="61"/>
      <c r="BZ680" s="61"/>
      <c r="CA680" s="61"/>
      <c r="CB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2"/>
      <c r="BQ681" s="62"/>
      <c r="BR681" s="62"/>
      <c r="BS681" s="62"/>
      <c r="BT681" s="61"/>
      <c r="BU681" s="61"/>
      <c r="BV681" s="61"/>
      <c r="BW681" s="61"/>
      <c r="BX681" s="61"/>
      <c r="BY681" s="61"/>
      <c r="BZ681" s="61"/>
      <c r="CA681" s="61"/>
      <c r="CB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2"/>
      <c r="BQ682" s="62"/>
      <c r="BR682" s="62"/>
      <c r="BS682" s="62"/>
      <c r="BT682" s="61"/>
      <c r="BU682" s="61"/>
      <c r="BV682" s="61"/>
      <c r="BW682" s="61"/>
      <c r="BX682" s="61"/>
      <c r="BY682" s="61"/>
      <c r="BZ682" s="61"/>
      <c r="CA682" s="61"/>
      <c r="CB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2"/>
      <c r="BQ683" s="62"/>
      <c r="BR683" s="62"/>
      <c r="BS683" s="62"/>
      <c r="BT683" s="61"/>
      <c r="BU683" s="61"/>
      <c r="BV683" s="61"/>
      <c r="BW683" s="61"/>
      <c r="BX683" s="61"/>
      <c r="BY683" s="61"/>
      <c r="BZ683" s="61"/>
      <c r="CA683" s="61"/>
      <c r="CB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2"/>
      <c r="BQ684" s="62"/>
      <c r="BR684" s="62"/>
      <c r="BS684" s="62"/>
      <c r="BT684" s="61"/>
      <c r="BU684" s="61"/>
      <c r="BV684" s="61"/>
      <c r="BW684" s="61"/>
      <c r="BX684" s="61"/>
      <c r="BY684" s="61"/>
      <c r="BZ684" s="61"/>
      <c r="CA684" s="61"/>
      <c r="CB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2"/>
      <c r="BQ685" s="62"/>
      <c r="BR685" s="62"/>
      <c r="BS685" s="62"/>
      <c r="BT685" s="61"/>
      <c r="BU685" s="61"/>
      <c r="BV685" s="61"/>
      <c r="BW685" s="61"/>
      <c r="BX685" s="61"/>
      <c r="BY685" s="61"/>
      <c r="BZ685" s="61"/>
      <c r="CA685" s="61"/>
      <c r="CB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2"/>
      <c r="BQ686" s="62"/>
      <c r="BR686" s="62"/>
      <c r="BS686" s="62"/>
      <c r="BT686" s="61"/>
      <c r="BU686" s="61"/>
      <c r="BV686" s="61"/>
      <c r="BW686" s="61"/>
      <c r="BX686" s="61"/>
      <c r="BY686" s="61"/>
      <c r="BZ686" s="61"/>
      <c r="CA686" s="61"/>
      <c r="CB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2"/>
      <c r="BQ687" s="62"/>
      <c r="BR687" s="62"/>
      <c r="BS687" s="62"/>
      <c r="BT687" s="61"/>
      <c r="BU687" s="61"/>
      <c r="BV687" s="61"/>
      <c r="BW687" s="61"/>
      <c r="BX687" s="61"/>
      <c r="BY687" s="61"/>
      <c r="BZ687" s="61"/>
      <c r="CA687" s="61"/>
      <c r="CB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2"/>
      <c r="BQ688" s="62"/>
      <c r="BR688" s="62"/>
      <c r="BS688" s="62"/>
      <c r="BT688" s="61"/>
      <c r="BU688" s="61"/>
      <c r="BV688" s="61"/>
      <c r="BW688" s="61"/>
      <c r="BX688" s="61"/>
      <c r="BY688" s="61"/>
      <c r="BZ688" s="61"/>
      <c r="CA688" s="61"/>
      <c r="CB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2"/>
      <c r="BQ689" s="62"/>
      <c r="BR689" s="62"/>
      <c r="BS689" s="62"/>
      <c r="BT689" s="61"/>
      <c r="BU689" s="61"/>
      <c r="BV689" s="61"/>
      <c r="BW689" s="61"/>
      <c r="BX689" s="61"/>
      <c r="BY689" s="61"/>
      <c r="BZ689" s="61"/>
      <c r="CA689" s="61"/>
      <c r="CB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2"/>
      <c r="BQ690" s="62"/>
      <c r="BR690" s="62"/>
      <c r="BS690" s="62"/>
      <c r="BT690" s="61"/>
      <c r="BU690" s="61"/>
      <c r="BV690" s="61"/>
      <c r="BW690" s="61"/>
      <c r="BX690" s="61"/>
      <c r="BY690" s="61"/>
      <c r="BZ690" s="61"/>
      <c r="CA690" s="61"/>
      <c r="CB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2"/>
      <c r="BQ691" s="62"/>
      <c r="BR691" s="62"/>
      <c r="BS691" s="62"/>
      <c r="BT691" s="61"/>
      <c r="BU691" s="61"/>
      <c r="BV691" s="61"/>
      <c r="BW691" s="61"/>
      <c r="BX691" s="61"/>
      <c r="BY691" s="61"/>
      <c r="BZ691" s="61"/>
      <c r="CA691" s="61"/>
      <c r="CB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2"/>
      <c r="BQ692" s="62"/>
      <c r="BR692" s="62"/>
      <c r="BS692" s="62"/>
      <c r="BT692" s="61"/>
      <c r="BU692" s="61"/>
      <c r="BV692" s="61"/>
      <c r="BW692" s="61"/>
      <c r="BX692" s="61"/>
      <c r="BY692" s="61"/>
      <c r="BZ692" s="61"/>
      <c r="CA692" s="61"/>
      <c r="CB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2"/>
      <c r="BQ693" s="62"/>
      <c r="BR693" s="62"/>
      <c r="BS693" s="62"/>
      <c r="BT693" s="61"/>
      <c r="BU693" s="61"/>
      <c r="BV693" s="61"/>
      <c r="BW693" s="61"/>
      <c r="BX693" s="61"/>
      <c r="BY693" s="61"/>
      <c r="BZ693" s="61"/>
      <c r="CA693" s="61"/>
      <c r="CB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2"/>
      <c r="BQ694" s="62"/>
      <c r="BR694" s="62"/>
      <c r="BS694" s="62"/>
      <c r="BT694" s="61"/>
      <c r="BU694" s="61"/>
      <c r="BV694" s="61"/>
      <c r="BW694" s="61"/>
      <c r="BX694" s="61"/>
      <c r="BY694" s="61"/>
      <c r="BZ694" s="61"/>
      <c r="CA694" s="61"/>
      <c r="CB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2"/>
      <c r="BQ695" s="62"/>
      <c r="BR695" s="62"/>
      <c r="BS695" s="62"/>
      <c r="BT695" s="61"/>
      <c r="BU695" s="61"/>
      <c r="BV695" s="61"/>
      <c r="BW695" s="61"/>
      <c r="BX695" s="61"/>
      <c r="BY695" s="61"/>
      <c r="BZ695" s="61"/>
      <c r="CA695" s="61"/>
      <c r="CB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2"/>
      <c r="BQ696" s="62"/>
      <c r="BR696" s="62"/>
      <c r="BS696" s="62"/>
      <c r="BT696" s="61"/>
      <c r="BU696" s="61"/>
      <c r="BV696" s="61"/>
      <c r="BW696" s="61"/>
      <c r="BX696" s="61"/>
      <c r="BY696" s="61"/>
      <c r="BZ696" s="61"/>
      <c r="CA696" s="61"/>
      <c r="CB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2"/>
      <c r="BQ697" s="62"/>
      <c r="BR697" s="62"/>
      <c r="BS697" s="62"/>
      <c r="BT697" s="61"/>
      <c r="BU697" s="61"/>
      <c r="BV697" s="61"/>
      <c r="BW697" s="61"/>
      <c r="BX697" s="61"/>
      <c r="BY697" s="61"/>
      <c r="BZ697" s="61"/>
      <c r="CA697" s="61"/>
      <c r="CB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2"/>
      <c r="BQ698" s="62"/>
      <c r="BR698" s="62"/>
      <c r="BS698" s="62"/>
      <c r="BT698" s="61"/>
      <c r="BU698" s="61"/>
      <c r="BV698" s="61"/>
      <c r="BW698" s="61"/>
      <c r="BX698" s="61"/>
      <c r="BY698" s="61"/>
      <c r="BZ698" s="61"/>
      <c r="CA698" s="61"/>
      <c r="CB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2"/>
      <c r="BQ699" s="62"/>
      <c r="BR699" s="62"/>
      <c r="BS699" s="62"/>
      <c r="BT699" s="61"/>
      <c r="BU699" s="61"/>
      <c r="BV699" s="61"/>
      <c r="BW699" s="61"/>
      <c r="BX699" s="61"/>
      <c r="BY699" s="61"/>
      <c r="BZ699" s="61"/>
      <c r="CA699" s="61"/>
      <c r="CB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2"/>
      <c r="BQ700" s="62"/>
      <c r="BR700" s="62"/>
      <c r="BS700" s="62"/>
      <c r="BT700" s="61"/>
      <c r="BU700" s="61"/>
      <c r="BV700" s="61"/>
      <c r="BW700" s="61"/>
      <c r="BX700" s="61"/>
      <c r="BY700" s="61"/>
      <c r="BZ700" s="61"/>
      <c r="CA700" s="61"/>
      <c r="CB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2"/>
      <c r="BQ701" s="62"/>
      <c r="BR701" s="62"/>
      <c r="BS701" s="62"/>
      <c r="BT701" s="61"/>
      <c r="BU701" s="61"/>
      <c r="BV701" s="61"/>
      <c r="BW701" s="61"/>
      <c r="BX701" s="61"/>
      <c r="BY701" s="61"/>
      <c r="BZ701" s="61"/>
      <c r="CA701" s="61"/>
      <c r="CB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2"/>
      <c r="BQ702" s="62"/>
      <c r="BR702" s="62"/>
      <c r="BS702" s="62"/>
      <c r="BT702" s="61"/>
      <c r="BU702" s="61"/>
      <c r="BV702" s="61"/>
      <c r="BW702" s="61"/>
      <c r="BX702" s="61"/>
      <c r="BY702" s="61"/>
      <c r="BZ702" s="61"/>
      <c r="CA702" s="61"/>
      <c r="CB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2"/>
      <c r="BQ703" s="62"/>
      <c r="BR703" s="62"/>
      <c r="BS703" s="62"/>
      <c r="BT703" s="61"/>
      <c r="BU703" s="61"/>
      <c r="BV703" s="61"/>
      <c r="BW703" s="61"/>
      <c r="BX703" s="61"/>
      <c r="BY703" s="61"/>
      <c r="BZ703" s="61"/>
      <c r="CA703" s="61"/>
      <c r="CB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2"/>
      <c r="BQ704" s="62"/>
      <c r="BR704" s="62"/>
      <c r="BS704" s="62"/>
      <c r="BT704" s="61"/>
      <c r="BU704" s="61"/>
      <c r="BV704" s="61"/>
      <c r="BW704" s="61"/>
      <c r="BX704" s="61"/>
      <c r="BY704" s="61"/>
      <c r="BZ704" s="61"/>
      <c r="CA704" s="61"/>
      <c r="CB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2"/>
      <c r="BQ705" s="62"/>
      <c r="BR705" s="62"/>
      <c r="BS705" s="62"/>
      <c r="BT705" s="61"/>
      <c r="BU705" s="61"/>
      <c r="BV705" s="61"/>
      <c r="BW705" s="61"/>
      <c r="BX705" s="61"/>
      <c r="BY705" s="61"/>
      <c r="BZ705" s="61"/>
      <c r="CA705" s="61"/>
      <c r="CB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2"/>
      <c r="BQ706" s="62"/>
      <c r="BR706" s="62"/>
      <c r="BS706" s="62"/>
      <c r="BT706" s="61"/>
      <c r="BU706" s="61"/>
      <c r="BV706" s="61"/>
      <c r="BW706" s="61"/>
      <c r="BX706" s="61"/>
      <c r="BY706" s="61"/>
      <c r="BZ706" s="61"/>
      <c r="CA706" s="61"/>
      <c r="CB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2"/>
      <c r="BQ707" s="62"/>
      <c r="BR707" s="62"/>
      <c r="BS707" s="62"/>
      <c r="BT707" s="61"/>
      <c r="BU707" s="61"/>
      <c r="BV707" s="61"/>
      <c r="BW707" s="61"/>
      <c r="BX707" s="61"/>
      <c r="BY707" s="61"/>
      <c r="BZ707" s="61"/>
      <c r="CA707" s="61"/>
      <c r="CB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2"/>
      <c r="BQ708" s="62"/>
      <c r="BR708" s="62"/>
      <c r="BS708" s="62"/>
      <c r="BT708" s="61"/>
      <c r="BU708" s="61"/>
      <c r="BV708" s="61"/>
      <c r="BW708" s="61"/>
      <c r="BX708" s="61"/>
      <c r="BY708" s="61"/>
      <c r="BZ708" s="61"/>
      <c r="CA708" s="61"/>
      <c r="CB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2"/>
      <c r="BQ709" s="62"/>
      <c r="BR709" s="62"/>
      <c r="BS709" s="62"/>
      <c r="BT709" s="61"/>
      <c r="BU709" s="61"/>
      <c r="BV709" s="61"/>
      <c r="BW709" s="61"/>
      <c r="BX709" s="61"/>
      <c r="BY709" s="61"/>
      <c r="BZ709" s="61"/>
      <c r="CA709" s="61"/>
      <c r="CB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2"/>
      <c r="BQ710" s="62"/>
      <c r="BR710" s="62"/>
      <c r="BS710" s="62"/>
      <c r="BT710" s="61"/>
      <c r="BU710" s="61"/>
      <c r="BV710" s="61"/>
      <c r="BW710" s="61"/>
      <c r="BX710" s="61"/>
      <c r="BY710" s="61"/>
      <c r="BZ710" s="61"/>
      <c r="CA710" s="61"/>
      <c r="CB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2"/>
      <c r="BQ711" s="62"/>
      <c r="BR711" s="62"/>
      <c r="BS711" s="62"/>
      <c r="BT711" s="61"/>
      <c r="BU711" s="61"/>
      <c r="BV711" s="61"/>
      <c r="BW711" s="61"/>
      <c r="BX711" s="61"/>
      <c r="BY711" s="61"/>
      <c r="BZ711" s="61"/>
      <c r="CA711" s="61"/>
      <c r="CB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2"/>
      <c r="BQ712" s="62"/>
      <c r="BR712" s="62"/>
      <c r="BS712" s="62"/>
      <c r="BT712" s="61"/>
      <c r="BU712" s="61"/>
      <c r="BV712" s="61"/>
      <c r="BW712" s="61"/>
      <c r="BX712" s="61"/>
      <c r="BY712" s="61"/>
      <c r="BZ712" s="61"/>
      <c r="CA712" s="61"/>
      <c r="CB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2"/>
      <c r="BQ713" s="62"/>
      <c r="BR713" s="62"/>
      <c r="BS713" s="62"/>
      <c r="BT713" s="61"/>
      <c r="BU713" s="61"/>
      <c r="BV713" s="61"/>
      <c r="BW713" s="61"/>
      <c r="BX713" s="61"/>
      <c r="BY713" s="61"/>
      <c r="BZ713" s="61"/>
      <c r="CA713" s="61"/>
      <c r="CB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2"/>
      <c r="BQ714" s="62"/>
      <c r="BR714" s="62"/>
      <c r="BS714" s="62"/>
      <c r="BT714" s="61"/>
      <c r="BU714" s="61"/>
      <c r="BV714" s="61"/>
      <c r="BW714" s="61"/>
      <c r="BX714" s="61"/>
      <c r="BY714" s="61"/>
      <c r="BZ714" s="61"/>
      <c r="CA714" s="61"/>
      <c r="CB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2"/>
      <c r="BQ715" s="62"/>
      <c r="BR715" s="62"/>
      <c r="BS715" s="62"/>
      <c r="BT715" s="61"/>
      <c r="BU715" s="61"/>
      <c r="BV715" s="61"/>
      <c r="BW715" s="61"/>
      <c r="BX715" s="61"/>
      <c r="BY715" s="61"/>
      <c r="BZ715" s="61"/>
      <c r="CA715" s="61"/>
      <c r="CB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2"/>
      <c r="BQ716" s="62"/>
      <c r="BR716" s="62"/>
      <c r="BS716" s="62"/>
      <c r="BT716" s="61"/>
      <c r="BU716" s="61"/>
      <c r="BV716" s="61"/>
      <c r="BW716" s="61"/>
      <c r="BX716" s="61"/>
      <c r="BY716" s="61"/>
      <c r="BZ716" s="61"/>
      <c r="CA716" s="61"/>
      <c r="CB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2"/>
      <c r="BQ717" s="62"/>
      <c r="BR717" s="62"/>
      <c r="BS717" s="62"/>
      <c r="BT717" s="61"/>
      <c r="BU717" s="61"/>
      <c r="BV717" s="61"/>
      <c r="BW717" s="61"/>
      <c r="BX717" s="61"/>
      <c r="BY717" s="61"/>
      <c r="BZ717" s="61"/>
      <c r="CA717" s="61"/>
      <c r="CB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2"/>
      <c r="BQ718" s="62"/>
      <c r="BR718" s="62"/>
      <c r="BS718" s="62"/>
      <c r="BT718" s="61"/>
      <c r="BU718" s="61"/>
      <c r="BV718" s="61"/>
      <c r="BW718" s="61"/>
      <c r="BX718" s="61"/>
      <c r="BY718" s="61"/>
      <c r="BZ718" s="61"/>
      <c r="CA718" s="61"/>
      <c r="CB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2"/>
      <c r="BQ719" s="62"/>
      <c r="BR719" s="62"/>
      <c r="BS719" s="62"/>
      <c r="BT719" s="61"/>
      <c r="BU719" s="61"/>
      <c r="BV719" s="61"/>
      <c r="BW719" s="61"/>
      <c r="BX719" s="61"/>
      <c r="BY719" s="61"/>
      <c r="BZ719" s="61"/>
      <c r="CA719" s="61"/>
      <c r="CB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2"/>
      <c r="BQ720" s="62"/>
      <c r="BR720" s="62"/>
      <c r="BS720" s="62"/>
      <c r="BT720" s="61"/>
      <c r="BU720" s="61"/>
      <c r="BV720" s="61"/>
      <c r="BW720" s="61"/>
      <c r="BX720" s="61"/>
      <c r="BY720" s="61"/>
      <c r="BZ720" s="61"/>
      <c r="CA720" s="61"/>
      <c r="CB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2"/>
      <c r="BQ721" s="62"/>
      <c r="BR721" s="62"/>
      <c r="BS721" s="62"/>
      <c r="BT721" s="61"/>
      <c r="BU721" s="61"/>
      <c r="BV721" s="61"/>
      <c r="BW721" s="61"/>
      <c r="BX721" s="61"/>
      <c r="BY721" s="61"/>
      <c r="BZ721" s="61"/>
      <c r="CA721" s="61"/>
      <c r="CB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2"/>
      <c r="BQ722" s="62"/>
      <c r="BR722" s="62"/>
      <c r="BS722" s="62"/>
      <c r="BT722" s="61"/>
      <c r="BU722" s="61"/>
      <c r="BV722" s="61"/>
      <c r="BW722" s="61"/>
      <c r="BX722" s="61"/>
      <c r="BY722" s="61"/>
      <c r="BZ722" s="61"/>
      <c r="CA722" s="61"/>
      <c r="CB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2"/>
      <c r="BQ723" s="62"/>
      <c r="BR723" s="62"/>
      <c r="BS723" s="62"/>
      <c r="BT723" s="61"/>
      <c r="BU723" s="61"/>
      <c r="BV723" s="61"/>
      <c r="BW723" s="61"/>
      <c r="BX723" s="61"/>
      <c r="BY723" s="61"/>
      <c r="BZ723" s="61"/>
      <c r="CA723" s="61"/>
      <c r="CB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2"/>
      <c r="BQ724" s="62"/>
      <c r="BR724" s="62"/>
      <c r="BS724" s="62"/>
      <c r="BT724" s="61"/>
      <c r="BU724" s="61"/>
      <c r="BV724" s="61"/>
      <c r="BW724" s="61"/>
      <c r="BX724" s="61"/>
      <c r="BY724" s="61"/>
      <c r="BZ724" s="61"/>
      <c r="CA724" s="61"/>
      <c r="CB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2"/>
      <c r="BQ725" s="62"/>
      <c r="BR725" s="62"/>
      <c r="BS725" s="62"/>
      <c r="BT725" s="61"/>
      <c r="BU725" s="61"/>
      <c r="BV725" s="61"/>
      <c r="BW725" s="61"/>
      <c r="BX725" s="61"/>
      <c r="BY725" s="61"/>
      <c r="BZ725" s="61"/>
      <c r="CA725" s="61"/>
      <c r="CB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2"/>
      <c r="BQ726" s="62"/>
      <c r="BR726" s="62"/>
      <c r="BS726" s="62"/>
      <c r="BT726" s="61"/>
      <c r="BU726" s="61"/>
      <c r="BV726" s="61"/>
      <c r="BW726" s="61"/>
      <c r="BX726" s="61"/>
      <c r="BY726" s="61"/>
      <c r="BZ726" s="61"/>
      <c r="CA726" s="61"/>
      <c r="CB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2"/>
      <c r="BQ727" s="62"/>
      <c r="BR727" s="62"/>
      <c r="BS727" s="62"/>
      <c r="BT727" s="61"/>
      <c r="BU727" s="61"/>
      <c r="BV727" s="61"/>
      <c r="BW727" s="61"/>
      <c r="BX727" s="61"/>
      <c r="BY727" s="61"/>
      <c r="BZ727" s="61"/>
      <c r="CA727" s="61"/>
      <c r="CB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2"/>
      <c r="BQ728" s="62"/>
      <c r="BR728" s="62"/>
      <c r="BS728" s="62"/>
      <c r="BT728" s="61"/>
      <c r="BU728" s="61"/>
      <c r="BV728" s="61"/>
      <c r="BW728" s="61"/>
      <c r="BX728" s="61"/>
      <c r="BY728" s="61"/>
      <c r="BZ728" s="61"/>
      <c r="CA728" s="61"/>
      <c r="CB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2"/>
      <c r="BQ729" s="62"/>
      <c r="BR729" s="62"/>
      <c r="BS729" s="62"/>
      <c r="BT729" s="61"/>
      <c r="BU729" s="61"/>
      <c r="BV729" s="61"/>
      <c r="BW729" s="61"/>
      <c r="BX729" s="61"/>
      <c r="BY729" s="61"/>
      <c r="BZ729" s="61"/>
      <c r="CA729" s="61"/>
      <c r="CB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2"/>
      <c r="BQ730" s="62"/>
      <c r="BR730" s="62"/>
      <c r="BS730" s="62"/>
      <c r="BT730" s="61"/>
      <c r="BU730" s="61"/>
      <c r="BV730" s="61"/>
      <c r="BW730" s="61"/>
      <c r="BX730" s="61"/>
      <c r="BY730" s="61"/>
      <c r="BZ730" s="61"/>
      <c r="CA730" s="61"/>
      <c r="CB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2"/>
      <c r="BQ731" s="62"/>
      <c r="BR731" s="62"/>
      <c r="BS731" s="62"/>
      <c r="BT731" s="61"/>
      <c r="BU731" s="61"/>
      <c r="BV731" s="61"/>
      <c r="BW731" s="61"/>
      <c r="BX731" s="61"/>
      <c r="BY731" s="61"/>
      <c r="BZ731" s="61"/>
      <c r="CA731" s="61"/>
      <c r="CB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2"/>
      <c r="BQ732" s="62"/>
      <c r="BR732" s="62"/>
      <c r="BS732" s="62"/>
      <c r="BT732" s="61"/>
      <c r="BU732" s="61"/>
      <c r="BV732" s="61"/>
      <c r="BW732" s="61"/>
      <c r="BX732" s="61"/>
      <c r="BY732" s="61"/>
      <c r="BZ732" s="61"/>
      <c r="CA732" s="61"/>
      <c r="CB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2"/>
      <c r="BQ733" s="62"/>
      <c r="BR733" s="62"/>
      <c r="BS733" s="62"/>
      <c r="BT733" s="61"/>
      <c r="BU733" s="61"/>
      <c r="BV733" s="61"/>
      <c r="BW733" s="61"/>
      <c r="BX733" s="61"/>
      <c r="BY733" s="61"/>
      <c r="BZ733" s="61"/>
      <c r="CA733" s="61"/>
      <c r="CB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2"/>
      <c r="BQ734" s="62"/>
      <c r="BR734" s="62"/>
      <c r="BS734" s="62"/>
      <c r="BT734" s="61"/>
      <c r="BU734" s="61"/>
      <c r="BV734" s="61"/>
      <c r="BW734" s="61"/>
      <c r="BX734" s="61"/>
      <c r="BY734" s="61"/>
      <c r="BZ734" s="61"/>
      <c r="CA734" s="61"/>
      <c r="CB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2"/>
      <c r="BQ735" s="62"/>
      <c r="BR735" s="62"/>
      <c r="BS735" s="62"/>
      <c r="BT735" s="61"/>
      <c r="BU735" s="61"/>
      <c r="BV735" s="61"/>
      <c r="BW735" s="61"/>
      <c r="BX735" s="61"/>
      <c r="BY735" s="61"/>
      <c r="BZ735" s="61"/>
      <c r="CA735" s="61"/>
      <c r="CB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2"/>
      <c r="BQ736" s="62"/>
      <c r="BR736" s="62"/>
      <c r="BS736" s="62"/>
      <c r="BT736" s="61"/>
      <c r="BU736" s="61"/>
      <c r="BV736" s="61"/>
      <c r="BW736" s="61"/>
      <c r="BX736" s="61"/>
      <c r="BY736" s="61"/>
      <c r="BZ736" s="61"/>
      <c r="CA736" s="61"/>
      <c r="CB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2"/>
      <c r="BQ737" s="62"/>
      <c r="BR737" s="62"/>
      <c r="BS737" s="62"/>
      <c r="BT737" s="61"/>
      <c r="BU737" s="61"/>
      <c r="BV737" s="61"/>
      <c r="BW737" s="61"/>
      <c r="BX737" s="61"/>
      <c r="BY737" s="61"/>
      <c r="BZ737" s="61"/>
      <c r="CA737" s="61"/>
      <c r="CB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2"/>
      <c r="BQ738" s="62"/>
      <c r="BR738" s="62"/>
      <c r="BS738" s="62"/>
      <c r="BT738" s="61"/>
      <c r="BU738" s="61"/>
      <c r="BV738" s="61"/>
      <c r="BW738" s="61"/>
      <c r="BX738" s="61"/>
      <c r="BY738" s="61"/>
      <c r="BZ738" s="61"/>
      <c r="CA738" s="61"/>
      <c r="CB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2"/>
      <c r="BQ739" s="62"/>
      <c r="BR739" s="62"/>
      <c r="BS739" s="62"/>
      <c r="BT739" s="61"/>
      <c r="BU739" s="61"/>
      <c r="BV739" s="61"/>
      <c r="BW739" s="61"/>
      <c r="BX739" s="61"/>
      <c r="BY739" s="61"/>
      <c r="BZ739" s="61"/>
      <c r="CA739" s="61"/>
      <c r="CB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2"/>
      <c r="BQ740" s="62"/>
      <c r="BR740" s="62"/>
      <c r="BS740" s="62"/>
      <c r="BT740" s="61"/>
      <c r="BU740" s="61"/>
      <c r="BV740" s="61"/>
      <c r="BW740" s="61"/>
      <c r="BX740" s="61"/>
      <c r="BY740" s="61"/>
      <c r="BZ740" s="61"/>
      <c r="CA740" s="61"/>
      <c r="CB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2"/>
      <c r="BQ741" s="62"/>
      <c r="BR741" s="62"/>
      <c r="BS741" s="62"/>
      <c r="BT741" s="61"/>
      <c r="BU741" s="61"/>
      <c r="BV741" s="61"/>
      <c r="BW741" s="61"/>
      <c r="BX741" s="61"/>
      <c r="BY741" s="61"/>
      <c r="BZ741" s="61"/>
      <c r="CA741" s="61"/>
      <c r="CB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2"/>
      <c r="BQ742" s="62"/>
      <c r="BR742" s="62"/>
      <c r="BS742" s="62"/>
      <c r="BT742" s="61"/>
      <c r="BU742" s="61"/>
      <c r="BV742" s="61"/>
      <c r="BW742" s="61"/>
      <c r="BX742" s="61"/>
      <c r="BY742" s="61"/>
      <c r="BZ742" s="61"/>
      <c r="CA742" s="61"/>
      <c r="CB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2"/>
      <c r="BQ743" s="62"/>
      <c r="BR743" s="62"/>
      <c r="BS743" s="62"/>
      <c r="BT743" s="61"/>
      <c r="BU743" s="61"/>
      <c r="BV743" s="61"/>
      <c r="BW743" s="61"/>
      <c r="BX743" s="61"/>
      <c r="BY743" s="61"/>
      <c r="BZ743" s="61"/>
      <c r="CA743" s="61"/>
      <c r="CB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2"/>
      <c r="BQ744" s="62"/>
      <c r="BR744" s="62"/>
      <c r="BS744" s="62"/>
      <c r="BT744" s="61"/>
      <c r="BU744" s="61"/>
      <c r="BV744" s="61"/>
      <c r="BW744" s="61"/>
      <c r="BX744" s="61"/>
      <c r="BY744" s="61"/>
      <c r="BZ744" s="61"/>
      <c r="CA744" s="61"/>
      <c r="CB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2"/>
      <c r="BQ745" s="62"/>
      <c r="BR745" s="62"/>
      <c r="BS745" s="62"/>
      <c r="BT745" s="61"/>
      <c r="BU745" s="61"/>
      <c r="BV745" s="61"/>
      <c r="BW745" s="61"/>
      <c r="BX745" s="61"/>
      <c r="BY745" s="61"/>
      <c r="BZ745" s="61"/>
      <c r="CA745" s="61"/>
      <c r="CB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2"/>
      <c r="BQ746" s="62"/>
      <c r="BR746" s="62"/>
      <c r="BS746" s="62"/>
      <c r="BT746" s="61"/>
      <c r="BU746" s="61"/>
      <c r="BV746" s="61"/>
      <c r="BW746" s="61"/>
      <c r="BX746" s="61"/>
      <c r="BY746" s="61"/>
      <c r="BZ746" s="61"/>
      <c r="CA746" s="61"/>
      <c r="CB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2"/>
      <c r="BQ747" s="62"/>
      <c r="BR747" s="62"/>
      <c r="BS747" s="62"/>
      <c r="BT747" s="61"/>
      <c r="BU747" s="61"/>
      <c r="BV747" s="61"/>
      <c r="BW747" s="61"/>
      <c r="BX747" s="61"/>
      <c r="BY747" s="61"/>
      <c r="BZ747" s="61"/>
      <c r="CA747" s="61"/>
      <c r="CB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2"/>
      <c r="BQ748" s="62"/>
      <c r="BR748" s="62"/>
      <c r="BS748" s="62"/>
      <c r="BT748" s="61"/>
      <c r="BU748" s="61"/>
      <c r="BV748" s="61"/>
      <c r="BW748" s="61"/>
      <c r="BX748" s="61"/>
      <c r="BY748" s="61"/>
      <c r="BZ748" s="61"/>
      <c r="CA748" s="61"/>
      <c r="CB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2"/>
      <c r="BQ749" s="62"/>
      <c r="BR749" s="62"/>
      <c r="BS749" s="62"/>
      <c r="BT749" s="61"/>
      <c r="BU749" s="61"/>
      <c r="BV749" s="61"/>
      <c r="BW749" s="61"/>
      <c r="BX749" s="61"/>
      <c r="BY749" s="61"/>
      <c r="BZ749" s="61"/>
      <c r="CA749" s="61"/>
      <c r="CB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2"/>
      <c r="BQ750" s="62"/>
      <c r="BR750" s="62"/>
      <c r="BS750" s="62"/>
      <c r="BT750" s="61"/>
      <c r="BU750" s="61"/>
      <c r="BV750" s="61"/>
      <c r="BW750" s="61"/>
      <c r="BX750" s="61"/>
      <c r="BY750" s="61"/>
      <c r="BZ750" s="61"/>
      <c r="CA750" s="61"/>
      <c r="CB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2"/>
      <c r="BQ751" s="62"/>
      <c r="BR751" s="62"/>
      <c r="BS751" s="62"/>
      <c r="BT751" s="61"/>
      <c r="BU751" s="61"/>
      <c r="BV751" s="61"/>
      <c r="BW751" s="61"/>
      <c r="BX751" s="61"/>
      <c r="BY751" s="61"/>
      <c r="BZ751" s="61"/>
      <c r="CA751" s="61"/>
      <c r="CB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2"/>
      <c r="BQ752" s="62"/>
      <c r="BR752" s="62"/>
      <c r="BS752" s="62"/>
      <c r="BT752" s="61"/>
      <c r="BU752" s="61"/>
      <c r="BV752" s="61"/>
      <c r="BW752" s="61"/>
      <c r="BX752" s="61"/>
      <c r="BY752" s="61"/>
      <c r="BZ752" s="61"/>
      <c r="CA752" s="61"/>
      <c r="CB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2"/>
      <c r="BQ753" s="62"/>
      <c r="BR753" s="62"/>
      <c r="BS753" s="62"/>
      <c r="BT753" s="61"/>
      <c r="BU753" s="61"/>
      <c r="BV753" s="61"/>
      <c r="BW753" s="61"/>
      <c r="BX753" s="61"/>
      <c r="BY753" s="61"/>
      <c r="BZ753" s="61"/>
      <c r="CA753" s="61"/>
      <c r="CB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2"/>
      <c r="BQ754" s="62"/>
      <c r="BR754" s="62"/>
      <c r="BS754" s="62"/>
      <c r="BT754" s="61"/>
      <c r="BU754" s="61"/>
      <c r="BV754" s="61"/>
      <c r="BW754" s="61"/>
      <c r="BX754" s="61"/>
      <c r="BY754" s="61"/>
      <c r="BZ754" s="61"/>
      <c r="CA754" s="61"/>
      <c r="CB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2"/>
      <c r="BQ755" s="62"/>
      <c r="BR755" s="62"/>
      <c r="BS755" s="62"/>
      <c r="BT755" s="61"/>
      <c r="BU755" s="61"/>
      <c r="BV755" s="61"/>
      <c r="BW755" s="61"/>
      <c r="BX755" s="61"/>
      <c r="BY755" s="61"/>
      <c r="BZ755" s="61"/>
      <c r="CA755" s="61"/>
      <c r="CB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2"/>
      <c r="BQ756" s="62"/>
      <c r="BR756" s="62"/>
      <c r="BS756" s="62"/>
      <c r="BT756" s="61"/>
      <c r="BU756" s="61"/>
      <c r="BV756" s="61"/>
      <c r="BW756" s="61"/>
      <c r="BX756" s="61"/>
      <c r="BY756" s="61"/>
      <c r="BZ756" s="61"/>
      <c r="CA756" s="61"/>
      <c r="CB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2"/>
      <c r="BQ757" s="62"/>
      <c r="BR757" s="62"/>
      <c r="BS757" s="62"/>
      <c r="BT757" s="61"/>
      <c r="BU757" s="61"/>
      <c r="BV757" s="61"/>
      <c r="BW757" s="61"/>
      <c r="BX757" s="61"/>
      <c r="BY757" s="61"/>
      <c r="BZ757" s="61"/>
      <c r="CA757" s="61"/>
      <c r="CB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2"/>
      <c r="BQ758" s="62"/>
      <c r="BR758" s="62"/>
      <c r="BS758" s="62"/>
      <c r="BT758" s="61"/>
      <c r="BU758" s="61"/>
      <c r="BV758" s="61"/>
      <c r="BW758" s="61"/>
      <c r="BX758" s="61"/>
      <c r="BY758" s="61"/>
      <c r="BZ758" s="61"/>
      <c r="CA758" s="61"/>
      <c r="CB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2"/>
      <c r="BQ759" s="62"/>
      <c r="BR759" s="62"/>
      <c r="BS759" s="62"/>
      <c r="BT759" s="61"/>
      <c r="BU759" s="61"/>
      <c r="BV759" s="61"/>
      <c r="BW759" s="61"/>
      <c r="BX759" s="61"/>
      <c r="BY759" s="61"/>
      <c r="BZ759" s="61"/>
      <c r="CA759" s="61"/>
      <c r="CB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2"/>
      <c r="BQ760" s="62"/>
      <c r="BR760" s="62"/>
      <c r="BS760" s="62"/>
      <c r="BT760" s="61"/>
      <c r="BU760" s="61"/>
      <c r="BV760" s="61"/>
      <c r="BW760" s="61"/>
      <c r="BX760" s="61"/>
      <c r="BY760" s="61"/>
      <c r="BZ760" s="61"/>
      <c r="CA760" s="61"/>
      <c r="CB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2"/>
      <c r="BQ761" s="62"/>
      <c r="BR761" s="62"/>
      <c r="BS761" s="62"/>
      <c r="BT761" s="61"/>
      <c r="BU761" s="61"/>
      <c r="BV761" s="61"/>
      <c r="BW761" s="61"/>
      <c r="BX761" s="61"/>
      <c r="BY761" s="61"/>
      <c r="BZ761" s="61"/>
      <c r="CA761" s="61"/>
      <c r="CB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2"/>
      <c r="BQ762" s="62"/>
      <c r="BR762" s="62"/>
      <c r="BS762" s="62"/>
      <c r="BT762" s="61"/>
      <c r="BU762" s="61"/>
      <c r="BV762" s="61"/>
      <c r="BW762" s="61"/>
      <c r="BX762" s="61"/>
      <c r="BY762" s="61"/>
      <c r="BZ762" s="61"/>
      <c r="CA762" s="61"/>
      <c r="CB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2"/>
      <c r="BQ763" s="62"/>
      <c r="BR763" s="62"/>
      <c r="BS763" s="62"/>
      <c r="BT763" s="61"/>
      <c r="BU763" s="61"/>
      <c r="BV763" s="61"/>
      <c r="BW763" s="61"/>
      <c r="BX763" s="61"/>
      <c r="BY763" s="61"/>
      <c r="BZ763" s="61"/>
      <c r="CA763" s="61"/>
      <c r="CB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2"/>
      <c r="BQ764" s="62"/>
      <c r="BR764" s="62"/>
      <c r="BS764" s="62"/>
      <c r="BT764" s="61"/>
      <c r="BU764" s="61"/>
      <c r="BV764" s="61"/>
      <c r="BW764" s="61"/>
      <c r="BX764" s="61"/>
      <c r="BY764" s="61"/>
      <c r="BZ764" s="61"/>
      <c r="CA764" s="61"/>
      <c r="CB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2"/>
      <c r="BQ765" s="62"/>
      <c r="BR765" s="62"/>
      <c r="BS765" s="62"/>
      <c r="BT765" s="61"/>
      <c r="BU765" s="61"/>
      <c r="BV765" s="61"/>
      <c r="BW765" s="61"/>
      <c r="BX765" s="61"/>
      <c r="BY765" s="61"/>
      <c r="BZ765" s="61"/>
      <c r="CA765" s="61"/>
      <c r="CB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2"/>
      <c r="BQ766" s="62"/>
      <c r="BR766" s="62"/>
      <c r="BS766" s="62"/>
      <c r="BT766" s="61"/>
      <c r="BU766" s="61"/>
      <c r="BV766" s="61"/>
      <c r="BW766" s="61"/>
      <c r="BX766" s="61"/>
      <c r="BY766" s="61"/>
      <c r="BZ766" s="61"/>
      <c r="CA766" s="61"/>
      <c r="CB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2"/>
      <c r="BQ767" s="62"/>
      <c r="BR767" s="62"/>
      <c r="BS767" s="62"/>
      <c r="BT767" s="61"/>
      <c r="BU767" s="61"/>
      <c r="BV767" s="61"/>
      <c r="BW767" s="61"/>
      <c r="BX767" s="61"/>
      <c r="BY767" s="61"/>
      <c r="BZ767" s="61"/>
      <c r="CA767" s="61"/>
      <c r="CB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2"/>
      <c r="BQ768" s="62"/>
      <c r="BR768" s="62"/>
      <c r="BS768" s="62"/>
      <c r="BT768" s="61"/>
      <c r="BU768" s="61"/>
      <c r="BV768" s="61"/>
      <c r="BW768" s="61"/>
      <c r="BX768" s="61"/>
      <c r="BY768" s="61"/>
      <c r="BZ768" s="61"/>
      <c r="CA768" s="61"/>
      <c r="CB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2"/>
      <c r="BQ769" s="62"/>
      <c r="BR769" s="62"/>
      <c r="BS769" s="62"/>
      <c r="BT769" s="61"/>
      <c r="BU769" s="61"/>
      <c r="BV769" s="61"/>
      <c r="BW769" s="61"/>
      <c r="BX769" s="61"/>
      <c r="BY769" s="61"/>
      <c r="BZ769" s="61"/>
      <c r="CA769" s="61"/>
      <c r="CB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2"/>
      <c r="BQ770" s="62"/>
      <c r="BR770" s="62"/>
      <c r="BS770" s="62"/>
      <c r="BT770" s="61"/>
      <c r="BU770" s="61"/>
      <c r="BV770" s="61"/>
      <c r="BW770" s="61"/>
      <c r="BX770" s="61"/>
      <c r="BY770" s="61"/>
      <c r="BZ770" s="61"/>
      <c r="CA770" s="61"/>
      <c r="CB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2"/>
      <c r="BQ771" s="62"/>
      <c r="BR771" s="62"/>
      <c r="BS771" s="62"/>
      <c r="BT771" s="61"/>
      <c r="BU771" s="61"/>
      <c r="BV771" s="61"/>
      <c r="BW771" s="61"/>
      <c r="BX771" s="61"/>
      <c r="BY771" s="61"/>
      <c r="BZ771" s="61"/>
      <c r="CA771" s="61"/>
      <c r="CB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2"/>
      <c r="BQ772" s="62"/>
      <c r="BR772" s="62"/>
      <c r="BS772" s="62"/>
      <c r="BT772" s="61"/>
      <c r="BU772" s="61"/>
      <c r="BV772" s="61"/>
      <c r="BW772" s="61"/>
      <c r="BX772" s="61"/>
      <c r="BY772" s="61"/>
      <c r="BZ772" s="61"/>
      <c r="CA772" s="61"/>
      <c r="CB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2"/>
      <c r="BQ773" s="62"/>
      <c r="BR773" s="62"/>
      <c r="BS773" s="62"/>
      <c r="BT773" s="61"/>
      <c r="BU773" s="61"/>
      <c r="BV773" s="61"/>
      <c r="BW773" s="61"/>
      <c r="BX773" s="61"/>
      <c r="BY773" s="61"/>
      <c r="BZ773" s="61"/>
      <c r="CA773" s="61"/>
      <c r="CB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2"/>
      <c r="BQ774" s="62"/>
      <c r="BR774" s="62"/>
      <c r="BS774" s="62"/>
      <c r="BT774" s="61"/>
      <c r="BU774" s="61"/>
      <c r="BV774" s="61"/>
      <c r="BW774" s="61"/>
      <c r="BX774" s="61"/>
      <c r="BY774" s="61"/>
      <c r="BZ774" s="61"/>
      <c r="CA774" s="61"/>
      <c r="CB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2"/>
      <c r="BQ775" s="62"/>
      <c r="BR775" s="62"/>
      <c r="BS775" s="62"/>
      <c r="BT775" s="61"/>
      <c r="BU775" s="61"/>
      <c r="BV775" s="61"/>
      <c r="BW775" s="61"/>
      <c r="BX775" s="61"/>
      <c r="BY775" s="61"/>
      <c r="BZ775" s="61"/>
      <c r="CA775" s="61"/>
      <c r="CB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2"/>
      <c r="BQ776" s="62"/>
      <c r="BR776" s="62"/>
      <c r="BS776" s="62"/>
      <c r="BT776" s="61"/>
      <c r="BU776" s="61"/>
      <c r="BV776" s="61"/>
      <c r="BW776" s="61"/>
      <c r="BX776" s="61"/>
      <c r="BY776" s="61"/>
      <c r="BZ776" s="61"/>
      <c r="CA776" s="61"/>
      <c r="CB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2"/>
      <c r="BQ777" s="62"/>
      <c r="BR777" s="62"/>
      <c r="BS777" s="62"/>
      <c r="BT777" s="61"/>
      <c r="BU777" s="61"/>
      <c r="BV777" s="61"/>
      <c r="BW777" s="61"/>
      <c r="BX777" s="61"/>
      <c r="BY777" s="61"/>
      <c r="BZ777" s="61"/>
      <c r="CA777" s="61"/>
      <c r="CB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2"/>
      <c r="BQ778" s="62"/>
      <c r="BR778" s="62"/>
      <c r="BS778" s="62"/>
      <c r="BT778" s="61"/>
      <c r="BU778" s="61"/>
      <c r="BV778" s="61"/>
      <c r="BW778" s="61"/>
      <c r="BX778" s="61"/>
      <c r="BY778" s="61"/>
      <c r="BZ778" s="61"/>
      <c r="CA778" s="61"/>
      <c r="CB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2"/>
      <c r="BQ779" s="62"/>
      <c r="BR779" s="62"/>
      <c r="BS779" s="62"/>
      <c r="BT779" s="61"/>
      <c r="BU779" s="61"/>
      <c r="BV779" s="61"/>
      <c r="BW779" s="61"/>
      <c r="BX779" s="61"/>
      <c r="BY779" s="61"/>
      <c r="BZ779" s="61"/>
      <c r="CA779" s="61"/>
      <c r="CB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2"/>
      <c r="BQ780" s="62"/>
      <c r="BR780" s="62"/>
      <c r="BS780" s="62"/>
      <c r="BT780" s="61"/>
      <c r="BU780" s="61"/>
      <c r="BV780" s="61"/>
      <c r="BW780" s="61"/>
      <c r="BX780" s="61"/>
      <c r="BY780" s="61"/>
      <c r="BZ780" s="61"/>
      <c r="CA780" s="61"/>
      <c r="CB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2"/>
      <c r="BQ781" s="62"/>
      <c r="BR781" s="62"/>
      <c r="BS781" s="62"/>
      <c r="BT781" s="61"/>
      <c r="BU781" s="61"/>
      <c r="BV781" s="61"/>
      <c r="BW781" s="61"/>
      <c r="BX781" s="61"/>
      <c r="BY781" s="61"/>
      <c r="BZ781" s="61"/>
      <c r="CA781" s="61"/>
      <c r="CB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2"/>
      <c r="BQ782" s="62"/>
      <c r="BR782" s="62"/>
      <c r="BS782" s="62"/>
      <c r="BT782" s="61"/>
      <c r="BU782" s="61"/>
      <c r="BV782" s="61"/>
      <c r="BW782" s="61"/>
      <c r="BX782" s="61"/>
      <c r="BY782" s="61"/>
      <c r="BZ782" s="61"/>
      <c r="CA782" s="61"/>
      <c r="CB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2"/>
      <c r="BQ783" s="62"/>
      <c r="BR783" s="62"/>
      <c r="BS783" s="62"/>
      <c r="BT783" s="61"/>
      <c r="BU783" s="61"/>
      <c r="BV783" s="61"/>
      <c r="BW783" s="61"/>
      <c r="BX783" s="61"/>
      <c r="BY783" s="61"/>
      <c r="BZ783" s="61"/>
      <c r="CA783" s="61"/>
      <c r="CB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2"/>
      <c r="BQ784" s="62"/>
      <c r="BR784" s="62"/>
      <c r="BS784" s="62"/>
      <c r="BT784" s="61"/>
      <c r="BU784" s="61"/>
      <c r="BV784" s="61"/>
      <c r="BW784" s="61"/>
      <c r="BX784" s="61"/>
      <c r="BY784" s="61"/>
      <c r="BZ784" s="61"/>
      <c r="CA784" s="61"/>
      <c r="CB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2"/>
      <c r="BQ785" s="62"/>
      <c r="BR785" s="62"/>
      <c r="BS785" s="62"/>
      <c r="BT785" s="61"/>
      <c r="BU785" s="61"/>
      <c r="BV785" s="61"/>
      <c r="BW785" s="61"/>
      <c r="BX785" s="61"/>
      <c r="BY785" s="61"/>
      <c r="BZ785" s="61"/>
      <c r="CA785" s="61"/>
      <c r="CB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2"/>
      <c r="BQ786" s="62"/>
      <c r="BR786" s="62"/>
      <c r="BS786" s="62"/>
      <c r="BT786" s="61"/>
      <c r="BU786" s="61"/>
      <c r="BV786" s="61"/>
      <c r="BW786" s="61"/>
      <c r="BX786" s="61"/>
      <c r="BY786" s="61"/>
      <c r="BZ786" s="61"/>
      <c r="CA786" s="61"/>
      <c r="CB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2"/>
      <c r="BQ787" s="62"/>
      <c r="BR787" s="62"/>
      <c r="BS787" s="62"/>
      <c r="BT787" s="61"/>
      <c r="BU787" s="61"/>
      <c r="BV787" s="61"/>
      <c r="BW787" s="61"/>
      <c r="BX787" s="61"/>
      <c r="BY787" s="61"/>
      <c r="BZ787" s="61"/>
      <c r="CA787" s="61"/>
      <c r="CB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2"/>
      <c r="BQ788" s="62"/>
      <c r="BR788" s="62"/>
      <c r="BS788" s="62"/>
      <c r="BT788" s="61"/>
      <c r="BU788" s="61"/>
      <c r="BV788" s="61"/>
      <c r="BW788" s="61"/>
      <c r="BX788" s="61"/>
      <c r="BY788" s="61"/>
      <c r="BZ788" s="61"/>
      <c r="CA788" s="61"/>
      <c r="CB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2"/>
      <c r="BQ789" s="62"/>
      <c r="BR789" s="62"/>
      <c r="BS789" s="62"/>
      <c r="BT789" s="61"/>
      <c r="BU789" s="61"/>
      <c r="BV789" s="61"/>
      <c r="BW789" s="61"/>
      <c r="BX789" s="61"/>
      <c r="BY789" s="61"/>
      <c r="BZ789" s="61"/>
      <c r="CA789" s="61"/>
      <c r="CB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2"/>
      <c r="BQ790" s="62"/>
      <c r="BR790" s="62"/>
      <c r="BS790" s="62"/>
      <c r="BT790" s="61"/>
      <c r="BU790" s="61"/>
      <c r="BV790" s="61"/>
      <c r="BW790" s="61"/>
      <c r="BX790" s="61"/>
      <c r="BY790" s="61"/>
      <c r="BZ790" s="61"/>
      <c r="CA790" s="61"/>
      <c r="CB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2"/>
      <c r="BQ791" s="62"/>
      <c r="BR791" s="62"/>
      <c r="BS791" s="62"/>
      <c r="BT791" s="61"/>
      <c r="BU791" s="61"/>
      <c r="BV791" s="61"/>
      <c r="BW791" s="61"/>
      <c r="BX791" s="61"/>
      <c r="BY791" s="61"/>
      <c r="BZ791" s="61"/>
      <c r="CA791" s="61"/>
      <c r="CB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2"/>
      <c r="BQ792" s="62"/>
      <c r="BR792" s="62"/>
      <c r="BS792" s="62"/>
      <c r="BT792" s="61"/>
      <c r="BU792" s="61"/>
      <c r="BV792" s="61"/>
      <c r="BW792" s="61"/>
      <c r="BX792" s="61"/>
      <c r="BY792" s="61"/>
      <c r="BZ792" s="61"/>
      <c r="CA792" s="61"/>
      <c r="CB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2"/>
      <c r="BQ793" s="62"/>
      <c r="BR793" s="62"/>
      <c r="BS793" s="62"/>
      <c r="BT793" s="61"/>
      <c r="BU793" s="61"/>
      <c r="BV793" s="61"/>
      <c r="BW793" s="61"/>
      <c r="BX793" s="61"/>
      <c r="BY793" s="61"/>
      <c r="BZ793" s="61"/>
      <c r="CA793" s="61"/>
      <c r="CB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2"/>
      <c r="BQ794" s="62"/>
      <c r="BR794" s="62"/>
      <c r="BS794" s="62"/>
      <c r="BT794" s="61"/>
      <c r="BU794" s="61"/>
      <c r="BV794" s="61"/>
      <c r="BW794" s="61"/>
      <c r="BX794" s="61"/>
      <c r="BY794" s="61"/>
      <c r="BZ794" s="61"/>
      <c r="CA794" s="61"/>
      <c r="CB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2"/>
      <c r="BQ795" s="62"/>
      <c r="BR795" s="62"/>
      <c r="BS795" s="62"/>
      <c r="BT795" s="61"/>
      <c r="BU795" s="61"/>
      <c r="BV795" s="61"/>
      <c r="BW795" s="61"/>
      <c r="BX795" s="61"/>
      <c r="BY795" s="61"/>
      <c r="BZ795" s="61"/>
      <c r="CA795" s="61"/>
      <c r="CB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2"/>
      <c r="BQ796" s="62"/>
      <c r="BR796" s="62"/>
      <c r="BS796" s="62"/>
      <c r="BT796" s="61"/>
      <c r="BU796" s="61"/>
      <c r="BV796" s="61"/>
      <c r="BW796" s="61"/>
      <c r="BX796" s="61"/>
      <c r="BY796" s="61"/>
      <c r="BZ796" s="61"/>
      <c r="CA796" s="61"/>
      <c r="CB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2"/>
      <c r="BQ797" s="62"/>
      <c r="BR797" s="62"/>
      <c r="BS797" s="62"/>
      <c r="BT797" s="61"/>
      <c r="BU797" s="61"/>
      <c r="BV797" s="61"/>
      <c r="BW797" s="61"/>
      <c r="BX797" s="61"/>
      <c r="BY797" s="61"/>
      <c r="BZ797" s="61"/>
      <c r="CA797" s="61"/>
      <c r="CB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2"/>
      <c r="BQ798" s="62"/>
      <c r="BR798" s="62"/>
      <c r="BS798" s="62"/>
      <c r="BT798" s="61"/>
      <c r="BU798" s="61"/>
      <c r="BV798" s="61"/>
      <c r="BW798" s="61"/>
      <c r="BX798" s="61"/>
      <c r="BY798" s="61"/>
      <c r="BZ798" s="61"/>
      <c r="CA798" s="61"/>
      <c r="CB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2"/>
      <c r="BQ799" s="62"/>
      <c r="BR799" s="62"/>
      <c r="BS799" s="62"/>
      <c r="BT799" s="61"/>
      <c r="BU799" s="61"/>
      <c r="BV799" s="61"/>
      <c r="BW799" s="61"/>
      <c r="BX799" s="61"/>
      <c r="BY799" s="61"/>
      <c r="BZ799" s="61"/>
      <c r="CA799" s="61"/>
      <c r="CB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2"/>
      <c r="BQ800" s="62"/>
      <c r="BR800" s="62"/>
      <c r="BS800" s="62"/>
      <c r="BT800" s="61"/>
      <c r="BU800" s="61"/>
      <c r="BV800" s="61"/>
      <c r="BW800" s="61"/>
      <c r="BX800" s="61"/>
      <c r="BY800" s="61"/>
      <c r="BZ800" s="61"/>
      <c r="CA800" s="61"/>
      <c r="CB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2"/>
      <c r="BQ801" s="62"/>
      <c r="BR801" s="62"/>
      <c r="BS801" s="62"/>
      <c r="BT801" s="61"/>
      <c r="BU801" s="61"/>
      <c r="BV801" s="61"/>
      <c r="BW801" s="61"/>
      <c r="BX801" s="61"/>
      <c r="BY801" s="61"/>
      <c r="BZ801" s="61"/>
      <c r="CA801" s="61"/>
      <c r="CB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2"/>
      <c r="BQ802" s="62"/>
      <c r="BR802" s="62"/>
      <c r="BS802" s="62"/>
      <c r="BT802" s="61"/>
      <c r="BU802" s="61"/>
      <c r="BV802" s="61"/>
      <c r="BW802" s="61"/>
      <c r="BX802" s="61"/>
      <c r="BY802" s="61"/>
      <c r="BZ802" s="61"/>
      <c r="CA802" s="61"/>
      <c r="CB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2"/>
      <c r="BQ803" s="62"/>
      <c r="BR803" s="62"/>
      <c r="BS803" s="62"/>
      <c r="BT803" s="61"/>
      <c r="BU803" s="61"/>
      <c r="BV803" s="61"/>
      <c r="BW803" s="61"/>
      <c r="BX803" s="61"/>
      <c r="BY803" s="61"/>
      <c r="BZ803" s="61"/>
      <c r="CA803" s="61"/>
      <c r="CB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2"/>
      <c r="BQ804" s="62"/>
      <c r="BR804" s="62"/>
      <c r="BS804" s="62"/>
      <c r="BT804" s="61"/>
      <c r="BU804" s="61"/>
      <c r="BV804" s="61"/>
      <c r="BW804" s="61"/>
      <c r="BX804" s="61"/>
      <c r="BY804" s="61"/>
      <c r="BZ804" s="61"/>
      <c r="CA804" s="61"/>
      <c r="CB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2"/>
      <c r="BQ805" s="62"/>
      <c r="BR805" s="62"/>
      <c r="BS805" s="62"/>
      <c r="BT805" s="61"/>
      <c r="BU805" s="61"/>
      <c r="BV805" s="61"/>
      <c r="BW805" s="61"/>
      <c r="BX805" s="61"/>
      <c r="BY805" s="61"/>
      <c r="BZ805" s="61"/>
      <c r="CA805" s="61"/>
      <c r="CB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2"/>
      <c r="BQ806" s="62"/>
      <c r="BR806" s="62"/>
      <c r="BS806" s="62"/>
      <c r="BT806" s="61"/>
      <c r="BU806" s="61"/>
      <c r="BV806" s="61"/>
      <c r="BW806" s="61"/>
      <c r="BX806" s="61"/>
      <c r="BY806" s="61"/>
      <c r="BZ806" s="61"/>
      <c r="CA806" s="61"/>
      <c r="CB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2"/>
      <c r="BQ807" s="62"/>
      <c r="BR807" s="62"/>
      <c r="BS807" s="62"/>
      <c r="BT807" s="61"/>
      <c r="BU807" s="61"/>
      <c r="BV807" s="61"/>
      <c r="BW807" s="61"/>
      <c r="BX807" s="61"/>
      <c r="BY807" s="61"/>
      <c r="BZ807" s="61"/>
      <c r="CA807" s="61"/>
      <c r="CB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2"/>
      <c r="BQ808" s="62"/>
      <c r="BR808" s="62"/>
      <c r="BS808" s="62"/>
      <c r="BT808" s="61"/>
      <c r="BU808" s="61"/>
      <c r="BV808" s="61"/>
      <c r="BW808" s="61"/>
      <c r="BX808" s="61"/>
      <c r="BY808" s="61"/>
      <c r="BZ808" s="61"/>
      <c r="CA808" s="61"/>
      <c r="CB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2"/>
      <c r="BQ809" s="62"/>
      <c r="BR809" s="62"/>
      <c r="BS809" s="62"/>
      <c r="BT809" s="61"/>
      <c r="BU809" s="61"/>
      <c r="BV809" s="61"/>
      <c r="BW809" s="61"/>
      <c r="BX809" s="61"/>
      <c r="BY809" s="61"/>
      <c r="BZ809" s="61"/>
      <c r="CA809" s="61"/>
      <c r="CB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2"/>
      <c r="BQ810" s="62"/>
      <c r="BR810" s="62"/>
      <c r="BS810" s="62"/>
      <c r="BT810" s="61"/>
      <c r="BU810" s="61"/>
      <c r="BV810" s="61"/>
      <c r="BW810" s="61"/>
      <c r="BX810" s="61"/>
      <c r="BY810" s="61"/>
      <c r="BZ810" s="61"/>
      <c r="CA810" s="61"/>
      <c r="CB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2"/>
      <c r="BQ811" s="62"/>
      <c r="BR811" s="62"/>
      <c r="BS811" s="62"/>
      <c r="BT811" s="61"/>
      <c r="BU811" s="61"/>
      <c r="BV811" s="61"/>
      <c r="BW811" s="61"/>
      <c r="BX811" s="61"/>
      <c r="BY811" s="61"/>
      <c r="BZ811" s="61"/>
      <c r="CA811" s="61"/>
      <c r="CB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2"/>
      <c r="BQ812" s="62"/>
      <c r="BR812" s="62"/>
      <c r="BS812" s="62"/>
      <c r="BT812" s="61"/>
      <c r="BU812" s="61"/>
      <c r="BV812" s="61"/>
      <c r="BW812" s="61"/>
      <c r="BX812" s="61"/>
      <c r="BY812" s="61"/>
      <c r="BZ812" s="61"/>
      <c r="CA812" s="61"/>
      <c r="CB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2"/>
      <c r="BQ813" s="62"/>
      <c r="BR813" s="62"/>
      <c r="BS813" s="62"/>
      <c r="BT813" s="61"/>
      <c r="BU813" s="61"/>
      <c r="BV813" s="61"/>
      <c r="BW813" s="61"/>
      <c r="BX813" s="61"/>
      <c r="BY813" s="61"/>
      <c r="BZ813" s="61"/>
      <c r="CA813" s="61"/>
      <c r="CB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2"/>
      <c r="BQ814" s="62"/>
      <c r="BR814" s="62"/>
      <c r="BS814" s="62"/>
      <c r="BT814" s="61"/>
      <c r="BU814" s="61"/>
      <c r="BV814" s="61"/>
      <c r="BW814" s="61"/>
      <c r="BX814" s="61"/>
      <c r="BY814" s="61"/>
      <c r="BZ814" s="61"/>
      <c r="CA814" s="61"/>
      <c r="CB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2"/>
      <c r="BQ815" s="62"/>
      <c r="BR815" s="62"/>
      <c r="BS815" s="62"/>
      <c r="BT815" s="61"/>
      <c r="BU815" s="61"/>
      <c r="BV815" s="61"/>
      <c r="BW815" s="61"/>
      <c r="BX815" s="61"/>
      <c r="BY815" s="61"/>
      <c r="BZ815" s="61"/>
      <c r="CA815" s="61"/>
      <c r="CB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2"/>
      <c r="BQ816" s="62"/>
      <c r="BR816" s="62"/>
      <c r="BS816" s="62"/>
      <c r="BT816" s="61"/>
      <c r="BU816" s="61"/>
      <c r="BV816" s="61"/>
      <c r="BW816" s="61"/>
      <c r="BX816" s="61"/>
      <c r="BY816" s="61"/>
      <c r="BZ816" s="61"/>
      <c r="CA816" s="61"/>
      <c r="CB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2"/>
      <c r="BQ817" s="62"/>
      <c r="BR817" s="62"/>
      <c r="BS817" s="62"/>
      <c r="BT817" s="61"/>
      <c r="BU817" s="61"/>
      <c r="BV817" s="61"/>
      <c r="BW817" s="61"/>
      <c r="BX817" s="61"/>
      <c r="BY817" s="61"/>
      <c r="BZ817" s="61"/>
      <c r="CA817" s="61"/>
      <c r="CB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2"/>
      <c r="BQ818" s="62"/>
      <c r="BR818" s="62"/>
      <c r="BS818" s="62"/>
      <c r="BT818" s="61"/>
      <c r="BU818" s="61"/>
      <c r="BV818" s="61"/>
      <c r="BW818" s="61"/>
      <c r="BX818" s="61"/>
      <c r="BY818" s="61"/>
      <c r="BZ818" s="61"/>
      <c r="CA818" s="61"/>
      <c r="CB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2"/>
      <c r="BQ819" s="62"/>
      <c r="BR819" s="62"/>
      <c r="BS819" s="62"/>
      <c r="BT819" s="61"/>
      <c r="BU819" s="61"/>
      <c r="BV819" s="61"/>
      <c r="BW819" s="61"/>
      <c r="BX819" s="61"/>
      <c r="BY819" s="61"/>
      <c r="BZ819" s="61"/>
      <c r="CA819" s="61"/>
      <c r="CB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2"/>
      <c r="BQ820" s="62"/>
      <c r="BR820" s="62"/>
      <c r="BS820" s="62"/>
      <c r="BT820" s="61"/>
      <c r="BU820" s="61"/>
      <c r="BV820" s="61"/>
      <c r="BW820" s="61"/>
      <c r="BX820" s="61"/>
      <c r="BY820" s="61"/>
      <c r="BZ820" s="61"/>
      <c r="CA820" s="61"/>
      <c r="CB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2"/>
      <c r="BQ821" s="62"/>
      <c r="BR821" s="62"/>
      <c r="BS821" s="62"/>
      <c r="BT821" s="61"/>
      <c r="BU821" s="61"/>
      <c r="BV821" s="61"/>
      <c r="BW821" s="61"/>
      <c r="BX821" s="61"/>
      <c r="BY821" s="61"/>
      <c r="BZ821" s="61"/>
      <c r="CA821" s="61"/>
      <c r="CB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2"/>
      <c r="BQ822" s="62"/>
      <c r="BR822" s="62"/>
      <c r="BS822" s="62"/>
      <c r="BT822" s="61"/>
      <c r="BU822" s="61"/>
      <c r="BV822" s="61"/>
      <c r="BW822" s="61"/>
      <c r="BX822" s="61"/>
      <c r="BY822" s="61"/>
      <c r="BZ822" s="61"/>
      <c r="CA822" s="61"/>
      <c r="CB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2"/>
      <c r="BQ823" s="62"/>
      <c r="BR823" s="62"/>
      <c r="BS823" s="62"/>
      <c r="BT823" s="61"/>
      <c r="BU823" s="61"/>
      <c r="BV823" s="61"/>
      <c r="BW823" s="61"/>
      <c r="BX823" s="61"/>
      <c r="BY823" s="61"/>
      <c r="BZ823" s="61"/>
      <c r="CA823" s="61"/>
      <c r="CB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2"/>
      <c r="BQ824" s="62"/>
      <c r="BR824" s="62"/>
      <c r="BS824" s="62"/>
      <c r="BT824" s="61"/>
      <c r="BU824" s="61"/>
      <c r="BV824" s="61"/>
      <c r="BW824" s="61"/>
      <c r="BX824" s="61"/>
      <c r="BY824" s="61"/>
      <c r="BZ824" s="61"/>
      <c r="CA824" s="61"/>
      <c r="CB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2"/>
      <c r="BQ825" s="62"/>
      <c r="BR825" s="62"/>
      <c r="BS825" s="62"/>
      <c r="BT825" s="61"/>
      <c r="BU825" s="61"/>
      <c r="BV825" s="61"/>
      <c r="BW825" s="61"/>
      <c r="BX825" s="61"/>
      <c r="BY825" s="61"/>
      <c r="BZ825" s="61"/>
      <c r="CA825" s="61"/>
      <c r="CB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2"/>
      <c r="BQ826" s="62"/>
      <c r="BR826" s="62"/>
      <c r="BS826" s="62"/>
      <c r="BT826" s="61"/>
      <c r="BU826" s="61"/>
      <c r="BV826" s="61"/>
      <c r="BW826" s="61"/>
      <c r="BX826" s="61"/>
      <c r="BY826" s="61"/>
      <c r="BZ826" s="61"/>
      <c r="CA826" s="61"/>
      <c r="CB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2"/>
      <c r="BQ827" s="62"/>
      <c r="BR827" s="62"/>
      <c r="BS827" s="62"/>
      <c r="BT827" s="61"/>
      <c r="BU827" s="61"/>
      <c r="BV827" s="61"/>
      <c r="BW827" s="61"/>
      <c r="BX827" s="61"/>
      <c r="BY827" s="61"/>
      <c r="BZ827" s="61"/>
      <c r="CA827" s="61"/>
      <c r="CB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2"/>
      <c r="BQ828" s="62"/>
      <c r="BR828" s="62"/>
      <c r="BS828" s="62"/>
      <c r="BT828" s="61"/>
      <c r="BU828" s="61"/>
      <c r="BV828" s="61"/>
      <c r="BW828" s="61"/>
      <c r="BX828" s="61"/>
      <c r="BY828" s="61"/>
      <c r="BZ828" s="61"/>
      <c r="CA828" s="61"/>
      <c r="CB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2"/>
      <c r="BQ829" s="62"/>
      <c r="BR829" s="62"/>
      <c r="BS829" s="62"/>
      <c r="BT829" s="61"/>
      <c r="BU829" s="61"/>
      <c r="BV829" s="61"/>
      <c r="BW829" s="61"/>
      <c r="BX829" s="61"/>
      <c r="BY829" s="61"/>
      <c r="BZ829" s="61"/>
      <c r="CA829" s="61"/>
      <c r="CB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2"/>
      <c r="BQ830" s="62"/>
      <c r="BR830" s="62"/>
      <c r="BS830" s="62"/>
      <c r="BT830" s="61"/>
      <c r="BU830" s="61"/>
      <c r="BV830" s="61"/>
      <c r="BW830" s="61"/>
      <c r="BX830" s="61"/>
      <c r="BY830" s="61"/>
      <c r="BZ830" s="61"/>
      <c r="CA830" s="61"/>
      <c r="CB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2"/>
      <c r="BQ831" s="62"/>
      <c r="BR831" s="62"/>
      <c r="BS831" s="62"/>
      <c r="BT831" s="61"/>
      <c r="BU831" s="61"/>
      <c r="BV831" s="61"/>
      <c r="BW831" s="61"/>
      <c r="BX831" s="61"/>
      <c r="BY831" s="61"/>
      <c r="BZ831" s="61"/>
      <c r="CA831" s="61"/>
      <c r="CB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2"/>
      <c r="BQ832" s="62"/>
      <c r="BR832" s="62"/>
      <c r="BS832" s="62"/>
      <c r="BT832" s="61"/>
      <c r="BU832" s="61"/>
      <c r="BV832" s="61"/>
      <c r="BW832" s="61"/>
      <c r="BX832" s="61"/>
      <c r="BY832" s="61"/>
      <c r="BZ832" s="61"/>
      <c r="CA832" s="61"/>
      <c r="CB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2"/>
      <c r="BQ833" s="62"/>
      <c r="BR833" s="62"/>
      <c r="BS833" s="62"/>
      <c r="BT833" s="61"/>
      <c r="BU833" s="61"/>
      <c r="BV833" s="61"/>
      <c r="BW833" s="61"/>
      <c r="BX833" s="61"/>
      <c r="BY833" s="61"/>
      <c r="BZ833" s="61"/>
      <c r="CA833" s="61"/>
      <c r="CB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2"/>
      <c r="BQ834" s="62"/>
      <c r="BR834" s="62"/>
      <c r="BS834" s="62"/>
      <c r="BT834" s="61"/>
      <c r="BU834" s="61"/>
      <c r="BV834" s="61"/>
      <c r="BW834" s="61"/>
      <c r="BX834" s="61"/>
      <c r="BY834" s="61"/>
      <c r="BZ834" s="61"/>
      <c r="CA834" s="61"/>
      <c r="CB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2"/>
      <c r="BQ835" s="62"/>
      <c r="BR835" s="62"/>
      <c r="BS835" s="62"/>
      <c r="BT835" s="61"/>
      <c r="BU835" s="61"/>
      <c r="BV835" s="61"/>
      <c r="BW835" s="61"/>
      <c r="BX835" s="61"/>
      <c r="BY835" s="61"/>
      <c r="BZ835" s="61"/>
      <c r="CA835" s="61"/>
      <c r="CB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2"/>
      <c r="BQ836" s="62"/>
      <c r="BR836" s="62"/>
      <c r="BS836" s="62"/>
      <c r="BT836" s="61"/>
      <c r="BU836" s="61"/>
      <c r="BV836" s="61"/>
      <c r="BW836" s="61"/>
      <c r="BX836" s="61"/>
      <c r="BY836" s="61"/>
      <c r="BZ836" s="61"/>
      <c r="CA836" s="61"/>
      <c r="CB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2"/>
      <c r="BQ837" s="62"/>
      <c r="BR837" s="62"/>
      <c r="BS837" s="62"/>
      <c r="BT837" s="61"/>
      <c r="BU837" s="61"/>
      <c r="BV837" s="61"/>
      <c r="BW837" s="61"/>
      <c r="BX837" s="61"/>
      <c r="BY837" s="61"/>
      <c r="BZ837" s="61"/>
      <c r="CA837" s="61"/>
      <c r="CB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2"/>
      <c r="BQ838" s="62"/>
      <c r="BR838" s="62"/>
      <c r="BS838" s="62"/>
      <c r="BT838" s="61"/>
      <c r="BU838" s="61"/>
      <c r="BV838" s="61"/>
      <c r="BW838" s="61"/>
      <c r="BX838" s="61"/>
      <c r="BY838" s="61"/>
      <c r="BZ838" s="61"/>
      <c r="CA838" s="61"/>
      <c r="CB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2"/>
      <c r="BQ839" s="62"/>
      <c r="BR839" s="62"/>
      <c r="BS839" s="62"/>
      <c r="BT839" s="61"/>
      <c r="BU839" s="61"/>
      <c r="BV839" s="61"/>
      <c r="BW839" s="61"/>
      <c r="BX839" s="61"/>
      <c r="BY839" s="61"/>
      <c r="BZ839" s="61"/>
      <c r="CA839" s="61"/>
      <c r="CB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2"/>
      <c r="BQ840" s="62"/>
      <c r="BR840" s="62"/>
      <c r="BS840" s="62"/>
      <c r="BT840" s="61"/>
      <c r="BU840" s="61"/>
      <c r="BV840" s="61"/>
      <c r="BW840" s="61"/>
      <c r="BX840" s="61"/>
      <c r="BY840" s="61"/>
      <c r="BZ840" s="61"/>
      <c r="CA840" s="61"/>
      <c r="CB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2"/>
      <c r="BQ841" s="62"/>
      <c r="BR841" s="62"/>
      <c r="BS841" s="62"/>
      <c r="BT841" s="61"/>
      <c r="BU841" s="61"/>
      <c r="BV841" s="61"/>
      <c r="BW841" s="61"/>
      <c r="BX841" s="61"/>
      <c r="BY841" s="61"/>
      <c r="BZ841" s="61"/>
      <c r="CA841" s="61"/>
      <c r="CB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2"/>
      <c r="BQ842" s="62"/>
      <c r="BR842" s="62"/>
      <c r="BS842" s="62"/>
      <c r="BT842" s="61"/>
      <c r="BU842" s="61"/>
      <c r="BV842" s="61"/>
      <c r="BW842" s="61"/>
      <c r="BX842" s="61"/>
      <c r="BY842" s="61"/>
      <c r="BZ842" s="61"/>
      <c r="CA842" s="61"/>
      <c r="CB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2"/>
      <c r="BQ843" s="62"/>
      <c r="BR843" s="62"/>
      <c r="BS843" s="62"/>
      <c r="BT843" s="61"/>
      <c r="BU843" s="61"/>
      <c r="BV843" s="61"/>
      <c r="BW843" s="61"/>
      <c r="BX843" s="61"/>
      <c r="BY843" s="61"/>
      <c r="BZ843" s="61"/>
      <c r="CA843" s="61"/>
      <c r="CB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2"/>
      <c r="BQ844" s="62"/>
      <c r="BR844" s="62"/>
      <c r="BS844" s="62"/>
      <c r="BT844" s="61"/>
      <c r="BU844" s="61"/>
      <c r="BV844" s="61"/>
      <c r="BW844" s="61"/>
      <c r="BX844" s="61"/>
      <c r="BY844" s="61"/>
      <c r="BZ844" s="61"/>
      <c r="CA844" s="61"/>
      <c r="CB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2"/>
      <c r="BQ845" s="62"/>
      <c r="BR845" s="62"/>
      <c r="BS845" s="62"/>
      <c r="BT845" s="61"/>
      <c r="BU845" s="61"/>
      <c r="BV845" s="61"/>
      <c r="BW845" s="61"/>
      <c r="BX845" s="61"/>
      <c r="BY845" s="61"/>
      <c r="BZ845" s="61"/>
      <c r="CA845" s="61"/>
      <c r="CB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2"/>
      <c r="BQ846" s="62"/>
      <c r="BR846" s="62"/>
      <c r="BS846" s="62"/>
      <c r="BT846" s="61"/>
      <c r="BU846" s="61"/>
      <c r="BV846" s="61"/>
      <c r="BW846" s="61"/>
      <c r="BX846" s="61"/>
      <c r="BY846" s="61"/>
      <c r="BZ846" s="61"/>
      <c r="CA846" s="61"/>
      <c r="CB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2"/>
      <c r="BQ847" s="62"/>
      <c r="BR847" s="62"/>
      <c r="BS847" s="62"/>
      <c r="BT847" s="61"/>
      <c r="BU847" s="61"/>
      <c r="BV847" s="61"/>
      <c r="BW847" s="61"/>
      <c r="BX847" s="61"/>
      <c r="BY847" s="61"/>
      <c r="BZ847" s="61"/>
      <c r="CA847" s="61"/>
      <c r="CB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2"/>
      <c r="BQ848" s="62"/>
      <c r="BR848" s="62"/>
      <c r="BS848" s="62"/>
      <c r="BT848" s="61"/>
      <c r="BU848" s="61"/>
      <c r="BV848" s="61"/>
      <c r="BW848" s="61"/>
      <c r="BX848" s="61"/>
      <c r="BY848" s="61"/>
      <c r="BZ848" s="61"/>
      <c r="CA848" s="61"/>
      <c r="CB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2"/>
      <c r="BQ849" s="62"/>
      <c r="BR849" s="62"/>
      <c r="BS849" s="62"/>
      <c r="BT849" s="61"/>
      <c r="BU849" s="61"/>
      <c r="BV849" s="61"/>
      <c r="BW849" s="61"/>
      <c r="BX849" s="61"/>
      <c r="BY849" s="61"/>
      <c r="BZ849" s="61"/>
      <c r="CA849" s="61"/>
      <c r="CB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2"/>
      <c r="BQ850" s="62"/>
      <c r="BR850" s="62"/>
      <c r="BS850" s="62"/>
      <c r="BT850" s="61"/>
      <c r="BU850" s="61"/>
      <c r="BV850" s="61"/>
      <c r="BW850" s="61"/>
      <c r="BX850" s="61"/>
      <c r="BY850" s="61"/>
      <c r="BZ850" s="61"/>
      <c r="CA850" s="61"/>
      <c r="CB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2"/>
      <c r="BQ851" s="62"/>
      <c r="BR851" s="62"/>
      <c r="BS851" s="62"/>
      <c r="BT851" s="61"/>
      <c r="BU851" s="61"/>
      <c r="BV851" s="61"/>
      <c r="BW851" s="61"/>
      <c r="BX851" s="61"/>
      <c r="BY851" s="61"/>
      <c r="BZ851" s="61"/>
      <c r="CA851" s="61"/>
      <c r="CB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2"/>
      <c r="BQ852" s="62"/>
      <c r="BR852" s="62"/>
      <c r="BS852" s="62"/>
      <c r="BT852" s="61"/>
      <c r="BU852" s="61"/>
      <c r="BV852" s="61"/>
      <c r="BW852" s="61"/>
      <c r="BX852" s="61"/>
      <c r="BY852" s="61"/>
      <c r="BZ852" s="61"/>
      <c r="CA852" s="61"/>
      <c r="CB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2"/>
      <c r="BQ853" s="62"/>
      <c r="BR853" s="62"/>
      <c r="BS853" s="62"/>
      <c r="BT853" s="61"/>
      <c r="BU853" s="61"/>
      <c r="BV853" s="61"/>
      <c r="BW853" s="61"/>
      <c r="BX853" s="61"/>
      <c r="BY853" s="61"/>
      <c r="BZ853" s="61"/>
      <c r="CA853" s="61"/>
      <c r="CB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2"/>
      <c r="BQ854" s="62"/>
      <c r="BR854" s="62"/>
      <c r="BS854" s="62"/>
      <c r="BT854" s="61"/>
      <c r="BU854" s="61"/>
      <c r="BV854" s="61"/>
      <c r="BW854" s="61"/>
      <c r="BX854" s="61"/>
      <c r="BY854" s="61"/>
      <c r="BZ854" s="61"/>
      <c r="CA854" s="61"/>
      <c r="CB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2"/>
      <c r="BQ855" s="62"/>
      <c r="BR855" s="62"/>
      <c r="BS855" s="62"/>
      <c r="BT855" s="61"/>
      <c r="BU855" s="61"/>
      <c r="BV855" s="61"/>
      <c r="BW855" s="61"/>
      <c r="BX855" s="61"/>
      <c r="BY855" s="61"/>
      <c r="BZ855" s="61"/>
      <c r="CA855" s="61"/>
      <c r="CB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2"/>
      <c r="BQ856" s="62"/>
      <c r="BR856" s="62"/>
      <c r="BS856" s="62"/>
      <c r="BT856" s="61"/>
      <c r="BU856" s="61"/>
      <c r="BV856" s="61"/>
      <c r="BW856" s="61"/>
      <c r="BX856" s="61"/>
      <c r="BY856" s="61"/>
      <c r="BZ856" s="61"/>
      <c r="CA856" s="61"/>
      <c r="CB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2"/>
      <c r="BQ857" s="62"/>
      <c r="BR857" s="62"/>
      <c r="BS857" s="62"/>
      <c r="BT857" s="61"/>
      <c r="BU857" s="61"/>
      <c r="BV857" s="61"/>
      <c r="BW857" s="61"/>
      <c r="BX857" s="61"/>
      <c r="BY857" s="61"/>
      <c r="BZ857" s="61"/>
      <c r="CA857" s="61"/>
      <c r="CB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2"/>
      <c r="BQ858" s="62"/>
      <c r="BR858" s="62"/>
      <c r="BS858" s="62"/>
      <c r="BT858" s="61"/>
      <c r="BU858" s="61"/>
      <c r="BV858" s="61"/>
      <c r="BW858" s="61"/>
      <c r="BX858" s="61"/>
      <c r="BY858" s="61"/>
      <c r="BZ858" s="61"/>
      <c r="CA858" s="61"/>
      <c r="CB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2"/>
      <c r="BQ859" s="62"/>
      <c r="BR859" s="62"/>
      <c r="BS859" s="62"/>
      <c r="BT859" s="61"/>
      <c r="BU859" s="61"/>
      <c r="BV859" s="61"/>
      <c r="BW859" s="61"/>
      <c r="BX859" s="61"/>
      <c r="BY859" s="61"/>
      <c r="BZ859" s="61"/>
      <c r="CA859" s="61"/>
      <c r="CB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2"/>
      <c r="BQ860" s="62"/>
      <c r="BR860" s="62"/>
      <c r="BS860" s="62"/>
      <c r="BT860" s="61"/>
      <c r="BU860" s="61"/>
      <c r="BV860" s="61"/>
      <c r="BW860" s="61"/>
      <c r="BX860" s="61"/>
      <c r="BY860" s="61"/>
      <c r="BZ860" s="61"/>
      <c r="CA860" s="61"/>
      <c r="CB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2"/>
      <c r="BQ861" s="62"/>
      <c r="BR861" s="62"/>
      <c r="BS861" s="62"/>
      <c r="BT861" s="61"/>
      <c r="BU861" s="61"/>
      <c r="BV861" s="61"/>
      <c r="BW861" s="61"/>
      <c r="BX861" s="61"/>
      <c r="BY861" s="61"/>
      <c r="BZ861" s="61"/>
      <c r="CA861" s="61"/>
      <c r="CB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2"/>
      <c r="BQ862" s="62"/>
      <c r="BR862" s="62"/>
      <c r="BS862" s="62"/>
      <c r="BT862" s="61"/>
      <c r="BU862" s="61"/>
      <c r="BV862" s="61"/>
      <c r="BW862" s="61"/>
      <c r="BX862" s="61"/>
      <c r="BY862" s="61"/>
      <c r="BZ862" s="61"/>
      <c r="CA862" s="61"/>
      <c r="CB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2"/>
      <c r="BQ863" s="62"/>
      <c r="BR863" s="62"/>
      <c r="BS863" s="62"/>
      <c r="BT863" s="61"/>
      <c r="BU863" s="61"/>
      <c r="BV863" s="61"/>
      <c r="BW863" s="61"/>
      <c r="BX863" s="61"/>
      <c r="BY863" s="61"/>
      <c r="BZ863" s="61"/>
      <c r="CA863" s="61"/>
      <c r="CB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2"/>
      <c r="BQ864" s="62"/>
      <c r="BR864" s="62"/>
      <c r="BS864" s="62"/>
      <c r="BT864" s="61"/>
      <c r="BU864" s="61"/>
      <c r="BV864" s="61"/>
      <c r="BW864" s="61"/>
      <c r="BX864" s="61"/>
      <c r="BY864" s="61"/>
      <c r="BZ864" s="61"/>
      <c r="CA864" s="61"/>
      <c r="CB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2"/>
      <c r="BQ865" s="62"/>
      <c r="BR865" s="62"/>
      <c r="BS865" s="62"/>
      <c r="BT865" s="61"/>
      <c r="BU865" s="61"/>
      <c r="BV865" s="61"/>
      <c r="BW865" s="61"/>
      <c r="BX865" s="61"/>
      <c r="BY865" s="61"/>
      <c r="BZ865" s="61"/>
      <c r="CA865" s="61"/>
      <c r="CB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2"/>
      <c r="BQ866" s="62"/>
      <c r="BR866" s="62"/>
      <c r="BS866" s="62"/>
      <c r="BT866" s="61"/>
      <c r="BU866" s="61"/>
      <c r="BV866" s="61"/>
      <c r="BW866" s="61"/>
      <c r="BX866" s="61"/>
      <c r="BY866" s="61"/>
      <c r="BZ866" s="61"/>
      <c r="CA866" s="61"/>
      <c r="CB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2"/>
      <c r="BQ867" s="62"/>
      <c r="BR867" s="62"/>
      <c r="BS867" s="62"/>
      <c r="BT867" s="61"/>
      <c r="BU867" s="61"/>
      <c r="BV867" s="61"/>
      <c r="BW867" s="61"/>
      <c r="BX867" s="61"/>
      <c r="BY867" s="61"/>
      <c r="BZ867" s="61"/>
      <c r="CA867" s="61"/>
      <c r="CB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2"/>
      <c r="BQ868" s="62"/>
      <c r="BR868" s="62"/>
      <c r="BS868" s="62"/>
      <c r="BT868" s="61"/>
      <c r="BU868" s="61"/>
      <c r="BV868" s="61"/>
      <c r="BW868" s="61"/>
      <c r="BX868" s="61"/>
      <c r="BY868" s="61"/>
      <c r="BZ868" s="61"/>
      <c r="CA868" s="61"/>
      <c r="CB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2"/>
      <c r="BQ869" s="62"/>
      <c r="BR869" s="62"/>
      <c r="BS869" s="62"/>
      <c r="BT869" s="61"/>
      <c r="BU869" s="61"/>
      <c r="BV869" s="61"/>
      <c r="BW869" s="61"/>
      <c r="BX869" s="61"/>
      <c r="BY869" s="61"/>
      <c r="BZ869" s="61"/>
      <c r="CA869" s="61"/>
      <c r="CB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2"/>
      <c r="BQ870" s="62"/>
      <c r="BR870" s="62"/>
      <c r="BS870" s="62"/>
      <c r="BT870" s="61"/>
      <c r="BU870" s="61"/>
      <c r="BV870" s="61"/>
      <c r="BW870" s="61"/>
      <c r="BX870" s="61"/>
      <c r="BY870" s="61"/>
      <c r="BZ870" s="61"/>
      <c r="CA870" s="61"/>
      <c r="CB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2"/>
      <c r="BQ871" s="62"/>
      <c r="BR871" s="62"/>
      <c r="BS871" s="62"/>
      <c r="BT871" s="61"/>
      <c r="BU871" s="61"/>
      <c r="BV871" s="61"/>
      <c r="BW871" s="61"/>
      <c r="BX871" s="61"/>
      <c r="BY871" s="61"/>
      <c r="BZ871" s="61"/>
      <c r="CA871" s="61"/>
      <c r="CB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2"/>
      <c r="BQ872" s="62"/>
      <c r="BR872" s="62"/>
      <c r="BS872" s="62"/>
      <c r="BT872" s="61"/>
      <c r="BU872" s="61"/>
      <c r="BV872" s="61"/>
      <c r="BW872" s="61"/>
      <c r="BX872" s="61"/>
      <c r="BY872" s="61"/>
      <c r="BZ872" s="61"/>
      <c r="CA872" s="61"/>
      <c r="CB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2"/>
      <c r="BQ873" s="62"/>
      <c r="BR873" s="62"/>
      <c r="BS873" s="62"/>
      <c r="BT873" s="61"/>
      <c r="BU873" s="61"/>
      <c r="BV873" s="61"/>
      <c r="BW873" s="61"/>
      <c r="BX873" s="61"/>
      <c r="BY873" s="61"/>
      <c r="BZ873" s="61"/>
      <c r="CA873" s="61"/>
      <c r="CB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2"/>
      <c r="BQ874" s="62"/>
      <c r="BR874" s="62"/>
      <c r="BS874" s="62"/>
      <c r="BT874" s="61"/>
      <c r="BU874" s="61"/>
      <c r="BV874" s="61"/>
      <c r="BW874" s="61"/>
      <c r="BX874" s="61"/>
      <c r="BY874" s="61"/>
      <c r="BZ874" s="61"/>
      <c r="CA874" s="61"/>
      <c r="CB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2"/>
      <c r="BQ875" s="62"/>
      <c r="BR875" s="62"/>
      <c r="BS875" s="62"/>
      <c r="BT875" s="61"/>
      <c r="BU875" s="61"/>
      <c r="BV875" s="61"/>
      <c r="BW875" s="61"/>
      <c r="BX875" s="61"/>
      <c r="BY875" s="61"/>
      <c r="BZ875" s="61"/>
      <c r="CA875" s="61"/>
      <c r="CB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2"/>
      <c r="BQ876" s="62"/>
      <c r="BR876" s="62"/>
      <c r="BS876" s="62"/>
      <c r="BT876" s="61"/>
      <c r="BU876" s="61"/>
      <c r="BV876" s="61"/>
      <c r="BW876" s="61"/>
      <c r="BX876" s="61"/>
      <c r="BY876" s="61"/>
      <c r="BZ876" s="61"/>
      <c r="CA876" s="61"/>
      <c r="CB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2"/>
      <c r="BQ877" s="62"/>
      <c r="BR877" s="62"/>
      <c r="BS877" s="62"/>
      <c r="BT877" s="61"/>
      <c r="BU877" s="61"/>
      <c r="BV877" s="61"/>
      <c r="BW877" s="61"/>
      <c r="BX877" s="61"/>
      <c r="BY877" s="61"/>
      <c r="BZ877" s="61"/>
      <c r="CA877" s="61"/>
      <c r="CB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2"/>
      <c r="BQ878" s="62"/>
      <c r="BR878" s="62"/>
      <c r="BS878" s="62"/>
      <c r="BT878" s="61"/>
      <c r="BU878" s="61"/>
      <c r="BV878" s="61"/>
      <c r="BW878" s="61"/>
      <c r="BX878" s="61"/>
      <c r="BY878" s="61"/>
      <c r="BZ878" s="61"/>
      <c r="CA878" s="61"/>
      <c r="CB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2"/>
      <c r="BQ879" s="62"/>
      <c r="BR879" s="62"/>
      <c r="BS879" s="62"/>
      <c r="BT879" s="61"/>
      <c r="BU879" s="61"/>
      <c r="BV879" s="61"/>
      <c r="BW879" s="61"/>
      <c r="BX879" s="61"/>
      <c r="BY879" s="61"/>
      <c r="BZ879" s="61"/>
      <c r="CA879" s="61"/>
      <c r="CB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2"/>
      <c r="BQ880" s="62"/>
      <c r="BR880" s="62"/>
      <c r="BS880" s="62"/>
      <c r="BT880" s="61"/>
      <c r="BU880" s="61"/>
      <c r="BV880" s="61"/>
      <c r="BW880" s="61"/>
      <c r="BX880" s="61"/>
      <c r="BY880" s="61"/>
      <c r="BZ880" s="61"/>
      <c r="CA880" s="61"/>
      <c r="CB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2"/>
      <c r="BQ881" s="62"/>
      <c r="BR881" s="62"/>
      <c r="BS881" s="62"/>
      <c r="BT881" s="61"/>
      <c r="BU881" s="61"/>
      <c r="BV881" s="61"/>
      <c r="BW881" s="61"/>
      <c r="BX881" s="61"/>
      <c r="BY881" s="61"/>
      <c r="BZ881" s="61"/>
      <c r="CA881" s="61"/>
      <c r="CB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2"/>
      <c r="BQ882" s="62"/>
      <c r="BR882" s="62"/>
      <c r="BS882" s="62"/>
      <c r="BT882" s="61"/>
      <c r="BU882" s="61"/>
      <c r="BV882" s="61"/>
      <c r="BW882" s="61"/>
      <c r="BX882" s="61"/>
      <c r="BY882" s="61"/>
      <c r="BZ882" s="61"/>
      <c r="CA882" s="61"/>
      <c r="CB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2"/>
      <c r="BQ883" s="62"/>
      <c r="BR883" s="62"/>
      <c r="BS883" s="62"/>
      <c r="BT883" s="61"/>
      <c r="BU883" s="61"/>
      <c r="BV883" s="61"/>
      <c r="BW883" s="61"/>
      <c r="BX883" s="61"/>
      <c r="BY883" s="61"/>
      <c r="BZ883" s="61"/>
      <c r="CA883" s="61"/>
      <c r="CB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2"/>
      <c r="BQ884" s="62"/>
      <c r="BR884" s="62"/>
      <c r="BS884" s="62"/>
      <c r="BT884" s="61"/>
      <c r="BU884" s="61"/>
      <c r="BV884" s="61"/>
      <c r="BW884" s="61"/>
      <c r="BX884" s="61"/>
      <c r="BY884" s="61"/>
      <c r="BZ884" s="61"/>
      <c r="CA884" s="61"/>
      <c r="CB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2"/>
      <c r="BQ885" s="62"/>
      <c r="BR885" s="62"/>
      <c r="BS885" s="62"/>
      <c r="BT885" s="61"/>
      <c r="BU885" s="61"/>
      <c r="BV885" s="61"/>
      <c r="BW885" s="61"/>
      <c r="BX885" s="61"/>
      <c r="BY885" s="61"/>
      <c r="BZ885" s="61"/>
      <c r="CA885" s="61"/>
      <c r="CB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2"/>
      <c r="BQ886" s="62"/>
      <c r="BR886" s="62"/>
      <c r="BS886" s="62"/>
      <c r="BT886" s="61"/>
      <c r="BU886" s="61"/>
      <c r="BV886" s="61"/>
      <c r="BW886" s="61"/>
      <c r="BX886" s="61"/>
      <c r="BY886" s="61"/>
      <c r="BZ886" s="61"/>
      <c r="CA886" s="61"/>
      <c r="CB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2"/>
      <c r="BQ887" s="62"/>
      <c r="BR887" s="62"/>
      <c r="BS887" s="62"/>
      <c r="BT887" s="61"/>
      <c r="BU887" s="61"/>
      <c r="BV887" s="61"/>
      <c r="BW887" s="61"/>
      <c r="BX887" s="61"/>
      <c r="BY887" s="61"/>
      <c r="BZ887" s="61"/>
      <c r="CA887" s="61"/>
      <c r="CB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2"/>
      <c r="BQ888" s="62"/>
      <c r="BR888" s="62"/>
      <c r="BS888" s="62"/>
      <c r="BT888" s="61"/>
      <c r="BU888" s="61"/>
      <c r="BV888" s="61"/>
      <c r="BW888" s="61"/>
      <c r="BX888" s="61"/>
      <c r="BY888" s="61"/>
      <c r="BZ888" s="61"/>
      <c r="CA888" s="61"/>
      <c r="CB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2"/>
      <c r="BQ889" s="62"/>
      <c r="BR889" s="62"/>
      <c r="BS889" s="62"/>
      <c r="BT889" s="61"/>
      <c r="BU889" s="61"/>
      <c r="BV889" s="61"/>
      <c r="BW889" s="61"/>
      <c r="BX889" s="61"/>
      <c r="BY889" s="61"/>
      <c r="BZ889" s="61"/>
      <c r="CA889" s="61"/>
      <c r="CB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2"/>
      <c r="BQ890" s="62"/>
      <c r="BR890" s="62"/>
      <c r="BS890" s="62"/>
      <c r="BT890" s="61"/>
      <c r="BU890" s="61"/>
      <c r="BV890" s="61"/>
      <c r="BW890" s="61"/>
      <c r="BX890" s="61"/>
      <c r="BY890" s="61"/>
      <c r="BZ890" s="61"/>
      <c r="CA890" s="61"/>
      <c r="CB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2"/>
      <c r="BQ891" s="62"/>
      <c r="BR891" s="62"/>
      <c r="BS891" s="62"/>
      <c r="BT891" s="61"/>
      <c r="BU891" s="61"/>
      <c r="BV891" s="61"/>
      <c r="BW891" s="61"/>
      <c r="BX891" s="61"/>
      <c r="BY891" s="61"/>
      <c r="BZ891" s="61"/>
      <c r="CA891" s="61"/>
      <c r="CB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2"/>
      <c r="BQ892" s="62"/>
      <c r="BR892" s="62"/>
      <c r="BS892" s="62"/>
      <c r="BT892" s="61"/>
      <c r="BU892" s="61"/>
      <c r="BV892" s="61"/>
      <c r="BW892" s="61"/>
      <c r="BX892" s="61"/>
      <c r="BY892" s="61"/>
      <c r="BZ892" s="61"/>
      <c r="CA892" s="61"/>
      <c r="CB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2"/>
      <c r="BQ893" s="62"/>
      <c r="BR893" s="62"/>
      <c r="BS893" s="62"/>
      <c r="BT893" s="61"/>
      <c r="BU893" s="61"/>
      <c r="BV893" s="61"/>
      <c r="BW893" s="61"/>
      <c r="BX893" s="61"/>
      <c r="BY893" s="61"/>
      <c r="BZ893" s="61"/>
      <c r="CA893" s="61"/>
      <c r="CB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2"/>
      <c r="BQ894" s="62"/>
      <c r="BR894" s="62"/>
      <c r="BS894" s="62"/>
      <c r="BT894" s="61"/>
      <c r="BU894" s="61"/>
      <c r="BV894" s="61"/>
      <c r="BW894" s="61"/>
      <c r="BX894" s="61"/>
      <c r="BY894" s="61"/>
      <c r="BZ894" s="61"/>
      <c r="CA894" s="61"/>
      <c r="CB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2"/>
      <c r="BQ895" s="62"/>
      <c r="BR895" s="62"/>
      <c r="BS895" s="62"/>
      <c r="BT895" s="61"/>
      <c r="BU895" s="61"/>
      <c r="BV895" s="61"/>
      <c r="BW895" s="61"/>
      <c r="BX895" s="61"/>
      <c r="BY895" s="61"/>
      <c r="BZ895" s="61"/>
      <c r="CA895" s="61"/>
      <c r="CB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2"/>
      <c r="BQ896" s="62"/>
      <c r="BR896" s="62"/>
      <c r="BS896" s="62"/>
      <c r="BT896" s="61"/>
      <c r="BU896" s="61"/>
      <c r="BV896" s="61"/>
      <c r="BW896" s="61"/>
      <c r="BX896" s="61"/>
      <c r="BY896" s="61"/>
      <c r="BZ896" s="61"/>
      <c r="CA896" s="61"/>
      <c r="CB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2"/>
      <c r="BQ897" s="62"/>
      <c r="BR897" s="62"/>
      <c r="BS897" s="62"/>
      <c r="BT897" s="61"/>
      <c r="BU897" s="61"/>
      <c r="BV897" s="61"/>
      <c r="BW897" s="61"/>
      <c r="BX897" s="61"/>
      <c r="BY897" s="61"/>
      <c r="BZ897" s="61"/>
      <c r="CA897" s="61"/>
      <c r="CB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2"/>
      <c r="BQ898" s="62"/>
      <c r="BR898" s="62"/>
      <c r="BS898" s="62"/>
      <c r="BT898" s="61"/>
      <c r="BU898" s="61"/>
      <c r="BV898" s="61"/>
      <c r="BW898" s="61"/>
      <c r="BX898" s="61"/>
      <c r="BY898" s="61"/>
      <c r="BZ898" s="61"/>
      <c r="CA898" s="61"/>
      <c r="CB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2"/>
      <c r="BQ899" s="62"/>
      <c r="BR899" s="62"/>
      <c r="BS899" s="62"/>
      <c r="BT899" s="61"/>
      <c r="BU899" s="61"/>
      <c r="BV899" s="61"/>
      <c r="BW899" s="61"/>
      <c r="BX899" s="61"/>
      <c r="BY899" s="61"/>
      <c r="BZ899" s="61"/>
      <c r="CA899" s="61"/>
      <c r="CB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2"/>
      <c r="BQ900" s="62"/>
      <c r="BR900" s="62"/>
      <c r="BS900" s="62"/>
      <c r="BT900" s="61"/>
      <c r="BU900" s="61"/>
      <c r="BV900" s="61"/>
      <c r="BW900" s="61"/>
      <c r="BX900" s="61"/>
      <c r="BY900" s="61"/>
      <c r="BZ900" s="61"/>
      <c r="CA900" s="61"/>
      <c r="CB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2"/>
      <c r="BQ901" s="62"/>
      <c r="BR901" s="62"/>
      <c r="BS901" s="62"/>
      <c r="BT901" s="61"/>
      <c r="BU901" s="61"/>
      <c r="BV901" s="61"/>
      <c r="BW901" s="61"/>
      <c r="BX901" s="61"/>
      <c r="BY901" s="61"/>
      <c r="BZ901" s="61"/>
      <c r="CA901" s="61"/>
      <c r="CB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2"/>
      <c r="BQ902" s="62"/>
      <c r="BR902" s="62"/>
      <c r="BS902" s="62"/>
      <c r="BT902" s="61"/>
      <c r="BU902" s="61"/>
      <c r="BV902" s="61"/>
      <c r="BW902" s="61"/>
      <c r="BX902" s="61"/>
      <c r="BY902" s="61"/>
      <c r="BZ902" s="61"/>
      <c r="CA902" s="61"/>
      <c r="CB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2"/>
      <c r="BQ903" s="62"/>
      <c r="BR903" s="62"/>
      <c r="BS903" s="62"/>
      <c r="BT903" s="61"/>
      <c r="BU903" s="61"/>
      <c r="BV903" s="61"/>
      <c r="BW903" s="61"/>
      <c r="BX903" s="61"/>
      <c r="BY903" s="61"/>
      <c r="BZ903" s="61"/>
      <c r="CA903" s="61"/>
      <c r="CB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2"/>
      <c r="BQ904" s="62"/>
      <c r="BR904" s="62"/>
      <c r="BS904" s="62"/>
      <c r="BT904" s="61"/>
      <c r="BU904" s="61"/>
      <c r="BV904" s="61"/>
      <c r="BW904" s="61"/>
      <c r="BX904" s="61"/>
      <c r="BY904" s="61"/>
      <c r="BZ904" s="61"/>
      <c r="CA904" s="61"/>
      <c r="CB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2"/>
      <c r="BQ905" s="62"/>
      <c r="BR905" s="62"/>
      <c r="BS905" s="62"/>
      <c r="BT905" s="61"/>
      <c r="BU905" s="61"/>
      <c r="BV905" s="61"/>
      <c r="BW905" s="61"/>
      <c r="BX905" s="61"/>
      <c r="BY905" s="61"/>
      <c r="BZ905" s="61"/>
      <c r="CA905" s="61"/>
      <c r="CB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2"/>
      <c r="BQ906" s="62"/>
      <c r="BR906" s="62"/>
      <c r="BS906" s="62"/>
      <c r="BT906" s="61"/>
      <c r="BU906" s="61"/>
      <c r="BV906" s="61"/>
      <c r="BW906" s="61"/>
      <c r="BX906" s="61"/>
      <c r="BY906" s="61"/>
      <c r="BZ906" s="61"/>
      <c r="CA906" s="61"/>
      <c r="CB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2"/>
      <c r="BQ907" s="62"/>
      <c r="BR907" s="62"/>
      <c r="BS907" s="62"/>
      <c r="BT907" s="61"/>
      <c r="BU907" s="61"/>
      <c r="BV907" s="61"/>
      <c r="BW907" s="61"/>
      <c r="BX907" s="61"/>
      <c r="BY907" s="61"/>
      <c r="BZ907" s="61"/>
      <c r="CA907" s="61"/>
      <c r="CB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2"/>
      <c r="BQ908" s="62"/>
      <c r="BR908" s="62"/>
      <c r="BS908" s="62"/>
      <c r="BT908" s="61"/>
      <c r="BU908" s="61"/>
      <c r="BV908" s="61"/>
      <c r="BW908" s="61"/>
      <c r="BX908" s="61"/>
      <c r="BY908" s="61"/>
      <c r="BZ908" s="61"/>
      <c r="CA908" s="61"/>
      <c r="CB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2"/>
      <c r="BQ909" s="62"/>
      <c r="BR909" s="62"/>
      <c r="BS909" s="62"/>
      <c r="BT909" s="61"/>
      <c r="BU909" s="61"/>
      <c r="BV909" s="61"/>
      <c r="BW909" s="61"/>
      <c r="BX909" s="61"/>
      <c r="BY909" s="61"/>
      <c r="BZ909" s="61"/>
      <c r="CA909" s="61"/>
      <c r="CB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2"/>
      <c r="BQ910" s="62"/>
      <c r="BR910" s="62"/>
      <c r="BS910" s="62"/>
      <c r="BT910" s="61"/>
      <c r="BU910" s="61"/>
      <c r="BV910" s="61"/>
      <c r="BW910" s="61"/>
      <c r="BX910" s="61"/>
      <c r="BY910" s="61"/>
      <c r="BZ910" s="61"/>
      <c r="CA910" s="61"/>
      <c r="CB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2"/>
      <c r="BQ911" s="62"/>
      <c r="BR911" s="62"/>
      <c r="BS911" s="62"/>
      <c r="BT911" s="61"/>
      <c r="BU911" s="61"/>
      <c r="BV911" s="61"/>
      <c r="BW911" s="61"/>
      <c r="BX911" s="61"/>
      <c r="BY911" s="61"/>
      <c r="BZ911" s="61"/>
      <c r="CA911" s="61"/>
      <c r="CB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2"/>
      <c r="BQ912" s="62"/>
      <c r="BR912" s="62"/>
      <c r="BS912" s="62"/>
      <c r="BT912" s="61"/>
      <c r="BU912" s="61"/>
      <c r="BV912" s="61"/>
      <c r="BW912" s="61"/>
      <c r="BX912" s="61"/>
      <c r="BY912" s="61"/>
      <c r="BZ912" s="61"/>
      <c r="CA912" s="61"/>
      <c r="CB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2"/>
      <c r="BQ913" s="62"/>
      <c r="BR913" s="62"/>
      <c r="BS913" s="62"/>
      <c r="BT913" s="61"/>
      <c r="BU913" s="61"/>
      <c r="BV913" s="61"/>
      <c r="BW913" s="61"/>
      <c r="BX913" s="61"/>
      <c r="BY913" s="61"/>
      <c r="BZ913" s="61"/>
      <c r="CA913" s="61"/>
      <c r="CB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2"/>
      <c r="BQ914" s="62"/>
      <c r="BR914" s="62"/>
      <c r="BS914" s="62"/>
      <c r="BT914" s="61"/>
      <c r="BU914" s="61"/>
      <c r="BV914" s="61"/>
      <c r="BW914" s="61"/>
      <c r="BX914" s="61"/>
      <c r="BY914" s="61"/>
      <c r="BZ914" s="61"/>
      <c r="CA914" s="61"/>
      <c r="CB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2"/>
      <c r="BQ915" s="62"/>
      <c r="BR915" s="62"/>
      <c r="BS915" s="62"/>
      <c r="BT915" s="61"/>
      <c r="BU915" s="61"/>
      <c r="BV915" s="61"/>
      <c r="BW915" s="61"/>
      <c r="BX915" s="61"/>
      <c r="BY915" s="61"/>
      <c r="BZ915" s="61"/>
      <c r="CA915" s="61"/>
      <c r="CB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2"/>
      <c r="BQ916" s="62"/>
      <c r="BR916" s="62"/>
      <c r="BS916" s="62"/>
      <c r="BT916" s="61"/>
      <c r="BU916" s="61"/>
      <c r="BV916" s="61"/>
      <c r="BW916" s="61"/>
      <c r="BX916" s="61"/>
      <c r="BY916" s="61"/>
      <c r="BZ916" s="61"/>
      <c r="CA916" s="61"/>
      <c r="CB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2"/>
      <c r="BQ917" s="62"/>
      <c r="BR917" s="62"/>
      <c r="BS917" s="62"/>
      <c r="BT917" s="61"/>
      <c r="BU917" s="61"/>
      <c r="BV917" s="61"/>
      <c r="BW917" s="61"/>
      <c r="BX917" s="61"/>
      <c r="BY917" s="61"/>
      <c r="BZ917" s="61"/>
      <c r="CA917" s="61"/>
      <c r="CB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2"/>
      <c r="BQ918" s="62"/>
      <c r="BR918" s="62"/>
      <c r="BS918" s="62"/>
      <c r="BT918" s="61"/>
      <c r="BU918" s="61"/>
      <c r="BV918" s="61"/>
      <c r="BW918" s="61"/>
      <c r="BX918" s="61"/>
      <c r="BY918" s="61"/>
      <c r="BZ918" s="61"/>
      <c r="CA918" s="61"/>
      <c r="CB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2"/>
      <c r="BQ919" s="62"/>
      <c r="BR919" s="62"/>
      <c r="BS919" s="62"/>
      <c r="BT919" s="61"/>
      <c r="BU919" s="61"/>
      <c r="BV919" s="61"/>
      <c r="BW919" s="61"/>
      <c r="BX919" s="61"/>
      <c r="BY919" s="61"/>
      <c r="BZ919" s="61"/>
      <c r="CA919" s="61"/>
      <c r="CB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2"/>
      <c r="BQ920" s="62"/>
      <c r="BR920" s="62"/>
      <c r="BS920" s="62"/>
      <c r="BT920" s="61"/>
      <c r="BU920" s="61"/>
      <c r="BV920" s="61"/>
      <c r="BW920" s="61"/>
      <c r="BX920" s="61"/>
      <c r="BY920" s="61"/>
      <c r="BZ920" s="61"/>
      <c r="CA920" s="61"/>
      <c r="CB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2"/>
      <c r="BQ921" s="62"/>
      <c r="BR921" s="62"/>
      <c r="BS921" s="62"/>
      <c r="BT921" s="61"/>
      <c r="BU921" s="61"/>
      <c r="BV921" s="61"/>
      <c r="BW921" s="61"/>
      <c r="BX921" s="61"/>
      <c r="BY921" s="61"/>
      <c r="BZ921" s="61"/>
      <c r="CA921" s="61"/>
      <c r="CB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2"/>
      <c r="BQ922" s="62"/>
      <c r="BR922" s="62"/>
      <c r="BS922" s="62"/>
      <c r="BT922" s="61"/>
      <c r="BU922" s="61"/>
      <c r="BV922" s="61"/>
      <c r="BW922" s="61"/>
      <c r="BX922" s="61"/>
      <c r="BY922" s="61"/>
      <c r="BZ922" s="61"/>
      <c r="CA922" s="61"/>
      <c r="CB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2"/>
      <c r="BQ923" s="62"/>
      <c r="BR923" s="62"/>
      <c r="BS923" s="62"/>
      <c r="BT923" s="61"/>
      <c r="BU923" s="61"/>
      <c r="BV923" s="61"/>
      <c r="BW923" s="61"/>
      <c r="BX923" s="61"/>
      <c r="BY923" s="61"/>
      <c r="BZ923" s="61"/>
      <c r="CA923" s="61"/>
      <c r="CB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2"/>
      <c r="BQ924" s="62"/>
      <c r="BR924" s="62"/>
      <c r="BS924" s="62"/>
      <c r="BT924" s="61"/>
      <c r="BU924" s="61"/>
      <c r="BV924" s="61"/>
      <c r="BW924" s="61"/>
      <c r="BX924" s="61"/>
      <c r="BY924" s="61"/>
      <c r="BZ924" s="61"/>
      <c r="CA924" s="61"/>
      <c r="CB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2"/>
      <c r="BQ925" s="62"/>
      <c r="BR925" s="62"/>
      <c r="BS925" s="62"/>
      <c r="BT925" s="61"/>
      <c r="BU925" s="61"/>
      <c r="BV925" s="61"/>
      <c r="BW925" s="61"/>
      <c r="BX925" s="61"/>
      <c r="BY925" s="61"/>
      <c r="BZ925" s="61"/>
      <c r="CA925" s="61"/>
      <c r="CB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2"/>
      <c r="BQ926" s="62"/>
      <c r="BR926" s="62"/>
      <c r="BS926" s="62"/>
      <c r="BT926" s="61"/>
      <c r="BU926" s="61"/>
      <c r="BV926" s="61"/>
      <c r="BW926" s="61"/>
      <c r="BX926" s="61"/>
      <c r="BY926" s="61"/>
      <c r="BZ926" s="61"/>
      <c r="CA926" s="61"/>
      <c r="CB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2"/>
      <c r="BQ927" s="62"/>
      <c r="BR927" s="62"/>
      <c r="BS927" s="62"/>
      <c r="BT927" s="61"/>
      <c r="BU927" s="61"/>
      <c r="BV927" s="61"/>
      <c r="BW927" s="61"/>
      <c r="BX927" s="61"/>
      <c r="BY927" s="61"/>
      <c r="BZ927" s="61"/>
      <c r="CA927" s="61"/>
      <c r="CB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2"/>
      <c r="BQ928" s="62"/>
      <c r="BR928" s="62"/>
      <c r="BS928" s="62"/>
      <c r="BT928" s="61"/>
      <c r="BU928" s="61"/>
      <c r="BV928" s="61"/>
      <c r="BW928" s="61"/>
      <c r="BX928" s="61"/>
      <c r="BY928" s="61"/>
      <c r="BZ928" s="61"/>
      <c r="CA928" s="61"/>
      <c r="CB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2"/>
      <c r="BQ929" s="62"/>
      <c r="BR929" s="62"/>
      <c r="BS929" s="62"/>
      <c r="BT929" s="61"/>
      <c r="BU929" s="61"/>
      <c r="BV929" s="61"/>
      <c r="BW929" s="61"/>
      <c r="BX929" s="61"/>
      <c r="BY929" s="61"/>
      <c r="BZ929" s="61"/>
      <c r="CA929" s="61"/>
      <c r="CB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2"/>
      <c r="BQ930" s="62"/>
      <c r="BR930" s="62"/>
      <c r="BS930" s="62"/>
      <c r="BT930" s="61"/>
      <c r="BU930" s="61"/>
      <c r="BV930" s="61"/>
      <c r="BW930" s="61"/>
      <c r="BX930" s="61"/>
      <c r="BY930" s="61"/>
      <c r="BZ930" s="61"/>
      <c r="CA930" s="61"/>
      <c r="CB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2"/>
      <c r="BQ931" s="62"/>
      <c r="BR931" s="62"/>
      <c r="BS931" s="62"/>
      <c r="BT931" s="61"/>
      <c r="BU931" s="61"/>
      <c r="BV931" s="61"/>
      <c r="BW931" s="61"/>
      <c r="BX931" s="61"/>
      <c r="BY931" s="61"/>
      <c r="BZ931" s="61"/>
      <c r="CA931" s="61"/>
      <c r="CB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2"/>
      <c r="BQ932" s="62"/>
      <c r="BR932" s="62"/>
      <c r="BS932" s="62"/>
      <c r="BT932" s="61"/>
      <c r="BU932" s="61"/>
      <c r="BV932" s="61"/>
      <c r="BW932" s="61"/>
      <c r="BX932" s="61"/>
      <c r="BY932" s="61"/>
      <c r="BZ932" s="61"/>
      <c r="CA932" s="61"/>
      <c r="CB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2"/>
      <c r="BQ933" s="62"/>
      <c r="BR933" s="62"/>
      <c r="BS933" s="62"/>
      <c r="BT933" s="61"/>
      <c r="BU933" s="61"/>
      <c r="BV933" s="61"/>
      <c r="BW933" s="61"/>
      <c r="BX933" s="61"/>
      <c r="BY933" s="61"/>
      <c r="BZ933" s="61"/>
      <c r="CA933" s="61"/>
      <c r="CB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2"/>
      <c r="BQ934" s="62"/>
      <c r="BR934" s="62"/>
      <c r="BS934" s="62"/>
      <c r="BT934" s="61"/>
      <c r="BU934" s="61"/>
      <c r="BV934" s="61"/>
      <c r="BW934" s="61"/>
      <c r="BX934" s="61"/>
      <c r="BY934" s="61"/>
      <c r="BZ934" s="61"/>
      <c r="CA934" s="61"/>
      <c r="CB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2"/>
      <c r="BQ935" s="62"/>
      <c r="BR935" s="62"/>
      <c r="BS935" s="62"/>
      <c r="BT935" s="61"/>
      <c r="BU935" s="61"/>
      <c r="BV935" s="61"/>
      <c r="BW935" s="61"/>
      <c r="BX935" s="61"/>
      <c r="BY935" s="61"/>
      <c r="BZ935" s="61"/>
      <c r="CA935" s="61"/>
      <c r="CB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2"/>
      <c r="BQ936" s="62"/>
      <c r="BR936" s="62"/>
      <c r="BS936" s="62"/>
      <c r="BT936" s="61"/>
      <c r="BU936" s="61"/>
      <c r="BV936" s="61"/>
      <c r="BW936" s="61"/>
      <c r="BX936" s="61"/>
      <c r="BY936" s="61"/>
      <c r="BZ936" s="61"/>
      <c r="CA936" s="61"/>
      <c r="CB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2"/>
      <c r="BQ937" s="62"/>
      <c r="BR937" s="62"/>
      <c r="BS937" s="62"/>
      <c r="BT937" s="61"/>
      <c r="BU937" s="61"/>
      <c r="BV937" s="61"/>
      <c r="BW937" s="61"/>
      <c r="BX937" s="61"/>
      <c r="BY937" s="61"/>
      <c r="BZ937" s="61"/>
      <c r="CA937" s="61"/>
      <c r="CB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2"/>
      <c r="BQ938" s="62"/>
      <c r="BR938" s="62"/>
      <c r="BS938" s="62"/>
      <c r="BT938" s="61"/>
      <c r="BU938" s="61"/>
      <c r="BV938" s="61"/>
      <c r="BW938" s="61"/>
      <c r="BX938" s="61"/>
      <c r="BY938" s="61"/>
      <c r="BZ938" s="61"/>
      <c r="CA938" s="61"/>
      <c r="CB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2"/>
      <c r="BQ939" s="62"/>
      <c r="BR939" s="62"/>
      <c r="BS939" s="62"/>
      <c r="BT939" s="61"/>
      <c r="BU939" s="61"/>
      <c r="BV939" s="61"/>
      <c r="BW939" s="61"/>
      <c r="BX939" s="61"/>
      <c r="BY939" s="61"/>
      <c r="BZ939" s="61"/>
      <c r="CA939" s="61"/>
      <c r="CB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2"/>
      <c r="BQ940" s="62"/>
      <c r="BR940" s="62"/>
      <c r="BS940" s="62"/>
      <c r="BT940" s="61"/>
      <c r="BU940" s="61"/>
      <c r="BV940" s="61"/>
      <c r="BW940" s="61"/>
      <c r="BX940" s="61"/>
      <c r="BY940" s="61"/>
      <c r="BZ940" s="61"/>
      <c r="CA940" s="61"/>
      <c r="CB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2"/>
      <c r="BQ941" s="62"/>
      <c r="BR941" s="62"/>
      <c r="BS941" s="62"/>
      <c r="BT941" s="61"/>
      <c r="BU941" s="61"/>
      <c r="BV941" s="61"/>
      <c r="BW941" s="61"/>
      <c r="BX941" s="61"/>
      <c r="BY941" s="61"/>
      <c r="BZ941" s="61"/>
      <c r="CA941" s="61"/>
      <c r="CB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2"/>
      <c r="BQ942" s="62"/>
      <c r="BR942" s="62"/>
      <c r="BS942" s="62"/>
      <c r="BT942" s="61"/>
      <c r="BU942" s="61"/>
      <c r="BV942" s="61"/>
      <c r="BW942" s="61"/>
      <c r="BX942" s="61"/>
      <c r="BY942" s="61"/>
      <c r="BZ942" s="61"/>
      <c r="CA942" s="61"/>
      <c r="CB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2"/>
      <c r="BQ943" s="62"/>
      <c r="BR943" s="62"/>
      <c r="BS943" s="62"/>
      <c r="BT943" s="61"/>
      <c r="BU943" s="61"/>
      <c r="BV943" s="61"/>
      <c r="BW943" s="61"/>
      <c r="BX943" s="61"/>
      <c r="BY943" s="61"/>
      <c r="BZ943" s="61"/>
      <c r="CA943" s="61"/>
      <c r="CB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2"/>
      <c r="BQ944" s="62"/>
      <c r="BR944" s="62"/>
      <c r="BS944" s="62"/>
      <c r="BT944" s="61"/>
      <c r="BU944" s="61"/>
      <c r="BV944" s="61"/>
      <c r="BW944" s="61"/>
      <c r="BX944" s="61"/>
      <c r="BY944" s="61"/>
      <c r="BZ944" s="61"/>
      <c r="CA944" s="61"/>
      <c r="CB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2"/>
      <c r="BQ945" s="62"/>
      <c r="BR945" s="62"/>
      <c r="BS945" s="62"/>
      <c r="BT945" s="61"/>
      <c r="BU945" s="61"/>
      <c r="BV945" s="61"/>
      <c r="BW945" s="61"/>
      <c r="BX945" s="61"/>
      <c r="BY945" s="61"/>
      <c r="BZ945" s="61"/>
      <c r="CA945" s="61"/>
      <c r="CB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2"/>
      <c r="BQ946" s="62"/>
      <c r="BR946" s="62"/>
      <c r="BS946" s="62"/>
      <c r="BT946" s="61"/>
      <c r="BU946" s="61"/>
      <c r="BV946" s="61"/>
      <c r="BW946" s="61"/>
      <c r="BX946" s="61"/>
      <c r="BY946" s="61"/>
      <c r="BZ946" s="61"/>
      <c r="CA946" s="61"/>
      <c r="CB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2"/>
      <c r="BQ947" s="62"/>
      <c r="BR947" s="62"/>
      <c r="BS947" s="62"/>
      <c r="BT947" s="61"/>
      <c r="BU947" s="61"/>
      <c r="BV947" s="61"/>
      <c r="BW947" s="61"/>
      <c r="BX947" s="61"/>
      <c r="BY947" s="61"/>
      <c r="BZ947" s="61"/>
      <c r="CA947" s="61"/>
      <c r="CB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2"/>
      <c r="BQ948" s="62"/>
      <c r="BR948" s="62"/>
      <c r="BS948" s="62"/>
      <c r="BT948" s="61"/>
      <c r="BU948" s="61"/>
      <c r="BV948" s="61"/>
      <c r="BW948" s="61"/>
      <c r="BX948" s="61"/>
      <c r="BY948" s="61"/>
      <c r="BZ948" s="61"/>
      <c r="CA948" s="61"/>
      <c r="CB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2"/>
      <c r="BQ949" s="62"/>
      <c r="BR949" s="62"/>
      <c r="BS949" s="62"/>
      <c r="BT949" s="61"/>
      <c r="BU949" s="61"/>
      <c r="BV949" s="61"/>
      <c r="BW949" s="61"/>
      <c r="BX949" s="61"/>
      <c r="BY949" s="61"/>
      <c r="BZ949" s="61"/>
      <c r="CA949" s="61"/>
      <c r="CB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2"/>
      <c r="BQ950" s="62"/>
      <c r="BR950" s="62"/>
      <c r="BS950" s="62"/>
      <c r="BT950" s="61"/>
      <c r="BU950" s="61"/>
      <c r="BV950" s="61"/>
      <c r="BW950" s="61"/>
      <c r="BX950" s="61"/>
      <c r="BY950" s="61"/>
      <c r="BZ950" s="61"/>
      <c r="CA950" s="61"/>
      <c r="CB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2"/>
      <c r="BQ951" s="62"/>
      <c r="BR951" s="62"/>
      <c r="BS951" s="62"/>
      <c r="BT951" s="61"/>
      <c r="BU951" s="61"/>
      <c r="BV951" s="61"/>
      <c r="BW951" s="61"/>
      <c r="BX951" s="61"/>
      <c r="BY951" s="61"/>
      <c r="BZ951" s="61"/>
      <c r="CA951" s="61"/>
      <c r="CB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2"/>
      <c r="BQ952" s="62"/>
      <c r="BR952" s="62"/>
      <c r="BS952" s="62"/>
      <c r="BT952" s="61"/>
      <c r="BU952" s="61"/>
      <c r="BV952" s="61"/>
      <c r="BW952" s="61"/>
      <c r="BX952" s="61"/>
      <c r="BY952" s="61"/>
      <c r="BZ952" s="61"/>
      <c r="CA952" s="61"/>
      <c r="CB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2"/>
      <c r="BQ953" s="62"/>
      <c r="BR953" s="62"/>
      <c r="BS953" s="62"/>
      <c r="BT953" s="61"/>
      <c r="BU953" s="61"/>
      <c r="BV953" s="61"/>
      <c r="BW953" s="61"/>
      <c r="BX953" s="61"/>
      <c r="BY953" s="61"/>
      <c r="BZ953" s="61"/>
      <c r="CA953" s="61"/>
      <c r="CB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2"/>
      <c r="BQ954" s="62"/>
      <c r="BR954" s="62"/>
      <c r="BS954" s="62"/>
      <c r="BT954" s="61"/>
      <c r="BU954" s="61"/>
      <c r="BV954" s="61"/>
      <c r="BW954" s="61"/>
      <c r="BX954" s="61"/>
      <c r="BY954" s="61"/>
      <c r="BZ954" s="61"/>
      <c r="CA954" s="61"/>
      <c r="CB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2"/>
      <c r="BQ955" s="62"/>
      <c r="BR955" s="62"/>
      <c r="BS955" s="62"/>
      <c r="BT955" s="61"/>
      <c r="BU955" s="61"/>
      <c r="BV955" s="61"/>
      <c r="BW955" s="61"/>
      <c r="BX955" s="61"/>
      <c r="BY955" s="61"/>
      <c r="BZ955" s="61"/>
      <c r="CA955" s="61"/>
      <c r="CB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2"/>
      <c r="BQ956" s="62"/>
      <c r="BR956" s="62"/>
      <c r="BS956" s="62"/>
      <c r="BT956" s="61"/>
      <c r="BU956" s="61"/>
      <c r="BV956" s="61"/>
      <c r="BW956" s="61"/>
      <c r="BX956" s="61"/>
      <c r="BY956" s="61"/>
      <c r="BZ956" s="61"/>
      <c r="CA956" s="61"/>
      <c r="CB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2"/>
      <c r="BQ957" s="62"/>
      <c r="BR957" s="62"/>
      <c r="BS957" s="62"/>
      <c r="BT957" s="61"/>
      <c r="BU957" s="61"/>
      <c r="BV957" s="61"/>
      <c r="BW957" s="61"/>
      <c r="BX957" s="61"/>
      <c r="BY957" s="61"/>
      <c r="BZ957" s="61"/>
      <c r="CA957" s="61"/>
      <c r="CB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2"/>
      <c r="BQ958" s="62"/>
      <c r="BR958" s="62"/>
      <c r="BS958" s="62"/>
      <c r="BT958" s="61"/>
      <c r="BU958" s="61"/>
      <c r="BV958" s="61"/>
      <c r="BW958" s="61"/>
      <c r="BX958" s="61"/>
      <c r="BY958" s="61"/>
      <c r="BZ958" s="61"/>
      <c r="CA958" s="61"/>
      <c r="CB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2"/>
      <c r="BQ959" s="62"/>
      <c r="BR959" s="62"/>
      <c r="BS959" s="62"/>
      <c r="BT959" s="61"/>
      <c r="BU959" s="61"/>
      <c r="BV959" s="61"/>
      <c r="BW959" s="61"/>
      <c r="BX959" s="61"/>
      <c r="BY959" s="61"/>
      <c r="BZ959" s="61"/>
      <c r="CA959" s="61"/>
      <c r="CB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2"/>
      <c r="BQ960" s="62"/>
      <c r="BR960" s="62"/>
      <c r="BS960" s="62"/>
      <c r="BT960" s="61"/>
      <c r="BU960" s="61"/>
      <c r="BV960" s="61"/>
      <c r="BW960" s="61"/>
      <c r="BX960" s="61"/>
      <c r="BY960" s="61"/>
      <c r="BZ960" s="61"/>
      <c r="CA960" s="61"/>
      <c r="CB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2"/>
      <c r="BQ961" s="62"/>
      <c r="BR961" s="62"/>
      <c r="BS961" s="62"/>
      <c r="BT961" s="61"/>
      <c r="BU961" s="61"/>
      <c r="BV961" s="61"/>
      <c r="BW961" s="61"/>
      <c r="BX961" s="61"/>
      <c r="BY961" s="61"/>
      <c r="BZ961" s="61"/>
      <c r="CA961" s="61"/>
      <c r="CB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2"/>
      <c r="BQ962" s="62"/>
      <c r="BR962" s="62"/>
      <c r="BS962" s="62"/>
      <c r="BT962" s="61"/>
      <c r="BU962" s="61"/>
      <c r="BV962" s="61"/>
      <c r="BW962" s="61"/>
      <c r="BX962" s="61"/>
      <c r="BY962" s="61"/>
      <c r="BZ962" s="61"/>
      <c r="CA962" s="61"/>
      <c r="CB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2"/>
      <c r="BQ963" s="62"/>
      <c r="BR963" s="62"/>
      <c r="BS963" s="62"/>
      <c r="BT963" s="61"/>
      <c r="BU963" s="61"/>
      <c r="BV963" s="61"/>
      <c r="BW963" s="61"/>
      <c r="BX963" s="61"/>
      <c r="BY963" s="61"/>
      <c r="BZ963" s="61"/>
      <c r="CA963" s="61"/>
      <c r="CB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2"/>
      <c r="BQ964" s="62"/>
      <c r="BR964" s="62"/>
      <c r="BS964" s="62"/>
      <c r="BT964" s="61"/>
      <c r="BU964" s="61"/>
      <c r="BV964" s="61"/>
      <c r="BW964" s="61"/>
      <c r="BX964" s="61"/>
      <c r="BY964" s="61"/>
      <c r="BZ964" s="61"/>
      <c r="CA964" s="61"/>
      <c r="CB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2"/>
      <c r="BQ965" s="62"/>
      <c r="BR965" s="62"/>
      <c r="BS965" s="62"/>
      <c r="BT965" s="61"/>
      <c r="BU965" s="61"/>
      <c r="BV965" s="61"/>
      <c r="BW965" s="61"/>
      <c r="BX965" s="61"/>
      <c r="BY965" s="61"/>
      <c r="BZ965" s="61"/>
      <c r="CA965" s="61"/>
      <c r="CB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2"/>
      <c r="BQ966" s="62"/>
      <c r="BR966" s="62"/>
      <c r="BS966" s="62"/>
      <c r="BT966" s="61"/>
      <c r="BU966" s="61"/>
      <c r="BV966" s="61"/>
      <c r="BW966" s="61"/>
      <c r="BX966" s="61"/>
      <c r="BY966" s="61"/>
      <c r="BZ966" s="61"/>
      <c r="CA966" s="61"/>
      <c r="CB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2"/>
      <c r="BQ967" s="62"/>
      <c r="BR967" s="62"/>
      <c r="BS967" s="62"/>
      <c r="BT967" s="61"/>
      <c r="BU967" s="61"/>
      <c r="BV967" s="61"/>
      <c r="BW967" s="61"/>
      <c r="BX967" s="61"/>
      <c r="BY967" s="61"/>
      <c r="BZ967" s="61"/>
      <c r="CA967" s="61"/>
      <c r="CB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2"/>
      <c r="BQ968" s="62"/>
      <c r="BR968" s="62"/>
      <c r="BS968" s="62"/>
      <c r="BT968" s="61"/>
      <c r="BU968" s="61"/>
      <c r="BV968" s="61"/>
      <c r="BW968" s="61"/>
      <c r="BX968" s="61"/>
      <c r="BY968" s="61"/>
      <c r="BZ968" s="61"/>
      <c r="CA968" s="61"/>
      <c r="CB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2"/>
      <c r="BQ969" s="62"/>
      <c r="BR969" s="62"/>
      <c r="BS969" s="62"/>
      <c r="BT969" s="61"/>
      <c r="BU969" s="61"/>
      <c r="BV969" s="61"/>
      <c r="BW969" s="61"/>
      <c r="BX969" s="61"/>
      <c r="BY969" s="61"/>
      <c r="BZ969" s="61"/>
      <c r="CA969" s="61"/>
      <c r="CB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2"/>
      <c r="BQ970" s="62"/>
      <c r="BR970" s="62"/>
      <c r="BS970" s="62"/>
      <c r="BT970" s="61"/>
      <c r="BU970" s="61"/>
      <c r="BV970" s="61"/>
      <c r="BW970" s="61"/>
      <c r="BX970" s="61"/>
      <c r="BY970" s="61"/>
      <c r="BZ970" s="61"/>
      <c r="CA970" s="61"/>
      <c r="CB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2"/>
      <c r="BQ971" s="62"/>
      <c r="BR971" s="62"/>
      <c r="BS971" s="62"/>
      <c r="BT971" s="61"/>
      <c r="BU971" s="61"/>
      <c r="BV971" s="61"/>
      <c r="BW971" s="61"/>
      <c r="BX971" s="61"/>
      <c r="BY971" s="61"/>
      <c r="BZ971" s="61"/>
      <c r="CA971" s="61"/>
      <c r="CB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2"/>
      <c r="BQ972" s="62"/>
      <c r="BR972" s="62"/>
      <c r="BS972" s="62"/>
      <c r="BT972" s="61"/>
      <c r="BU972" s="61"/>
      <c r="BV972" s="61"/>
      <c r="BW972" s="61"/>
      <c r="BX972" s="61"/>
      <c r="BY972" s="61"/>
      <c r="BZ972" s="61"/>
      <c r="CA972" s="61"/>
      <c r="CB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2"/>
      <c r="BQ973" s="62"/>
      <c r="BR973" s="62"/>
      <c r="BS973" s="62"/>
      <c r="BT973" s="61"/>
      <c r="BU973" s="61"/>
      <c r="BV973" s="61"/>
      <c r="BW973" s="61"/>
      <c r="BX973" s="61"/>
      <c r="BY973" s="61"/>
      <c r="BZ973" s="61"/>
      <c r="CA973" s="61"/>
      <c r="CB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2"/>
      <c r="BQ974" s="62"/>
      <c r="BR974" s="62"/>
      <c r="BS974" s="62"/>
      <c r="BT974" s="61"/>
      <c r="BU974" s="61"/>
      <c r="BV974" s="61"/>
      <c r="BW974" s="61"/>
      <c r="BX974" s="61"/>
      <c r="BY974" s="61"/>
      <c r="BZ974" s="61"/>
      <c r="CA974" s="61"/>
      <c r="CB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2"/>
      <c r="BQ975" s="62"/>
      <c r="BR975" s="62"/>
      <c r="BS975" s="62"/>
      <c r="BT975" s="61"/>
      <c r="BU975" s="61"/>
      <c r="BV975" s="61"/>
      <c r="BW975" s="61"/>
      <c r="BX975" s="61"/>
      <c r="BY975" s="61"/>
      <c r="BZ975" s="61"/>
      <c r="CA975" s="61"/>
      <c r="CB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2"/>
      <c r="BQ976" s="62"/>
      <c r="BR976" s="62"/>
      <c r="BS976" s="62"/>
      <c r="BT976" s="61"/>
      <c r="BU976" s="61"/>
      <c r="BV976" s="61"/>
      <c r="BW976" s="61"/>
      <c r="BX976" s="61"/>
      <c r="BY976" s="61"/>
      <c r="BZ976" s="61"/>
      <c r="CA976" s="61"/>
      <c r="CB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2"/>
      <c r="BQ977" s="62"/>
      <c r="BR977" s="62"/>
      <c r="BS977" s="62"/>
      <c r="BT977" s="61"/>
      <c r="BU977" s="61"/>
      <c r="BV977" s="61"/>
      <c r="BW977" s="61"/>
      <c r="BX977" s="61"/>
      <c r="BY977" s="61"/>
      <c r="BZ977" s="61"/>
      <c r="CA977" s="61"/>
      <c r="CB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2"/>
      <c r="BQ978" s="62"/>
      <c r="BR978" s="62"/>
      <c r="BS978" s="62"/>
      <c r="BT978" s="61"/>
      <c r="BU978" s="61"/>
      <c r="BV978" s="61"/>
      <c r="BW978" s="61"/>
      <c r="BX978" s="61"/>
      <c r="BY978" s="61"/>
      <c r="BZ978" s="61"/>
      <c r="CA978" s="61"/>
      <c r="CB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2"/>
      <c r="BQ979" s="62"/>
      <c r="BR979" s="62"/>
      <c r="BS979" s="62"/>
      <c r="BT979" s="61"/>
      <c r="BU979" s="61"/>
      <c r="BV979" s="61"/>
      <c r="BW979" s="61"/>
      <c r="BX979" s="61"/>
      <c r="BY979" s="61"/>
      <c r="BZ979" s="61"/>
      <c r="CA979" s="61"/>
      <c r="CB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2"/>
      <c r="BQ980" s="62"/>
      <c r="BR980" s="62"/>
      <c r="BS980" s="62"/>
      <c r="BT980" s="61"/>
      <c r="BU980" s="61"/>
      <c r="BV980" s="61"/>
      <c r="BW980" s="61"/>
      <c r="BX980" s="61"/>
      <c r="BY980" s="61"/>
      <c r="BZ980" s="61"/>
      <c r="CA980" s="61"/>
      <c r="CB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2"/>
      <c r="BQ981" s="62"/>
      <c r="BR981" s="62"/>
      <c r="BS981" s="62"/>
      <c r="BT981" s="61"/>
      <c r="BU981" s="61"/>
      <c r="BV981" s="61"/>
      <c r="BW981" s="61"/>
      <c r="BX981" s="61"/>
      <c r="BY981" s="61"/>
      <c r="BZ981" s="61"/>
      <c r="CA981" s="61"/>
      <c r="CB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2"/>
      <c r="BQ982" s="62"/>
      <c r="BR982" s="62"/>
      <c r="BS982" s="62"/>
      <c r="BT982" s="61"/>
      <c r="BU982" s="61"/>
      <c r="BV982" s="61"/>
      <c r="BW982" s="61"/>
      <c r="BX982" s="61"/>
      <c r="BY982" s="61"/>
      <c r="BZ982" s="61"/>
      <c r="CA982" s="61"/>
      <c r="CB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2"/>
      <c r="BQ983" s="62"/>
      <c r="BR983" s="62"/>
      <c r="BS983" s="62"/>
      <c r="BT983" s="61"/>
      <c r="BU983" s="61"/>
      <c r="BV983" s="61"/>
      <c r="BW983" s="61"/>
      <c r="BX983" s="61"/>
      <c r="BY983" s="61"/>
      <c r="BZ983" s="61"/>
      <c r="CA983" s="61"/>
      <c r="CB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2"/>
      <c r="BQ984" s="62"/>
      <c r="BR984" s="62"/>
      <c r="BS984" s="62"/>
      <c r="BT984" s="61"/>
      <c r="BU984" s="61"/>
      <c r="BV984" s="61"/>
      <c r="BW984" s="61"/>
      <c r="BX984" s="61"/>
      <c r="BY984" s="61"/>
      <c r="BZ984" s="61"/>
      <c r="CA984" s="61"/>
      <c r="CB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2"/>
      <c r="BQ985" s="62"/>
      <c r="BR985" s="62"/>
      <c r="BS985" s="62"/>
      <c r="BT985" s="61"/>
      <c r="BU985" s="61"/>
      <c r="BV985" s="61"/>
      <c r="BW985" s="61"/>
      <c r="BX985" s="61"/>
      <c r="BY985" s="61"/>
      <c r="BZ985" s="61"/>
      <c r="CA985" s="61"/>
      <c r="CB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2"/>
      <c r="BQ986" s="62"/>
      <c r="BR986" s="62"/>
      <c r="BS986" s="62"/>
      <c r="BT986" s="61"/>
      <c r="BU986" s="61"/>
      <c r="BV986" s="61"/>
      <c r="BW986" s="61"/>
      <c r="BX986" s="61"/>
      <c r="BY986" s="61"/>
      <c r="BZ986" s="61"/>
      <c r="CA986" s="61"/>
      <c r="CB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2"/>
      <c r="BQ987" s="62"/>
      <c r="BR987" s="62"/>
      <c r="BS987" s="62"/>
      <c r="BT987" s="61"/>
      <c r="BU987" s="61"/>
      <c r="BV987" s="61"/>
      <c r="BW987" s="61"/>
      <c r="BX987" s="61"/>
      <c r="BY987" s="61"/>
      <c r="BZ987" s="61"/>
      <c r="CA987" s="61"/>
      <c r="CB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2"/>
      <c r="BQ988" s="62"/>
      <c r="BR988" s="62"/>
      <c r="BS988" s="62"/>
      <c r="BT988" s="61"/>
      <c r="BU988" s="61"/>
      <c r="BV988" s="61"/>
      <c r="BW988" s="61"/>
      <c r="BX988" s="61"/>
      <c r="BY988" s="61"/>
      <c r="BZ988" s="61"/>
      <c r="CA988" s="61"/>
      <c r="CB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2"/>
      <c r="BQ989" s="62"/>
      <c r="BR989" s="62"/>
      <c r="BS989" s="62"/>
      <c r="BT989" s="61"/>
      <c r="BU989" s="61"/>
      <c r="BV989" s="61"/>
      <c r="BW989" s="61"/>
      <c r="BX989" s="61"/>
      <c r="BY989" s="61"/>
      <c r="BZ989" s="61"/>
      <c r="CA989" s="61"/>
      <c r="CB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2"/>
      <c r="BQ990" s="62"/>
      <c r="BR990" s="62"/>
      <c r="BS990" s="62"/>
      <c r="BT990" s="61"/>
      <c r="BU990" s="61"/>
      <c r="BV990" s="61"/>
      <c r="BW990" s="61"/>
      <c r="BX990" s="61"/>
      <c r="BY990" s="61"/>
      <c r="BZ990" s="61"/>
      <c r="CA990" s="61"/>
      <c r="CB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2"/>
      <c r="BQ991" s="62"/>
      <c r="BR991" s="62"/>
      <c r="BS991" s="62"/>
      <c r="BT991" s="61"/>
      <c r="BU991" s="61"/>
      <c r="BV991" s="61"/>
      <c r="BW991" s="61"/>
      <c r="BX991" s="61"/>
      <c r="BY991" s="61"/>
      <c r="BZ991" s="61"/>
      <c r="CA991" s="61"/>
      <c r="CB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2"/>
      <c r="BQ992" s="62"/>
      <c r="BR992" s="62"/>
      <c r="BS992" s="62"/>
      <c r="BT992" s="61"/>
      <c r="BU992" s="61"/>
      <c r="BV992" s="61"/>
      <c r="BW992" s="61"/>
      <c r="BX992" s="61"/>
      <c r="BY992" s="61"/>
      <c r="BZ992" s="61"/>
      <c r="CA992" s="61"/>
      <c r="CB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2"/>
      <c r="BQ993" s="62"/>
      <c r="BR993" s="62"/>
      <c r="BS993" s="62"/>
      <c r="BT993" s="61"/>
      <c r="BU993" s="61"/>
      <c r="BV993" s="61"/>
      <c r="BW993" s="61"/>
      <c r="BX993" s="61"/>
      <c r="BY993" s="61"/>
      <c r="BZ993" s="61"/>
      <c r="CA993" s="61"/>
      <c r="CB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2"/>
      <c r="BQ994" s="62"/>
      <c r="BR994" s="62"/>
      <c r="BS994" s="62"/>
      <c r="BT994" s="61"/>
      <c r="BU994" s="61"/>
      <c r="BV994" s="61"/>
      <c r="BW994" s="61"/>
      <c r="BX994" s="61"/>
      <c r="BY994" s="61"/>
      <c r="BZ994" s="61"/>
      <c r="CA994" s="61"/>
      <c r="CB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2"/>
      <c r="BQ995" s="62"/>
      <c r="BR995" s="62"/>
      <c r="BS995" s="62"/>
      <c r="BT995" s="61"/>
      <c r="BU995" s="61"/>
      <c r="BV995" s="61"/>
      <c r="BW995" s="61"/>
      <c r="BX995" s="61"/>
      <c r="BY995" s="61"/>
      <c r="BZ995" s="61"/>
      <c r="CA995" s="61"/>
      <c r="CB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2"/>
      <c r="BQ996" s="62"/>
      <c r="BR996" s="62"/>
      <c r="BS996" s="62"/>
      <c r="BT996" s="61"/>
      <c r="BU996" s="61"/>
      <c r="BV996" s="61"/>
      <c r="BW996" s="61"/>
      <c r="BX996" s="61"/>
      <c r="BY996" s="61"/>
      <c r="BZ996" s="61"/>
      <c r="CA996" s="61"/>
      <c r="CB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2"/>
      <c r="BQ997" s="62"/>
      <c r="BR997" s="62"/>
      <c r="BS997" s="62"/>
      <c r="BT997" s="61"/>
      <c r="BU997" s="61"/>
      <c r="BV997" s="61"/>
      <c r="BW997" s="61"/>
      <c r="BX997" s="61"/>
      <c r="BY997" s="61"/>
      <c r="BZ997" s="61"/>
      <c r="CA997" s="61"/>
      <c r="CB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2"/>
      <c r="BQ998" s="62"/>
      <c r="BR998" s="62"/>
      <c r="BS998" s="62"/>
      <c r="BT998" s="61"/>
      <c r="BU998" s="61"/>
      <c r="BV998" s="61"/>
      <c r="BW998" s="61"/>
      <c r="BX998" s="61"/>
      <c r="BY998" s="61"/>
      <c r="BZ998" s="61"/>
      <c r="CA998" s="61"/>
      <c r="CB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2"/>
      <c r="BQ999" s="62"/>
      <c r="BR999" s="62"/>
      <c r="BS999" s="62"/>
      <c r="BT999" s="61"/>
      <c r="BU999" s="61"/>
      <c r="BV999" s="61"/>
      <c r="BW999" s="61"/>
      <c r="BX999" s="61"/>
      <c r="BY999" s="61"/>
      <c r="BZ999" s="61"/>
      <c r="CA999" s="61"/>
      <c r="CB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2"/>
      <c r="BQ1000" s="62"/>
      <c r="BR1000" s="62"/>
      <c r="BS1000" s="62"/>
      <c r="BT1000" s="61"/>
      <c r="BU1000" s="61"/>
      <c r="BV1000" s="61"/>
      <c r="BW1000" s="61"/>
      <c r="BX1000" s="61"/>
      <c r="BY1000" s="61"/>
      <c r="BZ1000" s="61"/>
      <c r="CA1000" s="61"/>
      <c r="CB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2"/>
      <c r="BQ1001" s="62"/>
      <c r="BR1001" s="62"/>
      <c r="BS1001" s="62"/>
      <c r="BT1001" s="61"/>
      <c r="BU1001" s="61"/>
      <c r="BV1001" s="61"/>
      <c r="BW1001" s="61"/>
      <c r="BX1001" s="61"/>
      <c r="BY1001" s="61"/>
      <c r="BZ1001" s="61"/>
      <c r="CA1001" s="61"/>
      <c r="CB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2"/>
      <c r="BQ1002" s="62"/>
      <c r="BR1002" s="62"/>
      <c r="BS1002" s="62"/>
      <c r="BT1002" s="61"/>
      <c r="BU1002" s="61"/>
      <c r="BV1002" s="61"/>
      <c r="BW1002" s="61"/>
      <c r="BX1002" s="61"/>
      <c r="BY1002" s="61"/>
      <c r="BZ1002" s="61"/>
      <c r="CA1002" s="61"/>
      <c r="CB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2"/>
      <c r="BQ1003" s="62"/>
      <c r="BR1003" s="62"/>
      <c r="BS1003" s="62"/>
      <c r="BT1003" s="61"/>
      <c r="BU1003" s="61"/>
      <c r="BV1003" s="61"/>
      <c r="BW1003" s="61"/>
      <c r="BX1003" s="61"/>
      <c r="BY1003" s="61"/>
      <c r="BZ1003" s="61"/>
      <c r="CA1003" s="61"/>
      <c r="CB1003" s="61"/>
    </row>
    <row r="1004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2"/>
      <c r="BQ1004" s="62"/>
      <c r="BR1004" s="62"/>
      <c r="BS1004" s="62"/>
      <c r="BT1004" s="61"/>
      <c r="BU1004" s="61"/>
      <c r="BV1004" s="61"/>
      <c r="BW1004" s="61"/>
      <c r="BX1004" s="61"/>
      <c r="BY1004" s="61"/>
      <c r="BZ1004" s="61"/>
      <c r="CA1004" s="61"/>
      <c r="CB1004" s="61"/>
    </row>
    <row r="100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2"/>
      <c r="BQ1005" s="62"/>
      <c r="BR1005" s="62"/>
      <c r="BS1005" s="62"/>
      <c r="BT1005" s="61"/>
      <c r="BU1005" s="61"/>
      <c r="BV1005" s="61"/>
      <c r="BW1005" s="61"/>
      <c r="BX1005" s="61"/>
      <c r="BY1005" s="61"/>
      <c r="BZ1005" s="61"/>
      <c r="CA1005" s="61"/>
      <c r="CB1005" s="61"/>
    </row>
    <row r="1006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2"/>
      <c r="BQ1006" s="62"/>
      <c r="BR1006" s="62"/>
      <c r="BS1006" s="62"/>
      <c r="BT1006" s="61"/>
      <c r="BU1006" s="61"/>
      <c r="BV1006" s="61"/>
      <c r="BW1006" s="61"/>
      <c r="BX1006" s="61"/>
      <c r="BY1006" s="61"/>
      <c r="BZ1006" s="61"/>
      <c r="CA1006" s="61"/>
      <c r="CB1006" s="61"/>
    </row>
    <row r="1007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2"/>
      <c r="BQ1007" s="62"/>
      <c r="BR1007" s="62"/>
      <c r="BS1007" s="62"/>
      <c r="BT1007" s="61"/>
      <c r="BU1007" s="61"/>
      <c r="BV1007" s="61"/>
      <c r="BW1007" s="61"/>
      <c r="BX1007" s="61"/>
      <c r="BY1007" s="61"/>
      <c r="BZ1007" s="61"/>
      <c r="CA1007" s="61"/>
      <c r="CB1007" s="61"/>
    </row>
    <row r="1008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2"/>
      <c r="BQ1008" s="62"/>
      <c r="BR1008" s="62"/>
      <c r="BS1008" s="62"/>
      <c r="BT1008" s="61"/>
      <c r="BU1008" s="61"/>
      <c r="BV1008" s="61"/>
      <c r="BW1008" s="61"/>
      <c r="BX1008" s="61"/>
      <c r="BY1008" s="61"/>
      <c r="BZ1008" s="61"/>
      <c r="CA1008" s="61"/>
      <c r="CB1008" s="61"/>
    </row>
    <row r="1009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2"/>
      <c r="BQ1009" s="62"/>
      <c r="BR1009" s="62"/>
      <c r="BS1009" s="62"/>
      <c r="BT1009" s="61"/>
      <c r="BU1009" s="61"/>
      <c r="BV1009" s="61"/>
      <c r="BW1009" s="61"/>
      <c r="BX1009" s="61"/>
      <c r="BY1009" s="61"/>
      <c r="BZ1009" s="61"/>
      <c r="CA1009" s="61"/>
      <c r="CB1009" s="61"/>
    </row>
    <row r="1010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2"/>
      <c r="BQ1010" s="62"/>
      <c r="BR1010" s="62"/>
      <c r="BS1010" s="62"/>
      <c r="BT1010" s="61"/>
      <c r="BU1010" s="61"/>
      <c r="BV1010" s="61"/>
      <c r="BW1010" s="61"/>
      <c r="BX1010" s="61"/>
      <c r="BY1010" s="61"/>
      <c r="BZ1010" s="61"/>
      <c r="CA1010" s="61"/>
      <c r="CB1010" s="61"/>
    </row>
    <row r="1011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2"/>
      <c r="BQ1011" s="62"/>
      <c r="BR1011" s="62"/>
      <c r="BS1011" s="62"/>
      <c r="BT1011" s="61"/>
      <c r="BU1011" s="61"/>
      <c r="BV1011" s="61"/>
      <c r="BW1011" s="61"/>
      <c r="BX1011" s="61"/>
      <c r="BY1011" s="61"/>
      <c r="BZ1011" s="61"/>
      <c r="CA1011" s="61"/>
      <c r="CB1011" s="61"/>
    </row>
  </sheetData>
  <mergeCells count="1">
    <mergeCell ref="D1:A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6.38"/>
    <col customWidth="1" min="3" max="3" width="15.25"/>
    <col customWidth="1" min="4" max="4" width="10.75"/>
    <col customWidth="1" min="5" max="5" width="10.63"/>
    <col customWidth="1" min="6" max="6" width="10.5"/>
    <col customWidth="1" min="7" max="7" width="14.75"/>
    <col customWidth="1" min="8" max="8" width="10.13"/>
    <col customWidth="1" min="9" max="9" width="10.88"/>
    <col customWidth="1" min="10" max="11" width="8.88"/>
    <col customWidth="1" min="12" max="12" width="7.5"/>
    <col customWidth="1" min="13" max="13" width="10.5"/>
    <col customWidth="1" min="14" max="14" width="11.88"/>
    <col customWidth="1" min="16" max="17" width="8.88"/>
    <col customWidth="1" min="18" max="18" width="10.88"/>
    <col customWidth="1" min="19" max="19" width="15.88"/>
    <col customWidth="1" min="20" max="20" width="10.63"/>
    <col customWidth="1" min="21" max="67" width="8.88"/>
  </cols>
  <sheetData>
    <row r="1">
      <c r="A1" s="64"/>
      <c r="B1" s="65"/>
      <c r="C1" s="65"/>
      <c r="D1" s="65"/>
      <c r="E1" s="65"/>
      <c r="F1" s="66"/>
      <c r="G1" s="66"/>
      <c r="H1" s="67"/>
      <c r="I1" s="68" t="s">
        <v>0</v>
      </c>
      <c r="J1" s="68"/>
      <c r="K1" s="68"/>
      <c r="L1" s="68"/>
      <c r="M1" s="68"/>
      <c r="N1" s="68"/>
      <c r="O1" s="68"/>
      <c r="P1" s="67"/>
      <c r="Q1" s="67"/>
      <c r="R1" s="68"/>
      <c r="S1" s="68"/>
      <c r="T1" s="68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>
      <c r="A2" s="65"/>
      <c r="B2" s="65"/>
      <c r="C2" s="65"/>
      <c r="D2" s="65"/>
      <c r="E2" s="65"/>
      <c r="F2" s="69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66"/>
      <c r="BF2" s="66"/>
      <c r="BG2" s="66"/>
      <c r="BH2" s="66"/>
      <c r="BI2" s="66"/>
      <c r="BJ2" s="66"/>
      <c r="BK2" s="66"/>
      <c r="BL2" s="66"/>
      <c r="BM2" s="66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ht="24.75" customHeight="1">
      <c r="A3" s="65"/>
      <c r="B3" s="65"/>
      <c r="C3" s="65"/>
      <c r="D3" s="65"/>
      <c r="E3" s="65"/>
      <c r="F3" s="71" t="s">
        <v>140</v>
      </c>
      <c r="G3" s="72"/>
      <c r="H3" s="72"/>
      <c r="I3" s="72"/>
      <c r="J3" s="72"/>
      <c r="K3" s="72"/>
      <c r="L3" s="72"/>
      <c r="M3" s="73"/>
      <c r="N3" s="65"/>
      <c r="O3" s="65"/>
      <c r="P3" s="67"/>
      <c r="Q3" s="67"/>
      <c r="R3" s="65"/>
      <c r="S3" s="65"/>
      <c r="T3" s="65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66"/>
      <c r="BF3" s="66"/>
      <c r="BG3" s="66"/>
      <c r="BH3" s="66"/>
      <c r="BI3" s="66"/>
      <c r="BJ3" s="66"/>
      <c r="BK3" s="66"/>
      <c r="BL3" s="66"/>
      <c r="BM3" s="66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>
      <c r="A4" s="65"/>
      <c r="B4" s="65"/>
      <c r="C4" s="65"/>
      <c r="D4" s="65"/>
      <c r="E4" s="65"/>
      <c r="F4" s="75" t="s">
        <v>141</v>
      </c>
      <c r="H4" s="76">
        <f>'Турнирная таблица по среднему б'!H4</f>
        <v>22.3</v>
      </c>
      <c r="I4" s="77"/>
      <c r="J4" s="75" t="s">
        <v>142</v>
      </c>
      <c r="M4" s="78">
        <f>'Турнирная таблица по среднему б'!M4</f>
        <v>20.85</v>
      </c>
      <c r="N4" s="79"/>
      <c r="O4" s="65"/>
      <c r="P4" s="67"/>
      <c r="Q4" s="67"/>
      <c r="R4" s="65"/>
      <c r="S4" s="65"/>
      <c r="T4" s="65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66"/>
      <c r="BF4" s="66"/>
      <c r="BG4" s="66"/>
      <c r="BH4" s="66"/>
      <c r="BI4" s="66"/>
      <c r="BJ4" s="66"/>
      <c r="BK4" s="66"/>
      <c r="BL4" s="66"/>
      <c r="BM4" s="66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>
      <c r="A5" s="65"/>
      <c r="B5" s="65"/>
      <c r="C5" s="65"/>
      <c r="D5" s="65"/>
      <c r="E5" s="65"/>
      <c r="F5" s="80" t="s">
        <v>143</v>
      </c>
      <c r="G5" s="81"/>
      <c r="H5" s="82">
        <f>'Турнирная таблица по среднему б'!H5</f>
        <v>223.25</v>
      </c>
      <c r="I5" s="83"/>
      <c r="J5" s="84" t="s">
        <v>144</v>
      </c>
      <c r="K5" s="81"/>
      <c r="L5" s="85"/>
      <c r="M5" s="86">
        <f>'Турнирная таблица по среднему б'!M5</f>
        <v>208.75</v>
      </c>
      <c r="N5" s="79"/>
      <c r="O5" s="65"/>
      <c r="P5" s="67"/>
      <c r="Q5" s="67"/>
      <c r="R5" s="65"/>
      <c r="S5" s="65"/>
      <c r="T5" s="65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66"/>
      <c r="BF5" s="66"/>
      <c r="BG5" s="66"/>
      <c r="BH5" s="66"/>
      <c r="BI5" s="66"/>
      <c r="BJ5" s="66"/>
      <c r="BK5" s="66"/>
      <c r="BL5" s="66"/>
      <c r="BM5" s="66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>
      <c r="A6" s="65"/>
      <c r="B6" s="65"/>
      <c r="C6" s="65"/>
      <c r="D6" s="66"/>
      <c r="E6" s="66"/>
      <c r="F6" s="66"/>
      <c r="G6" s="66"/>
      <c r="H6" s="66"/>
      <c r="I6" s="66"/>
      <c r="J6" s="74"/>
      <c r="K6" s="66"/>
      <c r="L6" s="66"/>
      <c r="M6" s="74"/>
      <c r="N6" s="74"/>
      <c r="O6" s="74"/>
      <c r="P6" s="67"/>
      <c r="Q6" s="67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66"/>
      <c r="BF6" s="66"/>
      <c r="BG6" s="66"/>
      <c r="BH6" s="66"/>
      <c r="BI6" s="66"/>
      <c r="BJ6" s="66"/>
      <c r="BK6" s="66"/>
      <c r="BL6" s="66"/>
      <c r="BM6" s="6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67"/>
      <c r="Q7" s="67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70"/>
      <c r="BA7" s="70"/>
      <c r="BB7" s="70"/>
      <c r="BC7" s="70"/>
      <c r="BD7" s="70"/>
      <c r="BE7" s="89"/>
      <c r="BF7" s="89"/>
      <c r="BG7" s="89"/>
      <c r="BH7" s="89"/>
      <c r="BI7" s="89"/>
      <c r="BJ7" s="89"/>
      <c r="BK7" s="89"/>
      <c r="BL7" s="89"/>
      <c r="BM7" s="89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>
      <c r="A8" s="10"/>
      <c r="B8" s="11" t="s">
        <v>1</v>
      </c>
      <c r="C8" s="12" t="s">
        <v>2</v>
      </c>
      <c r="D8" s="13" t="s">
        <v>3</v>
      </c>
      <c r="E8" s="13" t="s">
        <v>4</v>
      </c>
      <c r="F8" s="90" t="s">
        <v>5</v>
      </c>
      <c r="G8" s="91" t="s">
        <v>6</v>
      </c>
      <c r="H8" s="90" t="s">
        <v>7</v>
      </c>
      <c r="I8" s="92" t="s">
        <v>8</v>
      </c>
      <c r="J8" s="92" t="s">
        <v>9</v>
      </c>
      <c r="K8" s="93" t="s">
        <v>10</v>
      </c>
      <c r="L8" s="94" t="s">
        <v>11</v>
      </c>
      <c r="M8" s="95" t="s">
        <v>12</v>
      </c>
      <c r="N8" s="95" t="s">
        <v>13</v>
      </c>
      <c r="O8" s="96" t="s">
        <v>14</v>
      </c>
      <c r="P8" s="19" t="s">
        <v>15</v>
      </c>
      <c r="Q8" s="97" t="s">
        <v>16</v>
      </c>
      <c r="R8" s="21" t="s">
        <v>17</v>
      </c>
      <c r="S8" s="22" t="s">
        <v>18</v>
      </c>
      <c r="T8" s="23" t="s">
        <v>19</v>
      </c>
      <c r="U8" s="23" t="s">
        <v>20</v>
      </c>
      <c r="V8" s="23" t="s">
        <v>21</v>
      </c>
      <c r="W8" s="23" t="s">
        <v>22</v>
      </c>
      <c r="X8" s="23" t="s">
        <v>23</v>
      </c>
      <c r="Y8" s="23" t="s">
        <v>24</v>
      </c>
      <c r="Z8" s="23" t="s">
        <v>25</v>
      </c>
      <c r="AA8" s="23" t="s">
        <v>26</v>
      </c>
      <c r="AB8" s="23" t="s">
        <v>27</v>
      </c>
      <c r="AC8" s="23" t="s">
        <v>28</v>
      </c>
      <c r="AD8" s="23" t="s">
        <v>29</v>
      </c>
      <c r="AE8" s="23" t="s">
        <v>30</v>
      </c>
      <c r="AF8" s="23" t="s">
        <v>31</v>
      </c>
      <c r="AG8" s="23" t="s">
        <v>32</v>
      </c>
      <c r="AH8" s="23" t="s">
        <v>33</v>
      </c>
      <c r="AI8" s="23" t="s">
        <v>34</v>
      </c>
      <c r="AJ8" s="23" t="s">
        <v>35</v>
      </c>
      <c r="AK8" s="23" t="s">
        <v>36</v>
      </c>
      <c r="AL8" s="23" t="s">
        <v>37</v>
      </c>
      <c r="AM8" s="23" t="s">
        <v>38</v>
      </c>
      <c r="AN8" s="23" t="s">
        <v>39</v>
      </c>
      <c r="AO8" s="23" t="s">
        <v>40</v>
      </c>
      <c r="AP8" s="23" t="s">
        <v>41</v>
      </c>
      <c r="AQ8" s="23" t="s">
        <v>42</v>
      </c>
      <c r="AR8" s="23" t="s">
        <v>43</v>
      </c>
      <c r="AS8" s="23" t="s">
        <v>44</v>
      </c>
      <c r="AT8" s="23" t="s">
        <v>45</v>
      </c>
      <c r="AU8" s="23" t="s">
        <v>46</v>
      </c>
      <c r="AV8" s="23" t="s">
        <v>47</v>
      </c>
      <c r="AW8" s="23" t="s">
        <v>48</v>
      </c>
      <c r="AX8" s="23" t="s">
        <v>49</v>
      </c>
      <c r="AY8" s="23" t="s">
        <v>50</v>
      </c>
      <c r="AZ8" s="23" t="s">
        <v>51</v>
      </c>
      <c r="BA8" s="23" t="s">
        <v>52</v>
      </c>
      <c r="BB8" s="23" t="s">
        <v>53</v>
      </c>
      <c r="BC8" s="23" t="s">
        <v>54</v>
      </c>
      <c r="BD8" s="23" t="s">
        <v>55</v>
      </c>
      <c r="BE8" s="23" t="s">
        <v>56</v>
      </c>
      <c r="BF8" s="23" t="s">
        <v>57</v>
      </c>
      <c r="BG8" s="23" t="s">
        <v>58</v>
      </c>
      <c r="BH8" s="24" t="s">
        <v>59</v>
      </c>
      <c r="BI8" s="24" t="s">
        <v>60</v>
      </c>
      <c r="BJ8" s="24" t="s">
        <v>61</v>
      </c>
      <c r="BK8" s="24" t="s">
        <v>62</v>
      </c>
      <c r="BL8" s="24" t="s">
        <v>63</v>
      </c>
      <c r="BM8" s="24" t="s">
        <v>64</v>
      </c>
      <c r="BN8" s="24" t="s">
        <v>65</v>
      </c>
      <c r="BO8" s="25" t="s">
        <v>66</v>
      </c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>
      <c r="A9" s="98"/>
      <c r="B9" s="99">
        <v>1.0</v>
      </c>
      <c r="C9" s="100" t="str">
        <f t="array" ref="C9:CB68">SORT('Турнирная таблица по Алфавиту'!C7:CM66,3,FALSE, 5, FALSE, 11, FALSE, 12, FALSE, 10, FALSE, 13, TRUE)</f>
        <v>Артик</v>
      </c>
      <c r="D9" s="101">
        <v>50.0</v>
      </c>
      <c r="E9" s="102">
        <v>244.5</v>
      </c>
      <c r="F9" s="103">
        <v>24.45</v>
      </c>
      <c r="G9" s="104">
        <v>3.29</v>
      </c>
      <c r="H9" s="103">
        <v>80.0</v>
      </c>
      <c r="I9" s="105">
        <v>153.5</v>
      </c>
      <c r="J9" s="106">
        <v>1.5</v>
      </c>
      <c r="K9" s="107">
        <v>9.5</v>
      </c>
      <c r="L9" s="108">
        <v>14.0</v>
      </c>
      <c r="M9" s="109">
        <v>32.0</v>
      </c>
      <c r="N9" s="109">
        <v>7.0</v>
      </c>
      <c r="O9" s="110">
        <v>4.0</v>
      </c>
      <c r="P9" s="111"/>
      <c r="Q9" s="112"/>
      <c r="R9" s="112"/>
      <c r="S9" s="113"/>
      <c r="T9" s="114">
        <v>27.5</v>
      </c>
      <c r="U9" s="115"/>
      <c r="V9" s="115"/>
      <c r="W9" s="116"/>
      <c r="X9" s="116"/>
      <c r="Y9" s="116">
        <v>15.5</v>
      </c>
      <c r="Z9" s="115"/>
      <c r="AA9" s="116"/>
      <c r="AB9" s="115"/>
      <c r="AC9" s="115"/>
      <c r="AD9" s="116"/>
      <c r="AE9" s="116"/>
      <c r="AF9" s="116"/>
      <c r="AG9" s="115">
        <v>29.25</v>
      </c>
      <c r="AH9" s="116">
        <v>28.0</v>
      </c>
      <c r="AI9" s="116"/>
      <c r="AJ9" s="116"/>
      <c r="AK9" s="116"/>
      <c r="AL9" s="116"/>
      <c r="AM9" s="116"/>
      <c r="AN9" s="116"/>
      <c r="AO9" s="116"/>
      <c r="AP9" s="115"/>
      <c r="AQ9" s="116"/>
      <c r="AR9" s="116"/>
      <c r="AS9" s="116"/>
      <c r="AT9" s="116"/>
      <c r="AU9" s="115"/>
      <c r="AV9" s="115"/>
      <c r="AW9" s="116"/>
      <c r="AX9" s="116"/>
      <c r="AY9" s="116"/>
      <c r="AZ9" s="117"/>
      <c r="BA9" s="117">
        <v>24.5</v>
      </c>
      <c r="BB9" s="117"/>
      <c r="BC9" s="117">
        <v>22.25</v>
      </c>
      <c r="BD9" s="117"/>
      <c r="BE9" s="118"/>
      <c r="BF9" s="118"/>
      <c r="BG9" s="118">
        <v>28.0</v>
      </c>
      <c r="BH9" s="118"/>
      <c r="BI9" s="118"/>
      <c r="BJ9" s="118"/>
      <c r="BK9" s="118"/>
      <c r="BL9" s="119"/>
      <c r="BM9" s="119"/>
      <c r="BN9" s="119"/>
      <c r="BO9" s="119"/>
      <c r="BP9" s="120">
        <v>16.0</v>
      </c>
      <c r="BQ9" s="120"/>
      <c r="BR9" s="120"/>
      <c r="BS9" s="120"/>
      <c r="BT9" s="120"/>
      <c r="BU9" s="120">
        <v>27.0</v>
      </c>
      <c r="BV9" s="120"/>
      <c r="BW9" s="120"/>
      <c r="BX9" s="120"/>
      <c r="BY9" s="120"/>
      <c r="BZ9" s="120">
        <v>26.5</v>
      </c>
      <c r="CA9" s="120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>
      <c r="A10" s="98"/>
      <c r="B10" s="121">
        <v>2.0</v>
      </c>
      <c r="C10" s="122" t="s">
        <v>121</v>
      </c>
      <c r="D10" s="123">
        <v>50.0</v>
      </c>
      <c r="E10" s="124">
        <v>227.75</v>
      </c>
      <c r="F10" s="125">
        <v>22.775</v>
      </c>
      <c r="G10" s="126">
        <v>3.305</v>
      </c>
      <c r="H10" s="125">
        <v>62.5</v>
      </c>
      <c r="I10" s="127">
        <v>152.75</v>
      </c>
      <c r="J10" s="128">
        <v>3.5</v>
      </c>
      <c r="K10" s="129">
        <v>9.0</v>
      </c>
      <c r="L10" s="130">
        <v>14.0</v>
      </c>
      <c r="M10" s="131">
        <v>25.0</v>
      </c>
      <c r="N10" s="131">
        <v>4.0</v>
      </c>
      <c r="O10" s="132">
        <v>6.0</v>
      </c>
      <c r="P10" s="133"/>
      <c r="Q10" s="134"/>
      <c r="R10" s="134"/>
      <c r="S10" s="135"/>
      <c r="T10" s="136"/>
      <c r="U10" s="137"/>
      <c r="V10" s="137"/>
      <c r="W10" s="137"/>
      <c r="X10" s="138"/>
      <c r="Y10" s="137"/>
      <c r="Z10" s="137"/>
      <c r="AA10" s="137"/>
      <c r="AB10" s="137"/>
      <c r="AC10" s="138"/>
      <c r="AD10" s="137"/>
      <c r="AE10" s="137"/>
      <c r="AF10" s="137"/>
      <c r="AG10" s="137"/>
      <c r="AH10" s="138"/>
      <c r="AI10" s="137"/>
      <c r="AJ10" s="137"/>
      <c r="AK10" s="137"/>
      <c r="AL10" s="137"/>
      <c r="AM10" s="137"/>
      <c r="AN10" s="138"/>
      <c r="AO10" s="137"/>
      <c r="AP10" s="137">
        <v>31.5</v>
      </c>
      <c r="AQ10" s="137">
        <v>15.75</v>
      </c>
      <c r="AR10" s="138">
        <v>16.25</v>
      </c>
      <c r="AS10" s="137">
        <v>26.75</v>
      </c>
      <c r="AT10" s="137">
        <v>27.5</v>
      </c>
      <c r="AU10" s="137"/>
      <c r="AV10" s="137"/>
      <c r="AW10" s="137"/>
      <c r="AX10" s="137"/>
      <c r="AY10" s="137"/>
      <c r="AZ10" s="139"/>
      <c r="BA10" s="139"/>
      <c r="BB10" s="139"/>
      <c r="BC10" s="139"/>
      <c r="BD10" s="139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0"/>
      <c r="BQ10" s="120"/>
      <c r="BR10" s="120"/>
      <c r="BS10" s="120">
        <v>16.25</v>
      </c>
      <c r="BT10" s="120">
        <v>17.25</v>
      </c>
      <c r="BU10" s="120">
        <v>29.0</v>
      </c>
      <c r="BV10" s="120">
        <v>22.25</v>
      </c>
      <c r="BW10" s="120">
        <v>25.25</v>
      </c>
      <c r="BX10" s="120"/>
      <c r="BY10" s="120"/>
      <c r="BZ10" s="120"/>
      <c r="CA10" s="120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>
      <c r="A11" s="98"/>
      <c r="B11" s="121">
        <v>3.0</v>
      </c>
      <c r="C11" s="140" t="s">
        <v>87</v>
      </c>
      <c r="D11" s="141">
        <v>50.0</v>
      </c>
      <c r="E11" s="142">
        <v>225.25</v>
      </c>
      <c r="F11" s="143">
        <v>22.525</v>
      </c>
      <c r="G11" s="144">
        <v>3.205</v>
      </c>
      <c r="H11" s="143">
        <v>65.0</v>
      </c>
      <c r="I11" s="145">
        <v>152.75</v>
      </c>
      <c r="J11" s="146">
        <v>0.0</v>
      </c>
      <c r="K11" s="147">
        <v>7.5</v>
      </c>
      <c r="L11" s="148">
        <v>12.0</v>
      </c>
      <c r="M11" s="149">
        <v>26.0</v>
      </c>
      <c r="N11" s="149">
        <v>5.0</v>
      </c>
      <c r="O11" s="150">
        <v>1.0</v>
      </c>
      <c r="P11" s="151"/>
      <c r="Q11" s="152"/>
      <c r="R11" s="152"/>
      <c r="S11" s="153"/>
      <c r="T11" s="154"/>
      <c r="U11" s="155"/>
      <c r="V11" s="155"/>
      <c r="W11" s="155"/>
      <c r="X11" s="155"/>
      <c r="Y11" s="155"/>
      <c r="Z11" s="156"/>
      <c r="AA11" s="156"/>
      <c r="AB11" s="155"/>
      <c r="AC11" s="155"/>
      <c r="AD11" s="155">
        <v>23.0</v>
      </c>
      <c r="AE11" s="155">
        <v>18.25</v>
      </c>
      <c r="AF11" s="155">
        <v>25.75</v>
      </c>
      <c r="AG11" s="155">
        <v>28.5</v>
      </c>
      <c r="AH11" s="155">
        <v>18.0</v>
      </c>
      <c r="AI11" s="155"/>
      <c r="AJ11" s="155"/>
      <c r="AK11" s="156"/>
      <c r="AL11" s="156"/>
      <c r="AM11" s="155"/>
      <c r="AN11" s="155"/>
      <c r="AO11" s="155"/>
      <c r="AP11" s="155"/>
      <c r="AQ11" s="155"/>
      <c r="AR11" s="155"/>
      <c r="AS11" s="155"/>
      <c r="AT11" s="155"/>
      <c r="AU11" s="156">
        <v>26.25</v>
      </c>
      <c r="AV11" s="156">
        <v>21.75</v>
      </c>
      <c r="AW11" s="155">
        <v>14.5</v>
      </c>
      <c r="AX11" s="155">
        <v>25.0</v>
      </c>
      <c r="AY11" s="155">
        <v>24.25</v>
      </c>
      <c r="AZ11" s="157"/>
      <c r="BA11" s="157"/>
      <c r="BB11" s="157"/>
      <c r="BC11" s="157"/>
      <c r="BD11" s="157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>
      <c r="A12" s="98"/>
      <c r="B12" s="121">
        <v>4.0</v>
      </c>
      <c r="C12" s="122" t="s">
        <v>123</v>
      </c>
      <c r="D12" s="123">
        <v>50.0</v>
      </c>
      <c r="E12" s="124">
        <v>224.75</v>
      </c>
      <c r="F12" s="125">
        <v>22.475</v>
      </c>
      <c r="G12" s="126">
        <v>3.045</v>
      </c>
      <c r="H12" s="125">
        <v>72.5</v>
      </c>
      <c r="I12" s="127">
        <v>146.25</v>
      </c>
      <c r="J12" s="128">
        <v>0.5</v>
      </c>
      <c r="K12" s="129">
        <v>5.5</v>
      </c>
      <c r="L12" s="130">
        <v>9.0</v>
      </c>
      <c r="M12" s="131">
        <v>29.0</v>
      </c>
      <c r="N12" s="131">
        <v>9.0</v>
      </c>
      <c r="O12" s="132">
        <v>2.0</v>
      </c>
      <c r="P12" s="133"/>
      <c r="Q12" s="134"/>
      <c r="R12" s="134"/>
      <c r="S12" s="135"/>
      <c r="T12" s="136"/>
      <c r="U12" s="137"/>
      <c r="V12" s="137">
        <v>22.75</v>
      </c>
      <c r="W12" s="137">
        <v>26.5</v>
      </c>
      <c r="X12" s="138"/>
      <c r="Y12" s="137"/>
      <c r="Z12" s="137">
        <v>23.75</v>
      </c>
      <c r="AA12" s="137"/>
      <c r="AB12" s="137"/>
      <c r="AC12" s="138"/>
      <c r="AD12" s="137"/>
      <c r="AE12" s="137"/>
      <c r="AF12" s="137"/>
      <c r="AG12" s="137"/>
      <c r="AH12" s="138"/>
      <c r="AI12" s="137"/>
      <c r="AJ12" s="137"/>
      <c r="AK12" s="137"/>
      <c r="AL12" s="137"/>
      <c r="AM12" s="137"/>
      <c r="AN12" s="138"/>
      <c r="AO12" s="137"/>
      <c r="AP12" s="137"/>
      <c r="AQ12" s="137"/>
      <c r="AR12" s="138"/>
      <c r="AS12" s="137"/>
      <c r="AT12" s="137">
        <v>28.5</v>
      </c>
      <c r="AU12" s="137"/>
      <c r="AV12" s="137">
        <v>22.25</v>
      </c>
      <c r="AW12" s="137"/>
      <c r="AX12" s="137"/>
      <c r="AY12" s="137">
        <v>19.5</v>
      </c>
      <c r="AZ12" s="139"/>
      <c r="BA12" s="139"/>
      <c r="BB12" s="139"/>
      <c r="BC12" s="139"/>
      <c r="BD12" s="139">
        <v>19.75</v>
      </c>
      <c r="BE12" s="127"/>
      <c r="BF12" s="127"/>
      <c r="BG12" s="127">
        <v>22.5</v>
      </c>
      <c r="BH12" s="127"/>
      <c r="BI12" s="127"/>
      <c r="BJ12" s="127"/>
      <c r="BK12" s="127"/>
      <c r="BL12" s="127"/>
      <c r="BM12" s="127"/>
      <c r="BN12" s="127">
        <v>17.0</v>
      </c>
      <c r="BO12" s="127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>
        <v>22.25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>
      <c r="A13" s="98"/>
      <c r="B13" s="121">
        <v>5.0</v>
      </c>
      <c r="C13" s="140" t="s">
        <v>93</v>
      </c>
      <c r="D13" s="141">
        <v>50.0</v>
      </c>
      <c r="E13" s="142">
        <v>224.5</v>
      </c>
      <c r="F13" s="143">
        <v>22.450000000000003</v>
      </c>
      <c r="G13" s="144">
        <v>3.14</v>
      </c>
      <c r="H13" s="143">
        <v>67.5</v>
      </c>
      <c r="I13" s="145">
        <v>150.0</v>
      </c>
      <c r="J13" s="146">
        <v>2.5</v>
      </c>
      <c r="K13" s="147">
        <v>4.5</v>
      </c>
      <c r="L13" s="148">
        <v>9.0</v>
      </c>
      <c r="M13" s="149">
        <v>27.0</v>
      </c>
      <c r="N13" s="149">
        <v>6.0</v>
      </c>
      <c r="O13" s="150">
        <v>5.0</v>
      </c>
      <c r="P13" s="151"/>
      <c r="Q13" s="152"/>
      <c r="R13" s="152"/>
      <c r="S13" s="153"/>
      <c r="T13" s="154"/>
      <c r="U13" s="155"/>
      <c r="V13" s="155"/>
      <c r="W13" s="155"/>
      <c r="X13" s="155"/>
      <c r="Y13" s="155"/>
      <c r="Z13" s="156"/>
      <c r="AA13" s="156"/>
      <c r="AB13" s="155"/>
      <c r="AC13" s="155"/>
      <c r="AD13" s="155"/>
      <c r="AE13" s="155"/>
      <c r="AF13" s="155"/>
      <c r="AG13" s="155"/>
      <c r="AH13" s="155"/>
      <c r="AI13" s="155"/>
      <c r="AJ13" s="155"/>
      <c r="AK13" s="156"/>
      <c r="AL13" s="156"/>
      <c r="AM13" s="155"/>
      <c r="AN13" s="155"/>
      <c r="AO13" s="155"/>
      <c r="AP13" s="155"/>
      <c r="AQ13" s="155"/>
      <c r="AR13" s="155"/>
      <c r="AS13" s="155"/>
      <c r="AT13" s="155"/>
      <c r="AU13" s="156"/>
      <c r="AV13" s="156"/>
      <c r="AW13" s="155"/>
      <c r="AX13" s="155"/>
      <c r="AY13" s="155"/>
      <c r="AZ13" s="157">
        <v>18.0</v>
      </c>
      <c r="BA13" s="157">
        <v>23.0</v>
      </c>
      <c r="BB13" s="157">
        <v>30.5</v>
      </c>
      <c r="BC13" s="157">
        <v>17.25</v>
      </c>
      <c r="BD13" s="157"/>
      <c r="BE13" s="145"/>
      <c r="BF13" s="145"/>
      <c r="BG13" s="145"/>
      <c r="BH13" s="145"/>
      <c r="BI13" s="145"/>
      <c r="BJ13" s="145"/>
      <c r="BK13" s="145"/>
      <c r="BL13" s="145"/>
      <c r="BM13" s="145">
        <v>25.25</v>
      </c>
      <c r="BN13" s="145">
        <v>14.75</v>
      </c>
      <c r="BO13" s="145">
        <v>24.25</v>
      </c>
      <c r="BP13" s="120">
        <v>21.75</v>
      </c>
      <c r="BQ13" s="120">
        <v>20.25</v>
      </c>
      <c r="BR13" s="120">
        <v>29.5</v>
      </c>
      <c r="BS13" s="120"/>
      <c r="BT13" s="120"/>
      <c r="BU13" s="120"/>
      <c r="BV13" s="120"/>
      <c r="BW13" s="120"/>
      <c r="BX13" s="120"/>
      <c r="BY13" s="120"/>
      <c r="BZ13" s="120"/>
      <c r="CA13" s="120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>
      <c r="A14" s="98"/>
      <c r="B14" s="121">
        <v>6.0</v>
      </c>
      <c r="C14" s="122" t="s">
        <v>114</v>
      </c>
      <c r="D14" s="123">
        <v>50.0</v>
      </c>
      <c r="E14" s="124">
        <v>224.25</v>
      </c>
      <c r="F14" s="125">
        <v>22.425</v>
      </c>
      <c r="G14" s="126">
        <v>3.085</v>
      </c>
      <c r="H14" s="125">
        <v>70.0</v>
      </c>
      <c r="I14" s="127">
        <v>148.25</v>
      </c>
      <c r="J14" s="128">
        <v>2.0</v>
      </c>
      <c r="K14" s="129">
        <v>4.0</v>
      </c>
      <c r="L14" s="130">
        <v>8.0</v>
      </c>
      <c r="M14" s="131">
        <v>28.0</v>
      </c>
      <c r="N14" s="131">
        <v>5.0</v>
      </c>
      <c r="O14" s="132">
        <v>4.0</v>
      </c>
      <c r="P14" s="133"/>
      <c r="Q14" s="134"/>
      <c r="R14" s="134"/>
      <c r="S14" s="135"/>
      <c r="T14" s="136"/>
      <c r="U14" s="137"/>
      <c r="V14" s="137"/>
      <c r="W14" s="137"/>
      <c r="X14" s="138"/>
      <c r="Y14" s="137"/>
      <c r="Z14" s="137"/>
      <c r="AA14" s="137"/>
      <c r="AB14" s="137"/>
      <c r="AC14" s="138"/>
      <c r="AD14" s="137"/>
      <c r="AE14" s="137"/>
      <c r="AF14" s="137"/>
      <c r="AG14" s="137"/>
      <c r="AH14" s="138"/>
      <c r="AI14" s="137"/>
      <c r="AJ14" s="137"/>
      <c r="AK14" s="137">
        <v>18.25</v>
      </c>
      <c r="AL14" s="137">
        <v>22.75</v>
      </c>
      <c r="AM14" s="137">
        <v>20.5</v>
      </c>
      <c r="AN14" s="138">
        <v>29.0</v>
      </c>
      <c r="AO14" s="137">
        <v>19.25</v>
      </c>
      <c r="AP14" s="137"/>
      <c r="AQ14" s="137"/>
      <c r="AR14" s="138"/>
      <c r="AS14" s="137"/>
      <c r="AT14" s="137"/>
      <c r="AU14" s="137"/>
      <c r="AV14" s="137"/>
      <c r="AW14" s="137"/>
      <c r="AX14" s="137"/>
      <c r="AY14" s="137"/>
      <c r="AZ14" s="139"/>
      <c r="BA14" s="139"/>
      <c r="BB14" s="139"/>
      <c r="BC14" s="139"/>
      <c r="BD14" s="139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0"/>
      <c r="BQ14" s="120"/>
      <c r="BR14" s="120"/>
      <c r="BS14" s="120"/>
      <c r="BT14" s="120">
        <v>22.25</v>
      </c>
      <c r="BU14" s="120">
        <v>19.5</v>
      </c>
      <c r="BV14" s="120">
        <v>27.75</v>
      </c>
      <c r="BW14" s="120">
        <v>22.0</v>
      </c>
      <c r="BX14" s="120">
        <v>23.0</v>
      </c>
      <c r="BY14" s="120"/>
      <c r="BZ14" s="120"/>
      <c r="CA14" s="120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>
      <c r="A15" s="98"/>
      <c r="B15" s="121">
        <v>7.0</v>
      </c>
      <c r="C15" s="140" t="s">
        <v>107</v>
      </c>
      <c r="D15" s="141">
        <v>50.0</v>
      </c>
      <c r="E15" s="142">
        <v>223.0</v>
      </c>
      <c r="F15" s="143">
        <v>22.3</v>
      </c>
      <c r="G15" s="144">
        <v>3.16</v>
      </c>
      <c r="H15" s="143">
        <v>65.0</v>
      </c>
      <c r="I15" s="145">
        <v>147.0</v>
      </c>
      <c r="J15" s="146">
        <v>2.5</v>
      </c>
      <c r="K15" s="147">
        <v>8.5</v>
      </c>
      <c r="L15" s="148">
        <v>13.0</v>
      </c>
      <c r="M15" s="149">
        <v>26.0</v>
      </c>
      <c r="N15" s="149">
        <v>6.0</v>
      </c>
      <c r="O15" s="150">
        <v>5.0</v>
      </c>
      <c r="P15" s="151"/>
      <c r="Q15" s="152"/>
      <c r="R15" s="152"/>
      <c r="S15" s="153"/>
      <c r="T15" s="154"/>
      <c r="U15" s="155"/>
      <c r="V15" s="155"/>
      <c r="W15" s="155"/>
      <c r="X15" s="155"/>
      <c r="Y15" s="155"/>
      <c r="Z15" s="156">
        <v>30.75</v>
      </c>
      <c r="AA15" s="156">
        <v>20.5</v>
      </c>
      <c r="AB15" s="155">
        <v>24.75</v>
      </c>
      <c r="AC15" s="155">
        <v>19.0</v>
      </c>
      <c r="AD15" s="155">
        <v>29.0</v>
      </c>
      <c r="AE15" s="155">
        <v>16.25</v>
      </c>
      <c r="AF15" s="155"/>
      <c r="AG15" s="155"/>
      <c r="AH15" s="155"/>
      <c r="AI15" s="155"/>
      <c r="AJ15" s="155"/>
      <c r="AK15" s="156"/>
      <c r="AL15" s="156"/>
      <c r="AM15" s="155"/>
      <c r="AN15" s="155"/>
      <c r="AO15" s="155"/>
      <c r="AP15" s="155"/>
      <c r="AQ15" s="155"/>
      <c r="AR15" s="155"/>
      <c r="AS15" s="155"/>
      <c r="AT15" s="155"/>
      <c r="AU15" s="156"/>
      <c r="AV15" s="156"/>
      <c r="AW15" s="155"/>
      <c r="AX15" s="155"/>
      <c r="AY15" s="155"/>
      <c r="AZ15" s="157"/>
      <c r="BA15" s="157"/>
      <c r="BB15" s="157"/>
      <c r="BC15" s="157"/>
      <c r="BD15" s="157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>
        <v>22.5</v>
      </c>
      <c r="BP15" s="120">
        <v>23.75</v>
      </c>
      <c r="BQ15" s="120">
        <v>15.0</v>
      </c>
      <c r="BR15" s="120">
        <v>21.5</v>
      </c>
      <c r="BS15" s="120"/>
      <c r="BT15" s="120"/>
      <c r="BU15" s="120"/>
      <c r="BV15" s="120"/>
      <c r="BW15" s="120"/>
      <c r="BX15" s="120"/>
      <c r="BY15" s="120"/>
      <c r="BZ15" s="120"/>
      <c r="CA15" s="120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>
      <c r="A16" s="98"/>
      <c r="B16" s="158">
        <v>8.0</v>
      </c>
      <c r="C16" s="122" t="s">
        <v>80</v>
      </c>
      <c r="D16" s="123">
        <v>50.0</v>
      </c>
      <c r="E16" s="124">
        <v>217.75</v>
      </c>
      <c r="F16" s="125">
        <v>21.775000000000002</v>
      </c>
      <c r="G16" s="126">
        <v>3.005</v>
      </c>
      <c r="H16" s="125">
        <v>67.5</v>
      </c>
      <c r="I16" s="127">
        <v>144.25</v>
      </c>
      <c r="J16" s="128">
        <v>2.0</v>
      </c>
      <c r="K16" s="129">
        <v>4.0</v>
      </c>
      <c r="L16" s="130">
        <v>7.0</v>
      </c>
      <c r="M16" s="131">
        <v>27.0</v>
      </c>
      <c r="N16" s="131">
        <v>6.0</v>
      </c>
      <c r="O16" s="132">
        <v>6.0</v>
      </c>
      <c r="P16" s="133"/>
      <c r="Q16" s="134"/>
      <c r="R16" s="134"/>
      <c r="S16" s="135"/>
      <c r="T16" s="136"/>
      <c r="U16" s="137"/>
      <c r="V16" s="137"/>
      <c r="W16" s="137"/>
      <c r="X16" s="138"/>
      <c r="Y16" s="137"/>
      <c r="Z16" s="137"/>
      <c r="AA16" s="137"/>
      <c r="AB16" s="137"/>
      <c r="AC16" s="138"/>
      <c r="AD16" s="137"/>
      <c r="AE16" s="137"/>
      <c r="AF16" s="137"/>
      <c r="AG16" s="137"/>
      <c r="AH16" s="138"/>
      <c r="AI16" s="137"/>
      <c r="AJ16" s="137"/>
      <c r="AK16" s="137"/>
      <c r="AL16" s="137"/>
      <c r="AM16" s="137"/>
      <c r="AN16" s="138"/>
      <c r="AO16" s="137"/>
      <c r="AP16" s="137"/>
      <c r="AQ16" s="137"/>
      <c r="AR16" s="138">
        <v>26.5</v>
      </c>
      <c r="AS16" s="137">
        <v>27.0</v>
      </c>
      <c r="AT16" s="137">
        <v>18.0</v>
      </c>
      <c r="AU16" s="137">
        <v>24.25</v>
      </c>
      <c r="AV16" s="137">
        <v>14.25</v>
      </c>
      <c r="AW16" s="137">
        <v>14.0</v>
      </c>
      <c r="AX16" s="137">
        <v>25.75</v>
      </c>
      <c r="AY16" s="137">
        <v>22.5</v>
      </c>
      <c r="AZ16" s="139">
        <v>21.5</v>
      </c>
      <c r="BA16" s="139">
        <v>24.0</v>
      </c>
      <c r="BB16" s="139"/>
      <c r="BC16" s="139"/>
      <c r="BD16" s="139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>
      <c r="A17" s="98"/>
      <c r="B17" s="158">
        <v>9.0</v>
      </c>
      <c r="C17" s="140" t="s">
        <v>90</v>
      </c>
      <c r="D17" s="141">
        <v>50.0</v>
      </c>
      <c r="E17" s="142">
        <v>217.75</v>
      </c>
      <c r="F17" s="143">
        <v>21.775000000000002</v>
      </c>
      <c r="G17" s="144">
        <v>2.955</v>
      </c>
      <c r="H17" s="143">
        <v>70.0</v>
      </c>
      <c r="I17" s="145">
        <v>142.25</v>
      </c>
      <c r="J17" s="146">
        <v>1.5</v>
      </c>
      <c r="K17" s="147">
        <v>4.0</v>
      </c>
      <c r="L17" s="148">
        <v>7.0</v>
      </c>
      <c r="M17" s="149">
        <v>28.0</v>
      </c>
      <c r="N17" s="149">
        <v>2.0</v>
      </c>
      <c r="O17" s="150">
        <v>0.0</v>
      </c>
      <c r="P17" s="151"/>
      <c r="Q17" s="152"/>
      <c r="R17" s="152"/>
      <c r="S17" s="153"/>
      <c r="T17" s="154">
        <v>22.0</v>
      </c>
      <c r="U17" s="155"/>
      <c r="V17" s="155"/>
      <c r="W17" s="155"/>
      <c r="X17" s="155"/>
      <c r="Y17" s="155"/>
      <c r="Z17" s="156">
        <v>25.0</v>
      </c>
      <c r="AA17" s="156"/>
      <c r="AB17" s="155"/>
      <c r="AC17" s="155"/>
      <c r="AD17" s="155"/>
      <c r="AE17" s="155"/>
      <c r="AF17" s="155"/>
      <c r="AG17" s="155"/>
      <c r="AH17" s="155"/>
      <c r="AI17" s="155"/>
      <c r="AJ17" s="155"/>
      <c r="AK17" s="156"/>
      <c r="AL17" s="156"/>
      <c r="AM17" s="155"/>
      <c r="AN17" s="155">
        <v>24.25</v>
      </c>
      <c r="AO17" s="155"/>
      <c r="AP17" s="155"/>
      <c r="AQ17" s="155"/>
      <c r="AR17" s="155"/>
      <c r="AS17" s="155"/>
      <c r="AT17" s="155"/>
      <c r="AU17" s="156">
        <v>17.5</v>
      </c>
      <c r="AV17" s="156"/>
      <c r="AW17" s="155"/>
      <c r="AX17" s="155"/>
      <c r="AY17" s="155"/>
      <c r="AZ17" s="157">
        <v>22.75</v>
      </c>
      <c r="BA17" s="157"/>
      <c r="BB17" s="157"/>
      <c r="BC17" s="157"/>
      <c r="BD17" s="157">
        <v>18.0</v>
      </c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20"/>
      <c r="BQ17" s="120">
        <v>18.75</v>
      </c>
      <c r="BR17" s="120">
        <v>25.25</v>
      </c>
      <c r="BS17" s="120"/>
      <c r="BT17" s="120"/>
      <c r="BU17" s="120"/>
      <c r="BV17" s="120">
        <v>22.75</v>
      </c>
      <c r="BW17" s="120">
        <v>21.5</v>
      </c>
      <c r="BX17" s="120"/>
      <c r="BY17" s="120"/>
      <c r="BZ17" s="120"/>
      <c r="CA17" s="120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>
      <c r="A18" s="98"/>
      <c r="B18" s="158">
        <v>10.0</v>
      </c>
      <c r="C18" s="122" t="s">
        <v>89</v>
      </c>
      <c r="D18" s="123">
        <v>50.0</v>
      </c>
      <c r="E18" s="124">
        <v>215.75</v>
      </c>
      <c r="F18" s="125">
        <v>21.575000000000003</v>
      </c>
      <c r="G18" s="126">
        <v>2.915</v>
      </c>
      <c r="H18" s="125">
        <v>70.0</v>
      </c>
      <c r="I18" s="127">
        <v>143.75</v>
      </c>
      <c r="J18" s="128">
        <v>0.0</v>
      </c>
      <c r="K18" s="129">
        <v>2.0</v>
      </c>
      <c r="L18" s="130">
        <v>4.0</v>
      </c>
      <c r="M18" s="131">
        <v>28.0</v>
      </c>
      <c r="N18" s="131">
        <v>5.0</v>
      </c>
      <c r="O18" s="132">
        <v>6.0</v>
      </c>
      <c r="P18" s="133"/>
      <c r="Q18" s="134"/>
      <c r="R18" s="134"/>
      <c r="S18" s="135"/>
      <c r="T18" s="136"/>
      <c r="U18" s="137"/>
      <c r="V18" s="137"/>
      <c r="W18" s="137"/>
      <c r="X18" s="138"/>
      <c r="Y18" s="137"/>
      <c r="Z18" s="137">
        <v>24.0</v>
      </c>
      <c r="AA18" s="137">
        <v>22.25</v>
      </c>
      <c r="AB18" s="137">
        <v>17.75</v>
      </c>
      <c r="AC18" s="138">
        <v>21.5</v>
      </c>
      <c r="AD18" s="137"/>
      <c r="AE18" s="137"/>
      <c r="AF18" s="137"/>
      <c r="AG18" s="137"/>
      <c r="AH18" s="138"/>
      <c r="AI18" s="137"/>
      <c r="AJ18" s="137"/>
      <c r="AK18" s="137"/>
      <c r="AL18" s="137"/>
      <c r="AM18" s="137"/>
      <c r="AN18" s="138"/>
      <c r="AO18" s="137"/>
      <c r="AP18" s="137">
        <v>26.25</v>
      </c>
      <c r="AQ18" s="137">
        <v>24.25</v>
      </c>
      <c r="AR18" s="138">
        <v>17.25</v>
      </c>
      <c r="AS18" s="137">
        <v>21.25</v>
      </c>
      <c r="AT18" s="137"/>
      <c r="AU18" s="137"/>
      <c r="AV18" s="137"/>
      <c r="AW18" s="137"/>
      <c r="AX18" s="137"/>
      <c r="AY18" s="137"/>
      <c r="AZ18" s="139"/>
      <c r="BA18" s="139"/>
      <c r="BB18" s="139"/>
      <c r="BC18" s="139"/>
      <c r="BD18" s="139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>
        <v>21.25</v>
      </c>
      <c r="BZ18" s="120">
        <v>20.0</v>
      </c>
      <c r="CA18" s="120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>
      <c r="A19" s="98"/>
      <c r="B19" s="158">
        <v>11.0</v>
      </c>
      <c r="C19" s="140" t="s">
        <v>116</v>
      </c>
      <c r="D19" s="141">
        <v>50.0</v>
      </c>
      <c r="E19" s="142">
        <v>213.25</v>
      </c>
      <c r="F19" s="143">
        <v>21.325</v>
      </c>
      <c r="G19" s="144">
        <v>2.915</v>
      </c>
      <c r="H19" s="143">
        <v>67.5</v>
      </c>
      <c r="I19" s="145">
        <v>141.25</v>
      </c>
      <c r="J19" s="146">
        <v>1.5</v>
      </c>
      <c r="K19" s="147">
        <v>3.0</v>
      </c>
      <c r="L19" s="148">
        <v>5.0</v>
      </c>
      <c r="M19" s="149">
        <v>27.0</v>
      </c>
      <c r="N19" s="149">
        <v>8.0</v>
      </c>
      <c r="O19" s="150">
        <v>6.0</v>
      </c>
      <c r="P19" s="151"/>
      <c r="Q19" s="152"/>
      <c r="R19" s="152"/>
      <c r="S19" s="153"/>
      <c r="T19" s="154"/>
      <c r="U19" s="155">
        <v>23.75</v>
      </c>
      <c r="V19" s="155"/>
      <c r="W19" s="155"/>
      <c r="X19" s="155"/>
      <c r="Y19" s="155">
        <v>29.0</v>
      </c>
      <c r="Z19" s="156"/>
      <c r="AA19" s="156">
        <v>25.25</v>
      </c>
      <c r="AB19" s="155"/>
      <c r="AC19" s="155"/>
      <c r="AD19" s="155"/>
      <c r="AE19" s="155">
        <v>15.5</v>
      </c>
      <c r="AF19" s="155"/>
      <c r="AG19" s="155"/>
      <c r="AH19" s="155"/>
      <c r="AI19" s="155"/>
      <c r="AJ19" s="155"/>
      <c r="AK19" s="156"/>
      <c r="AL19" s="156"/>
      <c r="AM19" s="155"/>
      <c r="AN19" s="155"/>
      <c r="AO19" s="155"/>
      <c r="AP19" s="155"/>
      <c r="AQ19" s="155"/>
      <c r="AR19" s="155"/>
      <c r="AS19" s="155"/>
      <c r="AT19" s="155"/>
      <c r="AU19" s="156"/>
      <c r="AV19" s="156">
        <v>19.0</v>
      </c>
      <c r="AW19" s="155"/>
      <c r="AX19" s="155"/>
      <c r="AY19" s="155"/>
      <c r="AZ19" s="157"/>
      <c r="BA19" s="157"/>
      <c r="BB19" s="157"/>
      <c r="BC19" s="157"/>
      <c r="BD19" s="157"/>
      <c r="BE19" s="145">
        <v>25.25</v>
      </c>
      <c r="BF19" s="145"/>
      <c r="BG19" s="145"/>
      <c r="BH19" s="145"/>
      <c r="BI19" s="145"/>
      <c r="BJ19" s="145"/>
      <c r="BK19" s="145">
        <v>13.0</v>
      </c>
      <c r="BL19" s="145"/>
      <c r="BM19" s="145"/>
      <c r="BN19" s="145"/>
      <c r="BO19" s="145"/>
      <c r="BP19" s="120"/>
      <c r="BQ19" s="120"/>
      <c r="BR19" s="120"/>
      <c r="BS19" s="120">
        <v>21.25</v>
      </c>
      <c r="BT19" s="120">
        <v>17.5</v>
      </c>
      <c r="BU19" s="120"/>
      <c r="BV19" s="120"/>
      <c r="BW19" s="120"/>
      <c r="BX19" s="120">
        <v>23.75</v>
      </c>
      <c r="BY19" s="120"/>
      <c r="BZ19" s="120"/>
      <c r="CA19" s="120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>
      <c r="A20" s="98"/>
      <c r="B20" s="158">
        <v>12.0</v>
      </c>
      <c r="C20" s="122" t="s">
        <v>92</v>
      </c>
      <c r="D20" s="123">
        <v>50.0</v>
      </c>
      <c r="E20" s="124">
        <v>213.25</v>
      </c>
      <c r="F20" s="125">
        <v>21.325</v>
      </c>
      <c r="G20" s="126">
        <v>2.865</v>
      </c>
      <c r="H20" s="125">
        <v>70.0</v>
      </c>
      <c r="I20" s="127">
        <v>142.25</v>
      </c>
      <c r="J20" s="128">
        <v>0.0</v>
      </c>
      <c r="K20" s="129">
        <v>1.0</v>
      </c>
      <c r="L20" s="130">
        <v>2.0</v>
      </c>
      <c r="M20" s="131">
        <v>28.0</v>
      </c>
      <c r="N20" s="131">
        <v>5.0</v>
      </c>
      <c r="O20" s="132">
        <v>4.0</v>
      </c>
      <c r="P20" s="133"/>
      <c r="Q20" s="134"/>
      <c r="R20" s="134"/>
      <c r="S20" s="135"/>
      <c r="T20" s="136"/>
      <c r="U20" s="137"/>
      <c r="V20" s="137"/>
      <c r="W20" s="137"/>
      <c r="X20" s="138"/>
      <c r="Y20" s="137"/>
      <c r="Z20" s="137"/>
      <c r="AA20" s="137"/>
      <c r="AB20" s="137"/>
      <c r="AC20" s="138"/>
      <c r="AD20" s="137"/>
      <c r="AE20" s="137"/>
      <c r="AF20" s="137"/>
      <c r="AG20" s="137"/>
      <c r="AH20" s="138">
        <v>25.0</v>
      </c>
      <c r="AI20" s="137">
        <v>16.0</v>
      </c>
      <c r="AJ20" s="137"/>
      <c r="AK20" s="137"/>
      <c r="AL20" s="137"/>
      <c r="AM20" s="137"/>
      <c r="AN20" s="138"/>
      <c r="AO20" s="137">
        <v>21.25</v>
      </c>
      <c r="AP20" s="137"/>
      <c r="AQ20" s="137"/>
      <c r="AR20" s="138"/>
      <c r="AS20" s="137"/>
      <c r="AT20" s="137">
        <v>21.5</v>
      </c>
      <c r="AU20" s="137"/>
      <c r="AV20" s="137">
        <v>19.25</v>
      </c>
      <c r="AW20" s="137">
        <v>22.25</v>
      </c>
      <c r="AX20" s="137"/>
      <c r="AY20" s="137"/>
      <c r="AZ20" s="139"/>
      <c r="BA20" s="139"/>
      <c r="BB20" s="139"/>
      <c r="BC20" s="139"/>
      <c r="BD20" s="139"/>
      <c r="BE20" s="127"/>
      <c r="BF20" s="127">
        <v>25.25</v>
      </c>
      <c r="BG20" s="127"/>
      <c r="BH20" s="127"/>
      <c r="BI20" s="127"/>
      <c r="BJ20" s="127"/>
      <c r="BK20" s="127"/>
      <c r="BL20" s="127"/>
      <c r="BM20" s="127"/>
      <c r="BN20" s="127"/>
      <c r="BO20" s="127"/>
      <c r="BP20" s="120"/>
      <c r="BQ20" s="120"/>
      <c r="BR20" s="120"/>
      <c r="BS20" s="120"/>
      <c r="BT20" s="120"/>
      <c r="BU20" s="120"/>
      <c r="BV20" s="120"/>
      <c r="BW20" s="120"/>
      <c r="BX20" s="120">
        <v>25.25</v>
      </c>
      <c r="BY20" s="120">
        <v>14.5</v>
      </c>
      <c r="BZ20" s="120"/>
      <c r="CA20" s="120">
        <v>23.0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>
      <c r="A21" s="98"/>
      <c r="B21" s="158">
        <v>13.0</v>
      </c>
      <c r="C21" s="140" t="s">
        <v>110</v>
      </c>
      <c r="D21" s="141">
        <v>50.0</v>
      </c>
      <c r="E21" s="142">
        <v>212.75</v>
      </c>
      <c r="F21" s="143">
        <v>21.275</v>
      </c>
      <c r="G21" s="144">
        <v>2.855</v>
      </c>
      <c r="H21" s="143">
        <v>70.0</v>
      </c>
      <c r="I21" s="145">
        <v>140.25</v>
      </c>
      <c r="J21" s="146">
        <v>0.5</v>
      </c>
      <c r="K21" s="147">
        <v>2.0</v>
      </c>
      <c r="L21" s="148">
        <v>3.0</v>
      </c>
      <c r="M21" s="149">
        <v>28.0</v>
      </c>
      <c r="N21" s="149">
        <v>6.0</v>
      </c>
      <c r="O21" s="150">
        <v>5.0</v>
      </c>
      <c r="P21" s="151"/>
      <c r="Q21" s="152"/>
      <c r="R21" s="152"/>
      <c r="S21" s="153"/>
      <c r="T21" s="154"/>
      <c r="U21" s="155">
        <v>25.25</v>
      </c>
      <c r="V21" s="155"/>
      <c r="W21" s="155"/>
      <c r="X21" s="155"/>
      <c r="Y21" s="155"/>
      <c r="Z21" s="156">
        <v>18.75</v>
      </c>
      <c r="AA21" s="156"/>
      <c r="AB21" s="155"/>
      <c r="AC21" s="155"/>
      <c r="AD21" s="155"/>
      <c r="AE21" s="155"/>
      <c r="AF21" s="155">
        <v>17.0</v>
      </c>
      <c r="AG21" s="155"/>
      <c r="AH21" s="155"/>
      <c r="AI21" s="155">
        <v>25.0</v>
      </c>
      <c r="AJ21" s="155"/>
      <c r="AK21" s="156"/>
      <c r="AL21" s="156"/>
      <c r="AM21" s="155"/>
      <c r="AN21" s="155"/>
      <c r="AO21" s="155"/>
      <c r="AP21" s="155">
        <v>15.0</v>
      </c>
      <c r="AQ21" s="155"/>
      <c r="AR21" s="155"/>
      <c r="AS21" s="155"/>
      <c r="AT21" s="155"/>
      <c r="AU21" s="156">
        <v>24.25</v>
      </c>
      <c r="AV21" s="156"/>
      <c r="AW21" s="155"/>
      <c r="AX21" s="155"/>
      <c r="AY21" s="155"/>
      <c r="AZ21" s="157"/>
      <c r="BA21" s="157"/>
      <c r="BB21" s="157"/>
      <c r="BC21" s="157">
        <v>24.0</v>
      </c>
      <c r="BD21" s="157"/>
      <c r="BE21" s="145">
        <v>20.5</v>
      </c>
      <c r="BF21" s="145"/>
      <c r="BG21" s="145"/>
      <c r="BH21" s="145"/>
      <c r="BI21" s="145"/>
      <c r="BJ21" s="145"/>
      <c r="BK21" s="145"/>
      <c r="BL21" s="145"/>
      <c r="BM21" s="145"/>
      <c r="BN21" s="145"/>
      <c r="BO21" s="145">
        <v>25.25</v>
      </c>
      <c r="BP21" s="120"/>
      <c r="BQ21" s="120"/>
      <c r="BR21" s="120"/>
      <c r="BS21" s="120"/>
      <c r="BT21" s="120"/>
      <c r="BU21" s="120"/>
      <c r="BV21" s="120"/>
      <c r="BW21" s="120"/>
      <c r="BX21" s="120"/>
      <c r="BY21" s="120">
        <v>17.75</v>
      </c>
      <c r="BZ21" s="120"/>
      <c r="CA21" s="120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>
      <c r="A22" s="98"/>
      <c r="B22" s="158">
        <v>14.0</v>
      </c>
      <c r="C22" s="122" t="s">
        <v>111</v>
      </c>
      <c r="D22" s="123">
        <v>50.0</v>
      </c>
      <c r="E22" s="124">
        <v>211.0</v>
      </c>
      <c r="F22" s="125">
        <v>21.099999999999998</v>
      </c>
      <c r="G22" s="126">
        <v>3.02</v>
      </c>
      <c r="H22" s="125">
        <v>60.0</v>
      </c>
      <c r="I22" s="127">
        <v>146.5</v>
      </c>
      <c r="J22" s="128">
        <v>1.0</v>
      </c>
      <c r="K22" s="129">
        <v>3.5</v>
      </c>
      <c r="L22" s="130">
        <v>7.0</v>
      </c>
      <c r="M22" s="131">
        <v>24.0</v>
      </c>
      <c r="N22" s="131">
        <v>6.0</v>
      </c>
      <c r="O22" s="132">
        <v>6.0</v>
      </c>
      <c r="P22" s="133"/>
      <c r="Q22" s="134"/>
      <c r="R22" s="134"/>
      <c r="S22" s="135"/>
      <c r="T22" s="136"/>
      <c r="U22" s="137"/>
      <c r="V22" s="137"/>
      <c r="W22" s="137"/>
      <c r="X22" s="138"/>
      <c r="Y22" s="137"/>
      <c r="Z22" s="137"/>
      <c r="AA22" s="137"/>
      <c r="AB22" s="137"/>
      <c r="AC22" s="138"/>
      <c r="AD22" s="137"/>
      <c r="AE22" s="137"/>
      <c r="AF22" s="137">
        <v>13.75</v>
      </c>
      <c r="AG22" s="137">
        <v>18.75</v>
      </c>
      <c r="AH22" s="138">
        <v>26.0</v>
      </c>
      <c r="AI22" s="137">
        <v>23.5</v>
      </c>
      <c r="AJ22" s="137">
        <v>23.75</v>
      </c>
      <c r="AK22" s="137"/>
      <c r="AL22" s="137"/>
      <c r="AM22" s="137"/>
      <c r="AN22" s="138"/>
      <c r="AO22" s="137"/>
      <c r="AP22" s="137"/>
      <c r="AQ22" s="137"/>
      <c r="AR22" s="138"/>
      <c r="AS22" s="137"/>
      <c r="AT22" s="137"/>
      <c r="AU22" s="137"/>
      <c r="AV22" s="137"/>
      <c r="AW22" s="137"/>
      <c r="AX22" s="137"/>
      <c r="AY22" s="137"/>
      <c r="AZ22" s="139"/>
      <c r="BA22" s="139"/>
      <c r="BB22" s="139"/>
      <c r="BC22" s="139"/>
      <c r="BD22" s="139"/>
      <c r="BE22" s="127"/>
      <c r="BF22" s="127"/>
      <c r="BG22" s="127"/>
      <c r="BH22" s="127"/>
      <c r="BI22" s="127">
        <v>20.0</v>
      </c>
      <c r="BJ22" s="127">
        <v>22.25</v>
      </c>
      <c r="BK22" s="127">
        <v>21.75</v>
      </c>
      <c r="BL22" s="127">
        <v>16.0</v>
      </c>
      <c r="BM22" s="127">
        <v>25.25</v>
      </c>
      <c r="BN22" s="127"/>
      <c r="BO22" s="127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>
      <c r="A23" s="98"/>
      <c r="B23" s="158">
        <v>15.0</v>
      </c>
      <c r="C23" s="140" t="s">
        <v>113</v>
      </c>
      <c r="D23" s="141">
        <v>50.0</v>
      </c>
      <c r="E23" s="142">
        <v>209.75</v>
      </c>
      <c r="F23" s="143">
        <v>20.975</v>
      </c>
      <c r="G23" s="144">
        <v>3.145</v>
      </c>
      <c r="H23" s="143">
        <v>52.5</v>
      </c>
      <c r="I23" s="145">
        <v>149.75</v>
      </c>
      <c r="J23" s="146">
        <v>1.0</v>
      </c>
      <c r="K23" s="147">
        <v>6.5</v>
      </c>
      <c r="L23" s="148">
        <v>11.0</v>
      </c>
      <c r="M23" s="149">
        <v>21.0</v>
      </c>
      <c r="N23" s="149">
        <v>5.0</v>
      </c>
      <c r="O23" s="150">
        <v>6.0</v>
      </c>
      <c r="P23" s="151"/>
      <c r="Q23" s="152"/>
      <c r="R23" s="152"/>
      <c r="S23" s="153"/>
      <c r="T23" s="154"/>
      <c r="U23" s="155"/>
      <c r="V23" s="155"/>
      <c r="W23" s="155"/>
      <c r="X23" s="155"/>
      <c r="Y23" s="155"/>
      <c r="Z23" s="156"/>
      <c r="AA23" s="156"/>
      <c r="AB23" s="155"/>
      <c r="AC23" s="155"/>
      <c r="AD23" s="155"/>
      <c r="AE23" s="155"/>
      <c r="AF23" s="155"/>
      <c r="AG23" s="155"/>
      <c r="AH23" s="155"/>
      <c r="AI23" s="155">
        <v>21.0</v>
      </c>
      <c r="AJ23" s="155"/>
      <c r="AK23" s="156"/>
      <c r="AL23" s="156">
        <v>14.75</v>
      </c>
      <c r="AM23" s="155"/>
      <c r="AN23" s="155">
        <v>19.5</v>
      </c>
      <c r="AO23" s="155">
        <v>22.0</v>
      </c>
      <c r="AP23" s="155">
        <v>25.75</v>
      </c>
      <c r="AQ23" s="155"/>
      <c r="AR23" s="155"/>
      <c r="AS23" s="155">
        <v>18.75</v>
      </c>
      <c r="AT23" s="155"/>
      <c r="AU23" s="156"/>
      <c r="AV23" s="156"/>
      <c r="AW23" s="155"/>
      <c r="AX23" s="155"/>
      <c r="AY23" s="155"/>
      <c r="AZ23" s="157">
        <v>21.75</v>
      </c>
      <c r="BA23" s="157"/>
      <c r="BB23" s="157"/>
      <c r="BC23" s="157"/>
      <c r="BD23" s="157">
        <v>20.5</v>
      </c>
      <c r="BE23" s="145"/>
      <c r="BF23" s="145"/>
      <c r="BG23" s="145"/>
      <c r="BH23" s="145">
        <v>24.25</v>
      </c>
      <c r="BI23" s="145"/>
      <c r="BJ23" s="145"/>
      <c r="BK23" s="145"/>
      <c r="BL23" s="145">
        <v>21.5</v>
      </c>
      <c r="BM23" s="145"/>
      <c r="BN23" s="145"/>
      <c r="BO23" s="145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ht="18.75" customHeight="1">
      <c r="A24" s="98"/>
      <c r="B24" s="158">
        <v>16.0</v>
      </c>
      <c r="C24" s="122" t="s">
        <v>132</v>
      </c>
      <c r="D24" s="123">
        <v>50.0</v>
      </c>
      <c r="E24" s="124">
        <v>209.5</v>
      </c>
      <c r="F24" s="125">
        <v>20.950000000000003</v>
      </c>
      <c r="G24" s="126">
        <v>3.04</v>
      </c>
      <c r="H24" s="125">
        <v>57.5</v>
      </c>
      <c r="I24" s="127">
        <v>146.0</v>
      </c>
      <c r="J24" s="128">
        <v>1.5</v>
      </c>
      <c r="K24" s="129">
        <v>4.5</v>
      </c>
      <c r="L24" s="130">
        <v>8.0</v>
      </c>
      <c r="M24" s="131">
        <v>23.0</v>
      </c>
      <c r="N24" s="131">
        <v>6.0</v>
      </c>
      <c r="O24" s="132">
        <v>4.0</v>
      </c>
      <c r="P24" s="133"/>
      <c r="Q24" s="134"/>
      <c r="R24" s="134"/>
      <c r="S24" s="135"/>
      <c r="T24" s="136"/>
      <c r="U24" s="137"/>
      <c r="V24" s="137">
        <v>22.25</v>
      </c>
      <c r="W24" s="137"/>
      <c r="X24" s="138"/>
      <c r="Y24" s="137"/>
      <c r="Z24" s="137"/>
      <c r="AA24" s="137"/>
      <c r="AB24" s="137">
        <v>16.0</v>
      </c>
      <c r="AC24" s="138"/>
      <c r="AD24" s="137"/>
      <c r="AE24" s="137"/>
      <c r="AF24" s="137">
        <v>20.5</v>
      </c>
      <c r="AG24" s="137"/>
      <c r="AH24" s="138"/>
      <c r="AI24" s="137"/>
      <c r="AJ24" s="137"/>
      <c r="AK24" s="137"/>
      <c r="AL24" s="137"/>
      <c r="AM24" s="137"/>
      <c r="AN24" s="138"/>
      <c r="AO24" s="137"/>
      <c r="AP24" s="137"/>
      <c r="AQ24" s="137"/>
      <c r="AR24" s="138"/>
      <c r="AS24" s="137"/>
      <c r="AT24" s="137"/>
      <c r="AU24" s="137"/>
      <c r="AV24" s="137"/>
      <c r="AW24" s="137"/>
      <c r="AX24" s="137"/>
      <c r="AY24" s="137"/>
      <c r="AZ24" s="139"/>
      <c r="BA24" s="139"/>
      <c r="BB24" s="139">
        <v>21.75</v>
      </c>
      <c r="BC24" s="139"/>
      <c r="BD24" s="139"/>
      <c r="BE24" s="127">
        <v>19.75</v>
      </c>
      <c r="BF24" s="127"/>
      <c r="BG24" s="127">
        <v>22.75</v>
      </c>
      <c r="BH24" s="127"/>
      <c r="BI24" s="127">
        <v>20.25</v>
      </c>
      <c r="BJ24" s="127"/>
      <c r="BK24" s="127"/>
      <c r="BL24" s="127"/>
      <c r="BM24" s="127"/>
      <c r="BN24" s="127"/>
      <c r="BO24" s="127"/>
      <c r="BP24" s="120"/>
      <c r="BQ24" s="120"/>
      <c r="BR24" s="120">
        <v>16.75</v>
      </c>
      <c r="BS24" s="120">
        <v>26.0</v>
      </c>
      <c r="BT24" s="120"/>
      <c r="BU24" s="120"/>
      <c r="BV24" s="120"/>
      <c r="BW24" s="120"/>
      <c r="BX24" s="120"/>
      <c r="BY24" s="120">
        <v>23.5</v>
      </c>
      <c r="BZ24" s="120"/>
      <c r="CA24" s="120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>
      <c r="A25" s="98"/>
      <c r="B25" s="158">
        <v>17.0</v>
      </c>
      <c r="C25" s="140" t="s">
        <v>108</v>
      </c>
      <c r="D25" s="141">
        <v>50.0</v>
      </c>
      <c r="E25" s="142">
        <v>208.5</v>
      </c>
      <c r="F25" s="143">
        <v>20.85</v>
      </c>
      <c r="G25" s="144">
        <v>2.92</v>
      </c>
      <c r="H25" s="143">
        <v>62.5</v>
      </c>
      <c r="I25" s="145">
        <v>140.5</v>
      </c>
      <c r="J25" s="146">
        <v>1.5</v>
      </c>
      <c r="K25" s="147">
        <v>4.0</v>
      </c>
      <c r="L25" s="148">
        <v>7.0</v>
      </c>
      <c r="M25" s="149">
        <v>25.0</v>
      </c>
      <c r="N25" s="149">
        <v>4.0</v>
      </c>
      <c r="O25" s="150">
        <v>7.0</v>
      </c>
      <c r="P25" s="151"/>
      <c r="Q25" s="152"/>
      <c r="R25" s="152"/>
      <c r="S25" s="153"/>
      <c r="T25" s="154"/>
      <c r="U25" s="155"/>
      <c r="V25" s="155"/>
      <c r="W25" s="155"/>
      <c r="X25" s="155">
        <v>15.25</v>
      </c>
      <c r="Y25" s="155">
        <v>19.0</v>
      </c>
      <c r="Z25" s="156"/>
      <c r="AA25" s="156"/>
      <c r="AB25" s="155"/>
      <c r="AC25" s="155"/>
      <c r="AD25" s="155"/>
      <c r="AE25" s="155"/>
      <c r="AF25" s="155"/>
      <c r="AG25" s="155"/>
      <c r="AH25" s="155"/>
      <c r="AI25" s="155"/>
      <c r="AJ25" s="155">
        <v>18.5</v>
      </c>
      <c r="AK25" s="156">
        <v>26.5</v>
      </c>
      <c r="AL25" s="156">
        <v>21.25</v>
      </c>
      <c r="AM25" s="155"/>
      <c r="AN25" s="155"/>
      <c r="AO25" s="155"/>
      <c r="AP25" s="155"/>
      <c r="AQ25" s="155"/>
      <c r="AR25" s="155"/>
      <c r="AS25" s="155"/>
      <c r="AT25" s="155"/>
      <c r="AU25" s="156"/>
      <c r="AV25" s="156"/>
      <c r="AW25" s="155"/>
      <c r="AX25" s="155"/>
      <c r="AY25" s="155"/>
      <c r="AZ25" s="157"/>
      <c r="BA25" s="157"/>
      <c r="BB25" s="157"/>
      <c r="BC25" s="157"/>
      <c r="BD25" s="157"/>
      <c r="BE25" s="145"/>
      <c r="BF25" s="145"/>
      <c r="BG25" s="145"/>
      <c r="BH25" s="145"/>
      <c r="BI25" s="145"/>
      <c r="BJ25" s="145">
        <v>21.25</v>
      </c>
      <c r="BK25" s="145">
        <v>21.5</v>
      </c>
      <c r="BL25" s="145">
        <v>21.25</v>
      </c>
      <c r="BM25" s="145">
        <v>20.5</v>
      </c>
      <c r="BN25" s="145">
        <v>23.5</v>
      </c>
      <c r="BO25" s="145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>
      <c r="A26" s="98"/>
      <c r="B26" s="159">
        <v>18.0</v>
      </c>
      <c r="C26" s="122" t="s">
        <v>112</v>
      </c>
      <c r="D26" s="123">
        <v>50.0</v>
      </c>
      <c r="E26" s="124">
        <v>208.25</v>
      </c>
      <c r="F26" s="125">
        <v>20.825</v>
      </c>
      <c r="G26" s="126">
        <v>2.715</v>
      </c>
      <c r="H26" s="125">
        <v>72.5</v>
      </c>
      <c r="I26" s="127">
        <v>133.75</v>
      </c>
      <c r="J26" s="128">
        <v>0.0</v>
      </c>
      <c r="K26" s="129">
        <v>2.0</v>
      </c>
      <c r="L26" s="130">
        <v>4.0</v>
      </c>
      <c r="M26" s="131">
        <v>29.0</v>
      </c>
      <c r="N26" s="131">
        <v>5.0</v>
      </c>
      <c r="O26" s="132">
        <v>8.0</v>
      </c>
      <c r="P26" s="133"/>
      <c r="Q26" s="134"/>
      <c r="R26" s="134"/>
      <c r="S26" s="135"/>
      <c r="T26" s="136">
        <v>17.75</v>
      </c>
      <c r="U26" s="137"/>
      <c r="V26" s="137"/>
      <c r="W26" s="137"/>
      <c r="X26" s="138">
        <v>17.5</v>
      </c>
      <c r="Y26" s="137"/>
      <c r="Z26" s="137"/>
      <c r="AA26" s="137"/>
      <c r="AB26" s="137"/>
      <c r="AC26" s="138"/>
      <c r="AD26" s="137"/>
      <c r="AE26" s="137"/>
      <c r="AF26" s="137"/>
      <c r="AG26" s="137"/>
      <c r="AH26" s="138"/>
      <c r="AI26" s="137"/>
      <c r="AJ26" s="137"/>
      <c r="AK26" s="137"/>
      <c r="AL26" s="137"/>
      <c r="AM26" s="137"/>
      <c r="AN26" s="138">
        <v>16.5</v>
      </c>
      <c r="AO26" s="137"/>
      <c r="AP26" s="137"/>
      <c r="AQ26" s="137"/>
      <c r="AR26" s="138"/>
      <c r="AS26" s="137"/>
      <c r="AT26" s="137"/>
      <c r="AU26" s="137"/>
      <c r="AV26" s="137"/>
      <c r="AW26" s="137"/>
      <c r="AX26" s="137">
        <v>21.25</v>
      </c>
      <c r="AY26" s="137"/>
      <c r="AZ26" s="139"/>
      <c r="BA26" s="139"/>
      <c r="BB26" s="139"/>
      <c r="BC26" s="139"/>
      <c r="BD26" s="139"/>
      <c r="BE26" s="127"/>
      <c r="BF26" s="127">
        <v>21.75</v>
      </c>
      <c r="BG26" s="127"/>
      <c r="BH26" s="127">
        <v>21.5</v>
      </c>
      <c r="BI26" s="127">
        <v>26.5</v>
      </c>
      <c r="BJ26" s="127"/>
      <c r="BK26" s="127"/>
      <c r="BL26" s="127"/>
      <c r="BM26" s="127"/>
      <c r="BN26" s="127">
        <v>22.75</v>
      </c>
      <c r="BO26" s="127"/>
      <c r="BP26" s="120"/>
      <c r="BQ26" s="120"/>
      <c r="BR26" s="120"/>
      <c r="BS26" s="120"/>
      <c r="BT26" s="120"/>
      <c r="BU26" s="120"/>
      <c r="BV26" s="120"/>
      <c r="BW26" s="120">
        <v>20.75</v>
      </c>
      <c r="BX26" s="120"/>
      <c r="BY26" s="120"/>
      <c r="BZ26" s="120"/>
      <c r="CA26" s="120">
        <v>22.0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ht="18.0" customHeight="1">
      <c r="A27" s="98"/>
      <c r="B27" s="159">
        <v>19.0</v>
      </c>
      <c r="C27" s="140" t="s">
        <v>138</v>
      </c>
      <c r="D27" s="141">
        <v>50.0</v>
      </c>
      <c r="E27" s="142">
        <v>207.25</v>
      </c>
      <c r="F27" s="143">
        <v>20.724999999999998</v>
      </c>
      <c r="G27" s="144">
        <v>2.895</v>
      </c>
      <c r="H27" s="143">
        <v>62.5</v>
      </c>
      <c r="I27" s="145">
        <v>143.25</v>
      </c>
      <c r="J27" s="146">
        <v>0.0</v>
      </c>
      <c r="K27" s="147">
        <v>1.5</v>
      </c>
      <c r="L27" s="148">
        <v>3.0</v>
      </c>
      <c r="M27" s="149">
        <v>25.0</v>
      </c>
      <c r="N27" s="149">
        <v>5.0</v>
      </c>
      <c r="O27" s="150">
        <v>4.0</v>
      </c>
      <c r="P27" s="151"/>
      <c r="Q27" s="152"/>
      <c r="R27" s="152"/>
      <c r="S27" s="153"/>
      <c r="T27" s="154"/>
      <c r="U27" s="155">
        <v>26.0</v>
      </c>
      <c r="V27" s="155"/>
      <c r="W27" s="155"/>
      <c r="X27" s="155"/>
      <c r="Y27" s="155"/>
      <c r="Z27" s="156"/>
      <c r="AA27" s="156">
        <v>15.75</v>
      </c>
      <c r="AB27" s="155"/>
      <c r="AC27" s="155"/>
      <c r="AD27" s="155">
        <v>17.75</v>
      </c>
      <c r="AE27" s="155"/>
      <c r="AF27" s="155"/>
      <c r="AG27" s="155">
        <v>23.75</v>
      </c>
      <c r="AH27" s="155"/>
      <c r="AI27" s="155"/>
      <c r="AJ27" s="155"/>
      <c r="AK27" s="156"/>
      <c r="AL27" s="156"/>
      <c r="AM27" s="155"/>
      <c r="AN27" s="155"/>
      <c r="AO27" s="155">
        <v>18.75</v>
      </c>
      <c r="AP27" s="155"/>
      <c r="AQ27" s="155"/>
      <c r="AR27" s="155">
        <v>27.75</v>
      </c>
      <c r="AS27" s="155"/>
      <c r="AT27" s="155"/>
      <c r="AU27" s="156"/>
      <c r="AV27" s="156"/>
      <c r="AW27" s="155"/>
      <c r="AX27" s="155"/>
      <c r="AY27" s="155"/>
      <c r="AZ27" s="157"/>
      <c r="BA27" s="157"/>
      <c r="BB27" s="157">
        <v>14.0</v>
      </c>
      <c r="BC27" s="157"/>
      <c r="BD27" s="157"/>
      <c r="BE27" s="145">
        <v>26.0</v>
      </c>
      <c r="BF27" s="145"/>
      <c r="BG27" s="145"/>
      <c r="BH27" s="145"/>
      <c r="BI27" s="145"/>
      <c r="BJ27" s="145">
        <v>19.0</v>
      </c>
      <c r="BK27" s="145"/>
      <c r="BL27" s="145"/>
      <c r="BM27" s="145"/>
      <c r="BN27" s="145"/>
      <c r="BO27" s="145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>
        <v>18.5</v>
      </c>
      <c r="CA27" s="120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ht="18.0" customHeight="1">
      <c r="A28" s="98"/>
      <c r="B28" s="159">
        <v>20.0</v>
      </c>
      <c r="C28" s="122" t="s">
        <v>106</v>
      </c>
      <c r="D28" s="123">
        <v>50.0</v>
      </c>
      <c r="E28" s="124">
        <v>207.0</v>
      </c>
      <c r="F28" s="125">
        <v>20.7</v>
      </c>
      <c r="G28" s="126">
        <v>2.89</v>
      </c>
      <c r="H28" s="125">
        <v>62.5</v>
      </c>
      <c r="I28" s="127">
        <v>142.0</v>
      </c>
      <c r="J28" s="128">
        <v>1.0</v>
      </c>
      <c r="K28" s="129">
        <v>1.5</v>
      </c>
      <c r="L28" s="130">
        <v>3.0</v>
      </c>
      <c r="M28" s="131">
        <v>25.0</v>
      </c>
      <c r="N28" s="131">
        <v>4.0</v>
      </c>
      <c r="O28" s="132">
        <v>3.0</v>
      </c>
      <c r="P28" s="133"/>
      <c r="Q28" s="134"/>
      <c r="R28" s="134"/>
      <c r="S28" s="135"/>
      <c r="T28" s="136">
        <v>20.0</v>
      </c>
      <c r="U28" s="137"/>
      <c r="V28" s="137"/>
      <c r="W28" s="137"/>
      <c r="X28" s="138">
        <v>19.25</v>
      </c>
      <c r="Y28" s="137"/>
      <c r="Z28" s="137"/>
      <c r="AA28" s="137"/>
      <c r="AB28" s="137"/>
      <c r="AC28" s="138"/>
      <c r="AD28" s="137">
        <v>18.25</v>
      </c>
      <c r="AE28" s="137"/>
      <c r="AF28" s="137"/>
      <c r="AG28" s="137"/>
      <c r="AH28" s="138"/>
      <c r="AI28" s="137"/>
      <c r="AJ28" s="137"/>
      <c r="AK28" s="137"/>
      <c r="AL28" s="137"/>
      <c r="AM28" s="137"/>
      <c r="AN28" s="138"/>
      <c r="AO28" s="137"/>
      <c r="AP28" s="137"/>
      <c r="AQ28" s="137">
        <v>21.5</v>
      </c>
      <c r="AR28" s="138"/>
      <c r="AS28" s="137">
        <v>26.25</v>
      </c>
      <c r="AT28" s="137"/>
      <c r="AU28" s="137"/>
      <c r="AV28" s="137"/>
      <c r="AW28" s="137"/>
      <c r="AX28" s="137"/>
      <c r="AY28" s="137"/>
      <c r="AZ28" s="139"/>
      <c r="BA28" s="139">
        <v>21.5</v>
      </c>
      <c r="BB28" s="139"/>
      <c r="BC28" s="139">
        <v>20.75</v>
      </c>
      <c r="BD28" s="139"/>
      <c r="BE28" s="127"/>
      <c r="BF28" s="127"/>
      <c r="BG28" s="127"/>
      <c r="BH28" s="127"/>
      <c r="BI28" s="127"/>
      <c r="BJ28" s="127">
        <v>13.75</v>
      </c>
      <c r="BK28" s="127"/>
      <c r="BL28" s="127"/>
      <c r="BM28" s="127">
        <v>28.5</v>
      </c>
      <c r="BN28" s="127"/>
      <c r="BO28" s="127"/>
      <c r="BP28" s="120"/>
      <c r="BQ28" s="120"/>
      <c r="BR28" s="120"/>
      <c r="BS28" s="120"/>
      <c r="BT28" s="120"/>
      <c r="BU28" s="120">
        <v>17.25</v>
      </c>
      <c r="BV28" s="120"/>
      <c r="BW28" s="120"/>
      <c r="BX28" s="120"/>
      <c r="BY28" s="120"/>
      <c r="BZ28" s="120"/>
      <c r="CA28" s="120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>
      <c r="A29" s="98"/>
      <c r="B29" s="159">
        <v>21.0</v>
      </c>
      <c r="C29" s="140" t="s">
        <v>83</v>
      </c>
      <c r="D29" s="141">
        <v>50.0</v>
      </c>
      <c r="E29" s="142">
        <v>206.0</v>
      </c>
      <c r="F29" s="143">
        <v>20.6</v>
      </c>
      <c r="G29" s="144">
        <v>2.82</v>
      </c>
      <c r="H29" s="143">
        <v>65.0</v>
      </c>
      <c r="I29" s="145">
        <v>139.0</v>
      </c>
      <c r="J29" s="146">
        <v>0.5</v>
      </c>
      <c r="K29" s="147">
        <v>1.5</v>
      </c>
      <c r="L29" s="148">
        <v>3.0</v>
      </c>
      <c r="M29" s="149">
        <v>26.0</v>
      </c>
      <c r="N29" s="149">
        <v>4.0</v>
      </c>
      <c r="O29" s="150">
        <v>5.0</v>
      </c>
      <c r="P29" s="151"/>
      <c r="Q29" s="152"/>
      <c r="R29" s="152"/>
      <c r="S29" s="153"/>
      <c r="T29" s="154"/>
      <c r="U29" s="155"/>
      <c r="V29" s="155"/>
      <c r="W29" s="155"/>
      <c r="X29" s="155"/>
      <c r="Y29" s="155"/>
      <c r="Z29" s="156"/>
      <c r="AA29" s="156"/>
      <c r="AB29" s="155"/>
      <c r="AC29" s="155"/>
      <c r="AD29" s="155"/>
      <c r="AE29" s="155"/>
      <c r="AF29" s="155"/>
      <c r="AG29" s="155"/>
      <c r="AH29" s="155"/>
      <c r="AI29" s="155"/>
      <c r="AJ29" s="155">
        <v>17.75</v>
      </c>
      <c r="AK29" s="156">
        <v>19.5</v>
      </c>
      <c r="AL29" s="156">
        <v>11.25</v>
      </c>
      <c r="AM29" s="155">
        <v>23.0</v>
      </c>
      <c r="AN29" s="155"/>
      <c r="AO29" s="155"/>
      <c r="AP29" s="155"/>
      <c r="AQ29" s="155"/>
      <c r="AR29" s="155"/>
      <c r="AS29" s="155"/>
      <c r="AT29" s="155"/>
      <c r="AU29" s="156"/>
      <c r="AV29" s="156"/>
      <c r="AW29" s="155"/>
      <c r="AX29" s="155"/>
      <c r="AY29" s="155"/>
      <c r="AZ29" s="157"/>
      <c r="BA29" s="157"/>
      <c r="BB29" s="157"/>
      <c r="BC29" s="157"/>
      <c r="BD29" s="157"/>
      <c r="BE29" s="145"/>
      <c r="BF29" s="145"/>
      <c r="BG29" s="145"/>
      <c r="BH29" s="145"/>
      <c r="BI29" s="145"/>
      <c r="BJ29" s="145"/>
      <c r="BK29" s="145"/>
      <c r="BL29" s="145">
        <v>21.25</v>
      </c>
      <c r="BM29" s="145">
        <v>25.0</v>
      </c>
      <c r="BN29" s="145">
        <v>19.25</v>
      </c>
      <c r="BO29" s="145"/>
      <c r="BP29" s="120"/>
      <c r="BQ29" s="120"/>
      <c r="BR29" s="120"/>
      <c r="BS29" s="120"/>
      <c r="BT29" s="120"/>
      <c r="BU29" s="120">
        <v>17.25</v>
      </c>
      <c r="BV29" s="120">
        <v>25.5</v>
      </c>
      <c r="BW29" s="120">
        <v>26.25</v>
      </c>
      <c r="BX29" s="120"/>
      <c r="BY29" s="120"/>
      <c r="BZ29" s="120"/>
      <c r="CA29" s="120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>
      <c r="A30" s="98"/>
      <c r="B30" s="159">
        <v>22.0</v>
      </c>
      <c r="C30" s="122" t="s">
        <v>100</v>
      </c>
      <c r="D30" s="123">
        <v>50.0</v>
      </c>
      <c r="E30" s="124">
        <v>205.75</v>
      </c>
      <c r="F30" s="125">
        <v>20.575000000000003</v>
      </c>
      <c r="G30" s="126">
        <v>2.915</v>
      </c>
      <c r="H30" s="125">
        <v>60.0</v>
      </c>
      <c r="I30" s="127">
        <v>143.25</v>
      </c>
      <c r="J30" s="128">
        <v>0.0</v>
      </c>
      <c r="K30" s="129">
        <v>2.5</v>
      </c>
      <c r="L30" s="130">
        <v>5.0</v>
      </c>
      <c r="M30" s="131">
        <v>24.0</v>
      </c>
      <c r="N30" s="131">
        <v>6.0</v>
      </c>
      <c r="O30" s="132">
        <v>6.0</v>
      </c>
      <c r="P30" s="133"/>
      <c r="Q30" s="134"/>
      <c r="R30" s="134"/>
      <c r="S30" s="135"/>
      <c r="T30" s="136"/>
      <c r="U30" s="137"/>
      <c r="V30" s="137"/>
      <c r="W30" s="137"/>
      <c r="X30" s="138"/>
      <c r="Y30" s="137"/>
      <c r="Z30" s="137"/>
      <c r="AA30" s="137"/>
      <c r="AB30" s="137"/>
      <c r="AC30" s="138"/>
      <c r="AD30" s="137"/>
      <c r="AE30" s="137"/>
      <c r="AF30" s="137"/>
      <c r="AG30" s="137"/>
      <c r="AH30" s="138"/>
      <c r="AI30" s="137"/>
      <c r="AJ30" s="137">
        <v>11.5</v>
      </c>
      <c r="AK30" s="137">
        <v>15.75</v>
      </c>
      <c r="AL30" s="137">
        <v>23.25</v>
      </c>
      <c r="AM30" s="137">
        <v>23.5</v>
      </c>
      <c r="AN30" s="138">
        <v>22.5</v>
      </c>
      <c r="AO30" s="137"/>
      <c r="AP30" s="137"/>
      <c r="AQ30" s="137"/>
      <c r="AR30" s="138"/>
      <c r="AS30" s="137"/>
      <c r="AT30" s="137"/>
      <c r="AU30" s="137"/>
      <c r="AV30" s="137"/>
      <c r="AW30" s="137"/>
      <c r="AX30" s="137"/>
      <c r="AY30" s="137"/>
      <c r="AZ30" s="139"/>
      <c r="BA30" s="139"/>
      <c r="BB30" s="139"/>
      <c r="BC30" s="139"/>
      <c r="BD30" s="139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>
        <v>21.0</v>
      </c>
      <c r="BO30" s="127">
        <v>28.0</v>
      </c>
      <c r="BP30" s="120">
        <v>20.75</v>
      </c>
      <c r="BQ30" s="120">
        <v>20.0</v>
      </c>
      <c r="BR30" s="120">
        <v>19.5</v>
      </c>
      <c r="BS30" s="120"/>
      <c r="BT30" s="120"/>
      <c r="BU30" s="120"/>
      <c r="BV30" s="120"/>
      <c r="BW30" s="120"/>
      <c r="BX30" s="120"/>
      <c r="BY30" s="120"/>
      <c r="BZ30" s="120"/>
      <c r="CA30" s="120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>
      <c r="A31" s="98"/>
      <c r="B31" s="159">
        <v>23.0</v>
      </c>
      <c r="C31" s="140" t="s">
        <v>136</v>
      </c>
      <c r="D31" s="141">
        <v>50.0</v>
      </c>
      <c r="E31" s="142">
        <v>202.5</v>
      </c>
      <c r="F31" s="143">
        <v>20.25</v>
      </c>
      <c r="G31" s="144">
        <v>2.8</v>
      </c>
      <c r="H31" s="143">
        <v>62.5</v>
      </c>
      <c r="I31" s="145">
        <v>137.5</v>
      </c>
      <c r="J31" s="146">
        <v>0.5</v>
      </c>
      <c r="K31" s="147">
        <v>2.0</v>
      </c>
      <c r="L31" s="148">
        <v>4.0</v>
      </c>
      <c r="M31" s="149">
        <v>25.0</v>
      </c>
      <c r="N31" s="149">
        <v>9.0</v>
      </c>
      <c r="O31" s="150">
        <v>3.0</v>
      </c>
      <c r="P31" s="151"/>
      <c r="Q31" s="152"/>
      <c r="R31" s="152"/>
      <c r="S31" s="153"/>
      <c r="T31" s="154"/>
      <c r="U31" s="155"/>
      <c r="V31" s="155">
        <v>14.5</v>
      </c>
      <c r="W31" s="155"/>
      <c r="X31" s="155"/>
      <c r="Y31" s="155"/>
      <c r="Z31" s="156"/>
      <c r="AA31" s="156"/>
      <c r="AB31" s="155"/>
      <c r="AC31" s="155">
        <v>23.75</v>
      </c>
      <c r="AD31" s="155"/>
      <c r="AE31" s="155"/>
      <c r="AF31" s="155"/>
      <c r="AG31" s="155">
        <v>27.75</v>
      </c>
      <c r="AH31" s="155"/>
      <c r="AI31" s="155"/>
      <c r="AJ31" s="155"/>
      <c r="AK31" s="156"/>
      <c r="AL31" s="156"/>
      <c r="AM31" s="155"/>
      <c r="AN31" s="155"/>
      <c r="AO31" s="155"/>
      <c r="AP31" s="155"/>
      <c r="AQ31" s="155"/>
      <c r="AR31" s="155">
        <v>14.75</v>
      </c>
      <c r="AS31" s="155"/>
      <c r="AT31" s="155"/>
      <c r="AU31" s="156"/>
      <c r="AV31" s="156"/>
      <c r="AW31" s="155"/>
      <c r="AX31" s="155"/>
      <c r="AY31" s="155"/>
      <c r="AZ31" s="157"/>
      <c r="BA31" s="157"/>
      <c r="BB31" s="157"/>
      <c r="BC31" s="157"/>
      <c r="BD31" s="157">
        <v>23.0</v>
      </c>
      <c r="BE31" s="145"/>
      <c r="BF31" s="145"/>
      <c r="BG31" s="145">
        <v>18.25</v>
      </c>
      <c r="BH31" s="145"/>
      <c r="BI31" s="145"/>
      <c r="BJ31" s="145"/>
      <c r="BK31" s="145"/>
      <c r="BL31" s="145"/>
      <c r="BM31" s="145"/>
      <c r="BN31" s="145"/>
      <c r="BO31" s="145"/>
      <c r="BP31" s="120"/>
      <c r="BQ31" s="120"/>
      <c r="BR31" s="120">
        <v>19.75</v>
      </c>
      <c r="BS31" s="120">
        <v>22.0</v>
      </c>
      <c r="BT31" s="120">
        <v>18.5</v>
      </c>
      <c r="BU31" s="120"/>
      <c r="BV31" s="120"/>
      <c r="BW31" s="120"/>
      <c r="BX31" s="120"/>
      <c r="BY31" s="120">
        <v>20.25</v>
      </c>
      <c r="BZ31" s="120"/>
      <c r="CA31" s="120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>
      <c r="A32" s="98"/>
      <c r="B32" s="159">
        <v>24.0</v>
      </c>
      <c r="C32" s="122" t="s">
        <v>99</v>
      </c>
      <c r="D32" s="123">
        <v>50.0</v>
      </c>
      <c r="E32" s="124">
        <v>201.25</v>
      </c>
      <c r="F32" s="125">
        <v>20.125</v>
      </c>
      <c r="G32" s="126">
        <v>2.775</v>
      </c>
      <c r="H32" s="125">
        <v>62.5</v>
      </c>
      <c r="I32" s="127">
        <v>137.75</v>
      </c>
      <c r="J32" s="128">
        <v>0.0</v>
      </c>
      <c r="K32" s="129">
        <v>1.0</v>
      </c>
      <c r="L32" s="130">
        <v>2.0</v>
      </c>
      <c r="M32" s="131">
        <v>25.0</v>
      </c>
      <c r="N32" s="131">
        <v>8.0</v>
      </c>
      <c r="O32" s="132">
        <v>5.0</v>
      </c>
      <c r="P32" s="133"/>
      <c r="Q32" s="134"/>
      <c r="R32" s="134"/>
      <c r="S32" s="135"/>
      <c r="T32" s="136"/>
      <c r="U32" s="137"/>
      <c r="V32" s="137"/>
      <c r="W32" s="137"/>
      <c r="X32" s="138"/>
      <c r="Y32" s="137"/>
      <c r="Z32" s="137"/>
      <c r="AA32" s="137">
        <v>15.25</v>
      </c>
      <c r="AB32" s="137"/>
      <c r="AC32" s="138"/>
      <c r="AD32" s="137"/>
      <c r="AE32" s="137"/>
      <c r="AF32" s="137"/>
      <c r="AG32" s="137">
        <v>23.0</v>
      </c>
      <c r="AH32" s="138"/>
      <c r="AI32" s="137">
        <v>19.0</v>
      </c>
      <c r="AJ32" s="137"/>
      <c r="AK32" s="137"/>
      <c r="AL32" s="137"/>
      <c r="AM32" s="137"/>
      <c r="AN32" s="138"/>
      <c r="AO32" s="137"/>
      <c r="AP32" s="137"/>
      <c r="AQ32" s="137">
        <v>19.5</v>
      </c>
      <c r="AR32" s="138">
        <v>18.25</v>
      </c>
      <c r="AS32" s="137"/>
      <c r="AT32" s="137"/>
      <c r="AU32" s="137"/>
      <c r="AV32" s="137"/>
      <c r="AW32" s="137"/>
      <c r="AX32" s="137"/>
      <c r="AY32" s="137"/>
      <c r="AZ32" s="139">
        <v>27.25</v>
      </c>
      <c r="BA32" s="139"/>
      <c r="BB32" s="139"/>
      <c r="BC32" s="139">
        <v>19.75</v>
      </c>
      <c r="BD32" s="139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0">
        <v>16.25</v>
      </c>
      <c r="BQ32" s="120"/>
      <c r="BR32" s="120"/>
      <c r="BS32" s="120"/>
      <c r="BT32" s="120"/>
      <c r="BU32" s="120"/>
      <c r="BV32" s="120"/>
      <c r="BW32" s="120"/>
      <c r="BX32" s="120">
        <v>20.25</v>
      </c>
      <c r="BY32" s="120"/>
      <c r="BZ32" s="120">
        <v>22.75</v>
      </c>
      <c r="CA32" s="120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>
      <c r="A33" s="98"/>
      <c r="B33" s="159">
        <v>25.0</v>
      </c>
      <c r="C33" s="140" t="s">
        <v>104</v>
      </c>
      <c r="D33" s="141">
        <v>50.0</v>
      </c>
      <c r="E33" s="142">
        <v>200.5</v>
      </c>
      <c r="F33" s="143">
        <v>20.049999999999997</v>
      </c>
      <c r="G33" s="144">
        <v>2.71</v>
      </c>
      <c r="H33" s="143">
        <v>65.0</v>
      </c>
      <c r="I33" s="145">
        <v>133.0</v>
      </c>
      <c r="J33" s="146">
        <v>0.5</v>
      </c>
      <c r="K33" s="147">
        <v>2.0</v>
      </c>
      <c r="L33" s="148">
        <v>4.0</v>
      </c>
      <c r="M33" s="149">
        <v>26.0</v>
      </c>
      <c r="N33" s="149">
        <v>6.0</v>
      </c>
      <c r="O33" s="150">
        <v>3.0</v>
      </c>
      <c r="P33" s="151"/>
      <c r="Q33" s="152"/>
      <c r="R33" s="152"/>
      <c r="S33" s="153"/>
      <c r="T33" s="154">
        <v>21.0</v>
      </c>
      <c r="U33" s="155"/>
      <c r="V33" s="155"/>
      <c r="W33" s="155"/>
      <c r="X33" s="155"/>
      <c r="Y33" s="155"/>
      <c r="Z33" s="156"/>
      <c r="AA33" s="156"/>
      <c r="AB33" s="155"/>
      <c r="AC33" s="155"/>
      <c r="AD33" s="155"/>
      <c r="AE33" s="155"/>
      <c r="AF33" s="155">
        <v>15.75</v>
      </c>
      <c r="AG33" s="155"/>
      <c r="AH33" s="155">
        <v>24.75</v>
      </c>
      <c r="AI33" s="155">
        <v>21.0</v>
      </c>
      <c r="AJ33" s="155"/>
      <c r="AK33" s="156"/>
      <c r="AL33" s="156"/>
      <c r="AM33" s="155"/>
      <c r="AN33" s="155"/>
      <c r="AO33" s="155"/>
      <c r="AP33" s="155"/>
      <c r="AQ33" s="155">
        <v>18.25</v>
      </c>
      <c r="AR33" s="155"/>
      <c r="AS33" s="155"/>
      <c r="AT33" s="155"/>
      <c r="AU33" s="156"/>
      <c r="AV33" s="156"/>
      <c r="AW33" s="155"/>
      <c r="AX33" s="155"/>
      <c r="AY33" s="155"/>
      <c r="AZ33" s="157"/>
      <c r="BA33" s="157"/>
      <c r="BB33" s="157"/>
      <c r="BC33" s="157">
        <v>21.25</v>
      </c>
      <c r="BD33" s="157"/>
      <c r="BE33" s="145"/>
      <c r="BF33" s="145">
        <v>25.5</v>
      </c>
      <c r="BG33" s="145"/>
      <c r="BH33" s="145"/>
      <c r="BI33" s="145">
        <v>17.25</v>
      </c>
      <c r="BJ33" s="145"/>
      <c r="BK33" s="145">
        <v>19.0</v>
      </c>
      <c r="BL33" s="145"/>
      <c r="BM33" s="145"/>
      <c r="BN33" s="145"/>
      <c r="BO33" s="145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>
        <v>16.75</v>
      </c>
      <c r="CA33" s="120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>
      <c r="A34" s="98"/>
      <c r="B34" s="159">
        <v>26.0</v>
      </c>
      <c r="C34" s="122" t="s">
        <v>131</v>
      </c>
      <c r="D34" s="123">
        <v>50.0</v>
      </c>
      <c r="E34" s="124">
        <v>199.75</v>
      </c>
      <c r="F34" s="125">
        <v>19.975</v>
      </c>
      <c r="G34" s="126">
        <v>2.895</v>
      </c>
      <c r="H34" s="125">
        <v>55.0</v>
      </c>
      <c r="I34" s="127">
        <v>141.75</v>
      </c>
      <c r="J34" s="128">
        <v>0.5</v>
      </c>
      <c r="K34" s="129">
        <v>2.5</v>
      </c>
      <c r="L34" s="130">
        <v>5.0</v>
      </c>
      <c r="M34" s="131">
        <v>22.0</v>
      </c>
      <c r="N34" s="131">
        <v>4.0</v>
      </c>
      <c r="O34" s="132">
        <v>6.0</v>
      </c>
      <c r="P34" s="133"/>
      <c r="Q34" s="134"/>
      <c r="R34" s="134"/>
      <c r="S34" s="135"/>
      <c r="T34" s="136"/>
      <c r="U34" s="137"/>
      <c r="V34" s="137">
        <v>15.0</v>
      </c>
      <c r="W34" s="137">
        <v>23.25</v>
      </c>
      <c r="X34" s="138">
        <v>17.0</v>
      </c>
      <c r="Y34" s="137">
        <v>17.0</v>
      </c>
      <c r="Z34" s="137"/>
      <c r="AA34" s="137"/>
      <c r="AB34" s="137"/>
      <c r="AC34" s="138"/>
      <c r="AD34" s="137"/>
      <c r="AE34" s="137"/>
      <c r="AF34" s="137"/>
      <c r="AG34" s="137"/>
      <c r="AH34" s="138"/>
      <c r="AI34" s="137"/>
      <c r="AJ34" s="137"/>
      <c r="AK34" s="137"/>
      <c r="AL34" s="137"/>
      <c r="AM34" s="137"/>
      <c r="AN34" s="138"/>
      <c r="AO34" s="137"/>
      <c r="AP34" s="137"/>
      <c r="AQ34" s="137"/>
      <c r="AR34" s="138"/>
      <c r="AS34" s="137"/>
      <c r="AT34" s="137"/>
      <c r="AU34" s="137"/>
      <c r="AV34" s="137"/>
      <c r="AW34" s="137"/>
      <c r="AX34" s="137"/>
      <c r="AY34" s="137"/>
      <c r="AZ34" s="139"/>
      <c r="BA34" s="139"/>
      <c r="BB34" s="139"/>
      <c r="BC34" s="139"/>
      <c r="BD34" s="139"/>
      <c r="BE34" s="127"/>
      <c r="BF34" s="127"/>
      <c r="BG34" s="127"/>
      <c r="BH34" s="127"/>
      <c r="BI34" s="127">
        <v>24.0</v>
      </c>
      <c r="BJ34" s="127">
        <v>28.0</v>
      </c>
      <c r="BK34" s="127">
        <v>23.25</v>
      </c>
      <c r="BL34" s="127">
        <v>14.25</v>
      </c>
      <c r="BM34" s="127"/>
      <c r="BN34" s="127"/>
      <c r="BO34" s="127"/>
      <c r="BP34" s="120"/>
      <c r="BQ34" s="120"/>
      <c r="BR34" s="120"/>
      <c r="BS34" s="120">
        <v>23.0</v>
      </c>
      <c r="BT34" s="120">
        <v>15.0</v>
      </c>
      <c r="BU34" s="120"/>
      <c r="BV34" s="120"/>
      <c r="BW34" s="120"/>
      <c r="BX34" s="120"/>
      <c r="BY34" s="120"/>
      <c r="BZ34" s="120"/>
      <c r="CA34" s="120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>
      <c r="A35" s="98"/>
      <c r="B35" s="159">
        <v>27.0</v>
      </c>
      <c r="C35" s="140" t="s">
        <v>97</v>
      </c>
      <c r="D35" s="141">
        <v>50.0</v>
      </c>
      <c r="E35" s="142">
        <v>199.75</v>
      </c>
      <c r="F35" s="143">
        <v>19.975</v>
      </c>
      <c r="G35" s="144">
        <v>2.745</v>
      </c>
      <c r="H35" s="143">
        <v>62.5</v>
      </c>
      <c r="I35" s="145">
        <v>136.75</v>
      </c>
      <c r="J35" s="146">
        <v>0.0</v>
      </c>
      <c r="K35" s="147">
        <v>0.5</v>
      </c>
      <c r="L35" s="148">
        <v>1.0</v>
      </c>
      <c r="M35" s="149">
        <v>25.0</v>
      </c>
      <c r="N35" s="149">
        <v>4.0</v>
      </c>
      <c r="O35" s="150">
        <v>4.0</v>
      </c>
      <c r="P35" s="151"/>
      <c r="Q35" s="152"/>
      <c r="R35" s="152"/>
      <c r="S35" s="153"/>
      <c r="T35" s="154"/>
      <c r="U35" s="155"/>
      <c r="V35" s="155"/>
      <c r="W35" s="155"/>
      <c r="X35" s="155"/>
      <c r="Y35" s="155"/>
      <c r="Z35" s="156"/>
      <c r="AA35" s="156">
        <v>18.5</v>
      </c>
      <c r="AB35" s="155"/>
      <c r="AC35" s="155"/>
      <c r="AD35" s="155">
        <v>26.75</v>
      </c>
      <c r="AE35" s="155"/>
      <c r="AF35" s="155"/>
      <c r="AG35" s="155"/>
      <c r="AH35" s="155"/>
      <c r="AI35" s="155"/>
      <c r="AJ35" s="155">
        <v>18.0</v>
      </c>
      <c r="AK35" s="156"/>
      <c r="AL35" s="156"/>
      <c r="AM35" s="155"/>
      <c r="AN35" s="155">
        <v>14.5</v>
      </c>
      <c r="AO35" s="155"/>
      <c r="AP35" s="155"/>
      <c r="AQ35" s="155"/>
      <c r="AR35" s="155"/>
      <c r="AS35" s="155"/>
      <c r="AT35" s="155"/>
      <c r="AU35" s="156">
        <v>15.5</v>
      </c>
      <c r="AV35" s="156"/>
      <c r="AW35" s="155"/>
      <c r="AX35" s="155">
        <v>17.5</v>
      </c>
      <c r="AY35" s="155"/>
      <c r="AZ35" s="157"/>
      <c r="BA35" s="157"/>
      <c r="BB35" s="157"/>
      <c r="BC35" s="157"/>
      <c r="BD35" s="157"/>
      <c r="BE35" s="145"/>
      <c r="BF35" s="145"/>
      <c r="BG35" s="145"/>
      <c r="BH35" s="145"/>
      <c r="BI35" s="145"/>
      <c r="BJ35" s="145">
        <v>15.0</v>
      </c>
      <c r="BK35" s="145"/>
      <c r="BL35" s="145"/>
      <c r="BM35" s="145"/>
      <c r="BN35" s="145"/>
      <c r="BO35" s="145">
        <v>22.25</v>
      </c>
      <c r="BP35" s="120"/>
      <c r="BQ35" s="120">
        <v>29.5</v>
      </c>
      <c r="BR35" s="120"/>
      <c r="BS35" s="120"/>
      <c r="BT35" s="120"/>
      <c r="BU35" s="120">
        <v>22.25</v>
      </c>
      <c r="BV35" s="120"/>
      <c r="BW35" s="120"/>
      <c r="BX35" s="120"/>
      <c r="BY35" s="120"/>
      <c r="BZ35" s="120"/>
      <c r="CA35" s="120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>
      <c r="A36" s="98"/>
      <c r="B36" s="159">
        <v>28.0</v>
      </c>
      <c r="C36" s="122" t="s">
        <v>122</v>
      </c>
      <c r="D36" s="123">
        <v>50.0</v>
      </c>
      <c r="E36" s="124">
        <v>199.25</v>
      </c>
      <c r="F36" s="125">
        <v>19.925</v>
      </c>
      <c r="G36" s="126">
        <v>2.735</v>
      </c>
      <c r="H36" s="125">
        <v>62.5</v>
      </c>
      <c r="I36" s="127">
        <v>135.75</v>
      </c>
      <c r="J36" s="128">
        <v>0.0</v>
      </c>
      <c r="K36" s="129">
        <v>1.0</v>
      </c>
      <c r="L36" s="130">
        <v>2.0</v>
      </c>
      <c r="M36" s="131">
        <v>25.0</v>
      </c>
      <c r="N36" s="131">
        <v>1.0</v>
      </c>
      <c r="O36" s="132">
        <v>4.0</v>
      </c>
      <c r="P36" s="133"/>
      <c r="Q36" s="134"/>
      <c r="R36" s="134"/>
      <c r="S36" s="135"/>
      <c r="T36" s="136"/>
      <c r="U36" s="137"/>
      <c r="V36" s="137"/>
      <c r="W36" s="137">
        <v>20.75</v>
      </c>
      <c r="X36" s="138"/>
      <c r="Y36" s="137"/>
      <c r="Z36" s="137"/>
      <c r="AA36" s="137">
        <v>15.25</v>
      </c>
      <c r="AB36" s="137"/>
      <c r="AC36" s="138"/>
      <c r="AD36" s="137"/>
      <c r="AE36" s="137"/>
      <c r="AF36" s="137"/>
      <c r="AG36" s="137"/>
      <c r="AH36" s="138"/>
      <c r="AI36" s="137"/>
      <c r="AJ36" s="137"/>
      <c r="AK36" s="137"/>
      <c r="AL36" s="137"/>
      <c r="AM36" s="137"/>
      <c r="AN36" s="138"/>
      <c r="AO36" s="137">
        <v>11.75</v>
      </c>
      <c r="AP36" s="137"/>
      <c r="AQ36" s="137"/>
      <c r="AR36" s="138"/>
      <c r="AS36" s="137">
        <v>18.25</v>
      </c>
      <c r="AT36" s="137"/>
      <c r="AU36" s="137"/>
      <c r="AV36" s="137"/>
      <c r="AW36" s="137"/>
      <c r="AX36" s="137"/>
      <c r="AY36" s="137"/>
      <c r="AZ36" s="139"/>
      <c r="BA36" s="139">
        <v>26.25</v>
      </c>
      <c r="BB36" s="139"/>
      <c r="BC36" s="139"/>
      <c r="BD36" s="139"/>
      <c r="BE36" s="127"/>
      <c r="BF36" s="127">
        <v>28.0</v>
      </c>
      <c r="BG36" s="127">
        <v>17.75</v>
      </c>
      <c r="BH36" s="127"/>
      <c r="BI36" s="127"/>
      <c r="BJ36" s="127"/>
      <c r="BK36" s="127"/>
      <c r="BL36" s="127"/>
      <c r="BM36" s="127"/>
      <c r="BN36" s="127"/>
      <c r="BO36" s="127"/>
      <c r="BP36" s="120"/>
      <c r="BQ36" s="120"/>
      <c r="BR36" s="120">
        <v>23.5</v>
      </c>
      <c r="BS36" s="120"/>
      <c r="BT36" s="120">
        <v>23.5</v>
      </c>
      <c r="BU36" s="120"/>
      <c r="BV36" s="120"/>
      <c r="BW36" s="120">
        <v>14.25</v>
      </c>
      <c r="BX36" s="120"/>
      <c r="BY36" s="120"/>
      <c r="BZ36" s="120"/>
      <c r="CA36" s="120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>
      <c r="A37" s="98"/>
      <c r="B37" s="159">
        <v>29.0</v>
      </c>
      <c r="C37" s="140" t="s">
        <v>120</v>
      </c>
      <c r="D37" s="141">
        <v>50.0</v>
      </c>
      <c r="E37" s="142">
        <v>196.75</v>
      </c>
      <c r="F37" s="143">
        <v>19.675</v>
      </c>
      <c r="G37" s="144">
        <v>2.685</v>
      </c>
      <c r="H37" s="143">
        <v>62.5</v>
      </c>
      <c r="I37" s="145">
        <v>131.25</v>
      </c>
      <c r="J37" s="146">
        <v>0.0</v>
      </c>
      <c r="K37" s="147">
        <v>3.0</v>
      </c>
      <c r="L37" s="148">
        <v>6.0</v>
      </c>
      <c r="M37" s="149">
        <v>25.0</v>
      </c>
      <c r="N37" s="149">
        <v>7.0</v>
      </c>
      <c r="O37" s="150">
        <v>4.0</v>
      </c>
      <c r="P37" s="151"/>
      <c r="Q37" s="152"/>
      <c r="R37" s="152"/>
      <c r="S37" s="153"/>
      <c r="T37" s="154"/>
      <c r="U37" s="155"/>
      <c r="V37" s="155"/>
      <c r="W37" s="155"/>
      <c r="X37" s="155"/>
      <c r="Y37" s="155"/>
      <c r="Z37" s="156">
        <v>13.5</v>
      </c>
      <c r="AA37" s="156"/>
      <c r="AB37" s="155"/>
      <c r="AC37" s="155"/>
      <c r="AD37" s="155"/>
      <c r="AE37" s="155"/>
      <c r="AF37" s="155"/>
      <c r="AG37" s="155"/>
      <c r="AH37" s="155">
        <v>21.5</v>
      </c>
      <c r="AI37" s="155"/>
      <c r="AJ37" s="155"/>
      <c r="AK37" s="156"/>
      <c r="AL37" s="156"/>
      <c r="AM37" s="155">
        <v>19.75</v>
      </c>
      <c r="AN37" s="155"/>
      <c r="AO37" s="155">
        <v>26.0</v>
      </c>
      <c r="AP37" s="155"/>
      <c r="AQ37" s="155"/>
      <c r="AR37" s="155"/>
      <c r="AS37" s="155"/>
      <c r="AT37" s="155"/>
      <c r="AU37" s="156"/>
      <c r="AV37" s="156"/>
      <c r="AW37" s="155">
        <v>25.75</v>
      </c>
      <c r="AX37" s="155"/>
      <c r="AY37" s="155"/>
      <c r="AZ37" s="157"/>
      <c r="BA37" s="157"/>
      <c r="BB37" s="157">
        <v>17.0</v>
      </c>
      <c r="BC37" s="157"/>
      <c r="BD37" s="157"/>
      <c r="BE37" s="145"/>
      <c r="BF37" s="145"/>
      <c r="BG37" s="145"/>
      <c r="BH37" s="145">
        <v>21.0</v>
      </c>
      <c r="BI37" s="145">
        <v>18.5</v>
      </c>
      <c r="BJ37" s="145"/>
      <c r="BK37" s="145"/>
      <c r="BL37" s="145">
        <v>20.0</v>
      </c>
      <c r="BM37" s="145"/>
      <c r="BN37" s="145"/>
      <c r="BO37" s="145"/>
      <c r="BP37" s="120"/>
      <c r="BQ37" s="120">
        <v>13.75</v>
      </c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>
      <c r="A38" s="98"/>
      <c r="B38" s="159">
        <v>30.0</v>
      </c>
      <c r="C38" s="122" t="s">
        <v>81</v>
      </c>
      <c r="D38" s="123">
        <v>50.0</v>
      </c>
      <c r="E38" s="124">
        <v>196.5</v>
      </c>
      <c r="F38" s="125">
        <v>19.650000000000002</v>
      </c>
      <c r="G38" s="126">
        <v>2.73</v>
      </c>
      <c r="H38" s="125">
        <v>60.0</v>
      </c>
      <c r="I38" s="127">
        <v>132.0</v>
      </c>
      <c r="J38" s="128">
        <v>1.5</v>
      </c>
      <c r="K38" s="129">
        <v>3.0</v>
      </c>
      <c r="L38" s="130">
        <v>5.0</v>
      </c>
      <c r="M38" s="131">
        <v>24.0</v>
      </c>
      <c r="N38" s="131">
        <v>4.0</v>
      </c>
      <c r="O38" s="132">
        <v>6.0</v>
      </c>
      <c r="P38" s="133"/>
      <c r="Q38" s="134"/>
      <c r="R38" s="134"/>
      <c r="S38" s="135"/>
      <c r="T38" s="136"/>
      <c r="U38" s="137">
        <v>20.0</v>
      </c>
      <c r="V38" s="137"/>
      <c r="W38" s="137"/>
      <c r="X38" s="138"/>
      <c r="Y38" s="137"/>
      <c r="Z38" s="137"/>
      <c r="AA38" s="137"/>
      <c r="AB38" s="137"/>
      <c r="AC38" s="138">
        <v>22.0</v>
      </c>
      <c r="AD38" s="137">
        <v>25.0</v>
      </c>
      <c r="AE38" s="137"/>
      <c r="AF38" s="137"/>
      <c r="AG38" s="137"/>
      <c r="AH38" s="138"/>
      <c r="AI38" s="137"/>
      <c r="AJ38" s="137">
        <v>20.5</v>
      </c>
      <c r="AK38" s="137"/>
      <c r="AL38" s="137"/>
      <c r="AM38" s="137"/>
      <c r="AN38" s="138"/>
      <c r="AO38" s="137"/>
      <c r="AP38" s="137"/>
      <c r="AQ38" s="137"/>
      <c r="AR38" s="138">
        <v>16.0</v>
      </c>
      <c r="AS38" s="137"/>
      <c r="AT38" s="137"/>
      <c r="AU38" s="137"/>
      <c r="AV38" s="137">
        <v>19.25</v>
      </c>
      <c r="AW38" s="137"/>
      <c r="AX38" s="137"/>
      <c r="AY38" s="137"/>
      <c r="AZ38" s="139"/>
      <c r="BA38" s="139"/>
      <c r="BB38" s="139">
        <v>18.75</v>
      </c>
      <c r="BC38" s="139"/>
      <c r="BD38" s="139"/>
      <c r="BE38" s="127"/>
      <c r="BF38" s="127"/>
      <c r="BG38" s="127"/>
      <c r="BH38" s="127"/>
      <c r="BI38" s="127"/>
      <c r="BJ38" s="127"/>
      <c r="BK38" s="127"/>
      <c r="BL38" s="127"/>
      <c r="BM38" s="127">
        <v>21.25</v>
      </c>
      <c r="BN38" s="127"/>
      <c r="BO38" s="127">
        <v>13.25</v>
      </c>
      <c r="BP38" s="120"/>
      <c r="BQ38" s="120"/>
      <c r="BR38" s="120"/>
      <c r="BS38" s="120"/>
      <c r="BT38" s="120"/>
      <c r="BU38" s="120"/>
      <c r="BV38" s="120"/>
      <c r="BW38" s="120"/>
      <c r="BX38" s="120"/>
      <c r="BY38" s="120">
        <v>20.5</v>
      </c>
      <c r="BZ38" s="120"/>
      <c r="CA38" s="120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>
      <c r="A39" s="98"/>
      <c r="B39" s="159">
        <v>31.0</v>
      </c>
      <c r="C39" s="140" t="s">
        <v>115</v>
      </c>
      <c r="D39" s="141">
        <v>50.0</v>
      </c>
      <c r="E39" s="142">
        <v>195.5</v>
      </c>
      <c r="F39" s="143">
        <v>19.55</v>
      </c>
      <c r="G39" s="144">
        <v>2.66</v>
      </c>
      <c r="H39" s="143">
        <v>62.5</v>
      </c>
      <c r="I39" s="145">
        <v>132.5</v>
      </c>
      <c r="J39" s="146">
        <v>0.0</v>
      </c>
      <c r="K39" s="147">
        <v>0.5</v>
      </c>
      <c r="L39" s="148">
        <v>1.0</v>
      </c>
      <c r="M39" s="149">
        <v>25.0</v>
      </c>
      <c r="N39" s="149">
        <v>9.0</v>
      </c>
      <c r="O39" s="150">
        <v>1.0</v>
      </c>
      <c r="P39" s="151"/>
      <c r="Q39" s="152"/>
      <c r="R39" s="152"/>
      <c r="S39" s="153"/>
      <c r="T39" s="154"/>
      <c r="U39" s="155"/>
      <c r="V39" s="155"/>
      <c r="W39" s="155"/>
      <c r="X39" s="155"/>
      <c r="Y39" s="155"/>
      <c r="Z39" s="156"/>
      <c r="AA39" s="156"/>
      <c r="AB39" s="155"/>
      <c r="AC39" s="155"/>
      <c r="AD39" s="155"/>
      <c r="AE39" s="155"/>
      <c r="AF39" s="155"/>
      <c r="AG39" s="155"/>
      <c r="AH39" s="155"/>
      <c r="AI39" s="155"/>
      <c r="AJ39" s="155"/>
      <c r="AK39" s="156"/>
      <c r="AL39" s="156"/>
      <c r="AM39" s="155"/>
      <c r="AN39" s="155"/>
      <c r="AO39" s="155"/>
      <c r="AP39" s="155"/>
      <c r="AQ39" s="155"/>
      <c r="AR39" s="155"/>
      <c r="AS39" s="155"/>
      <c r="AT39" s="155"/>
      <c r="AU39" s="156"/>
      <c r="AV39" s="156"/>
      <c r="AW39" s="155"/>
      <c r="AX39" s="155"/>
      <c r="AY39" s="155"/>
      <c r="AZ39" s="157">
        <v>15.5</v>
      </c>
      <c r="BA39" s="157">
        <v>18.75</v>
      </c>
      <c r="BB39" s="157">
        <v>24.75</v>
      </c>
      <c r="BC39" s="157">
        <v>16.0</v>
      </c>
      <c r="BD39" s="157">
        <v>17.25</v>
      </c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20"/>
      <c r="BQ39" s="120"/>
      <c r="BR39" s="120"/>
      <c r="BS39" s="120">
        <v>21.25</v>
      </c>
      <c r="BT39" s="120">
        <v>16.0</v>
      </c>
      <c r="BU39" s="120">
        <v>21.25</v>
      </c>
      <c r="BV39" s="120">
        <v>25.0</v>
      </c>
      <c r="BW39" s="120">
        <v>19.75</v>
      </c>
      <c r="BX39" s="120"/>
      <c r="BY39" s="120"/>
      <c r="BZ39" s="120"/>
      <c r="CA39" s="120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>
      <c r="A40" s="98"/>
      <c r="B40" s="159">
        <v>32.0</v>
      </c>
      <c r="C40" s="122" t="s">
        <v>84</v>
      </c>
      <c r="D40" s="123">
        <v>50.0</v>
      </c>
      <c r="E40" s="124">
        <v>194.75</v>
      </c>
      <c r="F40" s="125">
        <v>19.475</v>
      </c>
      <c r="G40" s="126">
        <v>2.745</v>
      </c>
      <c r="H40" s="125">
        <v>57.5</v>
      </c>
      <c r="I40" s="127">
        <v>135.75</v>
      </c>
      <c r="J40" s="128">
        <v>0.5</v>
      </c>
      <c r="K40" s="129">
        <v>1.0</v>
      </c>
      <c r="L40" s="130">
        <v>2.0</v>
      </c>
      <c r="M40" s="131">
        <v>23.0</v>
      </c>
      <c r="N40" s="131">
        <v>5.0</v>
      </c>
      <c r="O40" s="132">
        <v>4.0</v>
      </c>
      <c r="P40" s="133"/>
      <c r="Q40" s="134"/>
      <c r="R40" s="134"/>
      <c r="S40" s="135"/>
      <c r="T40" s="136"/>
      <c r="U40" s="137"/>
      <c r="V40" s="137"/>
      <c r="W40" s="137"/>
      <c r="X40" s="138"/>
      <c r="Y40" s="137"/>
      <c r="Z40" s="137"/>
      <c r="AA40" s="137"/>
      <c r="AB40" s="137"/>
      <c r="AC40" s="138"/>
      <c r="AD40" s="137"/>
      <c r="AE40" s="137"/>
      <c r="AF40" s="137"/>
      <c r="AG40" s="137"/>
      <c r="AH40" s="138"/>
      <c r="AI40" s="137"/>
      <c r="AJ40" s="137">
        <v>17.75</v>
      </c>
      <c r="AK40" s="137">
        <v>23.25</v>
      </c>
      <c r="AL40" s="137">
        <v>19.5</v>
      </c>
      <c r="AM40" s="137"/>
      <c r="AN40" s="138"/>
      <c r="AO40" s="137"/>
      <c r="AP40" s="137"/>
      <c r="AQ40" s="137"/>
      <c r="AR40" s="138"/>
      <c r="AS40" s="137"/>
      <c r="AT40" s="137"/>
      <c r="AU40" s="137">
        <v>21.0</v>
      </c>
      <c r="AV40" s="137">
        <v>27.0</v>
      </c>
      <c r="AW40" s="137">
        <v>17.25</v>
      </c>
      <c r="AX40" s="137"/>
      <c r="AY40" s="137"/>
      <c r="AZ40" s="139"/>
      <c r="BA40" s="139"/>
      <c r="BB40" s="139"/>
      <c r="BC40" s="139"/>
      <c r="BD40" s="139"/>
      <c r="BE40" s="127">
        <v>17.75</v>
      </c>
      <c r="BF40" s="127">
        <v>15.75</v>
      </c>
      <c r="BG40" s="127">
        <v>13.75</v>
      </c>
      <c r="BH40" s="127">
        <v>21.75</v>
      </c>
      <c r="BI40" s="127"/>
      <c r="BJ40" s="127"/>
      <c r="BK40" s="127"/>
      <c r="BL40" s="127"/>
      <c r="BM40" s="127"/>
      <c r="BN40" s="127"/>
      <c r="BO40" s="127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>
      <c r="A41" s="98"/>
      <c r="B41" s="159">
        <v>33.0</v>
      </c>
      <c r="C41" s="140" t="s">
        <v>119</v>
      </c>
      <c r="D41" s="141">
        <v>50.0</v>
      </c>
      <c r="E41" s="142">
        <v>194.75</v>
      </c>
      <c r="F41" s="143">
        <v>19.475</v>
      </c>
      <c r="G41" s="144">
        <v>2.645</v>
      </c>
      <c r="H41" s="143">
        <v>62.5</v>
      </c>
      <c r="I41" s="145">
        <v>129.75</v>
      </c>
      <c r="J41" s="146">
        <v>1.5</v>
      </c>
      <c r="K41" s="147">
        <v>1.0</v>
      </c>
      <c r="L41" s="148">
        <v>2.0</v>
      </c>
      <c r="M41" s="149">
        <v>25.0</v>
      </c>
      <c r="N41" s="149">
        <v>4.0</v>
      </c>
      <c r="O41" s="150">
        <v>9.0</v>
      </c>
      <c r="P41" s="151"/>
      <c r="Q41" s="152"/>
      <c r="R41" s="152"/>
      <c r="S41" s="153"/>
      <c r="T41" s="154">
        <v>21.25</v>
      </c>
      <c r="U41" s="155"/>
      <c r="V41" s="155"/>
      <c r="W41" s="155"/>
      <c r="X41" s="155">
        <v>14.75</v>
      </c>
      <c r="Y41" s="155"/>
      <c r="Z41" s="156"/>
      <c r="AA41" s="156"/>
      <c r="AB41" s="155">
        <v>12.0</v>
      </c>
      <c r="AC41" s="155"/>
      <c r="AD41" s="155"/>
      <c r="AE41" s="155">
        <v>21.0</v>
      </c>
      <c r="AF41" s="155"/>
      <c r="AG41" s="155"/>
      <c r="AH41" s="155"/>
      <c r="AI41" s="155"/>
      <c r="AJ41" s="155"/>
      <c r="AK41" s="156"/>
      <c r="AL41" s="156"/>
      <c r="AM41" s="155"/>
      <c r="AN41" s="155"/>
      <c r="AO41" s="155"/>
      <c r="AP41" s="155"/>
      <c r="AQ41" s="155"/>
      <c r="AR41" s="155"/>
      <c r="AS41" s="155"/>
      <c r="AT41" s="155"/>
      <c r="AU41" s="156"/>
      <c r="AV41" s="156"/>
      <c r="AW41" s="155"/>
      <c r="AX41" s="155">
        <v>23.5</v>
      </c>
      <c r="AY41" s="155">
        <v>18.0</v>
      </c>
      <c r="AZ41" s="157"/>
      <c r="BA41" s="157"/>
      <c r="BB41" s="157"/>
      <c r="BC41" s="157"/>
      <c r="BD41" s="157"/>
      <c r="BE41" s="145"/>
      <c r="BF41" s="145"/>
      <c r="BG41" s="145"/>
      <c r="BH41" s="145">
        <v>19.75</v>
      </c>
      <c r="BI41" s="145">
        <v>26.5</v>
      </c>
      <c r="BJ41" s="145"/>
      <c r="BK41" s="145"/>
      <c r="BL41" s="145">
        <v>20.25</v>
      </c>
      <c r="BM41" s="145"/>
      <c r="BN41" s="145"/>
      <c r="BO41" s="145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>
        <v>17.75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>
      <c r="A42" s="98"/>
      <c r="B42" s="159">
        <v>34.0</v>
      </c>
      <c r="C42" s="122" t="s">
        <v>135</v>
      </c>
      <c r="D42" s="123">
        <v>50.0</v>
      </c>
      <c r="E42" s="124">
        <v>194.25</v>
      </c>
      <c r="F42" s="125">
        <v>19.424999999999997</v>
      </c>
      <c r="G42" s="126">
        <v>2.635</v>
      </c>
      <c r="H42" s="125">
        <v>62.5</v>
      </c>
      <c r="I42" s="127">
        <v>130.75</v>
      </c>
      <c r="J42" s="128">
        <v>0.0</v>
      </c>
      <c r="K42" s="129">
        <v>1.0</v>
      </c>
      <c r="L42" s="130">
        <v>2.0</v>
      </c>
      <c r="M42" s="131">
        <v>25.0</v>
      </c>
      <c r="N42" s="131">
        <v>7.0</v>
      </c>
      <c r="O42" s="132">
        <v>6.0</v>
      </c>
      <c r="P42" s="133"/>
      <c r="Q42" s="134"/>
      <c r="R42" s="134"/>
      <c r="S42" s="135"/>
      <c r="T42" s="136"/>
      <c r="U42" s="137">
        <v>18.0</v>
      </c>
      <c r="V42" s="137"/>
      <c r="W42" s="137">
        <v>19.0</v>
      </c>
      <c r="X42" s="138"/>
      <c r="Y42" s="137"/>
      <c r="Z42" s="137"/>
      <c r="AA42" s="137"/>
      <c r="AB42" s="137"/>
      <c r="AC42" s="138"/>
      <c r="AD42" s="137"/>
      <c r="AE42" s="137"/>
      <c r="AF42" s="137"/>
      <c r="AG42" s="137"/>
      <c r="AH42" s="138"/>
      <c r="AI42" s="137"/>
      <c r="AJ42" s="137"/>
      <c r="AK42" s="137"/>
      <c r="AL42" s="137">
        <v>22.25</v>
      </c>
      <c r="AM42" s="137"/>
      <c r="AN42" s="138"/>
      <c r="AO42" s="137"/>
      <c r="AP42" s="137">
        <v>17.25</v>
      </c>
      <c r="AQ42" s="137"/>
      <c r="AR42" s="138"/>
      <c r="AS42" s="137"/>
      <c r="AT42" s="137">
        <v>14.75</v>
      </c>
      <c r="AU42" s="137"/>
      <c r="AV42" s="137"/>
      <c r="AW42" s="137">
        <v>19.5</v>
      </c>
      <c r="AX42" s="137"/>
      <c r="AY42" s="137"/>
      <c r="AZ42" s="139"/>
      <c r="BA42" s="139"/>
      <c r="BB42" s="139"/>
      <c r="BC42" s="139"/>
      <c r="BD42" s="139">
        <v>21.25</v>
      </c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>
        <v>23.25</v>
      </c>
      <c r="BP42" s="120">
        <v>21.5</v>
      </c>
      <c r="BQ42" s="120">
        <v>17.5</v>
      </c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>
      <c r="A43" s="98"/>
      <c r="B43" s="159">
        <v>35.0</v>
      </c>
      <c r="C43" s="140" t="s">
        <v>133</v>
      </c>
      <c r="D43" s="141">
        <v>50.0</v>
      </c>
      <c r="E43" s="142">
        <v>193.75</v>
      </c>
      <c r="F43" s="143">
        <v>19.375</v>
      </c>
      <c r="G43" s="144">
        <v>2.725</v>
      </c>
      <c r="H43" s="143">
        <v>57.5</v>
      </c>
      <c r="I43" s="145">
        <v>134.25</v>
      </c>
      <c r="J43" s="146">
        <v>0.5</v>
      </c>
      <c r="K43" s="147">
        <v>1.5</v>
      </c>
      <c r="L43" s="148">
        <v>3.0</v>
      </c>
      <c r="M43" s="149">
        <v>23.0</v>
      </c>
      <c r="N43" s="149">
        <v>6.0</v>
      </c>
      <c r="O43" s="150">
        <v>5.0</v>
      </c>
      <c r="P43" s="151"/>
      <c r="Q43" s="152"/>
      <c r="R43" s="152"/>
      <c r="S43" s="153"/>
      <c r="T43" s="154"/>
      <c r="U43" s="155"/>
      <c r="V43" s="155"/>
      <c r="W43" s="155">
        <v>16.5</v>
      </c>
      <c r="X43" s="155"/>
      <c r="Y43" s="155">
        <v>16.0</v>
      </c>
      <c r="Z43" s="156"/>
      <c r="AA43" s="156"/>
      <c r="AB43" s="155"/>
      <c r="AC43" s="155"/>
      <c r="AD43" s="155"/>
      <c r="AE43" s="155"/>
      <c r="AF43" s="155"/>
      <c r="AG43" s="155"/>
      <c r="AH43" s="155"/>
      <c r="AI43" s="155">
        <v>17.0</v>
      </c>
      <c r="AJ43" s="155"/>
      <c r="AK43" s="156">
        <v>24.25</v>
      </c>
      <c r="AL43" s="156"/>
      <c r="AM43" s="155"/>
      <c r="AN43" s="155"/>
      <c r="AO43" s="155"/>
      <c r="AP43" s="155"/>
      <c r="AQ43" s="155"/>
      <c r="AR43" s="155"/>
      <c r="AS43" s="155"/>
      <c r="AT43" s="155"/>
      <c r="AU43" s="156"/>
      <c r="AV43" s="156"/>
      <c r="AW43" s="155"/>
      <c r="AX43" s="155"/>
      <c r="AY43" s="155"/>
      <c r="AZ43" s="157">
        <v>13.0</v>
      </c>
      <c r="BA43" s="157">
        <v>24.75</v>
      </c>
      <c r="BB43" s="157"/>
      <c r="BC43" s="157"/>
      <c r="BD43" s="157"/>
      <c r="BE43" s="145">
        <v>25.0</v>
      </c>
      <c r="BF43" s="145"/>
      <c r="BG43" s="145"/>
      <c r="BH43" s="145">
        <v>21.5</v>
      </c>
      <c r="BI43" s="145"/>
      <c r="BJ43" s="145"/>
      <c r="BK43" s="145"/>
      <c r="BL43" s="145"/>
      <c r="BM43" s="145"/>
      <c r="BN43" s="145"/>
      <c r="BO43" s="145"/>
      <c r="BP43" s="120"/>
      <c r="BQ43" s="120"/>
      <c r="BR43" s="120"/>
      <c r="BS43" s="120"/>
      <c r="BT43" s="120"/>
      <c r="BU43" s="120"/>
      <c r="BV43" s="120"/>
      <c r="BW43" s="120">
        <v>20.25</v>
      </c>
      <c r="BX43" s="120"/>
      <c r="BY43" s="120">
        <v>15.5</v>
      </c>
      <c r="BZ43" s="120"/>
      <c r="CA43" s="120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>
      <c r="A44" s="98"/>
      <c r="B44" s="159">
        <v>36.0</v>
      </c>
      <c r="C44" s="122" t="s">
        <v>103</v>
      </c>
      <c r="D44" s="123">
        <v>50.0</v>
      </c>
      <c r="E44" s="124">
        <v>193.25</v>
      </c>
      <c r="F44" s="125">
        <v>19.325000000000003</v>
      </c>
      <c r="G44" s="126">
        <v>2.515</v>
      </c>
      <c r="H44" s="125">
        <v>67.5</v>
      </c>
      <c r="I44" s="127">
        <v>125.75</v>
      </c>
      <c r="J44" s="128">
        <v>0.0</v>
      </c>
      <c r="K44" s="129">
        <v>0.0</v>
      </c>
      <c r="L44" s="130">
        <v>0.0</v>
      </c>
      <c r="M44" s="131">
        <v>27.0</v>
      </c>
      <c r="N44" s="131">
        <v>5.0</v>
      </c>
      <c r="O44" s="132">
        <v>5.0</v>
      </c>
      <c r="P44" s="133"/>
      <c r="Q44" s="134"/>
      <c r="R44" s="134"/>
      <c r="S44" s="135"/>
      <c r="T44" s="136"/>
      <c r="U44" s="137"/>
      <c r="V44" s="137"/>
      <c r="W44" s="137"/>
      <c r="X44" s="138">
        <v>14.0</v>
      </c>
      <c r="Y44" s="137"/>
      <c r="Z44" s="137">
        <v>19.5</v>
      </c>
      <c r="AA44" s="137"/>
      <c r="AB44" s="137"/>
      <c r="AC44" s="138">
        <v>22.5</v>
      </c>
      <c r="AD44" s="137"/>
      <c r="AE44" s="137"/>
      <c r="AF44" s="137"/>
      <c r="AG44" s="137"/>
      <c r="AH44" s="138"/>
      <c r="AI44" s="137"/>
      <c r="AJ44" s="137"/>
      <c r="AK44" s="137"/>
      <c r="AL44" s="137"/>
      <c r="AM44" s="137"/>
      <c r="AN44" s="138"/>
      <c r="AO44" s="137"/>
      <c r="AP44" s="137">
        <v>13.5</v>
      </c>
      <c r="AQ44" s="137"/>
      <c r="AR44" s="138"/>
      <c r="AS44" s="137"/>
      <c r="AT44" s="137"/>
      <c r="AU44" s="137">
        <v>18.75</v>
      </c>
      <c r="AV44" s="137"/>
      <c r="AW44" s="137"/>
      <c r="AX44" s="137"/>
      <c r="AY44" s="137"/>
      <c r="AZ44" s="139"/>
      <c r="BA44" s="139"/>
      <c r="BB44" s="139">
        <v>20.5</v>
      </c>
      <c r="BC44" s="139"/>
      <c r="BD44" s="139"/>
      <c r="BE44" s="127"/>
      <c r="BF44" s="127">
        <v>19.0</v>
      </c>
      <c r="BG44" s="127"/>
      <c r="BH44" s="127"/>
      <c r="BI44" s="127"/>
      <c r="BJ44" s="127"/>
      <c r="BK44" s="127"/>
      <c r="BL44" s="127"/>
      <c r="BM44" s="127">
        <v>24.25</v>
      </c>
      <c r="BN44" s="127"/>
      <c r="BO44" s="127"/>
      <c r="BP44" s="120"/>
      <c r="BQ44" s="120"/>
      <c r="BR44" s="120">
        <v>21.75</v>
      </c>
      <c r="BS44" s="120"/>
      <c r="BT44" s="120"/>
      <c r="BU44" s="120"/>
      <c r="BV44" s="120">
        <v>19.5</v>
      </c>
      <c r="BW44" s="120"/>
      <c r="BX44" s="120"/>
      <c r="BY44" s="120"/>
      <c r="BZ44" s="120"/>
      <c r="CA44" s="120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>
      <c r="A45" s="98"/>
      <c r="B45" s="159">
        <v>37.0</v>
      </c>
      <c r="C45" s="140" t="s">
        <v>98</v>
      </c>
      <c r="D45" s="141">
        <v>50.0</v>
      </c>
      <c r="E45" s="142">
        <v>192.75</v>
      </c>
      <c r="F45" s="143">
        <v>19.275</v>
      </c>
      <c r="G45" s="144">
        <v>2.805</v>
      </c>
      <c r="H45" s="143">
        <v>52.5</v>
      </c>
      <c r="I45" s="145">
        <v>137.75</v>
      </c>
      <c r="J45" s="146">
        <v>1.0</v>
      </c>
      <c r="K45" s="147">
        <v>1.5</v>
      </c>
      <c r="L45" s="148">
        <v>3.0</v>
      </c>
      <c r="M45" s="149">
        <v>21.0</v>
      </c>
      <c r="N45" s="149">
        <v>9.0</v>
      </c>
      <c r="O45" s="150">
        <v>7.0</v>
      </c>
      <c r="P45" s="151"/>
      <c r="Q45" s="152"/>
      <c r="R45" s="152"/>
      <c r="S45" s="153"/>
      <c r="T45" s="154"/>
      <c r="U45" s="155">
        <v>21.5</v>
      </c>
      <c r="V45" s="155"/>
      <c r="W45" s="155"/>
      <c r="X45" s="155"/>
      <c r="Y45" s="155"/>
      <c r="Z45" s="156"/>
      <c r="AA45" s="156">
        <v>13.75</v>
      </c>
      <c r="AB45" s="155"/>
      <c r="AC45" s="155"/>
      <c r="AD45" s="155"/>
      <c r="AE45" s="155"/>
      <c r="AF45" s="155">
        <v>22.25</v>
      </c>
      <c r="AG45" s="155"/>
      <c r="AH45" s="155"/>
      <c r="AI45" s="155"/>
      <c r="AJ45" s="155">
        <v>23.5</v>
      </c>
      <c r="AK45" s="156"/>
      <c r="AL45" s="156"/>
      <c r="AM45" s="155"/>
      <c r="AN45" s="155"/>
      <c r="AO45" s="155"/>
      <c r="AP45" s="155">
        <v>15.0</v>
      </c>
      <c r="AQ45" s="155"/>
      <c r="AR45" s="155"/>
      <c r="AS45" s="155"/>
      <c r="AT45" s="155"/>
      <c r="AU45" s="156"/>
      <c r="AV45" s="156"/>
      <c r="AW45" s="155"/>
      <c r="AX45" s="155"/>
      <c r="AY45" s="155"/>
      <c r="AZ45" s="157"/>
      <c r="BA45" s="157"/>
      <c r="BB45" s="157"/>
      <c r="BC45" s="157"/>
      <c r="BD45" s="157"/>
      <c r="BE45" s="145">
        <v>22.25</v>
      </c>
      <c r="BF45" s="145"/>
      <c r="BG45" s="145"/>
      <c r="BH45" s="145"/>
      <c r="BI45" s="145"/>
      <c r="BJ45" s="145">
        <v>21.75</v>
      </c>
      <c r="BK45" s="145"/>
      <c r="BL45" s="145"/>
      <c r="BM45" s="145"/>
      <c r="BN45" s="145"/>
      <c r="BO45" s="145">
        <v>21.75</v>
      </c>
      <c r="BP45" s="120"/>
      <c r="BQ45" s="120"/>
      <c r="BR45" s="120">
        <v>10.25</v>
      </c>
      <c r="BS45" s="120"/>
      <c r="BT45" s="120"/>
      <c r="BU45" s="120">
        <v>20.75</v>
      </c>
      <c r="BV45" s="120"/>
      <c r="BW45" s="120"/>
      <c r="BX45" s="120"/>
      <c r="BY45" s="120"/>
      <c r="BZ45" s="120"/>
      <c r="CA45" s="120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>
      <c r="A46" s="98"/>
      <c r="B46" s="159">
        <v>38.0</v>
      </c>
      <c r="C46" s="122" t="s">
        <v>128</v>
      </c>
      <c r="D46" s="123">
        <v>50.0</v>
      </c>
      <c r="E46" s="124">
        <v>191.75</v>
      </c>
      <c r="F46" s="125">
        <v>19.175</v>
      </c>
      <c r="G46" s="126">
        <v>2.585</v>
      </c>
      <c r="H46" s="125">
        <v>62.5</v>
      </c>
      <c r="I46" s="127">
        <v>127.75</v>
      </c>
      <c r="J46" s="128">
        <v>0.5</v>
      </c>
      <c r="K46" s="129">
        <v>1.0</v>
      </c>
      <c r="L46" s="130">
        <v>2.0</v>
      </c>
      <c r="M46" s="131">
        <v>25.0</v>
      </c>
      <c r="N46" s="131">
        <v>2.0</v>
      </c>
      <c r="O46" s="132">
        <v>4.0</v>
      </c>
      <c r="P46" s="133"/>
      <c r="Q46" s="134"/>
      <c r="R46" s="134"/>
      <c r="S46" s="135"/>
      <c r="T46" s="136"/>
      <c r="U46" s="137"/>
      <c r="V46" s="137"/>
      <c r="W46" s="137"/>
      <c r="X46" s="138"/>
      <c r="Y46" s="137"/>
      <c r="Z46" s="137">
        <v>20.75</v>
      </c>
      <c r="AA46" s="137"/>
      <c r="AB46" s="137"/>
      <c r="AC46" s="138"/>
      <c r="AD46" s="137">
        <v>17.5</v>
      </c>
      <c r="AE46" s="137"/>
      <c r="AF46" s="137"/>
      <c r="AG46" s="137">
        <v>19.5</v>
      </c>
      <c r="AH46" s="138"/>
      <c r="AI46" s="137"/>
      <c r="AJ46" s="137"/>
      <c r="AK46" s="137"/>
      <c r="AL46" s="137">
        <v>16.5</v>
      </c>
      <c r="AM46" s="137"/>
      <c r="AN46" s="138"/>
      <c r="AO46" s="137"/>
      <c r="AP46" s="137"/>
      <c r="AQ46" s="137">
        <v>20.75</v>
      </c>
      <c r="AR46" s="138"/>
      <c r="AS46" s="137"/>
      <c r="AT46" s="137"/>
      <c r="AU46" s="137"/>
      <c r="AV46" s="137"/>
      <c r="AW46" s="137"/>
      <c r="AX46" s="137">
        <v>20.0</v>
      </c>
      <c r="AY46" s="137"/>
      <c r="AZ46" s="139"/>
      <c r="BA46" s="139"/>
      <c r="BB46" s="139"/>
      <c r="BC46" s="139"/>
      <c r="BD46" s="139"/>
      <c r="BE46" s="127"/>
      <c r="BF46" s="127"/>
      <c r="BG46" s="127"/>
      <c r="BH46" s="127"/>
      <c r="BI46" s="127">
        <v>16.0</v>
      </c>
      <c r="BJ46" s="127"/>
      <c r="BK46" s="127"/>
      <c r="BL46" s="127"/>
      <c r="BM46" s="127"/>
      <c r="BN46" s="127"/>
      <c r="BO46" s="127"/>
      <c r="BP46" s="120">
        <v>16.0</v>
      </c>
      <c r="BQ46" s="120"/>
      <c r="BR46" s="120"/>
      <c r="BS46" s="120"/>
      <c r="BT46" s="120">
        <v>27.25</v>
      </c>
      <c r="BU46" s="120"/>
      <c r="BV46" s="120">
        <v>17.5</v>
      </c>
      <c r="BW46" s="120"/>
      <c r="BX46" s="120"/>
      <c r="BY46" s="120"/>
      <c r="BZ46" s="120"/>
      <c r="CA46" s="120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>
      <c r="A47" s="98"/>
      <c r="B47" s="159">
        <v>39.0</v>
      </c>
      <c r="C47" s="140" t="s">
        <v>79</v>
      </c>
      <c r="D47" s="141">
        <v>50.0</v>
      </c>
      <c r="E47" s="142">
        <v>191.5</v>
      </c>
      <c r="F47" s="143">
        <v>19.15</v>
      </c>
      <c r="G47" s="144">
        <v>2.63</v>
      </c>
      <c r="H47" s="143">
        <v>60.0</v>
      </c>
      <c r="I47" s="145">
        <v>128.5</v>
      </c>
      <c r="J47" s="146">
        <v>1.0</v>
      </c>
      <c r="K47" s="147">
        <v>2.0</v>
      </c>
      <c r="L47" s="148">
        <v>4.0</v>
      </c>
      <c r="M47" s="149">
        <v>24.0</v>
      </c>
      <c r="N47" s="149">
        <v>5.0</v>
      </c>
      <c r="O47" s="150">
        <v>4.0</v>
      </c>
      <c r="P47" s="151"/>
      <c r="Q47" s="152"/>
      <c r="R47" s="152"/>
      <c r="S47" s="153"/>
      <c r="T47" s="154"/>
      <c r="U47" s="155"/>
      <c r="V47" s="155"/>
      <c r="W47" s="155">
        <v>22.75</v>
      </c>
      <c r="X47" s="155"/>
      <c r="Y47" s="155"/>
      <c r="Z47" s="156"/>
      <c r="AA47" s="156"/>
      <c r="AB47" s="155">
        <v>27.0</v>
      </c>
      <c r="AC47" s="155"/>
      <c r="AD47" s="155"/>
      <c r="AE47" s="155"/>
      <c r="AF47" s="155"/>
      <c r="AG47" s="155"/>
      <c r="AH47" s="155"/>
      <c r="AI47" s="155">
        <v>20.75</v>
      </c>
      <c r="AJ47" s="155"/>
      <c r="AK47" s="156"/>
      <c r="AL47" s="156"/>
      <c r="AM47" s="155"/>
      <c r="AN47" s="155"/>
      <c r="AO47" s="155"/>
      <c r="AP47" s="155"/>
      <c r="AQ47" s="155"/>
      <c r="AR47" s="155"/>
      <c r="AS47" s="155">
        <v>15.75</v>
      </c>
      <c r="AT47" s="155"/>
      <c r="AU47" s="156"/>
      <c r="AV47" s="156"/>
      <c r="AW47" s="155"/>
      <c r="AX47" s="155">
        <v>18.25</v>
      </c>
      <c r="AY47" s="155"/>
      <c r="AZ47" s="157"/>
      <c r="BA47" s="157"/>
      <c r="BB47" s="157"/>
      <c r="BC47" s="157">
        <v>16.75</v>
      </c>
      <c r="BD47" s="157"/>
      <c r="BE47" s="145"/>
      <c r="BF47" s="145"/>
      <c r="BG47" s="145">
        <v>20.5</v>
      </c>
      <c r="BH47" s="145"/>
      <c r="BI47" s="145"/>
      <c r="BJ47" s="145"/>
      <c r="BK47" s="145">
        <v>17.5</v>
      </c>
      <c r="BL47" s="145"/>
      <c r="BM47" s="145"/>
      <c r="BN47" s="145"/>
      <c r="BO47" s="145"/>
      <c r="BP47" s="120"/>
      <c r="BQ47" s="120"/>
      <c r="BR47" s="120">
        <v>16.5</v>
      </c>
      <c r="BS47" s="120"/>
      <c r="BT47" s="120">
        <v>15.75</v>
      </c>
      <c r="BU47" s="120"/>
      <c r="BV47" s="120"/>
      <c r="BW47" s="120"/>
      <c r="BX47" s="120"/>
      <c r="BY47" s="120"/>
      <c r="BZ47" s="120"/>
      <c r="CA47" s="120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>
      <c r="A48" s="98"/>
      <c r="B48" s="159">
        <v>40.0</v>
      </c>
      <c r="C48" s="122" t="s">
        <v>124</v>
      </c>
      <c r="D48" s="123">
        <v>50.0</v>
      </c>
      <c r="E48" s="124">
        <v>190.75</v>
      </c>
      <c r="F48" s="125">
        <v>19.075</v>
      </c>
      <c r="G48" s="126">
        <v>2.515</v>
      </c>
      <c r="H48" s="125">
        <v>65.0</v>
      </c>
      <c r="I48" s="127">
        <v>124.75</v>
      </c>
      <c r="J48" s="128">
        <v>0.5</v>
      </c>
      <c r="K48" s="129">
        <v>0.5</v>
      </c>
      <c r="L48" s="130">
        <v>1.0</v>
      </c>
      <c r="M48" s="131">
        <v>26.0</v>
      </c>
      <c r="N48" s="131">
        <v>8.0</v>
      </c>
      <c r="O48" s="132">
        <v>5.0</v>
      </c>
      <c r="P48" s="133"/>
      <c r="Q48" s="134"/>
      <c r="R48" s="134"/>
      <c r="S48" s="135"/>
      <c r="T48" s="136">
        <v>28.75</v>
      </c>
      <c r="U48" s="137"/>
      <c r="V48" s="137"/>
      <c r="W48" s="137"/>
      <c r="X48" s="138"/>
      <c r="Y48" s="137">
        <v>17.5</v>
      </c>
      <c r="Z48" s="137"/>
      <c r="AA48" s="137"/>
      <c r="AB48" s="137"/>
      <c r="AC48" s="138"/>
      <c r="AD48" s="137"/>
      <c r="AE48" s="137"/>
      <c r="AF48" s="137"/>
      <c r="AG48" s="137">
        <v>25.25</v>
      </c>
      <c r="AH48" s="138"/>
      <c r="AI48" s="137"/>
      <c r="AJ48" s="137"/>
      <c r="AK48" s="137"/>
      <c r="AL48" s="137"/>
      <c r="AM48" s="137"/>
      <c r="AN48" s="138"/>
      <c r="AO48" s="137"/>
      <c r="AP48" s="137">
        <v>20.25</v>
      </c>
      <c r="AQ48" s="137"/>
      <c r="AR48" s="138"/>
      <c r="AS48" s="137">
        <v>13.75</v>
      </c>
      <c r="AT48" s="137">
        <v>16.25</v>
      </c>
      <c r="AU48" s="137"/>
      <c r="AV48" s="137">
        <v>15.25</v>
      </c>
      <c r="AW48" s="137"/>
      <c r="AX48" s="137"/>
      <c r="AY48" s="137"/>
      <c r="AZ48" s="139"/>
      <c r="BA48" s="139"/>
      <c r="BB48" s="139"/>
      <c r="BC48" s="139"/>
      <c r="BD48" s="139"/>
      <c r="BE48" s="127"/>
      <c r="BF48" s="127"/>
      <c r="BG48" s="127"/>
      <c r="BH48" s="127"/>
      <c r="BI48" s="127"/>
      <c r="BJ48" s="127"/>
      <c r="BK48" s="127">
        <v>21.25</v>
      </c>
      <c r="BL48" s="127"/>
      <c r="BM48" s="127"/>
      <c r="BN48" s="127"/>
      <c r="BO48" s="127"/>
      <c r="BP48" s="120"/>
      <c r="BQ48" s="120"/>
      <c r="BR48" s="120"/>
      <c r="BS48" s="120">
        <v>16.75</v>
      </c>
      <c r="BT48" s="120"/>
      <c r="BU48" s="120"/>
      <c r="BV48" s="120"/>
      <c r="BW48" s="120">
        <v>15.75</v>
      </c>
      <c r="BX48" s="120"/>
      <c r="BY48" s="120"/>
      <c r="BZ48" s="120"/>
      <c r="CA48" s="120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>
      <c r="A49" s="98"/>
      <c r="B49" s="159">
        <v>41.0</v>
      </c>
      <c r="C49" s="140" t="s">
        <v>91</v>
      </c>
      <c r="D49" s="141">
        <v>50.0</v>
      </c>
      <c r="E49" s="142">
        <v>190.5</v>
      </c>
      <c r="F49" s="143">
        <v>19.05</v>
      </c>
      <c r="G49" s="144">
        <v>2.61</v>
      </c>
      <c r="H49" s="143">
        <v>60.0</v>
      </c>
      <c r="I49" s="145">
        <v>129.0</v>
      </c>
      <c r="J49" s="146">
        <v>0.0</v>
      </c>
      <c r="K49" s="147">
        <v>1.5</v>
      </c>
      <c r="L49" s="148">
        <v>3.0</v>
      </c>
      <c r="M49" s="149">
        <v>24.0</v>
      </c>
      <c r="N49" s="149">
        <v>2.0</v>
      </c>
      <c r="O49" s="150">
        <v>4.0</v>
      </c>
      <c r="P49" s="151"/>
      <c r="Q49" s="152"/>
      <c r="R49" s="152"/>
      <c r="S49" s="153"/>
      <c r="T49" s="154"/>
      <c r="U49" s="155"/>
      <c r="V49" s="155">
        <v>23.25</v>
      </c>
      <c r="W49" s="155"/>
      <c r="X49" s="155">
        <v>20.5</v>
      </c>
      <c r="Y49" s="155"/>
      <c r="Z49" s="156">
        <v>22.0</v>
      </c>
      <c r="AA49" s="156"/>
      <c r="AB49" s="155"/>
      <c r="AC49" s="155"/>
      <c r="AD49" s="155"/>
      <c r="AE49" s="155"/>
      <c r="AF49" s="155"/>
      <c r="AG49" s="155"/>
      <c r="AH49" s="155"/>
      <c r="AI49" s="155"/>
      <c r="AJ49" s="155"/>
      <c r="AK49" s="156">
        <v>18.25</v>
      </c>
      <c r="AL49" s="156"/>
      <c r="AM49" s="155"/>
      <c r="AN49" s="155"/>
      <c r="AO49" s="155"/>
      <c r="AP49" s="155"/>
      <c r="AQ49" s="155"/>
      <c r="AR49" s="155">
        <v>14.25</v>
      </c>
      <c r="AS49" s="155"/>
      <c r="AT49" s="155"/>
      <c r="AU49" s="156"/>
      <c r="AV49" s="156"/>
      <c r="AW49" s="155"/>
      <c r="AX49" s="155"/>
      <c r="AY49" s="155"/>
      <c r="AZ49" s="157"/>
      <c r="BA49" s="157"/>
      <c r="BB49" s="157"/>
      <c r="BC49" s="157"/>
      <c r="BD49" s="157"/>
      <c r="BE49" s="145"/>
      <c r="BF49" s="145"/>
      <c r="BG49" s="145"/>
      <c r="BH49" s="145"/>
      <c r="BI49" s="145"/>
      <c r="BJ49" s="145"/>
      <c r="BK49" s="145">
        <v>22.25</v>
      </c>
      <c r="BL49" s="145"/>
      <c r="BM49" s="145">
        <v>15.0</v>
      </c>
      <c r="BN49" s="145">
        <v>21.0</v>
      </c>
      <c r="BO49" s="145"/>
      <c r="BP49" s="120">
        <v>18.0</v>
      </c>
      <c r="BQ49" s="120"/>
      <c r="BR49" s="120"/>
      <c r="BS49" s="120"/>
      <c r="BT49" s="120"/>
      <c r="BU49" s="120">
        <v>16.0</v>
      </c>
      <c r="BV49" s="120"/>
      <c r="BW49" s="120"/>
      <c r="BX49" s="120"/>
      <c r="BY49" s="120"/>
      <c r="BZ49" s="120"/>
      <c r="CA49" s="120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>
      <c r="A50" s="98"/>
      <c r="B50" s="159">
        <v>42.0</v>
      </c>
      <c r="C50" s="122" t="s">
        <v>109</v>
      </c>
      <c r="D50" s="123">
        <v>50.0</v>
      </c>
      <c r="E50" s="124">
        <v>189.75</v>
      </c>
      <c r="F50" s="125">
        <v>18.975</v>
      </c>
      <c r="G50" s="126">
        <v>2.745</v>
      </c>
      <c r="H50" s="125">
        <v>52.5</v>
      </c>
      <c r="I50" s="127">
        <v>135.75</v>
      </c>
      <c r="J50" s="128">
        <v>0.0</v>
      </c>
      <c r="K50" s="129">
        <v>1.5</v>
      </c>
      <c r="L50" s="130">
        <v>3.0</v>
      </c>
      <c r="M50" s="131">
        <v>21.0</v>
      </c>
      <c r="N50" s="131">
        <v>0.0</v>
      </c>
      <c r="O50" s="132">
        <v>5.0</v>
      </c>
      <c r="P50" s="133"/>
      <c r="Q50" s="134"/>
      <c r="R50" s="134"/>
      <c r="S50" s="135"/>
      <c r="T50" s="136"/>
      <c r="U50" s="137"/>
      <c r="V50" s="137"/>
      <c r="W50" s="137"/>
      <c r="X50" s="138"/>
      <c r="Y50" s="137"/>
      <c r="Z50" s="137"/>
      <c r="AA50" s="137"/>
      <c r="AB50" s="137"/>
      <c r="AC50" s="138"/>
      <c r="AD50" s="137"/>
      <c r="AE50" s="137"/>
      <c r="AF50" s="137"/>
      <c r="AG50" s="137"/>
      <c r="AH50" s="138"/>
      <c r="AI50" s="137"/>
      <c r="AJ50" s="137"/>
      <c r="AK50" s="137"/>
      <c r="AL50" s="137"/>
      <c r="AM50" s="137"/>
      <c r="AN50" s="138">
        <v>21.25</v>
      </c>
      <c r="AO50" s="137">
        <v>21.25</v>
      </c>
      <c r="AP50" s="137"/>
      <c r="AQ50" s="137"/>
      <c r="AR50" s="138"/>
      <c r="AS50" s="137"/>
      <c r="AT50" s="137"/>
      <c r="AU50" s="137"/>
      <c r="AV50" s="137">
        <v>14.0</v>
      </c>
      <c r="AW50" s="137">
        <v>18.75</v>
      </c>
      <c r="AX50" s="137">
        <v>12.0</v>
      </c>
      <c r="AY50" s="137">
        <v>13.75</v>
      </c>
      <c r="AZ50" s="139"/>
      <c r="BA50" s="139"/>
      <c r="BB50" s="139"/>
      <c r="BC50" s="139"/>
      <c r="BD50" s="139"/>
      <c r="BE50" s="127">
        <v>18.0</v>
      </c>
      <c r="BF50" s="127">
        <v>26.5</v>
      </c>
      <c r="BG50" s="127">
        <v>15.25</v>
      </c>
      <c r="BH50" s="127">
        <v>29.0</v>
      </c>
      <c r="BI50" s="127"/>
      <c r="BJ50" s="127"/>
      <c r="BK50" s="127"/>
      <c r="BL50" s="127"/>
      <c r="BM50" s="127"/>
      <c r="BN50" s="127"/>
      <c r="BO50" s="127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>
      <c r="A51" s="98"/>
      <c r="B51" s="159">
        <v>43.0</v>
      </c>
      <c r="C51" s="140" t="s">
        <v>86</v>
      </c>
      <c r="D51" s="141">
        <v>50.0</v>
      </c>
      <c r="E51" s="142">
        <v>189.25</v>
      </c>
      <c r="F51" s="143">
        <v>18.925</v>
      </c>
      <c r="G51" s="144">
        <v>2.535</v>
      </c>
      <c r="H51" s="143">
        <v>62.5</v>
      </c>
      <c r="I51" s="145">
        <v>125.25</v>
      </c>
      <c r="J51" s="146">
        <v>0.0</v>
      </c>
      <c r="K51" s="147">
        <v>1.5</v>
      </c>
      <c r="L51" s="148">
        <v>3.0</v>
      </c>
      <c r="M51" s="149">
        <v>25.0</v>
      </c>
      <c r="N51" s="149">
        <v>8.0</v>
      </c>
      <c r="O51" s="150">
        <v>6.0</v>
      </c>
      <c r="P51" s="151"/>
      <c r="Q51" s="152"/>
      <c r="R51" s="152"/>
      <c r="S51" s="153"/>
      <c r="T51" s="154"/>
      <c r="U51" s="155"/>
      <c r="V51" s="155"/>
      <c r="W51" s="155"/>
      <c r="X51" s="155">
        <v>21.75</v>
      </c>
      <c r="Y51" s="155">
        <v>19.5</v>
      </c>
      <c r="Z51" s="156"/>
      <c r="AA51" s="156"/>
      <c r="AB51" s="155"/>
      <c r="AC51" s="155"/>
      <c r="AD51" s="155"/>
      <c r="AE51" s="155">
        <v>12.0</v>
      </c>
      <c r="AF51" s="155"/>
      <c r="AG51" s="155"/>
      <c r="AH51" s="155"/>
      <c r="AI51" s="155"/>
      <c r="AJ51" s="155"/>
      <c r="AK51" s="156">
        <v>21.75</v>
      </c>
      <c r="AL51" s="156"/>
      <c r="AM51" s="155"/>
      <c r="AN51" s="155">
        <v>24.25</v>
      </c>
      <c r="AO51" s="155"/>
      <c r="AP51" s="155"/>
      <c r="AQ51" s="155"/>
      <c r="AR51" s="155"/>
      <c r="AS51" s="155"/>
      <c r="AT51" s="155"/>
      <c r="AU51" s="156"/>
      <c r="AV51" s="156"/>
      <c r="AW51" s="155"/>
      <c r="AX51" s="155"/>
      <c r="AY51" s="155"/>
      <c r="AZ51" s="157"/>
      <c r="BA51" s="157"/>
      <c r="BB51" s="157">
        <v>13.75</v>
      </c>
      <c r="BC51" s="157"/>
      <c r="BD51" s="157"/>
      <c r="BE51" s="145"/>
      <c r="BF51" s="145"/>
      <c r="BG51" s="145"/>
      <c r="BH51" s="145"/>
      <c r="BI51" s="145">
        <v>19.75</v>
      </c>
      <c r="BJ51" s="145"/>
      <c r="BK51" s="145"/>
      <c r="BL51" s="145"/>
      <c r="BM51" s="145"/>
      <c r="BN51" s="145"/>
      <c r="BO51" s="145">
        <v>19.75</v>
      </c>
      <c r="BP51" s="120"/>
      <c r="BQ51" s="120"/>
      <c r="BR51" s="120"/>
      <c r="BS51" s="120"/>
      <c r="BT51" s="120"/>
      <c r="BU51" s="120"/>
      <c r="BV51" s="120"/>
      <c r="BW51" s="120"/>
      <c r="BX51" s="120">
        <v>18.0</v>
      </c>
      <c r="BY51" s="120"/>
      <c r="BZ51" s="120"/>
      <c r="CA51" s="120">
        <v>18.75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>
      <c r="A52" s="98"/>
      <c r="B52" s="159">
        <v>44.0</v>
      </c>
      <c r="C52" s="122" t="s">
        <v>130</v>
      </c>
      <c r="D52" s="123">
        <v>50.0</v>
      </c>
      <c r="E52" s="124">
        <v>188.25</v>
      </c>
      <c r="F52" s="125">
        <v>18.825</v>
      </c>
      <c r="G52" s="126">
        <v>2.715</v>
      </c>
      <c r="H52" s="125">
        <v>52.5</v>
      </c>
      <c r="I52" s="127">
        <v>132.25</v>
      </c>
      <c r="J52" s="128">
        <v>0.5</v>
      </c>
      <c r="K52" s="129">
        <v>3.0</v>
      </c>
      <c r="L52" s="130">
        <v>5.0</v>
      </c>
      <c r="M52" s="131">
        <v>21.0</v>
      </c>
      <c r="N52" s="131">
        <v>4.0</v>
      </c>
      <c r="O52" s="132">
        <v>6.0</v>
      </c>
      <c r="P52" s="133"/>
      <c r="Q52" s="134"/>
      <c r="R52" s="134"/>
      <c r="S52" s="135"/>
      <c r="T52" s="136"/>
      <c r="U52" s="137"/>
      <c r="V52" s="137"/>
      <c r="W52" s="137"/>
      <c r="X52" s="138"/>
      <c r="Y52" s="137"/>
      <c r="Z52" s="137"/>
      <c r="AA52" s="137"/>
      <c r="AB52" s="137"/>
      <c r="AC52" s="138"/>
      <c r="AD52" s="137"/>
      <c r="AE52" s="137"/>
      <c r="AF52" s="137"/>
      <c r="AG52" s="137"/>
      <c r="AH52" s="138"/>
      <c r="AI52" s="137"/>
      <c r="AJ52" s="137"/>
      <c r="AK52" s="137"/>
      <c r="AL52" s="137"/>
      <c r="AM52" s="137">
        <v>22.0</v>
      </c>
      <c r="AN52" s="138">
        <v>24.5</v>
      </c>
      <c r="AO52" s="137">
        <v>19.5</v>
      </c>
      <c r="AP52" s="137">
        <v>11.75</v>
      </c>
      <c r="AQ52" s="137">
        <v>21.75</v>
      </c>
      <c r="AR52" s="138"/>
      <c r="AS52" s="137"/>
      <c r="AT52" s="137"/>
      <c r="AU52" s="137"/>
      <c r="AV52" s="137"/>
      <c r="AW52" s="137"/>
      <c r="AX52" s="137"/>
      <c r="AY52" s="137">
        <v>20.0</v>
      </c>
      <c r="AZ52" s="139"/>
      <c r="BA52" s="139"/>
      <c r="BB52" s="139"/>
      <c r="BC52" s="139"/>
      <c r="BD52" s="139"/>
      <c r="BE52" s="127"/>
      <c r="BF52" s="127"/>
      <c r="BG52" s="127"/>
      <c r="BH52" s="127"/>
      <c r="BI52" s="127"/>
      <c r="BJ52" s="127"/>
      <c r="BK52" s="127"/>
      <c r="BL52" s="127"/>
      <c r="BM52" s="127">
        <v>15.75</v>
      </c>
      <c r="BN52" s="127">
        <v>10.75</v>
      </c>
      <c r="BO52" s="127"/>
      <c r="BP52" s="120"/>
      <c r="BQ52" s="120"/>
      <c r="BR52" s="120"/>
      <c r="BS52" s="120"/>
      <c r="BT52" s="120"/>
      <c r="BU52" s="120"/>
      <c r="BV52" s="120"/>
      <c r="BW52" s="120"/>
      <c r="BX52" s="120">
        <v>22.5</v>
      </c>
      <c r="BY52" s="120"/>
      <c r="BZ52" s="120"/>
      <c r="CA52" s="120">
        <v>19.75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>
      <c r="A53" s="98"/>
      <c r="B53" s="159">
        <v>45.0</v>
      </c>
      <c r="C53" s="140" t="s">
        <v>118</v>
      </c>
      <c r="D53" s="141">
        <v>50.0</v>
      </c>
      <c r="E53" s="142">
        <v>188.25</v>
      </c>
      <c r="F53" s="143">
        <v>18.825</v>
      </c>
      <c r="G53" s="144">
        <v>2.665</v>
      </c>
      <c r="H53" s="143">
        <v>55.0</v>
      </c>
      <c r="I53" s="145">
        <v>132.25</v>
      </c>
      <c r="J53" s="146">
        <v>0.0</v>
      </c>
      <c r="K53" s="147">
        <v>1.0</v>
      </c>
      <c r="L53" s="148">
        <v>2.0</v>
      </c>
      <c r="M53" s="149">
        <v>22.0</v>
      </c>
      <c r="N53" s="149">
        <v>5.0</v>
      </c>
      <c r="O53" s="150">
        <v>4.0</v>
      </c>
      <c r="P53" s="151"/>
      <c r="Q53" s="152"/>
      <c r="R53" s="152"/>
      <c r="S53" s="153"/>
      <c r="T53" s="154">
        <v>15.75</v>
      </c>
      <c r="U53" s="155"/>
      <c r="V53" s="155">
        <v>17.5</v>
      </c>
      <c r="W53" s="155"/>
      <c r="X53" s="155"/>
      <c r="Y53" s="155"/>
      <c r="Z53" s="156">
        <v>19.75</v>
      </c>
      <c r="AA53" s="156"/>
      <c r="AB53" s="155"/>
      <c r="AC53" s="155">
        <v>23.5</v>
      </c>
      <c r="AD53" s="155"/>
      <c r="AE53" s="155">
        <v>19.25</v>
      </c>
      <c r="AF53" s="155"/>
      <c r="AG53" s="155">
        <v>19.75</v>
      </c>
      <c r="AH53" s="155"/>
      <c r="AI53" s="155"/>
      <c r="AJ53" s="155">
        <v>15.5</v>
      </c>
      <c r="AK53" s="156"/>
      <c r="AL53" s="156"/>
      <c r="AM53" s="155">
        <v>21.5</v>
      </c>
      <c r="AN53" s="155"/>
      <c r="AO53" s="155"/>
      <c r="AP53" s="155"/>
      <c r="AQ53" s="155">
        <v>21.5</v>
      </c>
      <c r="AR53" s="155">
        <v>14.25</v>
      </c>
      <c r="AS53" s="155"/>
      <c r="AT53" s="155"/>
      <c r="AU53" s="156"/>
      <c r="AV53" s="156"/>
      <c r="AW53" s="155"/>
      <c r="AX53" s="155"/>
      <c r="AY53" s="155"/>
      <c r="AZ53" s="157"/>
      <c r="BA53" s="157"/>
      <c r="BB53" s="157"/>
      <c r="BC53" s="157"/>
      <c r="BD53" s="157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>
      <c r="A54" s="98"/>
      <c r="B54" s="159">
        <v>46.0</v>
      </c>
      <c r="C54" s="122" t="s">
        <v>102</v>
      </c>
      <c r="D54" s="123">
        <v>50.0</v>
      </c>
      <c r="E54" s="124">
        <v>185.75</v>
      </c>
      <c r="F54" s="125">
        <v>18.575</v>
      </c>
      <c r="G54" s="126">
        <v>2.765</v>
      </c>
      <c r="H54" s="125">
        <v>47.5</v>
      </c>
      <c r="I54" s="127">
        <v>134.25</v>
      </c>
      <c r="J54" s="128">
        <v>0.5</v>
      </c>
      <c r="K54" s="129">
        <v>3.5</v>
      </c>
      <c r="L54" s="130">
        <v>7.0</v>
      </c>
      <c r="M54" s="131">
        <v>19.0</v>
      </c>
      <c r="N54" s="131">
        <v>7.0</v>
      </c>
      <c r="O54" s="132">
        <v>5.0</v>
      </c>
      <c r="P54" s="133"/>
      <c r="Q54" s="134"/>
      <c r="R54" s="134"/>
      <c r="S54" s="135"/>
      <c r="T54" s="136"/>
      <c r="U54" s="137">
        <v>23.0</v>
      </c>
      <c r="V54" s="137"/>
      <c r="W54" s="137">
        <v>22.5</v>
      </c>
      <c r="X54" s="138"/>
      <c r="Y54" s="137"/>
      <c r="Z54" s="137"/>
      <c r="AA54" s="137"/>
      <c r="AB54" s="137"/>
      <c r="AC54" s="138"/>
      <c r="AD54" s="137"/>
      <c r="AE54" s="137"/>
      <c r="AF54" s="137">
        <v>19.25</v>
      </c>
      <c r="AG54" s="137"/>
      <c r="AH54" s="138"/>
      <c r="AI54" s="137"/>
      <c r="AJ54" s="137"/>
      <c r="AK54" s="137"/>
      <c r="AL54" s="137"/>
      <c r="AM54" s="137">
        <v>22.75</v>
      </c>
      <c r="AN54" s="138"/>
      <c r="AO54" s="137"/>
      <c r="AP54" s="137"/>
      <c r="AQ54" s="137">
        <v>16.5</v>
      </c>
      <c r="AR54" s="138"/>
      <c r="AS54" s="137"/>
      <c r="AT54" s="137"/>
      <c r="AU54" s="137"/>
      <c r="AV54" s="137"/>
      <c r="AW54" s="137">
        <v>16.0</v>
      </c>
      <c r="AX54" s="137"/>
      <c r="AY54" s="137"/>
      <c r="AZ54" s="139"/>
      <c r="BA54" s="139"/>
      <c r="BB54" s="139"/>
      <c r="BC54" s="139"/>
      <c r="BD54" s="139"/>
      <c r="BE54" s="127"/>
      <c r="BF54" s="127"/>
      <c r="BG54" s="127">
        <v>24.75</v>
      </c>
      <c r="BH54" s="127"/>
      <c r="BI54" s="127"/>
      <c r="BJ54" s="127">
        <v>16.5</v>
      </c>
      <c r="BK54" s="127"/>
      <c r="BL54" s="127"/>
      <c r="BM54" s="127"/>
      <c r="BN54" s="127"/>
      <c r="BO54" s="127"/>
      <c r="BP54" s="120"/>
      <c r="BQ54" s="120"/>
      <c r="BR54" s="120"/>
      <c r="BS54" s="120"/>
      <c r="BT54" s="120">
        <v>12.0</v>
      </c>
      <c r="BU54" s="120"/>
      <c r="BV54" s="120"/>
      <c r="BW54" s="120"/>
      <c r="BX54" s="120"/>
      <c r="BY54" s="120">
        <v>12.5</v>
      </c>
      <c r="BZ54" s="120"/>
      <c r="CA54" s="120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>
      <c r="A55" s="98"/>
      <c r="B55" s="159">
        <v>47.0</v>
      </c>
      <c r="C55" s="140" t="s">
        <v>94</v>
      </c>
      <c r="D55" s="141">
        <v>50.0</v>
      </c>
      <c r="E55" s="142">
        <v>184.25</v>
      </c>
      <c r="F55" s="143">
        <v>18.425</v>
      </c>
      <c r="G55" s="144">
        <v>2.435</v>
      </c>
      <c r="H55" s="143">
        <v>62.5</v>
      </c>
      <c r="I55" s="145">
        <v>121.75</v>
      </c>
      <c r="J55" s="146">
        <v>0.0</v>
      </c>
      <c r="K55" s="147">
        <v>0.0</v>
      </c>
      <c r="L55" s="148">
        <v>0.0</v>
      </c>
      <c r="M55" s="149">
        <v>25.0</v>
      </c>
      <c r="N55" s="149">
        <v>6.0</v>
      </c>
      <c r="O55" s="150">
        <v>7.0</v>
      </c>
      <c r="P55" s="151"/>
      <c r="Q55" s="152"/>
      <c r="R55" s="152"/>
      <c r="S55" s="153"/>
      <c r="T55" s="154"/>
      <c r="U55" s="155"/>
      <c r="V55" s="155"/>
      <c r="W55" s="155">
        <v>18.25</v>
      </c>
      <c r="X55" s="155"/>
      <c r="Y55" s="155">
        <v>14.25</v>
      </c>
      <c r="Z55" s="156"/>
      <c r="AA55" s="156"/>
      <c r="AB55" s="155"/>
      <c r="AC55" s="155"/>
      <c r="AD55" s="155"/>
      <c r="AE55" s="155"/>
      <c r="AF55" s="155"/>
      <c r="AG55" s="155"/>
      <c r="AH55" s="155">
        <v>16.5</v>
      </c>
      <c r="AI55" s="155"/>
      <c r="AJ55" s="155"/>
      <c r="AK55" s="156"/>
      <c r="AL55" s="156"/>
      <c r="AM55" s="155"/>
      <c r="AN55" s="155"/>
      <c r="AO55" s="155"/>
      <c r="AP55" s="155">
        <v>21.25</v>
      </c>
      <c r="AQ55" s="155">
        <v>22.0</v>
      </c>
      <c r="AR55" s="155"/>
      <c r="AS55" s="155"/>
      <c r="AT55" s="155"/>
      <c r="AU55" s="156"/>
      <c r="AV55" s="156"/>
      <c r="AW55" s="155"/>
      <c r="AX55" s="155"/>
      <c r="AY55" s="155"/>
      <c r="AZ55" s="157">
        <v>17.0</v>
      </c>
      <c r="BA55" s="157">
        <v>14.25</v>
      </c>
      <c r="BB55" s="157"/>
      <c r="BC55" s="157"/>
      <c r="BD55" s="157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>
        <v>20.25</v>
      </c>
      <c r="BP55" s="120"/>
      <c r="BQ55" s="120"/>
      <c r="BR55" s="120"/>
      <c r="BS55" s="120"/>
      <c r="BT55" s="120"/>
      <c r="BU55" s="120"/>
      <c r="BV55" s="120">
        <v>20.75</v>
      </c>
      <c r="BW55" s="120"/>
      <c r="BX55" s="120"/>
      <c r="BY55" s="120"/>
      <c r="BZ55" s="120">
        <v>19.75</v>
      </c>
      <c r="CA55" s="120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>
      <c r="A56" s="98"/>
      <c r="B56" s="159">
        <v>48.0</v>
      </c>
      <c r="C56" s="122" t="s">
        <v>101</v>
      </c>
      <c r="D56" s="123">
        <v>50.0</v>
      </c>
      <c r="E56" s="124">
        <v>184.0</v>
      </c>
      <c r="F56" s="125">
        <v>18.400000000000002</v>
      </c>
      <c r="G56" s="126">
        <v>2.53</v>
      </c>
      <c r="H56" s="125">
        <v>57.5</v>
      </c>
      <c r="I56" s="127">
        <v>124.5</v>
      </c>
      <c r="J56" s="128">
        <v>0.0</v>
      </c>
      <c r="K56" s="129">
        <v>2.0</v>
      </c>
      <c r="L56" s="130">
        <v>4.0</v>
      </c>
      <c r="M56" s="131">
        <v>23.0</v>
      </c>
      <c r="N56" s="131">
        <v>3.0</v>
      </c>
      <c r="O56" s="132">
        <v>6.0</v>
      </c>
      <c r="P56" s="133"/>
      <c r="Q56" s="134"/>
      <c r="R56" s="134"/>
      <c r="S56" s="135"/>
      <c r="T56" s="136">
        <v>17.0</v>
      </c>
      <c r="U56" s="137"/>
      <c r="V56" s="137"/>
      <c r="W56" s="137"/>
      <c r="X56" s="138"/>
      <c r="Y56" s="137">
        <v>21.0</v>
      </c>
      <c r="Z56" s="137"/>
      <c r="AA56" s="137"/>
      <c r="AB56" s="137"/>
      <c r="AC56" s="138"/>
      <c r="AD56" s="137"/>
      <c r="AE56" s="137"/>
      <c r="AF56" s="137">
        <v>20.5</v>
      </c>
      <c r="AG56" s="137"/>
      <c r="AH56" s="138">
        <v>16.75</v>
      </c>
      <c r="AI56" s="137"/>
      <c r="AJ56" s="137"/>
      <c r="AK56" s="137"/>
      <c r="AL56" s="137"/>
      <c r="AM56" s="137"/>
      <c r="AN56" s="138">
        <v>18.25</v>
      </c>
      <c r="AO56" s="137"/>
      <c r="AP56" s="137"/>
      <c r="AQ56" s="137"/>
      <c r="AR56" s="138"/>
      <c r="AS56" s="137"/>
      <c r="AT56" s="137"/>
      <c r="AU56" s="137">
        <v>15.75</v>
      </c>
      <c r="AV56" s="137"/>
      <c r="AW56" s="137"/>
      <c r="AX56" s="137"/>
      <c r="AY56" s="137"/>
      <c r="AZ56" s="139"/>
      <c r="BA56" s="139"/>
      <c r="BB56" s="139"/>
      <c r="BC56" s="139"/>
      <c r="BD56" s="139"/>
      <c r="BE56" s="127"/>
      <c r="BF56" s="127"/>
      <c r="BG56" s="127"/>
      <c r="BH56" s="127"/>
      <c r="BI56" s="127">
        <v>17.5</v>
      </c>
      <c r="BJ56" s="127"/>
      <c r="BK56" s="127"/>
      <c r="BL56" s="127"/>
      <c r="BM56" s="127"/>
      <c r="BN56" s="127">
        <v>18.5</v>
      </c>
      <c r="BO56" s="127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>
        <v>14.5</v>
      </c>
      <c r="CA56" s="120">
        <v>24.25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>
      <c r="A57" s="98"/>
      <c r="B57" s="159">
        <v>49.0</v>
      </c>
      <c r="C57" s="140" t="s">
        <v>105</v>
      </c>
      <c r="D57" s="141">
        <v>50.0</v>
      </c>
      <c r="E57" s="142">
        <v>183.5</v>
      </c>
      <c r="F57" s="143">
        <v>18.35</v>
      </c>
      <c r="G57" s="144">
        <v>2.57</v>
      </c>
      <c r="H57" s="143">
        <v>55.0</v>
      </c>
      <c r="I57" s="145">
        <v>123.5</v>
      </c>
      <c r="J57" s="146">
        <v>0.0</v>
      </c>
      <c r="K57" s="147">
        <v>5.0</v>
      </c>
      <c r="L57" s="148">
        <v>8.0</v>
      </c>
      <c r="M57" s="149">
        <v>22.0</v>
      </c>
      <c r="N57" s="149">
        <v>3.0</v>
      </c>
      <c r="O57" s="150">
        <v>7.0</v>
      </c>
      <c r="P57" s="151"/>
      <c r="Q57" s="152"/>
      <c r="R57" s="152"/>
      <c r="S57" s="153"/>
      <c r="T57" s="154">
        <v>14.75</v>
      </c>
      <c r="U57" s="155"/>
      <c r="V57" s="155"/>
      <c r="W57" s="155"/>
      <c r="X57" s="155">
        <v>22.5</v>
      </c>
      <c r="Y57" s="155"/>
      <c r="Z57" s="156"/>
      <c r="AA57" s="156"/>
      <c r="AB57" s="155"/>
      <c r="AC57" s="155"/>
      <c r="AD57" s="155"/>
      <c r="AE57" s="155"/>
      <c r="AF57" s="155"/>
      <c r="AG57" s="155"/>
      <c r="AH57" s="155">
        <v>10.75</v>
      </c>
      <c r="AI57" s="155"/>
      <c r="AJ57" s="155"/>
      <c r="AK57" s="156"/>
      <c r="AL57" s="156">
        <v>15.5</v>
      </c>
      <c r="AM57" s="155"/>
      <c r="AN57" s="155"/>
      <c r="AO57" s="155"/>
      <c r="AP57" s="155"/>
      <c r="AQ57" s="155"/>
      <c r="AR57" s="155">
        <v>19.75</v>
      </c>
      <c r="AS57" s="155"/>
      <c r="AT57" s="155"/>
      <c r="AU57" s="156">
        <v>20.5</v>
      </c>
      <c r="AV57" s="156"/>
      <c r="AW57" s="155"/>
      <c r="AX57" s="155"/>
      <c r="AY57" s="155"/>
      <c r="AZ57" s="157"/>
      <c r="BA57" s="157">
        <v>22.5</v>
      </c>
      <c r="BB57" s="157"/>
      <c r="BC57" s="157"/>
      <c r="BD57" s="157"/>
      <c r="BE57" s="145"/>
      <c r="BF57" s="145">
        <v>17.25</v>
      </c>
      <c r="BG57" s="145"/>
      <c r="BH57" s="145"/>
      <c r="BI57" s="145"/>
      <c r="BJ57" s="145"/>
      <c r="BK57" s="145"/>
      <c r="BL57" s="145"/>
      <c r="BM57" s="145"/>
      <c r="BN57" s="145"/>
      <c r="BO57" s="145"/>
      <c r="BP57" s="120"/>
      <c r="BQ57" s="120">
        <v>21.0</v>
      </c>
      <c r="BR57" s="120"/>
      <c r="BS57" s="120"/>
      <c r="BT57" s="120"/>
      <c r="BU57" s="120">
        <v>19.0</v>
      </c>
      <c r="BV57" s="120"/>
      <c r="BW57" s="120"/>
      <c r="BX57" s="120"/>
      <c r="BY57" s="120"/>
      <c r="BZ57" s="120"/>
      <c r="CA57" s="120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>
      <c r="A58" s="98"/>
      <c r="B58" s="159">
        <v>50.0</v>
      </c>
      <c r="C58" s="122" t="s">
        <v>96</v>
      </c>
      <c r="D58" s="123">
        <v>50.0</v>
      </c>
      <c r="E58" s="124">
        <v>183.5</v>
      </c>
      <c r="F58" s="125">
        <v>18.35</v>
      </c>
      <c r="G58" s="126">
        <v>2.52</v>
      </c>
      <c r="H58" s="125">
        <v>57.5</v>
      </c>
      <c r="I58" s="127">
        <v>124.0</v>
      </c>
      <c r="J58" s="128">
        <v>0.0</v>
      </c>
      <c r="K58" s="129">
        <v>2.0</v>
      </c>
      <c r="L58" s="130">
        <v>4.0</v>
      </c>
      <c r="M58" s="131">
        <v>23.0</v>
      </c>
      <c r="N58" s="131">
        <v>4.0</v>
      </c>
      <c r="O58" s="132">
        <v>4.0</v>
      </c>
      <c r="P58" s="133"/>
      <c r="Q58" s="134"/>
      <c r="R58" s="134"/>
      <c r="S58" s="135"/>
      <c r="T58" s="136"/>
      <c r="U58" s="137"/>
      <c r="V58" s="137"/>
      <c r="W58" s="137">
        <v>22.5</v>
      </c>
      <c r="X58" s="138"/>
      <c r="Y58" s="137"/>
      <c r="Z58" s="137"/>
      <c r="AA58" s="137">
        <v>13.25</v>
      </c>
      <c r="AB58" s="137"/>
      <c r="AC58" s="138"/>
      <c r="AD58" s="137">
        <v>22.5</v>
      </c>
      <c r="AE58" s="137"/>
      <c r="AF58" s="137"/>
      <c r="AG58" s="137"/>
      <c r="AH58" s="138"/>
      <c r="AI58" s="137">
        <v>23.25</v>
      </c>
      <c r="AJ58" s="137"/>
      <c r="AK58" s="137"/>
      <c r="AL58" s="137"/>
      <c r="AM58" s="137"/>
      <c r="AN58" s="138"/>
      <c r="AO58" s="137"/>
      <c r="AP58" s="137"/>
      <c r="AQ58" s="137"/>
      <c r="AR58" s="138"/>
      <c r="AS58" s="137"/>
      <c r="AT58" s="137"/>
      <c r="AU58" s="137"/>
      <c r="AV58" s="137"/>
      <c r="AW58" s="137"/>
      <c r="AX58" s="137"/>
      <c r="AY58" s="137"/>
      <c r="AZ58" s="139">
        <v>16.5</v>
      </c>
      <c r="BA58" s="139"/>
      <c r="BB58" s="139"/>
      <c r="BC58" s="139"/>
      <c r="BD58" s="139">
        <v>14.25</v>
      </c>
      <c r="BE58" s="127"/>
      <c r="BF58" s="127"/>
      <c r="BG58" s="127"/>
      <c r="BH58" s="127"/>
      <c r="BI58" s="127"/>
      <c r="BJ58" s="127">
        <v>21.25</v>
      </c>
      <c r="BK58" s="127"/>
      <c r="BL58" s="127">
        <v>17.25</v>
      </c>
      <c r="BM58" s="127"/>
      <c r="BN58" s="127"/>
      <c r="BO58" s="127"/>
      <c r="BP58" s="120"/>
      <c r="BQ58" s="120"/>
      <c r="BR58" s="120"/>
      <c r="BS58" s="120">
        <v>13.75</v>
      </c>
      <c r="BT58" s="120"/>
      <c r="BU58" s="120"/>
      <c r="BV58" s="120"/>
      <c r="BW58" s="120"/>
      <c r="BX58" s="120"/>
      <c r="BY58" s="120"/>
      <c r="BZ58" s="120"/>
      <c r="CA58" s="120">
        <v>19.0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>
      <c r="A59" s="98"/>
      <c r="B59" s="159">
        <v>51.0</v>
      </c>
      <c r="C59" s="140" t="s">
        <v>88</v>
      </c>
      <c r="D59" s="141">
        <v>50.0</v>
      </c>
      <c r="E59" s="142">
        <v>182.0</v>
      </c>
      <c r="F59" s="143">
        <v>18.2</v>
      </c>
      <c r="G59" s="144">
        <v>2.49</v>
      </c>
      <c r="H59" s="143">
        <v>57.5</v>
      </c>
      <c r="I59" s="145">
        <v>123.5</v>
      </c>
      <c r="J59" s="146">
        <v>0.0</v>
      </c>
      <c r="K59" s="147">
        <v>1.0</v>
      </c>
      <c r="L59" s="148">
        <v>2.0</v>
      </c>
      <c r="M59" s="149">
        <v>23.0</v>
      </c>
      <c r="N59" s="149">
        <v>5.0</v>
      </c>
      <c r="O59" s="150">
        <v>6.0</v>
      </c>
      <c r="P59" s="151"/>
      <c r="Q59" s="152"/>
      <c r="R59" s="152"/>
      <c r="S59" s="153"/>
      <c r="T59" s="154"/>
      <c r="U59" s="155"/>
      <c r="V59" s="155"/>
      <c r="W59" s="155"/>
      <c r="X59" s="155"/>
      <c r="Y59" s="155"/>
      <c r="Z59" s="156"/>
      <c r="AA59" s="156">
        <v>12.0</v>
      </c>
      <c r="AB59" s="155">
        <v>25.0</v>
      </c>
      <c r="AC59" s="155">
        <v>17.25</v>
      </c>
      <c r="AD59" s="155">
        <v>19.75</v>
      </c>
      <c r="AE59" s="155">
        <v>27.75</v>
      </c>
      <c r="AF59" s="155"/>
      <c r="AG59" s="155"/>
      <c r="AH59" s="155"/>
      <c r="AI59" s="155"/>
      <c r="AJ59" s="155"/>
      <c r="AK59" s="156"/>
      <c r="AL59" s="156"/>
      <c r="AM59" s="155"/>
      <c r="AN59" s="155"/>
      <c r="AO59" s="155"/>
      <c r="AP59" s="155"/>
      <c r="AQ59" s="155"/>
      <c r="AR59" s="155"/>
      <c r="AS59" s="155"/>
      <c r="AT59" s="155"/>
      <c r="AU59" s="156"/>
      <c r="AV59" s="156"/>
      <c r="AW59" s="155"/>
      <c r="AX59" s="155"/>
      <c r="AY59" s="155"/>
      <c r="AZ59" s="157">
        <v>14.25</v>
      </c>
      <c r="BA59" s="157">
        <v>16.5</v>
      </c>
      <c r="BB59" s="157">
        <v>16.5</v>
      </c>
      <c r="BC59" s="157">
        <v>14.0</v>
      </c>
      <c r="BD59" s="157">
        <v>19.0</v>
      </c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>
      <c r="A60" s="98"/>
      <c r="B60" s="159">
        <v>52.0</v>
      </c>
      <c r="C60" s="122" t="s">
        <v>117</v>
      </c>
      <c r="D60" s="123">
        <v>50.0</v>
      </c>
      <c r="E60" s="124">
        <v>181.75</v>
      </c>
      <c r="F60" s="125">
        <v>18.174999999999997</v>
      </c>
      <c r="G60" s="126">
        <v>2.635</v>
      </c>
      <c r="H60" s="125">
        <v>50.0</v>
      </c>
      <c r="I60" s="127">
        <v>127.75</v>
      </c>
      <c r="J60" s="128">
        <v>0.5</v>
      </c>
      <c r="K60" s="129">
        <v>3.5</v>
      </c>
      <c r="L60" s="130">
        <v>7.0</v>
      </c>
      <c r="M60" s="131">
        <v>20.0</v>
      </c>
      <c r="N60" s="131">
        <v>5.0</v>
      </c>
      <c r="O60" s="132">
        <v>2.0</v>
      </c>
      <c r="P60" s="133"/>
      <c r="Q60" s="134"/>
      <c r="R60" s="134"/>
      <c r="S60" s="135"/>
      <c r="T60" s="136"/>
      <c r="U60" s="137"/>
      <c r="V60" s="137">
        <v>14.5</v>
      </c>
      <c r="W60" s="137"/>
      <c r="X60" s="138"/>
      <c r="Y60" s="137"/>
      <c r="Z60" s="137"/>
      <c r="AA60" s="137"/>
      <c r="AB60" s="137">
        <v>20.5</v>
      </c>
      <c r="AC60" s="138"/>
      <c r="AD60" s="137"/>
      <c r="AE60" s="137"/>
      <c r="AF60" s="137"/>
      <c r="AG60" s="137"/>
      <c r="AH60" s="138"/>
      <c r="AI60" s="137"/>
      <c r="AJ60" s="137"/>
      <c r="AK60" s="137"/>
      <c r="AL60" s="137"/>
      <c r="AM60" s="137">
        <v>21.0</v>
      </c>
      <c r="AN60" s="138"/>
      <c r="AO60" s="137"/>
      <c r="AP60" s="137"/>
      <c r="AQ60" s="137"/>
      <c r="AR60" s="138"/>
      <c r="AS60" s="137"/>
      <c r="AT60" s="137"/>
      <c r="AU60" s="137"/>
      <c r="AV60" s="137"/>
      <c r="AW60" s="137"/>
      <c r="AX60" s="137"/>
      <c r="AY60" s="137"/>
      <c r="AZ60" s="139"/>
      <c r="BA60" s="139"/>
      <c r="BB60" s="139"/>
      <c r="BC60" s="139"/>
      <c r="BD60" s="139"/>
      <c r="BE60" s="127">
        <v>17.0</v>
      </c>
      <c r="BF60" s="127">
        <v>16.75</v>
      </c>
      <c r="BG60" s="127"/>
      <c r="BH60" s="127"/>
      <c r="BI60" s="127"/>
      <c r="BJ60" s="127"/>
      <c r="BK60" s="127">
        <v>18.75</v>
      </c>
      <c r="BL60" s="127">
        <v>14.75</v>
      </c>
      <c r="BM60" s="127"/>
      <c r="BN60" s="127"/>
      <c r="BO60" s="127"/>
      <c r="BP60" s="120"/>
      <c r="BQ60" s="120"/>
      <c r="BR60" s="120"/>
      <c r="BS60" s="120">
        <v>14.5</v>
      </c>
      <c r="BT60" s="120"/>
      <c r="BU60" s="120"/>
      <c r="BV60" s="120">
        <v>27.25</v>
      </c>
      <c r="BW60" s="120"/>
      <c r="BX60" s="120"/>
      <c r="BY60" s="120"/>
      <c r="BZ60" s="120"/>
      <c r="CA60" s="120">
        <v>16.75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>
      <c r="A61" s="98"/>
      <c r="B61" s="159">
        <v>53.0</v>
      </c>
      <c r="C61" s="140" t="s">
        <v>137</v>
      </c>
      <c r="D61" s="141">
        <v>50.0</v>
      </c>
      <c r="E61" s="142">
        <v>180.75</v>
      </c>
      <c r="F61" s="143">
        <v>18.075000000000003</v>
      </c>
      <c r="G61" s="144">
        <v>2.615</v>
      </c>
      <c r="H61" s="143">
        <v>50.0</v>
      </c>
      <c r="I61" s="145">
        <v>129.75</v>
      </c>
      <c r="J61" s="146">
        <v>0.0</v>
      </c>
      <c r="K61" s="147">
        <v>1.0</v>
      </c>
      <c r="L61" s="148">
        <v>2.0</v>
      </c>
      <c r="M61" s="149">
        <v>20.0</v>
      </c>
      <c r="N61" s="149">
        <v>2.0</v>
      </c>
      <c r="O61" s="150">
        <v>3.0</v>
      </c>
      <c r="P61" s="151"/>
      <c r="Q61" s="152"/>
      <c r="R61" s="152"/>
      <c r="S61" s="153"/>
      <c r="T61" s="154"/>
      <c r="U61" s="155">
        <v>16.0</v>
      </c>
      <c r="V61" s="155">
        <v>17.5</v>
      </c>
      <c r="W61" s="155"/>
      <c r="X61" s="155"/>
      <c r="Y61" s="155"/>
      <c r="Z61" s="156"/>
      <c r="AA61" s="156"/>
      <c r="AB61" s="155"/>
      <c r="AC61" s="155"/>
      <c r="AD61" s="155"/>
      <c r="AE61" s="155"/>
      <c r="AF61" s="155"/>
      <c r="AG61" s="155"/>
      <c r="AH61" s="155"/>
      <c r="AI61" s="155"/>
      <c r="AJ61" s="155">
        <v>14.0</v>
      </c>
      <c r="AK61" s="156"/>
      <c r="AL61" s="156"/>
      <c r="AM61" s="155"/>
      <c r="AN61" s="155"/>
      <c r="AO61" s="155">
        <v>20.25</v>
      </c>
      <c r="AP61" s="155"/>
      <c r="AQ61" s="155"/>
      <c r="AR61" s="155"/>
      <c r="AS61" s="155"/>
      <c r="AT61" s="155">
        <v>13.25</v>
      </c>
      <c r="AU61" s="156"/>
      <c r="AV61" s="156"/>
      <c r="AW61" s="155"/>
      <c r="AX61" s="155">
        <v>18.5</v>
      </c>
      <c r="AY61" s="155">
        <v>25.75</v>
      </c>
      <c r="AZ61" s="157"/>
      <c r="BA61" s="157"/>
      <c r="BB61" s="157"/>
      <c r="BC61" s="157"/>
      <c r="BD61" s="157"/>
      <c r="BE61" s="145"/>
      <c r="BF61" s="145">
        <v>20.0</v>
      </c>
      <c r="BG61" s="145"/>
      <c r="BH61" s="145"/>
      <c r="BI61" s="145"/>
      <c r="BJ61" s="145"/>
      <c r="BK61" s="145"/>
      <c r="BL61" s="145">
        <v>18.0</v>
      </c>
      <c r="BM61" s="145"/>
      <c r="BN61" s="145"/>
      <c r="BO61" s="145"/>
      <c r="BP61" s="120"/>
      <c r="BQ61" s="120">
        <v>17.5</v>
      </c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>
      <c r="A62" s="98"/>
      <c r="B62" s="159">
        <v>54.0</v>
      </c>
      <c r="C62" s="122" t="s">
        <v>127</v>
      </c>
      <c r="D62" s="123">
        <v>50.0</v>
      </c>
      <c r="E62" s="124">
        <v>178.0</v>
      </c>
      <c r="F62" s="125">
        <v>17.8</v>
      </c>
      <c r="G62" s="126">
        <v>2.46</v>
      </c>
      <c r="H62" s="125">
        <v>55.0</v>
      </c>
      <c r="I62" s="127">
        <v>120.0</v>
      </c>
      <c r="J62" s="128">
        <v>0.5</v>
      </c>
      <c r="K62" s="129">
        <v>2.5</v>
      </c>
      <c r="L62" s="130">
        <v>4.0</v>
      </c>
      <c r="M62" s="131">
        <v>22.0</v>
      </c>
      <c r="N62" s="131">
        <v>1.0</v>
      </c>
      <c r="O62" s="132">
        <v>7.0</v>
      </c>
      <c r="P62" s="133"/>
      <c r="Q62" s="134"/>
      <c r="R62" s="134"/>
      <c r="S62" s="135"/>
      <c r="T62" s="136"/>
      <c r="U62" s="137">
        <v>21.0</v>
      </c>
      <c r="V62" s="137"/>
      <c r="W62" s="137"/>
      <c r="X62" s="138"/>
      <c r="Y62" s="137"/>
      <c r="Z62" s="137"/>
      <c r="AA62" s="137"/>
      <c r="AB62" s="137">
        <v>18.75</v>
      </c>
      <c r="AC62" s="138"/>
      <c r="AD62" s="137"/>
      <c r="AE62" s="137"/>
      <c r="AF62" s="137"/>
      <c r="AG62" s="137"/>
      <c r="AH62" s="138"/>
      <c r="AI62" s="137"/>
      <c r="AJ62" s="137"/>
      <c r="AK62" s="137"/>
      <c r="AL62" s="137"/>
      <c r="AM62" s="137">
        <v>20.0</v>
      </c>
      <c r="AN62" s="138"/>
      <c r="AO62" s="137"/>
      <c r="AP62" s="137"/>
      <c r="AQ62" s="137"/>
      <c r="AR62" s="138"/>
      <c r="AS62" s="137"/>
      <c r="AT62" s="137">
        <v>22.5</v>
      </c>
      <c r="AU62" s="137"/>
      <c r="AV62" s="137"/>
      <c r="AW62" s="137"/>
      <c r="AX62" s="137"/>
      <c r="AY62" s="137"/>
      <c r="AZ62" s="139"/>
      <c r="BA62" s="139"/>
      <c r="BB62" s="139">
        <v>19.25</v>
      </c>
      <c r="BC62" s="139"/>
      <c r="BD62" s="139">
        <v>7.75</v>
      </c>
      <c r="BE62" s="127">
        <v>12.5</v>
      </c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0"/>
      <c r="BQ62" s="120"/>
      <c r="BR62" s="120"/>
      <c r="BS62" s="120">
        <v>18.75</v>
      </c>
      <c r="BT62" s="120"/>
      <c r="BU62" s="120"/>
      <c r="BV62" s="120"/>
      <c r="BW62" s="120"/>
      <c r="BX62" s="120">
        <v>14.75</v>
      </c>
      <c r="BY62" s="120"/>
      <c r="BZ62" s="120">
        <v>22.75</v>
      </c>
      <c r="CA62" s="120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>
      <c r="A63" s="98"/>
      <c r="B63" s="159">
        <v>55.0</v>
      </c>
      <c r="C63" s="140" t="s">
        <v>134</v>
      </c>
      <c r="D63" s="141">
        <v>50.0</v>
      </c>
      <c r="E63" s="142">
        <v>174.75</v>
      </c>
      <c r="F63" s="143">
        <v>17.475</v>
      </c>
      <c r="G63" s="144">
        <v>2.445</v>
      </c>
      <c r="H63" s="143">
        <v>52.5</v>
      </c>
      <c r="I63" s="145">
        <v>121.75</v>
      </c>
      <c r="J63" s="146">
        <v>0.0</v>
      </c>
      <c r="K63" s="147">
        <v>0.5</v>
      </c>
      <c r="L63" s="148">
        <v>1.0</v>
      </c>
      <c r="M63" s="149">
        <v>21.0</v>
      </c>
      <c r="N63" s="149">
        <v>7.0</v>
      </c>
      <c r="O63" s="150">
        <v>7.0</v>
      </c>
      <c r="P63" s="151"/>
      <c r="Q63" s="152"/>
      <c r="R63" s="152"/>
      <c r="S63" s="153"/>
      <c r="T63" s="154"/>
      <c r="U63" s="155"/>
      <c r="V63" s="155"/>
      <c r="W63" s="155"/>
      <c r="X63" s="155"/>
      <c r="Y63" s="155"/>
      <c r="Z63" s="156"/>
      <c r="AA63" s="156"/>
      <c r="AB63" s="155"/>
      <c r="AC63" s="155"/>
      <c r="AD63" s="155"/>
      <c r="AE63" s="155">
        <v>18.75</v>
      </c>
      <c r="AF63" s="155"/>
      <c r="AG63" s="155"/>
      <c r="AH63" s="155"/>
      <c r="AI63" s="155"/>
      <c r="AJ63" s="155"/>
      <c r="AK63" s="156"/>
      <c r="AL63" s="156">
        <v>18.25</v>
      </c>
      <c r="AM63" s="155"/>
      <c r="AN63" s="155"/>
      <c r="AO63" s="155"/>
      <c r="AP63" s="155"/>
      <c r="AQ63" s="155"/>
      <c r="AR63" s="155"/>
      <c r="AS63" s="155"/>
      <c r="AT63" s="155">
        <v>9.25</v>
      </c>
      <c r="AU63" s="156"/>
      <c r="AV63" s="156"/>
      <c r="AW63" s="155"/>
      <c r="AX63" s="155"/>
      <c r="AY63" s="155"/>
      <c r="AZ63" s="157"/>
      <c r="BA63" s="157"/>
      <c r="BB63" s="157"/>
      <c r="BC63" s="157"/>
      <c r="BD63" s="157"/>
      <c r="BE63" s="145"/>
      <c r="BF63" s="145"/>
      <c r="BG63" s="145"/>
      <c r="BH63" s="145">
        <v>15.75</v>
      </c>
      <c r="BI63" s="145"/>
      <c r="BJ63" s="145"/>
      <c r="BK63" s="145"/>
      <c r="BL63" s="145"/>
      <c r="BM63" s="145"/>
      <c r="BN63" s="145">
        <v>24.0</v>
      </c>
      <c r="BO63" s="145"/>
      <c r="BP63" s="120"/>
      <c r="BQ63" s="120">
        <v>19.25</v>
      </c>
      <c r="BR63" s="120"/>
      <c r="BS63" s="120"/>
      <c r="BT63" s="120"/>
      <c r="BU63" s="120"/>
      <c r="BV63" s="120">
        <v>16.0</v>
      </c>
      <c r="BW63" s="120"/>
      <c r="BX63" s="120"/>
      <c r="BY63" s="120">
        <v>13.0</v>
      </c>
      <c r="BZ63" s="120">
        <v>21.5</v>
      </c>
      <c r="CA63" s="120">
        <v>19.0</v>
      </c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>
      <c r="A64" s="98"/>
      <c r="B64" s="159">
        <v>56.0</v>
      </c>
      <c r="C64" s="122" t="s">
        <v>125</v>
      </c>
      <c r="D64" s="123">
        <v>50.0</v>
      </c>
      <c r="E64" s="124">
        <v>174.0</v>
      </c>
      <c r="F64" s="125">
        <v>17.4</v>
      </c>
      <c r="G64" s="126">
        <v>2.43</v>
      </c>
      <c r="H64" s="125">
        <v>52.5</v>
      </c>
      <c r="I64" s="127">
        <v>119.0</v>
      </c>
      <c r="J64" s="128">
        <v>1.0</v>
      </c>
      <c r="K64" s="129">
        <v>1.5</v>
      </c>
      <c r="L64" s="130">
        <v>3.0</v>
      </c>
      <c r="M64" s="131">
        <v>21.0</v>
      </c>
      <c r="N64" s="131">
        <v>2.0</v>
      </c>
      <c r="O64" s="132">
        <v>4.0</v>
      </c>
      <c r="P64" s="133"/>
      <c r="Q64" s="134"/>
      <c r="R64" s="134"/>
      <c r="S64" s="135"/>
      <c r="T64" s="136"/>
      <c r="U64" s="137"/>
      <c r="V64" s="137"/>
      <c r="W64" s="137"/>
      <c r="X64" s="138"/>
      <c r="Y64" s="137"/>
      <c r="Z64" s="137"/>
      <c r="AA64" s="137"/>
      <c r="AB64" s="137"/>
      <c r="AC64" s="138">
        <v>20.75</v>
      </c>
      <c r="AD64" s="137"/>
      <c r="AE64" s="137">
        <v>11.0</v>
      </c>
      <c r="AF64" s="137">
        <v>15.0</v>
      </c>
      <c r="AG64" s="137">
        <v>18.25</v>
      </c>
      <c r="AH64" s="138">
        <v>17.5</v>
      </c>
      <c r="AI64" s="137">
        <v>18.75</v>
      </c>
      <c r="AJ64" s="137"/>
      <c r="AK64" s="137"/>
      <c r="AL64" s="137"/>
      <c r="AM64" s="137">
        <v>15.0</v>
      </c>
      <c r="AN64" s="138"/>
      <c r="AO64" s="137"/>
      <c r="AP64" s="137"/>
      <c r="AQ64" s="137"/>
      <c r="AR64" s="138"/>
      <c r="AS64" s="137"/>
      <c r="AT64" s="137"/>
      <c r="AU64" s="137"/>
      <c r="AV64" s="137"/>
      <c r="AW64" s="137">
        <v>23.5</v>
      </c>
      <c r="AX64" s="137">
        <v>15.25</v>
      </c>
      <c r="AY64" s="137">
        <v>19.0</v>
      </c>
      <c r="AZ64" s="139"/>
      <c r="BA64" s="139"/>
      <c r="BB64" s="139"/>
      <c r="BC64" s="139"/>
      <c r="BD64" s="139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>
      <c r="A65" s="98"/>
      <c r="B65" s="159">
        <v>57.0</v>
      </c>
      <c r="C65" s="140" t="s">
        <v>126</v>
      </c>
      <c r="D65" s="141">
        <v>50.0</v>
      </c>
      <c r="E65" s="142">
        <v>173.75</v>
      </c>
      <c r="F65" s="143">
        <v>17.375</v>
      </c>
      <c r="G65" s="144">
        <v>2.575</v>
      </c>
      <c r="H65" s="143">
        <v>45.0</v>
      </c>
      <c r="I65" s="145">
        <v>128.25</v>
      </c>
      <c r="J65" s="146">
        <v>0.0</v>
      </c>
      <c r="K65" s="147">
        <v>0.5</v>
      </c>
      <c r="L65" s="148">
        <v>1.0</v>
      </c>
      <c r="M65" s="149">
        <v>18.0</v>
      </c>
      <c r="N65" s="149">
        <v>4.0</v>
      </c>
      <c r="O65" s="150">
        <v>6.0</v>
      </c>
      <c r="P65" s="151"/>
      <c r="Q65" s="152"/>
      <c r="R65" s="152"/>
      <c r="S65" s="153"/>
      <c r="T65" s="154"/>
      <c r="U65" s="155"/>
      <c r="V65" s="155">
        <v>18.5</v>
      </c>
      <c r="W65" s="155"/>
      <c r="X65" s="155"/>
      <c r="Y65" s="155"/>
      <c r="Z65" s="156"/>
      <c r="AA65" s="156"/>
      <c r="AB65" s="155">
        <v>20.5</v>
      </c>
      <c r="AC65" s="155"/>
      <c r="AD65" s="155"/>
      <c r="AE65" s="155">
        <v>18.0</v>
      </c>
      <c r="AF65" s="155"/>
      <c r="AG65" s="155"/>
      <c r="AH65" s="155"/>
      <c r="AI65" s="155"/>
      <c r="AJ65" s="155"/>
      <c r="AK65" s="156">
        <v>10.5</v>
      </c>
      <c r="AL65" s="156"/>
      <c r="AM65" s="155"/>
      <c r="AN65" s="155"/>
      <c r="AO65" s="155"/>
      <c r="AP65" s="155"/>
      <c r="AQ65" s="155"/>
      <c r="AR65" s="155"/>
      <c r="AS65" s="155">
        <v>17.0</v>
      </c>
      <c r="AT65" s="155"/>
      <c r="AU65" s="156"/>
      <c r="AV65" s="156"/>
      <c r="AW65" s="155">
        <v>15.75</v>
      </c>
      <c r="AX65" s="155"/>
      <c r="AY65" s="155">
        <v>20.0</v>
      </c>
      <c r="AZ65" s="157"/>
      <c r="BA65" s="157"/>
      <c r="BB65" s="157"/>
      <c r="BC65" s="157"/>
      <c r="BD65" s="157"/>
      <c r="BE65" s="145"/>
      <c r="BF65" s="145"/>
      <c r="BG65" s="145"/>
      <c r="BH65" s="145">
        <v>15.25</v>
      </c>
      <c r="BI65" s="145"/>
      <c r="BJ65" s="145"/>
      <c r="BK65" s="145"/>
      <c r="BL65" s="145"/>
      <c r="BM65" s="145"/>
      <c r="BN65" s="145"/>
      <c r="BO65" s="145"/>
      <c r="BP65" s="120">
        <v>16.5</v>
      </c>
      <c r="BQ65" s="120"/>
      <c r="BR65" s="120"/>
      <c r="BS65" s="120"/>
      <c r="BT65" s="120"/>
      <c r="BU65" s="120"/>
      <c r="BV65" s="120"/>
      <c r="BW65" s="120"/>
      <c r="BX65" s="120"/>
      <c r="BY65" s="120">
        <v>21.75</v>
      </c>
      <c r="BZ65" s="120"/>
      <c r="CA65" s="120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>
      <c r="A66" s="98"/>
      <c r="B66" s="159">
        <v>58.0</v>
      </c>
      <c r="C66" s="122" t="s">
        <v>129</v>
      </c>
      <c r="D66" s="123">
        <v>50.0</v>
      </c>
      <c r="E66" s="124">
        <v>173.5</v>
      </c>
      <c r="F66" s="125">
        <v>17.35</v>
      </c>
      <c r="G66" s="126">
        <v>2.57</v>
      </c>
      <c r="H66" s="125">
        <v>45.0</v>
      </c>
      <c r="I66" s="127">
        <v>127.5</v>
      </c>
      <c r="J66" s="128">
        <v>0.0</v>
      </c>
      <c r="K66" s="129">
        <v>1.0</v>
      </c>
      <c r="L66" s="130">
        <v>2.0</v>
      </c>
      <c r="M66" s="131">
        <v>18.0</v>
      </c>
      <c r="N66" s="131">
        <v>3.0</v>
      </c>
      <c r="O66" s="132">
        <v>7.0</v>
      </c>
      <c r="P66" s="133"/>
      <c r="Q66" s="134"/>
      <c r="R66" s="134"/>
      <c r="S66" s="135"/>
      <c r="T66" s="136"/>
      <c r="U66" s="137"/>
      <c r="V66" s="137"/>
      <c r="W66" s="137"/>
      <c r="X66" s="138"/>
      <c r="Y66" s="137"/>
      <c r="Z66" s="137"/>
      <c r="AA66" s="137"/>
      <c r="AB66" s="137">
        <v>25.25</v>
      </c>
      <c r="AC66" s="138">
        <v>18.5</v>
      </c>
      <c r="AD66" s="137"/>
      <c r="AE66" s="137"/>
      <c r="AF66" s="137">
        <v>14.0</v>
      </c>
      <c r="AG66" s="137"/>
      <c r="AH66" s="138"/>
      <c r="AI66" s="137"/>
      <c r="AJ66" s="137"/>
      <c r="AK66" s="137"/>
      <c r="AL66" s="137"/>
      <c r="AM66" s="137"/>
      <c r="AN66" s="138"/>
      <c r="AO66" s="137"/>
      <c r="AP66" s="137"/>
      <c r="AQ66" s="137"/>
      <c r="AR66" s="138"/>
      <c r="AS66" s="137"/>
      <c r="AT66" s="137">
        <v>19.5</v>
      </c>
      <c r="AU66" s="137"/>
      <c r="AV66" s="137">
        <v>17.25</v>
      </c>
      <c r="AW66" s="137"/>
      <c r="AX66" s="137"/>
      <c r="AY66" s="137"/>
      <c r="AZ66" s="139"/>
      <c r="BA66" s="139"/>
      <c r="BB66" s="139"/>
      <c r="BC66" s="139"/>
      <c r="BD66" s="139"/>
      <c r="BE66" s="127"/>
      <c r="BF66" s="127"/>
      <c r="BG66" s="127"/>
      <c r="BH66" s="127"/>
      <c r="BI66" s="127"/>
      <c r="BJ66" s="127">
        <v>13.75</v>
      </c>
      <c r="BK66" s="127">
        <v>18.75</v>
      </c>
      <c r="BL66" s="127"/>
      <c r="BM66" s="127"/>
      <c r="BN66" s="127"/>
      <c r="BO66" s="127"/>
      <c r="BP66" s="120">
        <v>10.0</v>
      </c>
      <c r="BQ66" s="120"/>
      <c r="BR66" s="120"/>
      <c r="BS66" s="120"/>
      <c r="BT66" s="120"/>
      <c r="BU66" s="120"/>
      <c r="BV66" s="120"/>
      <c r="BW66" s="120">
        <v>23.0</v>
      </c>
      <c r="BX66" s="120">
        <v>13.5</v>
      </c>
      <c r="BY66" s="120"/>
      <c r="BZ66" s="120"/>
      <c r="CA66" s="120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>
      <c r="A67" s="98"/>
      <c r="B67" s="159">
        <v>59.0</v>
      </c>
      <c r="C67" s="140" t="s">
        <v>95</v>
      </c>
      <c r="D67" s="141">
        <v>45.0</v>
      </c>
      <c r="E67" s="142">
        <v>168.0</v>
      </c>
      <c r="F67" s="143">
        <v>18.666666666666668</v>
      </c>
      <c r="G67" s="144">
        <v>2.7888888888888888</v>
      </c>
      <c r="H67" s="143">
        <v>42.5</v>
      </c>
      <c r="I67" s="145">
        <v>122.5</v>
      </c>
      <c r="J67" s="146">
        <v>1.0</v>
      </c>
      <c r="K67" s="147">
        <v>2.0</v>
      </c>
      <c r="L67" s="148">
        <v>4.0</v>
      </c>
      <c r="M67" s="149">
        <v>17.0</v>
      </c>
      <c r="N67" s="149">
        <v>2.0</v>
      </c>
      <c r="O67" s="150">
        <v>9.0</v>
      </c>
      <c r="P67" s="151"/>
      <c r="Q67" s="152"/>
      <c r="R67" s="152"/>
      <c r="S67" s="153"/>
      <c r="T67" s="154"/>
      <c r="U67" s="155"/>
      <c r="V67" s="155">
        <v>15.5</v>
      </c>
      <c r="W67" s="155"/>
      <c r="X67" s="155">
        <v>16.75</v>
      </c>
      <c r="Y67" s="155"/>
      <c r="Z67" s="156"/>
      <c r="AA67" s="156"/>
      <c r="AB67" s="155"/>
      <c r="AC67" s="155"/>
      <c r="AD67" s="155">
        <v>14.0</v>
      </c>
      <c r="AE67" s="155"/>
      <c r="AF67" s="155"/>
      <c r="AG67" s="155"/>
      <c r="AH67" s="155"/>
      <c r="AI67" s="155"/>
      <c r="AJ67" s="155"/>
      <c r="AK67" s="156">
        <v>17.5</v>
      </c>
      <c r="AL67" s="156"/>
      <c r="AM67" s="155"/>
      <c r="AN67" s="155"/>
      <c r="AO67" s="155"/>
      <c r="AP67" s="155"/>
      <c r="AQ67" s="155"/>
      <c r="AR67" s="155"/>
      <c r="AS67" s="155">
        <v>25.0</v>
      </c>
      <c r="AT67" s="155"/>
      <c r="AU67" s="156"/>
      <c r="AV67" s="156"/>
      <c r="AW67" s="155"/>
      <c r="AX67" s="155"/>
      <c r="AY67" s="155"/>
      <c r="AZ67" s="157"/>
      <c r="BA67" s="157"/>
      <c r="BB67" s="157"/>
      <c r="BC67" s="157"/>
      <c r="BD67" s="157">
        <v>18.75</v>
      </c>
      <c r="BE67" s="145"/>
      <c r="BF67" s="145"/>
      <c r="BG67" s="145"/>
      <c r="BH67" s="145">
        <v>28.25</v>
      </c>
      <c r="BI67" s="145"/>
      <c r="BJ67" s="145"/>
      <c r="BK67" s="145"/>
      <c r="BL67" s="145"/>
      <c r="BM67" s="145">
        <v>16.75</v>
      </c>
      <c r="BN67" s="145"/>
      <c r="BO67" s="145"/>
      <c r="BP67" s="120"/>
      <c r="BQ67" s="120"/>
      <c r="BR67" s="120"/>
      <c r="BS67" s="120"/>
      <c r="BT67" s="120"/>
      <c r="BU67" s="120"/>
      <c r="BV67" s="120"/>
      <c r="BW67" s="120"/>
      <c r="BX67" s="120">
        <v>15.5</v>
      </c>
      <c r="BY67" s="120"/>
      <c r="BZ67" s="120"/>
      <c r="CA67" s="120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>
      <c r="A68" s="98"/>
      <c r="B68" s="160">
        <v>60.0</v>
      </c>
      <c r="C68" s="161" t="s">
        <v>85</v>
      </c>
      <c r="D68" s="162">
        <v>50.0</v>
      </c>
      <c r="E68" s="163">
        <v>162.5</v>
      </c>
      <c r="F68" s="164">
        <v>16.25</v>
      </c>
      <c r="G68" s="165">
        <v>2.5</v>
      </c>
      <c r="H68" s="164">
        <v>37.5</v>
      </c>
      <c r="I68" s="166">
        <v>122.5</v>
      </c>
      <c r="J68" s="167">
        <v>1.0</v>
      </c>
      <c r="K68" s="168">
        <v>1.5</v>
      </c>
      <c r="L68" s="169">
        <v>3.0</v>
      </c>
      <c r="M68" s="170">
        <v>15.0</v>
      </c>
      <c r="N68" s="170">
        <v>4.0</v>
      </c>
      <c r="O68" s="171">
        <v>6.0</v>
      </c>
      <c r="P68" s="172"/>
      <c r="Q68" s="173"/>
      <c r="R68" s="173"/>
      <c r="S68" s="174"/>
      <c r="T68" s="175"/>
      <c r="U68" s="176">
        <v>14.25</v>
      </c>
      <c r="V68" s="176"/>
      <c r="W68" s="177">
        <v>16.5</v>
      </c>
      <c r="X68" s="176"/>
      <c r="Y68" s="177">
        <v>15.75</v>
      </c>
      <c r="Z68" s="177"/>
      <c r="AA68" s="177"/>
      <c r="AB68" s="177"/>
      <c r="AC68" s="177">
        <v>15.75</v>
      </c>
      <c r="AD68" s="177"/>
      <c r="AE68" s="177"/>
      <c r="AF68" s="177"/>
      <c r="AG68" s="176"/>
      <c r="AH68" s="177"/>
      <c r="AI68" s="177"/>
      <c r="AJ68" s="177"/>
      <c r="AK68" s="177"/>
      <c r="AL68" s="177"/>
      <c r="AM68" s="177"/>
      <c r="AN68" s="176"/>
      <c r="AO68" s="177">
        <v>14.25</v>
      </c>
      <c r="AP68" s="177"/>
      <c r="AQ68" s="177"/>
      <c r="AR68" s="177"/>
      <c r="AS68" s="177"/>
      <c r="AT68" s="177"/>
      <c r="AU68" s="177">
        <v>19.25</v>
      </c>
      <c r="AV68" s="177"/>
      <c r="AW68" s="177"/>
      <c r="AX68" s="177"/>
      <c r="AY68" s="177"/>
      <c r="AZ68" s="178"/>
      <c r="BA68" s="178"/>
      <c r="BB68" s="178"/>
      <c r="BC68" s="178">
        <v>23.25</v>
      </c>
      <c r="BD68" s="178"/>
      <c r="BE68" s="179"/>
      <c r="BF68" s="179"/>
      <c r="BG68" s="179">
        <v>13.75</v>
      </c>
      <c r="BH68" s="179"/>
      <c r="BI68" s="179"/>
      <c r="BJ68" s="179"/>
      <c r="BK68" s="179"/>
      <c r="BL68" s="179"/>
      <c r="BM68" s="179"/>
      <c r="BN68" s="179"/>
      <c r="BO68" s="179"/>
      <c r="BP68" s="120"/>
      <c r="BQ68" s="120"/>
      <c r="BR68" s="120"/>
      <c r="BS68" s="120"/>
      <c r="BT68" s="120"/>
      <c r="BU68" s="120"/>
      <c r="BV68" s="120"/>
      <c r="BW68" s="120"/>
      <c r="BX68" s="120">
        <v>14.0</v>
      </c>
      <c r="BY68" s="120"/>
      <c r="BZ68" s="120">
        <v>15.75</v>
      </c>
      <c r="CA68" s="120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>
      <c r="A69" s="8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4"/>
      <c r="Q69" s="64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4"/>
      <c r="BF69" s="66"/>
      <c r="BG69" s="66"/>
      <c r="BH69" s="66"/>
      <c r="BI69" s="66"/>
      <c r="BJ69" s="66"/>
      <c r="BK69" s="66"/>
      <c r="BL69" s="180"/>
      <c r="BM69" s="66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>
      <c r="A70" s="87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87"/>
      <c r="Q70" s="87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87"/>
      <c r="BF70" s="74"/>
      <c r="BG70" s="74"/>
      <c r="BH70" s="74"/>
      <c r="BI70" s="74"/>
      <c r="BJ70" s="74"/>
      <c r="BK70" s="74"/>
      <c r="BL70" s="181"/>
      <c r="BM70" s="66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>
      <c r="A71" s="87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87"/>
      <c r="Q71" s="87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182"/>
      <c r="BF71" s="70"/>
      <c r="BG71" s="70"/>
      <c r="BH71" s="70"/>
      <c r="BI71" s="70"/>
      <c r="BJ71" s="70"/>
      <c r="BK71" s="70"/>
      <c r="BL71" s="183"/>
      <c r="BM71" s="66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>
      <c r="A72" s="184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</row>
    <row r="73">
      <c r="A73" s="184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</row>
    <row r="74">
      <c r="A74" s="184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</row>
    <row r="75">
      <c r="A75" s="184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</row>
    <row r="76">
      <c r="A76" s="184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</row>
    <row r="77">
      <c r="A77" s="184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</row>
    <row r="78">
      <c r="A78" s="184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</row>
    <row r="79">
      <c r="A79" s="184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</row>
    <row r="80">
      <c r="A80" s="184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</row>
    <row r="81">
      <c r="A81" s="184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</row>
    <row r="82">
      <c r="A82" s="184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</row>
    <row r="83">
      <c r="A83" s="184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</row>
    <row r="84">
      <c r="A84" s="184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</row>
    <row r="85">
      <c r="A85" s="184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</row>
    <row r="86">
      <c r="A86" s="184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</row>
    <row r="87">
      <c r="A87" s="184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</row>
    <row r="88">
      <c r="A88" s="184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</row>
    <row r="89">
      <c r="A89" s="184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</row>
    <row r="90">
      <c r="A90" s="184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</row>
    <row r="91">
      <c r="A91" s="184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</row>
    <row r="92">
      <c r="A92" s="184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</row>
    <row r="93">
      <c r="A93" s="184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</row>
    <row r="94">
      <c r="A94" s="184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</row>
    <row r="95">
      <c r="A95" s="184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</row>
    <row r="96">
      <c r="A96" s="184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</row>
    <row r="97">
      <c r="A97" s="184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</row>
    <row r="98">
      <c r="A98" s="184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</row>
    <row r="99">
      <c r="A99" s="184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</row>
    <row r="100">
      <c r="A100" s="184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</row>
    <row r="101">
      <c r="A101" s="184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</row>
    <row r="102">
      <c r="A102" s="184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</row>
    <row r="103">
      <c r="A103" s="184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</row>
    <row r="104">
      <c r="A104" s="184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</row>
    <row r="105">
      <c r="A105" s="184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</row>
    <row r="106">
      <c r="A106" s="184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</row>
    <row r="107">
      <c r="A107" s="184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</row>
    <row r="108">
      <c r="A108" s="184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</row>
    <row r="109">
      <c r="A109" s="184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</row>
    <row r="110">
      <c r="A110" s="184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</row>
    <row r="111">
      <c r="A111" s="184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</row>
    <row r="112">
      <c r="A112" s="184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</row>
    <row r="113">
      <c r="A113" s="184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</row>
    <row r="114">
      <c r="A114" s="184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</row>
    <row r="115">
      <c r="A115" s="184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</row>
    <row r="116">
      <c r="A116" s="184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</row>
    <row r="117">
      <c r="A117" s="184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</row>
    <row r="118">
      <c r="A118" s="184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</row>
    <row r="119">
      <c r="A119" s="184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</row>
    <row r="120">
      <c r="A120" s="184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</row>
    <row r="121">
      <c r="A121" s="184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</row>
    <row r="122">
      <c r="A122" s="184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</row>
    <row r="123">
      <c r="A123" s="184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</row>
    <row r="124">
      <c r="A124" s="184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</row>
    <row r="125">
      <c r="A125" s="184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</row>
    <row r="126">
      <c r="A126" s="184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</row>
    <row r="127">
      <c r="A127" s="184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</row>
    <row r="128">
      <c r="A128" s="184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</row>
    <row r="129">
      <c r="A129" s="184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</row>
    <row r="130">
      <c r="A130" s="184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</row>
    <row r="131">
      <c r="A131" s="184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</row>
    <row r="132">
      <c r="A132" s="184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</row>
    <row r="133">
      <c r="A133" s="184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</row>
    <row r="134">
      <c r="A134" s="184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</row>
    <row r="135">
      <c r="A135" s="184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</row>
    <row r="136">
      <c r="A136" s="184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</row>
    <row r="137">
      <c r="A137" s="184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</row>
    <row r="138">
      <c r="A138" s="184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</row>
    <row r="139">
      <c r="A139" s="184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</row>
    <row r="140">
      <c r="A140" s="184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</row>
    <row r="141">
      <c r="A141" s="184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</row>
    <row r="142">
      <c r="A142" s="184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</row>
    <row r="143">
      <c r="A143" s="184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</row>
    <row r="144">
      <c r="A144" s="184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</row>
    <row r="145">
      <c r="A145" s="184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</row>
    <row r="146">
      <c r="A146" s="184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</row>
    <row r="147">
      <c r="A147" s="184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</row>
    <row r="148">
      <c r="A148" s="184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</row>
    <row r="149">
      <c r="A149" s="184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</row>
    <row r="150">
      <c r="A150" s="184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</row>
    <row r="151">
      <c r="A151" s="184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</row>
    <row r="152">
      <c r="A152" s="184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</row>
    <row r="153">
      <c r="A153" s="184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</row>
    <row r="154">
      <c r="A154" s="184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</row>
    <row r="155">
      <c r="A155" s="184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</row>
    <row r="156">
      <c r="A156" s="184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</row>
    <row r="157">
      <c r="A157" s="184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</row>
    <row r="158">
      <c r="A158" s="184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</row>
    <row r="159">
      <c r="A159" s="184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</row>
    <row r="160">
      <c r="A160" s="184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</row>
    <row r="161">
      <c r="A161" s="184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</row>
    <row r="162">
      <c r="A162" s="184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</row>
    <row r="163">
      <c r="A163" s="184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</row>
    <row r="164">
      <c r="A164" s="184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</row>
    <row r="165">
      <c r="A165" s="184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</row>
    <row r="166">
      <c r="A166" s="184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</row>
    <row r="167">
      <c r="A167" s="184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</row>
    <row r="168">
      <c r="A168" s="184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</row>
    <row r="169">
      <c r="A169" s="184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</row>
    <row r="170">
      <c r="A170" s="184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</row>
    <row r="171">
      <c r="A171" s="184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</row>
    <row r="172">
      <c r="A172" s="184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</row>
    <row r="173">
      <c r="A173" s="184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</row>
    <row r="174">
      <c r="A174" s="184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</row>
    <row r="175">
      <c r="A175" s="184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</row>
    <row r="176">
      <c r="A176" s="184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</row>
    <row r="177">
      <c r="A177" s="184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</row>
    <row r="178">
      <c r="A178" s="184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</row>
    <row r="179">
      <c r="A179" s="184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</row>
    <row r="180">
      <c r="A180" s="184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</row>
    <row r="181">
      <c r="A181" s="184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</row>
    <row r="182">
      <c r="A182" s="184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</row>
    <row r="183">
      <c r="A183" s="184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</row>
    <row r="184">
      <c r="A184" s="184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</row>
    <row r="185">
      <c r="A185" s="184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</row>
    <row r="186">
      <c r="A186" s="184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</row>
    <row r="187">
      <c r="A187" s="184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</row>
    <row r="188">
      <c r="A188" s="184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</row>
    <row r="189">
      <c r="A189" s="184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</row>
    <row r="190">
      <c r="A190" s="184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</row>
    <row r="191">
      <c r="A191" s="184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</row>
    <row r="192">
      <c r="A192" s="184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  <c r="CM192" s="61"/>
    </row>
    <row r="193">
      <c r="A193" s="184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</row>
    <row r="194">
      <c r="A194" s="184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</row>
    <row r="195">
      <c r="A195" s="184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</row>
    <row r="196">
      <c r="A196" s="184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</row>
    <row r="197">
      <c r="A197" s="184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</row>
    <row r="198">
      <c r="A198" s="184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</row>
    <row r="199">
      <c r="A199" s="184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</row>
    <row r="200">
      <c r="A200" s="184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</row>
    <row r="201">
      <c r="A201" s="184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</row>
    <row r="202">
      <c r="A202" s="184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</row>
    <row r="203">
      <c r="A203" s="184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1"/>
      <c r="CG203" s="61"/>
      <c r="CH203" s="61"/>
      <c r="CI203" s="61"/>
      <c r="CJ203" s="61"/>
      <c r="CK203" s="61"/>
      <c r="CL203" s="61"/>
      <c r="CM203" s="61"/>
    </row>
    <row r="204">
      <c r="A204" s="184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</row>
    <row r="205">
      <c r="A205" s="184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</row>
    <row r="206">
      <c r="A206" s="184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</row>
    <row r="207">
      <c r="A207" s="184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61"/>
      <c r="CE207" s="61"/>
      <c r="CF207" s="61"/>
      <c r="CG207" s="61"/>
      <c r="CH207" s="61"/>
      <c r="CI207" s="61"/>
      <c r="CJ207" s="61"/>
      <c r="CK207" s="61"/>
      <c r="CL207" s="61"/>
      <c r="CM207" s="61"/>
    </row>
    <row r="208">
      <c r="A208" s="184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/>
      <c r="CH208" s="61"/>
      <c r="CI208" s="61"/>
      <c r="CJ208" s="61"/>
      <c r="CK208" s="61"/>
      <c r="CL208" s="61"/>
      <c r="CM208" s="61"/>
    </row>
    <row r="209">
      <c r="A209" s="184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</row>
    <row r="210">
      <c r="A210" s="184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</row>
    <row r="211">
      <c r="A211" s="184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</row>
    <row r="212">
      <c r="A212" s="184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</row>
    <row r="213">
      <c r="A213" s="184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</row>
    <row r="214">
      <c r="A214" s="184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</row>
    <row r="215">
      <c r="A215" s="184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</row>
    <row r="216">
      <c r="A216" s="184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</row>
    <row r="217">
      <c r="A217" s="184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1"/>
      <c r="CG217" s="61"/>
      <c r="CH217" s="61"/>
      <c r="CI217" s="61"/>
      <c r="CJ217" s="61"/>
      <c r="CK217" s="61"/>
      <c r="CL217" s="61"/>
      <c r="CM217" s="61"/>
    </row>
    <row r="218">
      <c r="A218" s="184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</row>
    <row r="219">
      <c r="A219" s="184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</row>
    <row r="220">
      <c r="A220" s="184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</row>
    <row r="221">
      <c r="A221" s="184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</row>
    <row r="222">
      <c r="A222" s="184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</row>
    <row r="223">
      <c r="A223" s="184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</row>
    <row r="224">
      <c r="A224" s="184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</row>
    <row r="225">
      <c r="A225" s="184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</row>
    <row r="226">
      <c r="A226" s="184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</row>
    <row r="227">
      <c r="A227" s="184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</row>
    <row r="228">
      <c r="A228" s="184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</row>
    <row r="229">
      <c r="A229" s="184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</row>
    <row r="230">
      <c r="A230" s="184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</row>
    <row r="231">
      <c r="A231" s="184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</row>
    <row r="232">
      <c r="A232" s="184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</row>
    <row r="233">
      <c r="A233" s="184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</row>
    <row r="234">
      <c r="A234" s="184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</row>
    <row r="235">
      <c r="A235" s="184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/>
      <c r="CH235" s="61"/>
      <c r="CI235" s="61"/>
      <c r="CJ235" s="61"/>
      <c r="CK235" s="61"/>
      <c r="CL235" s="61"/>
      <c r="CM235" s="61"/>
    </row>
    <row r="236">
      <c r="A236" s="184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</row>
    <row r="237">
      <c r="A237" s="184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</row>
    <row r="238">
      <c r="A238" s="184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</row>
    <row r="239">
      <c r="A239" s="184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</row>
    <row r="240">
      <c r="A240" s="184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</row>
    <row r="241">
      <c r="A241" s="184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</row>
    <row r="242">
      <c r="A242" s="184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</row>
    <row r="243">
      <c r="A243" s="184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</row>
    <row r="244">
      <c r="A244" s="184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</row>
    <row r="245">
      <c r="A245" s="184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</row>
    <row r="246">
      <c r="A246" s="184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</row>
    <row r="247">
      <c r="A247" s="184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</row>
    <row r="248">
      <c r="A248" s="184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</row>
    <row r="249">
      <c r="A249" s="184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</row>
    <row r="250">
      <c r="A250" s="184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</row>
    <row r="251">
      <c r="A251" s="184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</row>
    <row r="252">
      <c r="A252" s="184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</row>
    <row r="253">
      <c r="A253" s="184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</row>
    <row r="254">
      <c r="A254" s="184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</row>
    <row r="255">
      <c r="A255" s="184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</row>
    <row r="256">
      <c r="A256" s="184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</row>
    <row r="257">
      <c r="A257" s="184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</row>
    <row r="258">
      <c r="A258" s="184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</row>
    <row r="259">
      <c r="A259" s="184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</row>
    <row r="260">
      <c r="A260" s="184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</row>
    <row r="261">
      <c r="A261" s="184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1"/>
      <c r="CG261" s="61"/>
      <c r="CH261" s="61"/>
      <c r="CI261" s="61"/>
      <c r="CJ261" s="61"/>
      <c r="CK261" s="61"/>
      <c r="CL261" s="61"/>
      <c r="CM261" s="61"/>
    </row>
    <row r="262">
      <c r="A262" s="184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</row>
    <row r="263">
      <c r="A263" s="184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</row>
    <row r="264">
      <c r="A264" s="184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</row>
    <row r="265">
      <c r="A265" s="184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1"/>
      <c r="CG265" s="61"/>
      <c r="CH265" s="61"/>
      <c r="CI265" s="61"/>
      <c r="CJ265" s="61"/>
      <c r="CK265" s="61"/>
      <c r="CL265" s="61"/>
      <c r="CM265" s="61"/>
    </row>
    <row r="266">
      <c r="A266" s="184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</row>
    <row r="267">
      <c r="A267" s="184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</row>
    <row r="268">
      <c r="A268" s="184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</row>
    <row r="269">
      <c r="A269" s="184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1"/>
      <c r="CG269" s="61"/>
      <c r="CH269" s="61"/>
      <c r="CI269" s="61"/>
      <c r="CJ269" s="61"/>
      <c r="CK269" s="61"/>
      <c r="CL269" s="61"/>
      <c r="CM269" s="61"/>
    </row>
    <row r="270">
      <c r="A270" s="184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61"/>
      <c r="CE270" s="61"/>
      <c r="CF270" s="61"/>
      <c r="CG270" s="61"/>
      <c r="CH270" s="61"/>
      <c r="CI270" s="61"/>
      <c r="CJ270" s="61"/>
      <c r="CK270" s="61"/>
      <c r="CL270" s="61"/>
      <c r="CM270" s="61"/>
    </row>
    <row r="271">
      <c r="A271" s="184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</row>
    <row r="272">
      <c r="A272" s="184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</row>
    <row r="273">
      <c r="A273" s="184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</row>
    <row r="274">
      <c r="A274" s="184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</row>
    <row r="275">
      <c r="A275" s="184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</row>
    <row r="276">
      <c r="A276" s="184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</row>
    <row r="277">
      <c r="A277" s="184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</row>
    <row r="278">
      <c r="A278" s="184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61"/>
      <c r="CK278" s="61"/>
      <c r="CL278" s="61"/>
      <c r="CM278" s="61"/>
    </row>
    <row r="279">
      <c r="A279" s="184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61"/>
      <c r="CK279" s="61"/>
      <c r="CL279" s="61"/>
      <c r="CM279" s="61"/>
    </row>
    <row r="280">
      <c r="A280" s="184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</row>
    <row r="281">
      <c r="A281" s="184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</row>
    <row r="282">
      <c r="A282" s="184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</row>
    <row r="283">
      <c r="A283" s="184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</row>
    <row r="284">
      <c r="A284" s="184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</row>
    <row r="285">
      <c r="A285" s="184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</row>
    <row r="286">
      <c r="A286" s="184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</row>
    <row r="287">
      <c r="A287" s="184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</row>
    <row r="288">
      <c r="A288" s="184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61"/>
      <c r="CE288" s="61"/>
      <c r="CF288" s="61"/>
      <c r="CG288" s="61"/>
      <c r="CH288" s="61"/>
      <c r="CI288" s="61"/>
      <c r="CJ288" s="61"/>
      <c r="CK288" s="61"/>
      <c r="CL288" s="61"/>
      <c r="CM288" s="61"/>
    </row>
    <row r="289">
      <c r="A289" s="184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</row>
    <row r="290">
      <c r="A290" s="184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</row>
    <row r="291">
      <c r="A291" s="184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61"/>
      <c r="CE291" s="61"/>
      <c r="CF291" s="61"/>
      <c r="CG291" s="61"/>
      <c r="CH291" s="61"/>
      <c r="CI291" s="61"/>
      <c r="CJ291" s="61"/>
      <c r="CK291" s="61"/>
      <c r="CL291" s="61"/>
      <c r="CM291" s="61"/>
    </row>
    <row r="292">
      <c r="A292" s="184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</row>
    <row r="293">
      <c r="A293" s="184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</row>
    <row r="294">
      <c r="A294" s="184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</row>
    <row r="295">
      <c r="A295" s="184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</row>
    <row r="296">
      <c r="A296" s="184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</row>
    <row r="297">
      <c r="A297" s="184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</row>
    <row r="298">
      <c r="A298" s="184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</row>
    <row r="299">
      <c r="A299" s="184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</row>
    <row r="300">
      <c r="A300" s="184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</row>
    <row r="301">
      <c r="A301" s="184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</row>
    <row r="302">
      <c r="A302" s="184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</row>
    <row r="303">
      <c r="A303" s="184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</row>
    <row r="304">
      <c r="A304" s="184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</row>
    <row r="305">
      <c r="A305" s="184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</row>
    <row r="306">
      <c r="A306" s="184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</row>
    <row r="307">
      <c r="A307" s="184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</row>
    <row r="308">
      <c r="A308" s="184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</row>
    <row r="309">
      <c r="A309" s="184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185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1"/>
      <c r="CL309" s="61"/>
      <c r="CM309" s="61"/>
    </row>
    <row r="310">
      <c r="A310" s="184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185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</row>
    <row r="311">
      <c r="A311" s="184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185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</row>
    <row r="312">
      <c r="A312" s="184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185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1"/>
      <c r="CL312" s="61"/>
      <c r="CM312" s="61"/>
    </row>
    <row r="313">
      <c r="A313" s="184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185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</row>
    <row r="314">
      <c r="A314" s="184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185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</row>
    <row r="315">
      <c r="A315" s="184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185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</row>
    <row r="316">
      <c r="A316" s="184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185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</row>
    <row r="317">
      <c r="A317" s="184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185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</row>
    <row r="318">
      <c r="A318" s="184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185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</row>
    <row r="319">
      <c r="A319" s="184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185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1"/>
      <c r="CL319" s="61"/>
      <c r="CM319" s="61"/>
    </row>
    <row r="320">
      <c r="A320" s="184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185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</row>
    <row r="321">
      <c r="A321" s="184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185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</row>
    <row r="322">
      <c r="A322" s="184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185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</row>
    <row r="323">
      <c r="A323" s="184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185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1"/>
      <c r="CL323" s="61"/>
      <c r="CM323" s="61"/>
    </row>
    <row r="324">
      <c r="A324" s="184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185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</row>
    <row r="325">
      <c r="A325" s="184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185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</row>
    <row r="326">
      <c r="A326" s="184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185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</row>
    <row r="327">
      <c r="A327" s="184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185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</row>
    <row r="328">
      <c r="A328" s="184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185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</row>
    <row r="329">
      <c r="A329" s="184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185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</row>
    <row r="330">
      <c r="A330" s="184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185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</row>
    <row r="331">
      <c r="A331" s="184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185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</row>
    <row r="332">
      <c r="A332" s="184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185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1"/>
      <c r="CL332" s="61"/>
      <c r="CM332" s="61"/>
    </row>
    <row r="333">
      <c r="A333" s="184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185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</row>
    <row r="334">
      <c r="A334" s="184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185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</row>
    <row r="335">
      <c r="A335" s="184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185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</row>
    <row r="336">
      <c r="A336" s="184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185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</row>
    <row r="337">
      <c r="A337" s="184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185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</row>
    <row r="338">
      <c r="A338" s="184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185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</row>
    <row r="339">
      <c r="A339" s="184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185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1"/>
      <c r="CL339" s="61"/>
      <c r="CM339" s="61"/>
    </row>
    <row r="340">
      <c r="A340" s="184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185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</row>
    <row r="341">
      <c r="A341" s="184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185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</row>
    <row r="342">
      <c r="A342" s="184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185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1"/>
      <c r="CL342" s="61"/>
      <c r="CM342" s="61"/>
    </row>
    <row r="343">
      <c r="A343" s="184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185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</row>
    <row r="344">
      <c r="A344" s="184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185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</row>
    <row r="345">
      <c r="A345" s="184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185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</row>
    <row r="346">
      <c r="A346" s="184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185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</row>
    <row r="347">
      <c r="A347" s="184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185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</row>
    <row r="348">
      <c r="A348" s="184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185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1"/>
      <c r="CL348" s="61"/>
      <c r="CM348" s="61"/>
    </row>
    <row r="349">
      <c r="A349" s="184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185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</row>
    <row r="350">
      <c r="A350" s="184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185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</row>
    <row r="351">
      <c r="A351" s="184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185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</row>
    <row r="352">
      <c r="A352" s="184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185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</row>
    <row r="353">
      <c r="A353" s="184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185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</row>
    <row r="354">
      <c r="A354" s="184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185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</row>
    <row r="355">
      <c r="A355" s="184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185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</row>
    <row r="356">
      <c r="A356" s="184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185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1"/>
      <c r="CL356" s="61"/>
      <c r="CM356" s="61"/>
    </row>
    <row r="357">
      <c r="A357" s="184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185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</row>
    <row r="358">
      <c r="A358" s="184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185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</row>
    <row r="359">
      <c r="A359" s="184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185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1"/>
      <c r="CK359" s="61"/>
      <c r="CL359" s="61"/>
      <c r="CM359" s="61"/>
    </row>
    <row r="360">
      <c r="A360" s="184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185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</row>
    <row r="361">
      <c r="A361" s="184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185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</row>
    <row r="362">
      <c r="A362" s="184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185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</row>
    <row r="363">
      <c r="A363" s="184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185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1"/>
      <c r="CL363" s="61"/>
      <c r="CM363" s="61"/>
    </row>
    <row r="364">
      <c r="A364" s="184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185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1"/>
      <c r="CL364" s="61"/>
      <c r="CM364" s="61"/>
    </row>
    <row r="365">
      <c r="A365" s="184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185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</row>
    <row r="366">
      <c r="A366" s="184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185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1"/>
      <c r="CL366" s="61"/>
      <c r="CM366" s="61"/>
    </row>
    <row r="367">
      <c r="A367" s="184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185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1"/>
      <c r="CL367" s="61"/>
      <c r="CM367" s="61"/>
    </row>
    <row r="368">
      <c r="A368" s="184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185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1"/>
      <c r="CK368" s="61"/>
      <c r="CL368" s="61"/>
      <c r="CM368" s="61"/>
    </row>
    <row r="369">
      <c r="A369" s="184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185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</row>
    <row r="370">
      <c r="A370" s="184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185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1"/>
      <c r="CL370" s="61"/>
      <c r="CM370" s="61"/>
    </row>
    <row r="371">
      <c r="A371" s="184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185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</row>
    <row r="372">
      <c r="A372" s="184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185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1"/>
      <c r="CL372" s="61"/>
      <c r="CM372" s="61"/>
    </row>
    <row r="373">
      <c r="A373" s="184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185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1"/>
      <c r="CL373" s="61"/>
      <c r="CM373" s="61"/>
    </row>
    <row r="374">
      <c r="A374" s="184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185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1"/>
      <c r="CK374" s="61"/>
      <c r="CL374" s="61"/>
      <c r="CM374" s="61"/>
    </row>
    <row r="375">
      <c r="A375" s="184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185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1"/>
      <c r="CK375" s="61"/>
      <c r="CL375" s="61"/>
      <c r="CM375" s="61"/>
    </row>
    <row r="376">
      <c r="A376" s="184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185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</row>
    <row r="377">
      <c r="A377" s="184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185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1"/>
      <c r="CL377" s="61"/>
      <c r="CM377" s="61"/>
    </row>
    <row r="378">
      <c r="A378" s="184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185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  <c r="CM378" s="61"/>
    </row>
    <row r="379">
      <c r="A379" s="184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185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1"/>
      <c r="CL379" s="61"/>
      <c r="CM379" s="61"/>
    </row>
    <row r="380">
      <c r="A380" s="184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185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1"/>
      <c r="CL380" s="61"/>
      <c r="CM380" s="61"/>
    </row>
    <row r="381">
      <c r="A381" s="184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185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1"/>
      <c r="CL381" s="61"/>
      <c r="CM381" s="61"/>
    </row>
    <row r="382">
      <c r="A382" s="184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185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1"/>
      <c r="CK382" s="61"/>
      <c r="CL382" s="61"/>
      <c r="CM382" s="61"/>
    </row>
    <row r="383">
      <c r="A383" s="184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185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1"/>
      <c r="CL383" s="61"/>
      <c r="CM383" s="61"/>
    </row>
    <row r="384">
      <c r="A384" s="184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185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1"/>
      <c r="CL384" s="61"/>
      <c r="CM384" s="61"/>
    </row>
    <row r="385">
      <c r="A385" s="184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185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1"/>
      <c r="CK385" s="61"/>
      <c r="CL385" s="61"/>
      <c r="CM385" s="61"/>
    </row>
    <row r="386">
      <c r="A386" s="184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185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1"/>
      <c r="CL386" s="61"/>
      <c r="CM386" s="61"/>
    </row>
    <row r="387">
      <c r="A387" s="184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185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1"/>
      <c r="CL387" s="61"/>
      <c r="CM387" s="61"/>
    </row>
    <row r="388">
      <c r="A388" s="184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185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1"/>
      <c r="CL388" s="61"/>
      <c r="CM388" s="61"/>
    </row>
    <row r="389">
      <c r="A389" s="184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185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1"/>
      <c r="CL389" s="61"/>
      <c r="CM389" s="61"/>
    </row>
    <row r="390">
      <c r="A390" s="184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185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1"/>
      <c r="CL390" s="61"/>
      <c r="CM390" s="61"/>
    </row>
    <row r="391">
      <c r="A391" s="184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185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1"/>
      <c r="CL391" s="61"/>
      <c r="CM391" s="61"/>
    </row>
    <row r="392">
      <c r="A392" s="184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185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1"/>
      <c r="CL392" s="61"/>
      <c r="CM392" s="61"/>
    </row>
    <row r="393">
      <c r="A393" s="184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185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1"/>
      <c r="CL393" s="61"/>
      <c r="CM393" s="61"/>
    </row>
    <row r="394">
      <c r="A394" s="184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185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1"/>
      <c r="CL394" s="61"/>
      <c r="CM394" s="61"/>
    </row>
    <row r="395">
      <c r="A395" s="184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185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1"/>
      <c r="CL395" s="61"/>
      <c r="CM395" s="61"/>
    </row>
    <row r="396">
      <c r="A396" s="184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185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1"/>
      <c r="CL396" s="61"/>
      <c r="CM396" s="61"/>
    </row>
    <row r="397">
      <c r="A397" s="184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185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1"/>
      <c r="CL397" s="61"/>
      <c r="CM397" s="61"/>
    </row>
    <row r="398">
      <c r="A398" s="184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185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1"/>
      <c r="CL398" s="61"/>
      <c r="CM398" s="61"/>
    </row>
    <row r="399">
      <c r="A399" s="184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185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1"/>
      <c r="CL399" s="61"/>
      <c r="CM399" s="61"/>
    </row>
    <row r="400">
      <c r="A400" s="184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185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1"/>
      <c r="CL400" s="61"/>
      <c r="CM400" s="61"/>
    </row>
    <row r="401">
      <c r="A401" s="184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185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1"/>
      <c r="CL401" s="61"/>
      <c r="CM401" s="61"/>
    </row>
    <row r="402">
      <c r="A402" s="184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185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1"/>
      <c r="CL402" s="61"/>
      <c r="CM402" s="61"/>
    </row>
    <row r="403">
      <c r="A403" s="184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185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</row>
    <row r="404">
      <c r="A404" s="184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185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</row>
    <row r="405">
      <c r="A405" s="184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185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1"/>
      <c r="CK405" s="61"/>
      <c r="CL405" s="61"/>
      <c r="CM405" s="61"/>
    </row>
    <row r="406">
      <c r="A406" s="184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185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1"/>
      <c r="CL406" s="61"/>
      <c r="CM406" s="61"/>
    </row>
    <row r="407">
      <c r="A407" s="184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185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1"/>
      <c r="CL407" s="61"/>
      <c r="CM407" s="61"/>
    </row>
    <row r="408">
      <c r="A408" s="184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185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1"/>
      <c r="CL408" s="61"/>
      <c r="CM408" s="61"/>
    </row>
    <row r="409">
      <c r="A409" s="184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185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  <c r="CM409" s="61"/>
    </row>
    <row r="410">
      <c r="A410" s="184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185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1"/>
      <c r="CL410" s="61"/>
      <c r="CM410" s="61"/>
    </row>
    <row r="411">
      <c r="A411" s="184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185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1"/>
      <c r="CL411" s="61"/>
      <c r="CM411" s="61"/>
    </row>
    <row r="412">
      <c r="A412" s="184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185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1"/>
      <c r="CL412" s="61"/>
      <c r="CM412" s="61"/>
    </row>
    <row r="413">
      <c r="A413" s="184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185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1"/>
      <c r="CL413" s="61"/>
      <c r="CM413" s="61"/>
    </row>
    <row r="414">
      <c r="A414" s="184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185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</row>
    <row r="415">
      <c r="A415" s="184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185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1"/>
      <c r="CL415" s="61"/>
      <c r="CM415" s="61"/>
    </row>
    <row r="416">
      <c r="A416" s="184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185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  <c r="CD416" s="61"/>
      <c r="CE416" s="61"/>
      <c r="CF416" s="61"/>
      <c r="CG416" s="61"/>
      <c r="CH416" s="61"/>
      <c r="CI416" s="61"/>
      <c r="CJ416" s="61"/>
      <c r="CK416" s="61"/>
      <c r="CL416" s="61"/>
      <c r="CM416" s="61"/>
    </row>
    <row r="417">
      <c r="A417" s="184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185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1"/>
      <c r="CL417" s="61"/>
      <c r="CM417" s="61"/>
    </row>
    <row r="418">
      <c r="A418" s="184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185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1"/>
      <c r="CL418" s="61"/>
      <c r="CM418" s="61"/>
    </row>
    <row r="419">
      <c r="A419" s="184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185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1"/>
      <c r="CL419" s="61"/>
      <c r="CM419" s="61"/>
    </row>
    <row r="420">
      <c r="A420" s="184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185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1"/>
      <c r="CL420" s="61"/>
      <c r="CM420" s="61"/>
    </row>
    <row r="421">
      <c r="A421" s="184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185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1"/>
      <c r="CK421" s="61"/>
      <c r="CL421" s="61"/>
      <c r="CM421" s="61"/>
    </row>
    <row r="422">
      <c r="A422" s="184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185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</row>
    <row r="423">
      <c r="A423" s="184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185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</row>
    <row r="424">
      <c r="A424" s="184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185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</row>
    <row r="425">
      <c r="A425" s="184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185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</row>
    <row r="426">
      <c r="A426" s="184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185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</row>
    <row r="427">
      <c r="A427" s="184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185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</row>
    <row r="428">
      <c r="A428" s="184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185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</row>
    <row r="429">
      <c r="A429" s="184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185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</row>
    <row r="430">
      <c r="A430" s="184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185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</row>
    <row r="431">
      <c r="A431" s="184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185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1"/>
      <c r="CL431" s="61"/>
      <c r="CM431" s="61"/>
    </row>
    <row r="432">
      <c r="A432" s="184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185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</row>
    <row r="433">
      <c r="A433" s="184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185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</row>
    <row r="434">
      <c r="A434" s="184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185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</row>
    <row r="435">
      <c r="A435" s="184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185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</row>
    <row r="436">
      <c r="A436" s="184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185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</row>
    <row r="437">
      <c r="A437" s="184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185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</row>
    <row r="438">
      <c r="A438" s="184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185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</row>
    <row r="439">
      <c r="A439" s="184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185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</row>
    <row r="440">
      <c r="A440" s="184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185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</row>
    <row r="441">
      <c r="A441" s="184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185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  <c r="CM441" s="61"/>
    </row>
    <row r="442">
      <c r="A442" s="184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185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1"/>
      <c r="CL442" s="61"/>
      <c r="CM442" s="61"/>
    </row>
    <row r="443">
      <c r="A443" s="184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185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1"/>
      <c r="CL443" s="61"/>
      <c r="CM443" s="61"/>
    </row>
    <row r="444">
      <c r="A444" s="184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185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1"/>
      <c r="CK444" s="61"/>
      <c r="CL444" s="61"/>
      <c r="CM444" s="61"/>
    </row>
    <row r="445">
      <c r="A445" s="184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185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</row>
    <row r="446">
      <c r="A446" s="184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185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1"/>
      <c r="CL446" s="61"/>
      <c r="CM446" s="61"/>
    </row>
    <row r="447">
      <c r="A447" s="184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185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1"/>
      <c r="CL447" s="61"/>
      <c r="CM447" s="61"/>
    </row>
    <row r="448">
      <c r="A448" s="184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185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</row>
    <row r="449">
      <c r="A449" s="184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185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1"/>
      <c r="CL449" s="61"/>
      <c r="CM449" s="61"/>
    </row>
    <row r="450">
      <c r="A450" s="184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185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1"/>
      <c r="CL450" s="61"/>
      <c r="CM450" s="61"/>
    </row>
    <row r="451">
      <c r="A451" s="184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185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1"/>
      <c r="CL451" s="61"/>
      <c r="CM451" s="61"/>
    </row>
    <row r="452">
      <c r="A452" s="184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185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1"/>
      <c r="CL452" s="61"/>
      <c r="CM452" s="61"/>
    </row>
    <row r="453">
      <c r="A453" s="184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185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1"/>
      <c r="CL453" s="61"/>
      <c r="CM453" s="61"/>
    </row>
    <row r="454">
      <c r="A454" s="184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185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1"/>
      <c r="CL454" s="61"/>
      <c r="CM454" s="61"/>
    </row>
    <row r="455">
      <c r="A455" s="184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185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1"/>
      <c r="CL455" s="61"/>
      <c r="CM455" s="61"/>
    </row>
    <row r="456">
      <c r="A456" s="184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185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1"/>
      <c r="CL456" s="61"/>
      <c r="CM456" s="61"/>
    </row>
    <row r="457">
      <c r="A457" s="184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185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1"/>
      <c r="CL457" s="61"/>
      <c r="CM457" s="61"/>
    </row>
    <row r="458">
      <c r="A458" s="184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185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1"/>
      <c r="CL458" s="61"/>
      <c r="CM458" s="61"/>
    </row>
    <row r="459">
      <c r="A459" s="184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185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1"/>
      <c r="CL459" s="61"/>
      <c r="CM459" s="61"/>
    </row>
    <row r="460">
      <c r="A460" s="184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185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1"/>
      <c r="CL460" s="61"/>
      <c r="CM460" s="61"/>
    </row>
    <row r="461">
      <c r="A461" s="184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185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1"/>
      <c r="CL461" s="61"/>
      <c r="CM461" s="61"/>
    </row>
    <row r="462">
      <c r="A462" s="184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185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1"/>
      <c r="CK462" s="61"/>
      <c r="CL462" s="61"/>
      <c r="CM462" s="61"/>
    </row>
    <row r="463">
      <c r="A463" s="184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185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1"/>
      <c r="CL463" s="61"/>
      <c r="CM463" s="61"/>
    </row>
    <row r="464">
      <c r="A464" s="184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185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1"/>
      <c r="CL464" s="61"/>
      <c r="CM464" s="61"/>
    </row>
    <row r="465">
      <c r="A465" s="184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185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1"/>
      <c r="CL465" s="61"/>
      <c r="CM465" s="61"/>
    </row>
    <row r="466">
      <c r="A466" s="184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185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1"/>
      <c r="CL466" s="61"/>
      <c r="CM466" s="61"/>
    </row>
    <row r="467">
      <c r="A467" s="184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185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1"/>
      <c r="CL467" s="61"/>
      <c r="CM467" s="61"/>
    </row>
    <row r="468">
      <c r="A468" s="184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185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1"/>
      <c r="CL468" s="61"/>
      <c r="CM468" s="61"/>
    </row>
    <row r="469">
      <c r="A469" s="184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185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1"/>
      <c r="CL469" s="61"/>
      <c r="CM469" s="61"/>
    </row>
    <row r="470">
      <c r="A470" s="184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185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</row>
    <row r="471">
      <c r="A471" s="184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185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1"/>
      <c r="CL471" s="61"/>
      <c r="CM471" s="61"/>
    </row>
    <row r="472">
      <c r="A472" s="184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185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1"/>
      <c r="CL472" s="61"/>
      <c r="CM472" s="61"/>
    </row>
    <row r="473">
      <c r="A473" s="184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185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1"/>
      <c r="CL473" s="61"/>
      <c r="CM473" s="61"/>
    </row>
    <row r="474">
      <c r="A474" s="184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185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1"/>
      <c r="CL474" s="61"/>
      <c r="CM474" s="61"/>
    </row>
    <row r="475">
      <c r="A475" s="184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185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1"/>
      <c r="CL475" s="61"/>
      <c r="CM475" s="61"/>
    </row>
    <row r="476">
      <c r="A476" s="184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185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1"/>
      <c r="CL476" s="61"/>
      <c r="CM476" s="61"/>
    </row>
    <row r="477">
      <c r="A477" s="184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185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1"/>
      <c r="CL477" s="61"/>
      <c r="CM477" s="61"/>
    </row>
    <row r="478">
      <c r="A478" s="184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185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1"/>
      <c r="CL478" s="61"/>
      <c r="CM478" s="61"/>
    </row>
    <row r="479">
      <c r="A479" s="184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185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1"/>
      <c r="CL479" s="61"/>
      <c r="CM479" s="61"/>
    </row>
    <row r="480">
      <c r="A480" s="184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185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1"/>
      <c r="CL480" s="61"/>
      <c r="CM480" s="61"/>
    </row>
    <row r="481">
      <c r="A481" s="184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185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1"/>
      <c r="CL481" s="61"/>
      <c r="CM481" s="61"/>
    </row>
    <row r="482">
      <c r="A482" s="184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185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1"/>
      <c r="CL482" s="61"/>
      <c r="CM482" s="61"/>
    </row>
    <row r="483">
      <c r="A483" s="184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185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1"/>
      <c r="CL483" s="61"/>
      <c r="CM483" s="61"/>
    </row>
    <row r="484">
      <c r="A484" s="184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185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1"/>
      <c r="CK484" s="61"/>
      <c r="CL484" s="61"/>
      <c r="CM484" s="61"/>
    </row>
    <row r="485">
      <c r="A485" s="184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185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1"/>
      <c r="CL485" s="61"/>
      <c r="CM485" s="61"/>
    </row>
    <row r="486">
      <c r="A486" s="184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185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</row>
    <row r="487">
      <c r="A487" s="184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185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1"/>
      <c r="CL487" s="61"/>
      <c r="CM487" s="61"/>
    </row>
    <row r="488">
      <c r="A488" s="184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185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1"/>
      <c r="CK488" s="61"/>
      <c r="CL488" s="61"/>
      <c r="CM488" s="61"/>
    </row>
    <row r="489">
      <c r="A489" s="184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185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1"/>
      <c r="CL489" s="61"/>
      <c r="CM489" s="61"/>
    </row>
    <row r="490">
      <c r="A490" s="184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185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1"/>
      <c r="CL490" s="61"/>
      <c r="CM490" s="61"/>
    </row>
    <row r="491">
      <c r="A491" s="184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185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1"/>
      <c r="CL491" s="61"/>
      <c r="CM491" s="61"/>
    </row>
    <row r="492">
      <c r="A492" s="184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185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1"/>
      <c r="CL492" s="61"/>
      <c r="CM492" s="61"/>
    </row>
    <row r="493">
      <c r="A493" s="184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185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1"/>
      <c r="CL493" s="61"/>
      <c r="CM493" s="61"/>
    </row>
    <row r="494">
      <c r="A494" s="184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185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</row>
    <row r="495">
      <c r="A495" s="184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185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1"/>
      <c r="CL495" s="61"/>
      <c r="CM495" s="61"/>
    </row>
    <row r="496">
      <c r="A496" s="184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185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1"/>
      <c r="CK496" s="61"/>
      <c r="CL496" s="61"/>
      <c r="CM496" s="61"/>
    </row>
    <row r="497">
      <c r="A497" s="184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185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1"/>
      <c r="CL497" s="61"/>
      <c r="CM497" s="61"/>
    </row>
    <row r="498">
      <c r="A498" s="184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185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1"/>
      <c r="CL498" s="61"/>
      <c r="CM498" s="61"/>
    </row>
    <row r="499">
      <c r="A499" s="184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185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1"/>
      <c r="CL499" s="61"/>
      <c r="CM499" s="61"/>
    </row>
    <row r="500">
      <c r="A500" s="184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185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1"/>
      <c r="CL500" s="61"/>
      <c r="CM500" s="61"/>
    </row>
    <row r="501">
      <c r="A501" s="184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185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  <c r="CM501" s="61"/>
    </row>
    <row r="502">
      <c r="A502" s="184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185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</row>
    <row r="503">
      <c r="A503" s="184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185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1"/>
      <c r="CL503" s="61"/>
      <c r="CM503" s="61"/>
    </row>
    <row r="504">
      <c r="A504" s="184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185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1"/>
      <c r="CL504" s="61"/>
      <c r="CM504" s="61"/>
    </row>
    <row r="505">
      <c r="A505" s="184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185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1"/>
      <c r="CL505" s="61"/>
      <c r="CM505" s="61"/>
    </row>
    <row r="506">
      <c r="A506" s="184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185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1"/>
      <c r="CL506" s="61"/>
      <c r="CM506" s="61"/>
    </row>
    <row r="507">
      <c r="A507" s="184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185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1"/>
      <c r="CL507" s="61"/>
      <c r="CM507" s="61"/>
    </row>
    <row r="508">
      <c r="A508" s="184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185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1"/>
      <c r="CL508" s="61"/>
      <c r="CM508" s="61"/>
    </row>
    <row r="509">
      <c r="A509" s="184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185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1"/>
      <c r="CL509" s="61"/>
      <c r="CM509" s="61"/>
    </row>
    <row r="510">
      <c r="A510" s="184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185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1"/>
      <c r="CL510" s="61"/>
      <c r="CM510" s="61"/>
    </row>
    <row r="511">
      <c r="A511" s="184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185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1"/>
      <c r="CL511" s="61"/>
      <c r="CM511" s="61"/>
    </row>
    <row r="512">
      <c r="A512" s="184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185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1"/>
      <c r="CL512" s="61"/>
      <c r="CM512" s="61"/>
    </row>
    <row r="513">
      <c r="A513" s="184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185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1"/>
      <c r="CL513" s="61"/>
      <c r="CM513" s="61"/>
    </row>
    <row r="514">
      <c r="A514" s="184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185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1"/>
      <c r="CL514" s="61"/>
      <c r="CM514" s="61"/>
    </row>
    <row r="515">
      <c r="A515" s="184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185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1"/>
      <c r="CL515" s="61"/>
      <c r="CM515" s="61"/>
    </row>
    <row r="516">
      <c r="A516" s="184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185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1"/>
      <c r="CL516" s="61"/>
      <c r="CM516" s="61"/>
    </row>
    <row r="517">
      <c r="A517" s="184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185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1"/>
      <c r="CK517" s="61"/>
      <c r="CL517" s="61"/>
      <c r="CM517" s="61"/>
    </row>
    <row r="518">
      <c r="A518" s="184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185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1"/>
      <c r="CL518" s="61"/>
      <c r="CM518" s="61"/>
    </row>
    <row r="519">
      <c r="A519" s="184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185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1"/>
      <c r="CL519" s="61"/>
      <c r="CM519" s="61"/>
    </row>
    <row r="520">
      <c r="A520" s="184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185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1"/>
      <c r="CL520" s="61"/>
      <c r="CM520" s="61"/>
    </row>
    <row r="521">
      <c r="A521" s="184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185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1"/>
      <c r="CL521" s="61"/>
      <c r="CM521" s="61"/>
    </row>
    <row r="522">
      <c r="A522" s="184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185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1"/>
      <c r="CL522" s="61"/>
      <c r="CM522" s="61"/>
    </row>
    <row r="523">
      <c r="A523" s="184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185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1"/>
      <c r="CL523" s="61"/>
      <c r="CM523" s="61"/>
    </row>
    <row r="524">
      <c r="A524" s="184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185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1"/>
      <c r="CL524" s="61"/>
      <c r="CM524" s="61"/>
    </row>
    <row r="525">
      <c r="A525" s="184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185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1"/>
      <c r="CL525" s="61"/>
      <c r="CM525" s="61"/>
    </row>
    <row r="526">
      <c r="A526" s="184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185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1"/>
      <c r="CL526" s="61"/>
      <c r="CM526" s="61"/>
    </row>
    <row r="527">
      <c r="A527" s="184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185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1"/>
      <c r="CL527" s="61"/>
      <c r="CM527" s="61"/>
    </row>
    <row r="528">
      <c r="A528" s="184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185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1"/>
      <c r="CL528" s="61"/>
      <c r="CM528" s="61"/>
    </row>
    <row r="529">
      <c r="A529" s="184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185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</row>
    <row r="530">
      <c r="A530" s="184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185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</row>
    <row r="531">
      <c r="A531" s="184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185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</row>
    <row r="532">
      <c r="A532" s="184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185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  <c r="CM532" s="61"/>
    </row>
    <row r="533">
      <c r="A533" s="184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185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  <c r="CD533" s="61"/>
      <c r="CE533" s="61"/>
      <c r="CF533" s="61"/>
      <c r="CG533" s="61"/>
      <c r="CH533" s="61"/>
      <c r="CI533" s="61"/>
      <c r="CJ533" s="61"/>
      <c r="CK533" s="61"/>
      <c r="CL533" s="61"/>
      <c r="CM533" s="61"/>
    </row>
    <row r="534">
      <c r="A534" s="184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185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  <c r="CD534" s="61"/>
      <c r="CE534" s="61"/>
      <c r="CF534" s="61"/>
      <c r="CG534" s="61"/>
      <c r="CH534" s="61"/>
      <c r="CI534" s="61"/>
      <c r="CJ534" s="61"/>
      <c r="CK534" s="61"/>
      <c r="CL534" s="61"/>
      <c r="CM534" s="61"/>
    </row>
    <row r="535">
      <c r="A535" s="184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185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  <c r="CD535" s="61"/>
      <c r="CE535" s="61"/>
      <c r="CF535" s="61"/>
      <c r="CG535" s="61"/>
      <c r="CH535" s="61"/>
      <c r="CI535" s="61"/>
      <c r="CJ535" s="61"/>
      <c r="CK535" s="61"/>
      <c r="CL535" s="61"/>
      <c r="CM535" s="61"/>
    </row>
    <row r="536">
      <c r="A536" s="184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185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  <c r="CD536" s="61"/>
      <c r="CE536" s="61"/>
      <c r="CF536" s="61"/>
      <c r="CG536" s="61"/>
      <c r="CH536" s="61"/>
      <c r="CI536" s="61"/>
      <c r="CJ536" s="61"/>
      <c r="CK536" s="61"/>
      <c r="CL536" s="61"/>
      <c r="CM536" s="61"/>
    </row>
    <row r="537">
      <c r="A537" s="184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185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  <c r="CD537" s="61"/>
      <c r="CE537" s="61"/>
      <c r="CF537" s="61"/>
      <c r="CG537" s="61"/>
      <c r="CH537" s="61"/>
      <c r="CI537" s="61"/>
      <c r="CJ537" s="61"/>
      <c r="CK537" s="61"/>
      <c r="CL537" s="61"/>
      <c r="CM537" s="61"/>
    </row>
    <row r="538">
      <c r="A538" s="184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185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  <c r="CD538" s="61"/>
      <c r="CE538" s="61"/>
      <c r="CF538" s="61"/>
      <c r="CG538" s="61"/>
      <c r="CH538" s="61"/>
      <c r="CI538" s="61"/>
      <c r="CJ538" s="61"/>
      <c r="CK538" s="61"/>
      <c r="CL538" s="61"/>
      <c r="CM538" s="61"/>
    </row>
    <row r="539">
      <c r="A539" s="184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185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  <c r="BZ539" s="61"/>
      <c r="CA539" s="61"/>
      <c r="CB539" s="61"/>
      <c r="CC539" s="61"/>
      <c r="CD539" s="61"/>
      <c r="CE539" s="61"/>
      <c r="CF539" s="61"/>
      <c r="CG539" s="61"/>
      <c r="CH539" s="61"/>
      <c r="CI539" s="61"/>
      <c r="CJ539" s="61"/>
      <c r="CK539" s="61"/>
      <c r="CL539" s="61"/>
      <c r="CM539" s="61"/>
    </row>
    <row r="540">
      <c r="A540" s="184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185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  <c r="CD540" s="61"/>
      <c r="CE540" s="61"/>
      <c r="CF540" s="61"/>
      <c r="CG540" s="61"/>
      <c r="CH540" s="61"/>
      <c r="CI540" s="61"/>
      <c r="CJ540" s="61"/>
      <c r="CK540" s="61"/>
      <c r="CL540" s="61"/>
      <c r="CM540" s="61"/>
    </row>
    <row r="541">
      <c r="A541" s="184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185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  <c r="CD541" s="61"/>
      <c r="CE541" s="61"/>
      <c r="CF541" s="61"/>
      <c r="CG541" s="61"/>
      <c r="CH541" s="61"/>
      <c r="CI541" s="61"/>
      <c r="CJ541" s="61"/>
      <c r="CK541" s="61"/>
      <c r="CL541" s="61"/>
      <c r="CM541" s="61"/>
    </row>
    <row r="542">
      <c r="A542" s="184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185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  <c r="CD542" s="61"/>
      <c r="CE542" s="61"/>
      <c r="CF542" s="61"/>
      <c r="CG542" s="61"/>
      <c r="CH542" s="61"/>
      <c r="CI542" s="61"/>
      <c r="CJ542" s="61"/>
      <c r="CK542" s="61"/>
      <c r="CL542" s="61"/>
      <c r="CM542" s="61"/>
    </row>
    <row r="543">
      <c r="A543" s="184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185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  <c r="CD543" s="61"/>
      <c r="CE543" s="61"/>
      <c r="CF543" s="61"/>
      <c r="CG543" s="61"/>
      <c r="CH543" s="61"/>
      <c r="CI543" s="61"/>
      <c r="CJ543" s="61"/>
      <c r="CK543" s="61"/>
      <c r="CL543" s="61"/>
      <c r="CM543" s="61"/>
    </row>
    <row r="544">
      <c r="A544" s="184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185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  <c r="CD544" s="61"/>
      <c r="CE544" s="61"/>
      <c r="CF544" s="61"/>
      <c r="CG544" s="61"/>
      <c r="CH544" s="61"/>
      <c r="CI544" s="61"/>
      <c r="CJ544" s="61"/>
      <c r="CK544" s="61"/>
      <c r="CL544" s="61"/>
      <c r="CM544" s="61"/>
    </row>
    <row r="545">
      <c r="A545" s="184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185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  <c r="CD545" s="61"/>
      <c r="CE545" s="61"/>
      <c r="CF545" s="61"/>
      <c r="CG545" s="61"/>
      <c r="CH545" s="61"/>
      <c r="CI545" s="61"/>
      <c r="CJ545" s="61"/>
      <c r="CK545" s="61"/>
      <c r="CL545" s="61"/>
      <c r="CM545" s="61"/>
    </row>
    <row r="546">
      <c r="A546" s="184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185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  <c r="CD546" s="61"/>
      <c r="CE546" s="61"/>
      <c r="CF546" s="61"/>
      <c r="CG546" s="61"/>
      <c r="CH546" s="61"/>
      <c r="CI546" s="61"/>
      <c r="CJ546" s="61"/>
      <c r="CK546" s="61"/>
      <c r="CL546" s="61"/>
      <c r="CM546" s="61"/>
    </row>
    <row r="547">
      <c r="A547" s="184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185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  <c r="CD547" s="61"/>
      <c r="CE547" s="61"/>
      <c r="CF547" s="61"/>
      <c r="CG547" s="61"/>
      <c r="CH547" s="61"/>
      <c r="CI547" s="61"/>
      <c r="CJ547" s="61"/>
      <c r="CK547" s="61"/>
      <c r="CL547" s="61"/>
      <c r="CM547" s="61"/>
    </row>
    <row r="548">
      <c r="A548" s="184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185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  <c r="CD548" s="61"/>
      <c r="CE548" s="61"/>
      <c r="CF548" s="61"/>
      <c r="CG548" s="61"/>
      <c r="CH548" s="61"/>
      <c r="CI548" s="61"/>
      <c r="CJ548" s="61"/>
      <c r="CK548" s="61"/>
      <c r="CL548" s="61"/>
      <c r="CM548" s="61"/>
    </row>
    <row r="549">
      <c r="A549" s="184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185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  <c r="CD549" s="61"/>
      <c r="CE549" s="61"/>
      <c r="CF549" s="61"/>
      <c r="CG549" s="61"/>
      <c r="CH549" s="61"/>
      <c r="CI549" s="61"/>
      <c r="CJ549" s="61"/>
      <c r="CK549" s="61"/>
      <c r="CL549" s="61"/>
      <c r="CM549" s="61"/>
    </row>
    <row r="550">
      <c r="A550" s="184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185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  <c r="CD550" s="61"/>
      <c r="CE550" s="61"/>
      <c r="CF550" s="61"/>
      <c r="CG550" s="61"/>
      <c r="CH550" s="61"/>
      <c r="CI550" s="61"/>
      <c r="CJ550" s="61"/>
      <c r="CK550" s="61"/>
      <c r="CL550" s="61"/>
      <c r="CM550" s="61"/>
    </row>
    <row r="551">
      <c r="A551" s="184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185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  <c r="CD551" s="61"/>
      <c r="CE551" s="61"/>
      <c r="CF551" s="61"/>
      <c r="CG551" s="61"/>
      <c r="CH551" s="61"/>
      <c r="CI551" s="61"/>
      <c r="CJ551" s="61"/>
      <c r="CK551" s="61"/>
      <c r="CL551" s="61"/>
      <c r="CM551" s="61"/>
    </row>
    <row r="552">
      <c r="A552" s="184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185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  <c r="CD552" s="61"/>
      <c r="CE552" s="61"/>
      <c r="CF552" s="61"/>
      <c r="CG552" s="61"/>
      <c r="CH552" s="61"/>
      <c r="CI552" s="61"/>
      <c r="CJ552" s="61"/>
      <c r="CK552" s="61"/>
      <c r="CL552" s="61"/>
      <c r="CM552" s="61"/>
    </row>
    <row r="553">
      <c r="A553" s="184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185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  <c r="BZ553" s="61"/>
      <c r="CA553" s="61"/>
      <c r="CB553" s="61"/>
      <c r="CC553" s="61"/>
      <c r="CD553" s="61"/>
      <c r="CE553" s="61"/>
      <c r="CF553" s="61"/>
      <c r="CG553" s="61"/>
      <c r="CH553" s="61"/>
      <c r="CI553" s="61"/>
      <c r="CJ553" s="61"/>
      <c r="CK553" s="61"/>
      <c r="CL553" s="61"/>
      <c r="CM553" s="61"/>
    </row>
    <row r="554">
      <c r="A554" s="184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185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  <c r="CD554" s="61"/>
      <c r="CE554" s="61"/>
      <c r="CF554" s="61"/>
      <c r="CG554" s="61"/>
      <c r="CH554" s="61"/>
      <c r="CI554" s="61"/>
      <c r="CJ554" s="61"/>
      <c r="CK554" s="61"/>
      <c r="CL554" s="61"/>
      <c r="CM554" s="61"/>
    </row>
    <row r="555">
      <c r="A555" s="184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185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  <c r="CD555" s="61"/>
      <c r="CE555" s="61"/>
      <c r="CF555" s="61"/>
      <c r="CG555" s="61"/>
      <c r="CH555" s="61"/>
      <c r="CI555" s="61"/>
      <c r="CJ555" s="61"/>
      <c r="CK555" s="61"/>
      <c r="CL555" s="61"/>
      <c r="CM555" s="61"/>
    </row>
    <row r="556">
      <c r="A556" s="184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185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  <c r="CD556" s="61"/>
      <c r="CE556" s="61"/>
      <c r="CF556" s="61"/>
      <c r="CG556" s="61"/>
      <c r="CH556" s="61"/>
      <c r="CI556" s="61"/>
      <c r="CJ556" s="61"/>
      <c r="CK556" s="61"/>
      <c r="CL556" s="61"/>
      <c r="CM556" s="61"/>
    </row>
    <row r="557">
      <c r="A557" s="184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185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  <c r="CD557" s="61"/>
      <c r="CE557" s="61"/>
      <c r="CF557" s="61"/>
      <c r="CG557" s="61"/>
      <c r="CH557" s="61"/>
      <c r="CI557" s="61"/>
      <c r="CJ557" s="61"/>
      <c r="CK557" s="61"/>
      <c r="CL557" s="61"/>
      <c r="CM557" s="61"/>
    </row>
    <row r="558">
      <c r="A558" s="184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185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</row>
    <row r="559">
      <c r="A559" s="184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185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  <c r="CD559" s="61"/>
      <c r="CE559" s="61"/>
      <c r="CF559" s="61"/>
      <c r="CG559" s="61"/>
      <c r="CH559" s="61"/>
      <c r="CI559" s="61"/>
      <c r="CJ559" s="61"/>
      <c r="CK559" s="61"/>
      <c r="CL559" s="61"/>
      <c r="CM559" s="61"/>
    </row>
    <row r="560">
      <c r="A560" s="184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185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  <c r="CD560" s="61"/>
      <c r="CE560" s="61"/>
      <c r="CF560" s="61"/>
      <c r="CG560" s="61"/>
      <c r="CH560" s="61"/>
      <c r="CI560" s="61"/>
      <c r="CJ560" s="61"/>
      <c r="CK560" s="61"/>
      <c r="CL560" s="61"/>
      <c r="CM560" s="61"/>
    </row>
    <row r="561">
      <c r="A561" s="184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185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  <c r="CD561" s="61"/>
      <c r="CE561" s="61"/>
      <c r="CF561" s="61"/>
      <c r="CG561" s="61"/>
      <c r="CH561" s="61"/>
      <c r="CI561" s="61"/>
      <c r="CJ561" s="61"/>
      <c r="CK561" s="61"/>
      <c r="CL561" s="61"/>
      <c r="CM561" s="61"/>
    </row>
    <row r="562">
      <c r="A562" s="184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185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61"/>
      <c r="CD562" s="61"/>
      <c r="CE562" s="61"/>
      <c r="CF562" s="61"/>
      <c r="CG562" s="61"/>
      <c r="CH562" s="61"/>
      <c r="CI562" s="61"/>
      <c r="CJ562" s="61"/>
      <c r="CK562" s="61"/>
      <c r="CL562" s="61"/>
      <c r="CM562" s="61"/>
    </row>
    <row r="563">
      <c r="A563" s="184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185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  <c r="CM563" s="61"/>
    </row>
    <row r="564">
      <c r="A564" s="184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185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</row>
    <row r="565">
      <c r="A565" s="184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185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  <c r="CD565" s="61"/>
      <c r="CE565" s="61"/>
      <c r="CF565" s="61"/>
      <c r="CG565" s="61"/>
      <c r="CH565" s="61"/>
      <c r="CI565" s="61"/>
      <c r="CJ565" s="61"/>
      <c r="CK565" s="61"/>
      <c r="CL565" s="61"/>
      <c r="CM565" s="61"/>
    </row>
    <row r="566">
      <c r="A566" s="184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185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  <c r="CD566" s="61"/>
      <c r="CE566" s="61"/>
      <c r="CF566" s="61"/>
      <c r="CG566" s="61"/>
      <c r="CH566" s="61"/>
      <c r="CI566" s="61"/>
      <c r="CJ566" s="61"/>
      <c r="CK566" s="61"/>
      <c r="CL566" s="61"/>
      <c r="CM566" s="61"/>
    </row>
    <row r="567">
      <c r="A567" s="184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185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  <c r="CD567" s="61"/>
      <c r="CE567" s="61"/>
      <c r="CF567" s="61"/>
      <c r="CG567" s="61"/>
      <c r="CH567" s="61"/>
      <c r="CI567" s="61"/>
      <c r="CJ567" s="61"/>
      <c r="CK567" s="61"/>
      <c r="CL567" s="61"/>
      <c r="CM567" s="61"/>
    </row>
    <row r="568">
      <c r="A568" s="184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185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  <c r="CD568" s="61"/>
      <c r="CE568" s="61"/>
      <c r="CF568" s="61"/>
      <c r="CG568" s="61"/>
      <c r="CH568" s="61"/>
      <c r="CI568" s="61"/>
      <c r="CJ568" s="61"/>
      <c r="CK568" s="61"/>
      <c r="CL568" s="61"/>
      <c r="CM568" s="61"/>
    </row>
    <row r="569">
      <c r="A569" s="184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185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  <c r="CD569" s="61"/>
      <c r="CE569" s="61"/>
      <c r="CF569" s="61"/>
      <c r="CG569" s="61"/>
      <c r="CH569" s="61"/>
      <c r="CI569" s="61"/>
      <c r="CJ569" s="61"/>
      <c r="CK569" s="61"/>
      <c r="CL569" s="61"/>
      <c r="CM569" s="61"/>
    </row>
    <row r="570">
      <c r="A570" s="184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185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  <c r="CD570" s="61"/>
      <c r="CE570" s="61"/>
      <c r="CF570" s="61"/>
      <c r="CG570" s="61"/>
      <c r="CH570" s="61"/>
      <c r="CI570" s="61"/>
      <c r="CJ570" s="61"/>
      <c r="CK570" s="61"/>
      <c r="CL570" s="61"/>
      <c r="CM570" s="61"/>
    </row>
    <row r="571">
      <c r="A571" s="184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185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  <c r="CD571" s="61"/>
      <c r="CE571" s="61"/>
      <c r="CF571" s="61"/>
      <c r="CG571" s="61"/>
      <c r="CH571" s="61"/>
      <c r="CI571" s="61"/>
      <c r="CJ571" s="61"/>
      <c r="CK571" s="61"/>
      <c r="CL571" s="61"/>
      <c r="CM571" s="61"/>
    </row>
    <row r="572">
      <c r="A572" s="184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185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  <c r="CD572" s="61"/>
      <c r="CE572" s="61"/>
      <c r="CF572" s="61"/>
      <c r="CG572" s="61"/>
      <c r="CH572" s="61"/>
      <c r="CI572" s="61"/>
      <c r="CJ572" s="61"/>
      <c r="CK572" s="61"/>
      <c r="CL572" s="61"/>
      <c r="CM572" s="61"/>
    </row>
    <row r="573">
      <c r="A573" s="184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185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  <c r="CD573" s="61"/>
      <c r="CE573" s="61"/>
      <c r="CF573" s="61"/>
      <c r="CG573" s="61"/>
      <c r="CH573" s="61"/>
      <c r="CI573" s="61"/>
      <c r="CJ573" s="61"/>
      <c r="CK573" s="61"/>
      <c r="CL573" s="61"/>
      <c r="CM573" s="61"/>
    </row>
    <row r="574">
      <c r="A574" s="184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185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  <c r="CD574" s="61"/>
      <c r="CE574" s="61"/>
      <c r="CF574" s="61"/>
      <c r="CG574" s="61"/>
      <c r="CH574" s="61"/>
      <c r="CI574" s="61"/>
      <c r="CJ574" s="61"/>
      <c r="CK574" s="61"/>
      <c r="CL574" s="61"/>
      <c r="CM574" s="61"/>
    </row>
    <row r="575">
      <c r="A575" s="184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185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  <c r="CD575" s="61"/>
      <c r="CE575" s="61"/>
      <c r="CF575" s="61"/>
      <c r="CG575" s="61"/>
      <c r="CH575" s="61"/>
      <c r="CI575" s="61"/>
      <c r="CJ575" s="61"/>
      <c r="CK575" s="61"/>
      <c r="CL575" s="61"/>
      <c r="CM575" s="61"/>
    </row>
    <row r="576">
      <c r="A576" s="184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185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</row>
    <row r="577">
      <c r="A577" s="184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185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</row>
    <row r="578">
      <c r="A578" s="184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185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  <c r="CD578" s="61"/>
      <c r="CE578" s="61"/>
      <c r="CF578" s="61"/>
      <c r="CG578" s="61"/>
      <c r="CH578" s="61"/>
      <c r="CI578" s="61"/>
      <c r="CJ578" s="61"/>
      <c r="CK578" s="61"/>
      <c r="CL578" s="61"/>
      <c r="CM578" s="61"/>
    </row>
    <row r="579">
      <c r="A579" s="184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185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  <c r="CD579" s="61"/>
      <c r="CE579" s="61"/>
      <c r="CF579" s="61"/>
      <c r="CG579" s="61"/>
      <c r="CH579" s="61"/>
      <c r="CI579" s="61"/>
      <c r="CJ579" s="61"/>
      <c r="CK579" s="61"/>
      <c r="CL579" s="61"/>
      <c r="CM579" s="61"/>
    </row>
    <row r="580">
      <c r="A580" s="184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185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  <c r="CD580" s="61"/>
      <c r="CE580" s="61"/>
      <c r="CF580" s="61"/>
      <c r="CG580" s="61"/>
      <c r="CH580" s="61"/>
      <c r="CI580" s="61"/>
      <c r="CJ580" s="61"/>
      <c r="CK580" s="61"/>
      <c r="CL580" s="61"/>
      <c r="CM580" s="61"/>
    </row>
    <row r="581">
      <c r="A581" s="184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185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  <c r="CD581" s="61"/>
      <c r="CE581" s="61"/>
      <c r="CF581" s="61"/>
      <c r="CG581" s="61"/>
      <c r="CH581" s="61"/>
      <c r="CI581" s="61"/>
      <c r="CJ581" s="61"/>
      <c r="CK581" s="61"/>
      <c r="CL581" s="61"/>
      <c r="CM581" s="61"/>
    </row>
    <row r="582">
      <c r="A582" s="184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185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  <c r="CD582" s="61"/>
      <c r="CE582" s="61"/>
      <c r="CF582" s="61"/>
      <c r="CG582" s="61"/>
      <c r="CH582" s="61"/>
      <c r="CI582" s="61"/>
      <c r="CJ582" s="61"/>
      <c r="CK582" s="61"/>
      <c r="CL582" s="61"/>
      <c r="CM582" s="61"/>
    </row>
    <row r="583">
      <c r="A583" s="184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185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  <c r="CD583" s="61"/>
      <c r="CE583" s="61"/>
      <c r="CF583" s="61"/>
      <c r="CG583" s="61"/>
      <c r="CH583" s="61"/>
      <c r="CI583" s="61"/>
      <c r="CJ583" s="61"/>
      <c r="CK583" s="61"/>
      <c r="CL583" s="61"/>
      <c r="CM583" s="61"/>
    </row>
    <row r="584">
      <c r="A584" s="184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185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  <c r="CD584" s="61"/>
      <c r="CE584" s="61"/>
      <c r="CF584" s="61"/>
      <c r="CG584" s="61"/>
      <c r="CH584" s="61"/>
      <c r="CI584" s="61"/>
      <c r="CJ584" s="61"/>
      <c r="CK584" s="61"/>
      <c r="CL584" s="61"/>
      <c r="CM584" s="61"/>
    </row>
    <row r="585">
      <c r="A585" s="184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185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  <c r="CD585" s="61"/>
      <c r="CE585" s="61"/>
      <c r="CF585" s="61"/>
      <c r="CG585" s="61"/>
      <c r="CH585" s="61"/>
      <c r="CI585" s="61"/>
      <c r="CJ585" s="61"/>
      <c r="CK585" s="61"/>
      <c r="CL585" s="61"/>
      <c r="CM585" s="61"/>
    </row>
    <row r="586">
      <c r="A586" s="184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185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  <c r="CD586" s="61"/>
      <c r="CE586" s="61"/>
      <c r="CF586" s="61"/>
      <c r="CG586" s="61"/>
      <c r="CH586" s="61"/>
      <c r="CI586" s="61"/>
      <c r="CJ586" s="61"/>
      <c r="CK586" s="61"/>
      <c r="CL586" s="61"/>
      <c r="CM586" s="61"/>
    </row>
    <row r="587">
      <c r="A587" s="184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185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  <c r="CD587" s="61"/>
      <c r="CE587" s="61"/>
      <c r="CF587" s="61"/>
      <c r="CG587" s="61"/>
      <c r="CH587" s="61"/>
      <c r="CI587" s="61"/>
      <c r="CJ587" s="61"/>
      <c r="CK587" s="61"/>
      <c r="CL587" s="61"/>
      <c r="CM587" s="61"/>
    </row>
    <row r="588">
      <c r="A588" s="184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185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  <c r="CD588" s="61"/>
      <c r="CE588" s="61"/>
      <c r="CF588" s="61"/>
      <c r="CG588" s="61"/>
      <c r="CH588" s="61"/>
      <c r="CI588" s="61"/>
      <c r="CJ588" s="61"/>
      <c r="CK588" s="61"/>
      <c r="CL588" s="61"/>
      <c r="CM588" s="61"/>
    </row>
    <row r="589">
      <c r="A589" s="184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185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  <c r="CD589" s="61"/>
      <c r="CE589" s="61"/>
      <c r="CF589" s="61"/>
      <c r="CG589" s="61"/>
      <c r="CH589" s="61"/>
      <c r="CI589" s="61"/>
      <c r="CJ589" s="61"/>
      <c r="CK589" s="61"/>
      <c r="CL589" s="61"/>
      <c r="CM589" s="61"/>
    </row>
    <row r="590">
      <c r="A590" s="184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185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  <c r="CD590" s="61"/>
      <c r="CE590" s="61"/>
      <c r="CF590" s="61"/>
      <c r="CG590" s="61"/>
      <c r="CH590" s="61"/>
      <c r="CI590" s="61"/>
      <c r="CJ590" s="61"/>
      <c r="CK590" s="61"/>
      <c r="CL590" s="61"/>
      <c r="CM590" s="61"/>
    </row>
    <row r="591">
      <c r="A591" s="184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185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</row>
    <row r="592">
      <c r="A592" s="184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185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  <c r="CD592" s="61"/>
      <c r="CE592" s="61"/>
      <c r="CF592" s="61"/>
      <c r="CG592" s="61"/>
      <c r="CH592" s="61"/>
      <c r="CI592" s="61"/>
      <c r="CJ592" s="61"/>
      <c r="CK592" s="61"/>
      <c r="CL592" s="61"/>
      <c r="CM592" s="61"/>
    </row>
    <row r="593">
      <c r="A593" s="184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185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  <c r="CD593" s="61"/>
      <c r="CE593" s="61"/>
      <c r="CF593" s="61"/>
      <c r="CG593" s="61"/>
      <c r="CH593" s="61"/>
      <c r="CI593" s="61"/>
      <c r="CJ593" s="61"/>
      <c r="CK593" s="61"/>
      <c r="CL593" s="61"/>
      <c r="CM593" s="61"/>
    </row>
    <row r="594">
      <c r="A594" s="184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185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  <c r="CM594" s="61"/>
    </row>
    <row r="595">
      <c r="A595" s="184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185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  <c r="CD595" s="61"/>
      <c r="CE595" s="61"/>
      <c r="CF595" s="61"/>
      <c r="CG595" s="61"/>
      <c r="CH595" s="61"/>
      <c r="CI595" s="61"/>
      <c r="CJ595" s="61"/>
      <c r="CK595" s="61"/>
      <c r="CL595" s="61"/>
      <c r="CM595" s="61"/>
    </row>
    <row r="596">
      <c r="A596" s="184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185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  <c r="CD596" s="61"/>
      <c r="CE596" s="61"/>
      <c r="CF596" s="61"/>
      <c r="CG596" s="61"/>
      <c r="CH596" s="61"/>
      <c r="CI596" s="61"/>
      <c r="CJ596" s="61"/>
      <c r="CK596" s="61"/>
      <c r="CL596" s="61"/>
      <c r="CM596" s="61"/>
    </row>
    <row r="597">
      <c r="A597" s="184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185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  <c r="CD597" s="61"/>
      <c r="CE597" s="61"/>
      <c r="CF597" s="61"/>
      <c r="CG597" s="61"/>
      <c r="CH597" s="61"/>
      <c r="CI597" s="61"/>
      <c r="CJ597" s="61"/>
      <c r="CK597" s="61"/>
      <c r="CL597" s="61"/>
      <c r="CM597" s="61"/>
    </row>
    <row r="598">
      <c r="A598" s="184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185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  <c r="CD598" s="61"/>
      <c r="CE598" s="61"/>
      <c r="CF598" s="61"/>
      <c r="CG598" s="61"/>
      <c r="CH598" s="61"/>
      <c r="CI598" s="61"/>
      <c r="CJ598" s="61"/>
      <c r="CK598" s="61"/>
      <c r="CL598" s="61"/>
      <c r="CM598" s="61"/>
    </row>
    <row r="599">
      <c r="A599" s="184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185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  <c r="CD599" s="61"/>
      <c r="CE599" s="61"/>
      <c r="CF599" s="61"/>
      <c r="CG599" s="61"/>
      <c r="CH599" s="61"/>
      <c r="CI599" s="61"/>
      <c r="CJ599" s="61"/>
      <c r="CK599" s="61"/>
      <c r="CL599" s="61"/>
      <c r="CM599" s="61"/>
    </row>
    <row r="600">
      <c r="A600" s="184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185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  <c r="CD600" s="61"/>
      <c r="CE600" s="61"/>
      <c r="CF600" s="61"/>
      <c r="CG600" s="61"/>
      <c r="CH600" s="61"/>
      <c r="CI600" s="61"/>
      <c r="CJ600" s="61"/>
      <c r="CK600" s="61"/>
      <c r="CL600" s="61"/>
      <c r="CM600" s="61"/>
    </row>
    <row r="601">
      <c r="A601" s="184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185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  <c r="CD601" s="61"/>
      <c r="CE601" s="61"/>
      <c r="CF601" s="61"/>
      <c r="CG601" s="61"/>
      <c r="CH601" s="61"/>
      <c r="CI601" s="61"/>
      <c r="CJ601" s="61"/>
      <c r="CK601" s="61"/>
      <c r="CL601" s="61"/>
      <c r="CM601" s="61"/>
    </row>
    <row r="602">
      <c r="A602" s="184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185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  <c r="CD602" s="61"/>
      <c r="CE602" s="61"/>
      <c r="CF602" s="61"/>
      <c r="CG602" s="61"/>
      <c r="CH602" s="61"/>
      <c r="CI602" s="61"/>
      <c r="CJ602" s="61"/>
      <c r="CK602" s="61"/>
      <c r="CL602" s="61"/>
      <c r="CM602" s="61"/>
    </row>
    <row r="603">
      <c r="A603" s="184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185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  <c r="CD603" s="61"/>
      <c r="CE603" s="61"/>
      <c r="CF603" s="61"/>
      <c r="CG603" s="61"/>
      <c r="CH603" s="61"/>
      <c r="CI603" s="61"/>
      <c r="CJ603" s="61"/>
      <c r="CK603" s="61"/>
      <c r="CL603" s="61"/>
      <c r="CM603" s="61"/>
    </row>
    <row r="604">
      <c r="A604" s="184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185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  <c r="CD604" s="61"/>
      <c r="CE604" s="61"/>
      <c r="CF604" s="61"/>
      <c r="CG604" s="61"/>
      <c r="CH604" s="61"/>
      <c r="CI604" s="61"/>
      <c r="CJ604" s="61"/>
      <c r="CK604" s="61"/>
      <c r="CL604" s="61"/>
      <c r="CM604" s="61"/>
    </row>
    <row r="605">
      <c r="A605" s="184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185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  <c r="CD605" s="61"/>
      <c r="CE605" s="61"/>
      <c r="CF605" s="61"/>
      <c r="CG605" s="61"/>
      <c r="CH605" s="61"/>
      <c r="CI605" s="61"/>
      <c r="CJ605" s="61"/>
      <c r="CK605" s="61"/>
      <c r="CL605" s="61"/>
      <c r="CM605" s="61"/>
    </row>
    <row r="606">
      <c r="A606" s="184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185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  <c r="CD606" s="61"/>
      <c r="CE606" s="61"/>
      <c r="CF606" s="61"/>
      <c r="CG606" s="61"/>
      <c r="CH606" s="61"/>
      <c r="CI606" s="61"/>
      <c r="CJ606" s="61"/>
      <c r="CK606" s="61"/>
      <c r="CL606" s="61"/>
      <c r="CM606" s="61"/>
    </row>
    <row r="607">
      <c r="A607" s="184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185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  <c r="CD607" s="61"/>
      <c r="CE607" s="61"/>
      <c r="CF607" s="61"/>
      <c r="CG607" s="61"/>
      <c r="CH607" s="61"/>
      <c r="CI607" s="61"/>
      <c r="CJ607" s="61"/>
      <c r="CK607" s="61"/>
      <c r="CL607" s="61"/>
      <c r="CM607" s="61"/>
    </row>
    <row r="608">
      <c r="A608" s="184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185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61"/>
      <c r="CD608" s="61"/>
      <c r="CE608" s="61"/>
      <c r="CF608" s="61"/>
      <c r="CG608" s="61"/>
      <c r="CH608" s="61"/>
      <c r="CI608" s="61"/>
      <c r="CJ608" s="61"/>
      <c r="CK608" s="61"/>
      <c r="CL608" s="61"/>
      <c r="CM608" s="61"/>
    </row>
    <row r="609">
      <c r="A609" s="184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185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  <c r="CD609" s="61"/>
      <c r="CE609" s="61"/>
      <c r="CF609" s="61"/>
      <c r="CG609" s="61"/>
      <c r="CH609" s="61"/>
      <c r="CI609" s="61"/>
      <c r="CJ609" s="61"/>
      <c r="CK609" s="61"/>
      <c r="CL609" s="61"/>
      <c r="CM609" s="61"/>
    </row>
    <row r="610">
      <c r="A610" s="184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185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  <c r="CD610" s="61"/>
      <c r="CE610" s="61"/>
      <c r="CF610" s="61"/>
      <c r="CG610" s="61"/>
      <c r="CH610" s="61"/>
      <c r="CI610" s="61"/>
      <c r="CJ610" s="61"/>
      <c r="CK610" s="61"/>
      <c r="CL610" s="61"/>
      <c r="CM610" s="61"/>
    </row>
    <row r="611">
      <c r="A611" s="184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185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  <c r="CD611" s="61"/>
      <c r="CE611" s="61"/>
      <c r="CF611" s="61"/>
      <c r="CG611" s="61"/>
      <c r="CH611" s="61"/>
      <c r="CI611" s="61"/>
      <c r="CJ611" s="61"/>
      <c r="CK611" s="61"/>
      <c r="CL611" s="61"/>
      <c r="CM611" s="61"/>
    </row>
    <row r="612">
      <c r="A612" s="184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185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</row>
    <row r="613">
      <c r="A613" s="184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185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</row>
    <row r="614">
      <c r="A614" s="184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185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  <c r="CD614" s="61"/>
      <c r="CE614" s="61"/>
      <c r="CF614" s="61"/>
      <c r="CG614" s="61"/>
      <c r="CH614" s="61"/>
      <c r="CI614" s="61"/>
      <c r="CJ614" s="61"/>
      <c r="CK614" s="61"/>
      <c r="CL614" s="61"/>
      <c r="CM614" s="61"/>
    </row>
    <row r="615">
      <c r="A615" s="184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185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  <c r="CD615" s="61"/>
      <c r="CE615" s="61"/>
      <c r="CF615" s="61"/>
      <c r="CG615" s="61"/>
      <c r="CH615" s="61"/>
      <c r="CI615" s="61"/>
      <c r="CJ615" s="61"/>
      <c r="CK615" s="61"/>
      <c r="CL615" s="61"/>
      <c r="CM615" s="61"/>
    </row>
    <row r="616">
      <c r="A616" s="184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185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  <c r="CD616" s="61"/>
      <c r="CE616" s="61"/>
      <c r="CF616" s="61"/>
      <c r="CG616" s="61"/>
      <c r="CH616" s="61"/>
      <c r="CI616" s="61"/>
      <c r="CJ616" s="61"/>
      <c r="CK616" s="61"/>
      <c r="CL616" s="61"/>
      <c r="CM616" s="61"/>
    </row>
    <row r="617">
      <c r="A617" s="184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185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  <c r="CD617" s="61"/>
      <c r="CE617" s="61"/>
      <c r="CF617" s="61"/>
      <c r="CG617" s="61"/>
      <c r="CH617" s="61"/>
      <c r="CI617" s="61"/>
      <c r="CJ617" s="61"/>
      <c r="CK617" s="61"/>
      <c r="CL617" s="61"/>
      <c r="CM617" s="61"/>
    </row>
    <row r="618">
      <c r="A618" s="184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185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  <c r="CD618" s="61"/>
      <c r="CE618" s="61"/>
      <c r="CF618" s="61"/>
      <c r="CG618" s="61"/>
      <c r="CH618" s="61"/>
      <c r="CI618" s="61"/>
      <c r="CJ618" s="61"/>
      <c r="CK618" s="61"/>
      <c r="CL618" s="61"/>
      <c r="CM618" s="61"/>
    </row>
    <row r="619">
      <c r="A619" s="184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185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  <c r="CD619" s="61"/>
      <c r="CE619" s="61"/>
      <c r="CF619" s="61"/>
      <c r="CG619" s="61"/>
      <c r="CH619" s="61"/>
      <c r="CI619" s="61"/>
      <c r="CJ619" s="61"/>
      <c r="CK619" s="61"/>
      <c r="CL619" s="61"/>
      <c r="CM619" s="61"/>
    </row>
    <row r="620">
      <c r="A620" s="184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185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  <c r="CD620" s="61"/>
      <c r="CE620" s="61"/>
      <c r="CF620" s="61"/>
      <c r="CG620" s="61"/>
      <c r="CH620" s="61"/>
      <c r="CI620" s="61"/>
      <c r="CJ620" s="61"/>
      <c r="CK620" s="61"/>
      <c r="CL620" s="61"/>
      <c r="CM620" s="61"/>
    </row>
    <row r="621">
      <c r="A621" s="184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185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  <c r="CD621" s="61"/>
      <c r="CE621" s="61"/>
      <c r="CF621" s="61"/>
      <c r="CG621" s="61"/>
      <c r="CH621" s="61"/>
      <c r="CI621" s="61"/>
      <c r="CJ621" s="61"/>
      <c r="CK621" s="61"/>
      <c r="CL621" s="61"/>
      <c r="CM621" s="61"/>
    </row>
    <row r="622">
      <c r="A622" s="184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185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  <c r="CD622" s="61"/>
      <c r="CE622" s="61"/>
      <c r="CF622" s="61"/>
      <c r="CG622" s="61"/>
      <c r="CH622" s="61"/>
      <c r="CI622" s="61"/>
      <c r="CJ622" s="61"/>
      <c r="CK622" s="61"/>
      <c r="CL622" s="61"/>
      <c r="CM622" s="61"/>
    </row>
    <row r="623">
      <c r="A623" s="184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185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  <c r="CD623" s="61"/>
      <c r="CE623" s="61"/>
      <c r="CF623" s="61"/>
      <c r="CG623" s="61"/>
      <c r="CH623" s="61"/>
      <c r="CI623" s="61"/>
      <c r="CJ623" s="61"/>
      <c r="CK623" s="61"/>
      <c r="CL623" s="61"/>
      <c r="CM623" s="61"/>
    </row>
    <row r="624">
      <c r="A624" s="184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185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</row>
    <row r="625">
      <c r="A625" s="184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185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</row>
    <row r="626">
      <c r="A626" s="184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185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  <c r="CD626" s="61"/>
      <c r="CE626" s="61"/>
      <c r="CF626" s="61"/>
      <c r="CG626" s="61"/>
      <c r="CH626" s="61"/>
      <c r="CI626" s="61"/>
      <c r="CJ626" s="61"/>
      <c r="CK626" s="61"/>
      <c r="CL626" s="61"/>
      <c r="CM626" s="61"/>
    </row>
    <row r="627">
      <c r="A627" s="184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185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  <c r="CD627" s="61"/>
      <c r="CE627" s="61"/>
      <c r="CF627" s="61"/>
      <c r="CG627" s="61"/>
      <c r="CH627" s="61"/>
      <c r="CI627" s="61"/>
      <c r="CJ627" s="61"/>
      <c r="CK627" s="61"/>
      <c r="CL627" s="61"/>
      <c r="CM627" s="61"/>
    </row>
    <row r="628">
      <c r="A628" s="184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185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  <c r="CD628" s="61"/>
      <c r="CE628" s="61"/>
      <c r="CF628" s="61"/>
      <c r="CG628" s="61"/>
      <c r="CH628" s="61"/>
      <c r="CI628" s="61"/>
      <c r="CJ628" s="61"/>
      <c r="CK628" s="61"/>
      <c r="CL628" s="61"/>
      <c r="CM628" s="61"/>
    </row>
    <row r="629">
      <c r="A629" s="184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185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  <c r="CD629" s="61"/>
      <c r="CE629" s="61"/>
      <c r="CF629" s="61"/>
      <c r="CG629" s="61"/>
      <c r="CH629" s="61"/>
      <c r="CI629" s="61"/>
      <c r="CJ629" s="61"/>
      <c r="CK629" s="61"/>
      <c r="CL629" s="61"/>
      <c r="CM629" s="61"/>
    </row>
    <row r="630">
      <c r="A630" s="184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185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61"/>
      <c r="CD630" s="61"/>
      <c r="CE630" s="61"/>
      <c r="CF630" s="61"/>
      <c r="CG630" s="61"/>
      <c r="CH630" s="61"/>
      <c r="CI630" s="61"/>
      <c r="CJ630" s="61"/>
      <c r="CK630" s="61"/>
      <c r="CL630" s="61"/>
      <c r="CM630" s="61"/>
    </row>
    <row r="631">
      <c r="A631" s="184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185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  <c r="CD631" s="61"/>
      <c r="CE631" s="61"/>
      <c r="CF631" s="61"/>
      <c r="CG631" s="61"/>
      <c r="CH631" s="61"/>
      <c r="CI631" s="61"/>
      <c r="CJ631" s="61"/>
      <c r="CK631" s="61"/>
      <c r="CL631" s="61"/>
      <c r="CM631" s="61"/>
    </row>
    <row r="632">
      <c r="A632" s="184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185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  <c r="CD632" s="61"/>
      <c r="CE632" s="61"/>
      <c r="CF632" s="61"/>
      <c r="CG632" s="61"/>
      <c r="CH632" s="61"/>
      <c r="CI632" s="61"/>
      <c r="CJ632" s="61"/>
      <c r="CK632" s="61"/>
      <c r="CL632" s="61"/>
      <c r="CM632" s="61"/>
    </row>
    <row r="633">
      <c r="A633" s="184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185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  <c r="CD633" s="61"/>
      <c r="CE633" s="61"/>
      <c r="CF633" s="61"/>
      <c r="CG633" s="61"/>
      <c r="CH633" s="61"/>
      <c r="CI633" s="61"/>
      <c r="CJ633" s="61"/>
      <c r="CK633" s="61"/>
      <c r="CL633" s="61"/>
      <c r="CM633" s="61"/>
    </row>
    <row r="634">
      <c r="A634" s="184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185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  <c r="CD634" s="61"/>
      <c r="CE634" s="61"/>
      <c r="CF634" s="61"/>
      <c r="CG634" s="61"/>
      <c r="CH634" s="61"/>
      <c r="CI634" s="61"/>
      <c r="CJ634" s="61"/>
      <c r="CK634" s="61"/>
      <c r="CL634" s="61"/>
      <c r="CM634" s="61"/>
    </row>
    <row r="635">
      <c r="A635" s="184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185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  <c r="CD635" s="61"/>
      <c r="CE635" s="61"/>
      <c r="CF635" s="61"/>
      <c r="CG635" s="61"/>
      <c r="CH635" s="61"/>
      <c r="CI635" s="61"/>
      <c r="CJ635" s="61"/>
      <c r="CK635" s="61"/>
      <c r="CL635" s="61"/>
      <c r="CM635" s="61"/>
    </row>
    <row r="636">
      <c r="A636" s="184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185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  <c r="CD636" s="61"/>
      <c r="CE636" s="61"/>
      <c r="CF636" s="61"/>
      <c r="CG636" s="61"/>
      <c r="CH636" s="61"/>
      <c r="CI636" s="61"/>
      <c r="CJ636" s="61"/>
      <c r="CK636" s="61"/>
      <c r="CL636" s="61"/>
      <c r="CM636" s="61"/>
    </row>
    <row r="637">
      <c r="A637" s="184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185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</row>
    <row r="638">
      <c r="A638" s="184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185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</row>
    <row r="639">
      <c r="A639" s="184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185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  <c r="BZ639" s="61"/>
      <c r="CA639" s="61"/>
      <c r="CB639" s="61"/>
      <c r="CC639" s="61"/>
      <c r="CD639" s="61"/>
      <c r="CE639" s="61"/>
      <c r="CF639" s="61"/>
      <c r="CG639" s="61"/>
      <c r="CH639" s="61"/>
      <c r="CI639" s="61"/>
      <c r="CJ639" s="61"/>
      <c r="CK639" s="61"/>
      <c r="CL639" s="61"/>
      <c r="CM639" s="61"/>
    </row>
    <row r="640">
      <c r="A640" s="184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185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  <c r="CD640" s="61"/>
      <c r="CE640" s="61"/>
      <c r="CF640" s="61"/>
      <c r="CG640" s="61"/>
      <c r="CH640" s="61"/>
      <c r="CI640" s="61"/>
      <c r="CJ640" s="61"/>
      <c r="CK640" s="61"/>
      <c r="CL640" s="61"/>
      <c r="CM640" s="61"/>
    </row>
    <row r="641">
      <c r="A641" s="184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185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  <c r="CD641" s="61"/>
      <c r="CE641" s="61"/>
      <c r="CF641" s="61"/>
      <c r="CG641" s="61"/>
      <c r="CH641" s="61"/>
      <c r="CI641" s="61"/>
      <c r="CJ641" s="61"/>
      <c r="CK641" s="61"/>
      <c r="CL641" s="61"/>
      <c r="CM641" s="61"/>
    </row>
    <row r="642">
      <c r="A642" s="184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185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  <c r="CD642" s="61"/>
      <c r="CE642" s="61"/>
      <c r="CF642" s="61"/>
      <c r="CG642" s="61"/>
      <c r="CH642" s="61"/>
      <c r="CI642" s="61"/>
      <c r="CJ642" s="61"/>
      <c r="CK642" s="61"/>
      <c r="CL642" s="61"/>
      <c r="CM642" s="61"/>
    </row>
    <row r="643">
      <c r="A643" s="184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185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  <c r="CD643" s="61"/>
      <c r="CE643" s="61"/>
      <c r="CF643" s="61"/>
      <c r="CG643" s="61"/>
      <c r="CH643" s="61"/>
      <c r="CI643" s="61"/>
      <c r="CJ643" s="61"/>
      <c r="CK643" s="61"/>
      <c r="CL643" s="61"/>
      <c r="CM643" s="61"/>
    </row>
    <row r="644">
      <c r="A644" s="184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185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  <c r="CD644" s="61"/>
      <c r="CE644" s="61"/>
      <c r="CF644" s="61"/>
      <c r="CG644" s="61"/>
      <c r="CH644" s="61"/>
      <c r="CI644" s="61"/>
      <c r="CJ644" s="61"/>
      <c r="CK644" s="61"/>
      <c r="CL644" s="61"/>
      <c r="CM644" s="61"/>
    </row>
    <row r="645">
      <c r="A645" s="184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185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  <c r="CD645" s="61"/>
      <c r="CE645" s="61"/>
      <c r="CF645" s="61"/>
      <c r="CG645" s="61"/>
      <c r="CH645" s="61"/>
      <c r="CI645" s="61"/>
      <c r="CJ645" s="61"/>
      <c r="CK645" s="61"/>
      <c r="CL645" s="61"/>
      <c r="CM645" s="61"/>
    </row>
    <row r="646">
      <c r="A646" s="184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185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  <c r="CD646" s="61"/>
      <c r="CE646" s="61"/>
      <c r="CF646" s="61"/>
      <c r="CG646" s="61"/>
      <c r="CH646" s="61"/>
      <c r="CI646" s="61"/>
      <c r="CJ646" s="61"/>
      <c r="CK646" s="61"/>
      <c r="CL646" s="61"/>
      <c r="CM646" s="61"/>
    </row>
    <row r="647">
      <c r="A647" s="184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185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  <c r="CD647" s="61"/>
      <c r="CE647" s="61"/>
      <c r="CF647" s="61"/>
      <c r="CG647" s="61"/>
      <c r="CH647" s="61"/>
      <c r="CI647" s="61"/>
      <c r="CJ647" s="61"/>
      <c r="CK647" s="61"/>
      <c r="CL647" s="61"/>
      <c r="CM647" s="61"/>
    </row>
    <row r="648">
      <c r="A648" s="184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185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  <c r="CD648" s="61"/>
      <c r="CE648" s="61"/>
      <c r="CF648" s="61"/>
      <c r="CG648" s="61"/>
      <c r="CH648" s="61"/>
      <c r="CI648" s="61"/>
      <c r="CJ648" s="61"/>
      <c r="CK648" s="61"/>
      <c r="CL648" s="61"/>
      <c r="CM648" s="61"/>
    </row>
    <row r="649">
      <c r="A649" s="184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185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  <c r="CD649" s="61"/>
      <c r="CE649" s="61"/>
      <c r="CF649" s="61"/>
      <c r="CG649" s="61"/>
      <c r="CH649" s="61"/>
      <c r="CI649" s="61"/>
      <c r="CJ649" s="61"/>
      <c r="CK649" s="61"/>
      <c r="CL649" s="61"/>
      <c r="CM649" s="61"/>
    </row>
    <row r="650">
      <c r="A650" s="184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185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  <c r="CD650" s="61"/>
      <c r="CE650" s="61"/>
      <c r="CF650" s="61"/>
      <c r="CG650" s="61"/>
      <c r="CH650" s="61"/>
      <c r="CI650" s="61"/>
      <c r="CJ650" s="61"/>
      <c r="CK650" s="61"/>
      <c r="CL650" s="61"/>
      <c r="CM650" s="61"/>
    </row>
    <row r="651">
      <c r="A651" s="184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185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  <c r="CD651" s="61"/>
      <c r="CE651" s="61"/>
      <c r="CF651" s="61"/>
      <c r="CG651" s="61"/>
      <c r="CH651" s="61"/>
      <c r="CI651" s="61"/>
      <c r="CJ651" s="61"/>
      <c r="CK651" s="61"/>
      <c r="CL651" s="61"/>
      <c r="CM651" s="61"/>
    </row>
    <row r="652">
      <c r="A652" s="184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185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  <c r="CD652" s="61"/>
      <c r="CE652" s="61"/>
      <c r="CF652" s="61"/>
      <c r="CG652" s="61"/>
      <c r="CH652" s="61"/>
      <c r="CI652" s="61"/>
      <c r="CJ652" s="61"/>
      <c r="CK652" s="61"/>
      <c r="CL652" s="61"/>
      <c r="CM652" s="61"/>
    </row>
    <row r="653">
      <c r="A653" s="184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185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  <c r="CD653" s="61"/>
      <c r="CE653" s="61"/>
      <c r="CF653" s="61"/>
      <c r="CG653" s="61"/>
      <c r="CH653" s="61"/>
      <c r="CI653" s="61"/>
      <c r="CJ653" s="61"/>
      <c r="CK653" s="61"/>
      <c r="CL653" s="61"/>
      <c r="CM653" s="61"/>
    </row>
    <row r="654">
      <c r="A654" s="184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185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  <c r="CD654" s="61"/>
      <c r="CE654" s="61"/>
      <c r="CF654" s="61"/>
      <c r="CG654" s="61"/>
      <c r="CH654" s="61"/>
      <c r="CI654" s="61"/>
      <c r="CJ654" s="61"/>
      <c r="CK654" s="61"/>
      <c r="CL654" s="61"/>
      <c r="CM654" s="61"/>
    </row>
    <row r="655">
      <c r="A655" s="184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185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  <c r="CD655" s="61"/>
      <c r="CE655" s="61"/>
      <c r="CF655" s="61"/>
      <c r="CG655" s="61"/>
      <c r="CH655" s="61"/>
      <c r="CI655" s="61"/>
      <c r="CJ655" s="61"/>
      <c r="CK655" s="61"/>
      <c r="CL655" s="61"/>
      <c r="CM655" s="61"/>
    </row>
    <row r="656">
      <c r="A656" s="184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185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  <c r="CM656" s="61"/>
    </row>
    <row r="657">
      <c r="A657" s="184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185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  <c r="CD657" s="61"/>
      <c r="CE657" s="61"/>
      <c r="CF657" s="61"/>
      <c r="CG657" s="61"/>
      <c r="CH657" s="61"/>
      <c r="CI657" s="61"/>
      <c r="CJ657" s="61"/>
      <c r="CK657" s="61"/>
      <c r="CL657" s="61"/>
      <c r="CM657" s="61"/>
    </row>
    <row r="658">
      <c r="A658" s="184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185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  <c r="CD658" s="61"/>
      <c r="CE658" s="61"/>
      <c r="CF658" s="61"/>
      <c r="CG658" s="61"/>
      <c r="CH658" s="61"/>
      <c r="CI658" s="61"/>
      <c r="CJ658" s="61"/>
      <c r="CK658" s="61"/>
      <c r="CL658" s="61"/>
      <c r="CM658" s="61"/>
    </row>
    <row r="659">
      <c r="A659" s="184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185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  <c r="CD659" s="61"/>
      <c r="CE659" s="61"/>
      <c r="CF659" s="61"/>
      <c r="CG659" s="61"/>
      <c r="CH659" s="61"/>
      <c r="CI659" s="61"/>
      <c r="CJ659" s="61"/>
      <c r="CK659" s="61"/>
      <c r="CL659" s="61"/>
      <c r="CM659" s="61"/>
    </row>
    <row r="660">
      <c r="A660" s="184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185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  <c r="CD660" s="61"/>
      <c r="CE660" s="61"/>
      <c r="CF660" s="61"/>
      <c r="CG660" s="61"/>
      <c r="CH660" s="61"/>
      <c r="CI660" s="61"/>
      <c r="CJ660" s="61"/>
      <c r="CK660" s="61"/>
      <c r="CL660" s="61"/>
      <c r="CM660" s="61"/>
    </row>
    <row r="661">
      <c r="A661" s="184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185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  <c r="CD661" s="61"/>
      <c r="CE661" s="61"/>
      <c r="CF661" s="61"/>
      <c r="CG661" s="61"/>
      <c r="CH661" s="61"/>
      <c r="CI661" s="61"/>
      <c r="CJ661" s="61"/>
      <c r="CK661" s="61"/>
      <c r="CL661" s="61"/>
      <c r="CM661" s="61"/>
    </row>
    <row r="662">
      <c r="A662" s="184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185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  <c r="CD662" s="61"/>
      <c r="CE662" s="61"/>
      <c r="CF662" s="61"/>
      <c r="CG662" s="61"/>
      <c r="CH662" s="61"/>
      <c r="CI662" s="61"/>
      <c r="CJ662" s="61"/>
      <c r="CK662" s="61"/>
      <c r="CL662" s="61"/>
      <c r="CM662" s="61"/>
    </row>
    <row r="663">
      <c r="A663" s="184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185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  <c r="CD663" s="61"/>
      <c r="CE663" s="61"/>
      <c r="CF663" s="61"/>
      <c r="CG663" s="61"/>
      <c r="CH663" s="61"/>
      <c r="CI663" s="61"/>
      <c r="CJ663" s="61"/>
      <c r="CK663" s="61"/>
      <c r="CL663" s="61"/>
      <c r="CM663" s="61"/>
    </row>
    <row r="664">
      <c r="A664" s="184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185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  <c r="CD664" s="61"/>
      <c r="CE664" s="61"/>
      <c r="CF664" s="61"/>
      <c r="CG664" s="61"/>
      <c r="CH664" s="61"/>
      <c r="CI664" s="61"/>
      <c r="CJ664" s="61"/>
      <c r="CK664" s="61"/>
      <c r="CL664" s="61"/>
      <c r="CM664" s="61"/>
    </row>
    <row r="665">
      <c r="A665" s="184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185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  <c r="CD665" s="61"/>
      <c r="CE665" s="61"/>
      <c r="CF665" s="61"/>
      <c r="CG665" s="61"/>
      <c r="CH665" s="61"/>
      <c r="CI665" s="61"/>
      <c r="CJ665" s="61"/>
      <c r="CK665" s="61"/>
      <c r="CL665" s="61"/>
      <c r="CM665" s="61"/>
    </row>
    <row r="666">
      <c r="A666" s="184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185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  <c r="CD666" s="61"/>
      <c r="CE666" s="61"/>
      <c r="CF666" s="61"/>
      <c r="CG666" s="61"/>
      <c r="CH666" s="61"/>
      <c r="CI666" s="61"/>
      <c r="CJ666" s="61"/>
      <c r="CK666" s="61"/>
      <c r="CL666" s="61"/>
      <c r="CM666" s="61"/>
    </row>
    <row r="667">
      <c r="A667" s="184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185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</row>
    <row r="668">
      <c r="A668" s="184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185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  <c r="CD668" s="61"/>
      <c r="CE668" s="61"/>
      <c r="CF668" s="61"/>
      <c r="CG668" s="61"/>
      <c r="CH668" s="61"/>
      <c r="CI668" s="61"/>
      <c r="CJ668" s="61"/>
      <c r="CK668" s="61"/>
      <c r="CL668" s="61"/>
      <c r="CM668" s="61"/>
    </row>
    <row r="669">
      <c r="A669" s="184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185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  <c r="CD669" s="61"/>
      <c r="CE669" s="61"/>
      <c r="CF669" s="61"/>
      <c r="CG669" s="61"/>
      <c r="CH669" s="61"/>
      <c r="CI669" s="61"/>
      <c r="CJ669" s="61"/>
      <c r="CK669" s="61"/>
      <c r="CL669" s="61"/>
      <c r="CM669" s="61"/>
    </row>
    <row r="670">
      <c r="A670" s="184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185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  <c r="CD670" s="61"/>
      <c r="CE670" s="61"/>
      <c r="CF670" s="61"/>
      <c r="CG670" s="61"/>
      <c r="CH670" s="61"/>
      <c r="CI670" s="61"/>
      <c r="CJ670" s="61"/>
      <c r="CK670" s="61"/>
      <c r="CL670" s="61"/>
      <c r="CM670" s="61"/>
    </row>
    <row r="671">
      <c r="A671" s="184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185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  <c r="CD671" s="61"/>
      <c r="CE671" s="61"/>
      <c r="CF671" s="61"/>
      <c r="CG671" s="61"/>
      <c r="CH671" s="61"/>
      <c r="CI671" s="61"/>
      <c r="CJ671" s="61"/>
      <c r="CK671" s="61"/>
      <c r="CL671" s="61"/>
      <c r="CM671" s="61"/>
    </row>
    <row r="672">
      <c r="A672" s="184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185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  <c r="CD672" s="61"/>
      <c r="CE672" s="61"/>
      <c r="CF672" s="61"/>
      <c r="CG672" s="61"/>
      <c r="CH672" s="61"/>
      <c r="CI672" s="61"/>
      <c r="CJ672" s="61"/>
      <c r="CK672" s="61"/>
      <c r="CL672" s="61"/>
      <c r="CM672" s="61"/>
    </row>
    <row r="673">
      <c r="A673" s="184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185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  <c r="CD673" s="61"/>
      <c r="CE673" s="61"/>
      <c r="CF673" s="61"/>
      <c r="CG673" s="61"/>
      <c r="CH673" s="61"/>
      <c r="CI673" s="61"/>
      <c r="CJ673" s="61"/>
      <c r="CK673" s="61"/>
      <c r="CL673" s="61"/>
      <c r="CM673" s="61"/>
    </row>
    <row r="674">
      <c r="A674" s="184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185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  <c r="CD674" s="61"/>
      <c r="CE674" s="61"/>
      <c r="CF674" s="61"/>
      <c r="CG674" s="61"/>
      <c r="CH674" s="61"/>
      <c r="CI674" s="61"/>
      <c r="CJ674" s="61"/>
      <c r="CK674" s="61"/>
      <c r="CL674" s="61"/>
      <c r="CM674" s="61"/>
    </row>
    <row r="675">
      <c r="A675" s="184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185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  <c r="CD675" s="61"/>
      <c r="CE675" s="61"/>
      <c r="CF675" s="61"/>
      <c r="CG675" s="61"/>
      <c r="CH675" s="61"/>
      <c r="CI675" s="61"/>
      <c r="CJ675" s="61"/>
      <c r="CK675" s="61"/>
      <c r="CL675" s="61"/>
      <c r="CM675" s="61"/>
    </row>
    <row r="676">
      <c r="A676" s="184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185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  <c r="CD676" s="61"/>
      <c r="CE676" s="61"/>
      <c r="CF676" s="61"/>
      <c r="CG676" s="61"/>
      <c r="CH676" s="61"/>
      <c r="CI676" s="61"/>
      <c r="CJ676" s="61"/>
      <c r="CK676" s="61"/>
      <c r="CL676" s="61"/>
      <c r="CM676" s="61"/>
    </row>
    <row r="677">
      <c r="A677" s="184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185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  <c r="CD677" s="61"/>
      <c r="CE677" s="61"/>
      <c r="CF677" s="61"/>
      <c r="CG677" s="61"/>
      <c r="CH677" s="61"/>
      <c r="CI677" s="61"/>
      <c r="CJ677" s="61"/>
      <c r="CK677" s="61"/>
      <c r="CL677" s="61"/>
      <c r="CM677" s="61"/>
    </row>
    <row r="678">
      <c r="A678" s="184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185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/>
      <c r="CH678" s="61"/>
      <c r="CI678" s="61"/>
      <c r="CJ678" s="61"/>
      <c r="CK678" s="61"/>
      <c r="CL678" s="61"/>
      <c r="CM678" s="61"/>
    </row>
    <row r="679">
      <c r="A679" s="184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185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  <c r="CD679" s="61"/>
      <c r="CE679" s="61"/>
      <c r="CF679" s="61"/>
      <c r="CG679" s="61"/>
      <c r="CH679" s="61"/>
      <c r="CI679" s="61"/>
      <c r="CJ679" s="61"/>
      <c r="CK679" s="61"/>
      <c r="CL679" s="61"/>
      <c r="CM679" s="61"/>
    </row>
    <row r="680">
      <c r="A680" s="184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185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  <c r="CD680" s="61"/>
      <c r="CE680" s="61"/>
      <c r="CF680" s="61"/>
      <c r="CG680" s="61"/>
      <c r="CH680" s="61"/>
      <c r="CI680" s="61"/>
      <c r="CJ680" s="61"/>
      <c r="CK680" s="61"/>
      <c r="CL680" s="61"/>
      <c r="CM680" s="61"/>
    </row>
    <row r="681">
      <c r="A681" s="184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185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  <c r="CD681" s="61"/>
      <c r="CE681" s="61"/>
      <c r="CF681" s="61"/>
      <c r="CG681" s="61"/>
      <c r="CH681" s="61"/>
      <c r="CI681" s="61"/>
      <c r="CJ681" s="61"/>
      <c r="CK681" s="61"/>
      <c r="CL681" s="61"/>
      <c r="CM681" s="61"/>
    </row>
    <row r="682">
      <c r="A682" s="184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185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  <c r="CD682" s="61"/>
      <c r="CE682" s="61"/>
      <c r="CF682" s="61"/>
      <c r="CG682" s="61"/>
      <c r="CH682" s="61"/>
      <c r="CI682" s="61"/>
      <c r="CJ682" s="61"/>
      <c r="CK682" s="61"/>
      <c r="CL682" s="61"/>
      <c r="CM682" s="61"/>
    </row>
    <row r="683">
      <c r="A683" s="184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185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  <c r="CD683" s="61"/>
      <c r="CE683" s="61"/>
      <c r="CF683" s="61"/>
      <c r="CG683" s="61"/>
      <c r="CH683" s="61"/>
      <c r="CI683" s="61"/>
      <c r="CJ683" s="61"/>
      <c r="CK683" s="61"/>
      <c r="CL683" s="61"/>
      <c r="CM683" s="61"/>
    </row>
    <row r="684">
      <c r="A684" s="184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185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  <c r="CD684" s="61"/>
      <c r="CE684" s="61"/>
      <c r="CF684" s="61"/>
      <c r="CG684" s="61"/>
      <c r="CH684" s="61"/>
      <c r="CI684" s="61"/>
      <c r="CJ684" s="61"/>
      <c r="CK684" s="61"/>
      <c r="CL684" s="61"/>
      <c r="CM684" s="61"/>
    </row>
    <row r="685">
      <c r="A685" s="184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185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  <c r="CD685" s="61"/>
      <c r="CE685" s="61"/>
      <c r="CF685" s="61"/>
      <c r="CG685" s="61"/>
      <c r="CH685" s="61"/>
      <c r="CI685" s="61"/>
      <c r="CJ685" s="61"/>
      <c r="CK685" s="61"/>
      <c r="CL685" s="61"/>
      <c r="CM685" s="61"/>
    </row>
    <row r="686">
      <c r="A686" s="184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185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  <c r="CM686" s="61"/>
    </row>
    <row r="687">
      <c r="A687" s="184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185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  <c r="CD687" s="61"/>
      <c r="CE687" s="61"/>
      <c r="CF687" s="61"/>
      <c r="CG687" s="61"/>
      <c r="CH687" s="61"/>
      <c r="CI687" s="61"/>
      <c r="CJ687" s="61"/>
      <c r="CK687" s="61"/>
      <c r="CL687" s="61"/>
      <c r="CM687" s="61"/>
    </row>
    <row r="688">
      <c r="A688" s="184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185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  <c r="CD688" s="61"/>
      <c r="CE688" s="61"/>
      <c r="CF688" s="61"/>
      <c r="CG688" s="61"/>
      <c r="CH688" s="61"/>
      <c r="CI688" s="61"/>
      <c r="CJ688" s="61"/>
      <c r="CK688" s="61"/>
      <c r="CL688" s="61"/>
      <c r="CM688" s="61"/>
    </row>
    <row r="689">
      <c r="A689" s="184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185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  <c r="CD689" s="61"/>
      <c r="CE689" s="61"/>
      <c r="CF689" s="61"/>
      <c r="CG689" s="61"/>
      <c r="CH689" s="61"/>
      <c r="CI689" s="61"/>
      <c r="CJ689" s="61"/>
      <c r="CK689" s="61"/>
      <c r="CL689" s="61"/>
      <c r="CM689" s="61"/>
    </row>
    <row r="690">
      <c r="A690" s="184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185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  <c r="CD690" s="61"/>
      <c r="CE690" s="61"/>
      <c r="CF690" s="61"/>
      <c r="CG690" s="61"/>
      <c r="CH690" s="61"/>
      <c r="CI690" s="61"/>
      <c r="CJ690" s="61"/>
      <c r="CK690" s="61"/>
      <c r="CL690" s="61"/>
      <c r="CM690" s="61"/>
    </row>
    <row r="691">
      <c r="A691" s="184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185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  <c r="CD691" s="61"/>
      <c r="CE691" s="61"/>
      <c r="CF691" s="61"/>
      <c r="CG691" s="61"/>
      <c r="CH691" s="61"/>
      <c r="CI691" s="61"/>
      <c r="CJ691" s="61"/>
      <c r="CK691" s="61"/>
      <c r="CL691" s="61"/>
      <c r="CM691" s="61"/>
    </row>
    <row r="692">
      <c r="A692" s="184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185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  <c r="CD692" s="61"/>
      <c r="CE692" s="61"/>
      <c r="CF692" s="61"/>
      <c r="CG692" s="61"/>
      <c r="CH692" s="61"/>
      <c r="CI692" s="61"/>
      <c r="CJ692" s="61"/>
      <c r="CK692" s="61"/>
      <c r="CL692" s="61"/>
      <c r="CM692" s="61"/>
    </row>
    <row r="693">
      <c r="A693" s="184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185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  <c r="CD693" s="61"/>
      <c r="CE693" s="61"/>
      <c r="CF693" s="61"/>
      <c r="CG693" s="61"/>
      <c r="CH693" s="61"/>
      <c r="CI693" s="61"/>
      <c r="CJ693" s="61"/>
      <c r="CK693" s="61"/>
      <c r="CL693" s="61"/>
      <c r="CM693" s="61"/>
    </row>
    <row r="694">
      <c r="A694" s="184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185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  <c r="CD694" s="61"/>
      <c r="CE694" s="61"/>
      <c r="CF694" s="61"/>
      <c r="CG694" s="61"/>
      <c r="CH694" s="61"/>
      <c r="CI694" s="61"/>
      <c r="CJ694" s="61"/>
      <c r="CK694" s="61"/>
      <c r="CL694" s="61"/>
      <c r="CM694" s="61"/>
    </row>
    <row r="695">
      <c r="A695" s="184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185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</row>
    <row r="696">
      <c r="A696" s="184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185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</row>
    <row r="697">
      <c r="A697" s="184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185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  <c r="CD697" s="61"/>
      <c r="CE697" s="61"/>
      <c r="CF697" s="61"/>
      <c r="CG697" s="61"/>
      <c r="CH697" s="61"/>
      <c r="CI697" s="61"/>
      <c r="CJ697" s="61"/>
      <c r="CK697" s="61"/>
      <c r="CL697" s="61"/>
      <c r="CM697" s="61"/>
    </row>
    <row r="698">
      <c r="A698" s="184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185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  <c r="CD698" s="61"/>
      <c r="CE698" s="61"/>
      <c r="CF698" s="61"/>
      <c r="CG698" s="61"/>
      <c r="CH698" s="61"/>
      <c r="CI698" s="61"/>
      <c r="CJ698" s="61"/>
      <c r="CK698" s="61"/>
      <c r="CL698" s="61"/>
      <c r="CM698" s="61"/>
    </row>
    <row r="699">
      <c r="A699" s="184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185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</row>
    <row r="700">
      <c r="A700" s="184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185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</row>
    <row r="701">
      <c r="A701" s="184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185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</row>
    <row r="702">
      <c r="A702" s="184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185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  <c r="CD702" s="61"/>
      <c r="CE702" s="61"/>
      <c r="CF702" s="61"/>
      <c r="CG702" s="61"/>
      <c r="CH702" s="61"/>
      <c r="CI702" s="61"/>
      <c r="CJ702" s="61"/>
      <c r="CK702" s="61"/>
      <c r="CL702" s="61"/>
      <c r="CM702" s="61"/>
    </row>
    <row r="703">
      <c r="A703" s="184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185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  <c r="CD703" s="61"/>
      <c r="CE703" s="61"/>
      <c r="CF703" s="61"/>
      <c r="CG703" s="61"/>
      <c r="CH703" s="61"/>
      <c r="CI703" s="61"/>
      <c r="CJ703" s="61"/>
      <c r="CK703" s="61"/>
      <c r="CL703" s="61"/>
      <c r="CM703" s="61"/>
    </row>
    <row r="704">
      <c r="A704" s="184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185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  <c r="CD704" s="61"/>
      <c r="CE704" s="61"/>
      <c r="CF704" s="61"/>
      <c r="CG704" s="61"/>
      <c r="CH704" s="61"/>
      <c r="CI704" s="61"/>
      <c r="CJ704" s="61"/>
      <c r="CK704" s="61"/>
      <c r="CL704" s="61"/>
      <c r="CM704" s="61"/>
    </row>
    <row r="705">
      <c r="A705" s="184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185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  <c r="CD705" s="61"/>
      <c r="CE705" s="61"/>
      <c r="CF705" s="61"/>
      <c r="CG705" s="61"/>
      <c r="CH705" s="61"/>
      <c r="CI705" s="61"/>
      <c r="CJ705" s="61"/>
      <c r="CK705" s="61"/>
      <c r="CL705" s="61"/>
      <c r="CM705" s="61"/>
    </row>
    <row r="706">
      <c r="A706" s="184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185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  <c r="CD706" s="61"/>
      <c r="CE706" s="61"/>
      <c r="CF706" s="61"/>
      <c r="CG706" s="61"/>
      <c r="CH706" s="61"/>
      <c r="CI706" s="61"/>
      <c r="CJ706" s="61"/>
      <c r="CK706" s="61"/>
      <c r="CL706" s="61"/>
      <c r="CM706" s="61"/>
    </row>
    <row r="707">
      <c r="A707" s="184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185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  <c r="CD707" s="61"/>
      <c r="CE707" s="61"/>
      <c r="CF707" s="61"/>
      <c r="CG707" s="61"/>
      <c r="CH707" s="61"/>
      <c r="CI707" s="61"/>
      <c r="CJ707" s="61"/>
      <c r="CK707" s="61"/>
      <c r="CL707" s="61"/>
      <c r="CM707" s="61"/>
    </row>
    <row r="708">
      <c r="A708" s="184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185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  <c r="CD708" s="61"/>
      <c r="CE708" s="61"/>
      <c r="CF708" s="61"/>
      <c r="CG708" s="61"/>
      <c r="CH708" s="61"/>
      <c r="CI708" s="61"/>
      <c r="CJ708" s="61"/>
      <c r="CK708" s="61"/>
      <c r="CL708" s="61"/>
      <c r="CM708" s="61"/>
    </row>
    <row r="709">
      <c r="A709" s="184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185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  <c r="CD709" s="61"/>
      <c r="CE709" s="61"/>
      <c r="CF709" s="61"/>
      <c r="CG709" s="61"/>
      <c r="CH709" s="61"/>
      <c r="CI709" s="61"/>
      <c r="CJ709" s="61"/>
      <c r="CK709" s="61"/>
      <c r="CL709" s="61"/>
      <c r="CM709" s="61"/>
    </row>
    <row r="710">
      <c r="A710" s="184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185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  <c r="CD710" s="61"/>
      <c r="CE710" s="61"/>
      <c r="CF710" s="61"/>
      <c r="CG710" s="61"/>
      <c r="CH710" s="61"/>
      <c r="CI710" s="61"/>
      <c r="CJ710" s="61"/>
      <c r="CK710" s="61"/>
      <c r="CL710" s="61"/>
      <c r="CM710" s="61"/>
    </row>
    <row r="711">
      <c r="A711" s="184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185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  <c r="CD711" s="61"/>
      <c r="CE711" s="61"/>
      <c r="CF711" s="61"/>
      <c r="CG711" s="61"/>
      <c r="CH711" s="61"/>
      <c r="CI711" s="61"/>
      <c r="CJ711" s="61"/>
      <c r="CK711" s="61"/>
      <c r="CL711" s="61"/>
      <c r="CM711" s="61"/>
    </row>
    <row r="712">
      <c r="A712" s="184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185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  <c r="CD712" s="61"/>
      <c r="CE712" s="61"/>
      <c r="CF712" s="61"/>
      <c r="CG712" s="61"/>
      <c r="CH712" s="61"/>
      <c r="CI712" s="61"/>
      <c r="CJ712" s="61"/>
      <c r="CK712" s="61"/>
      <c r="CL712" s="61"/>
      <c r="CM712" s="61"/>
    </row>
    <row r="713">
      <c r="A713" s="184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185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  <c r="CD713" s="61"/>
      <c r="CE713" s="61"/>
      <c r="CF713" s="61"/>
      <c r="CG713" s="61"/>
      <c r="CH713" s="61"/>
      <c r="CI713" s="61"/>
      <c r="CJ713" s="61"/>
      <c r="CK713" s="61"/>
      <c r="CL713" s="61"/>
      <c r="CM713" s="61"/>
    </row>
    <row r="714">
      <c r="A714" s="184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185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  <c r="CD714" s="61"/>
      <c r="CE714" s="61"/>
      <c r="CF714" s="61"/>
      <c r="CG714" s="61"/>
      <c r="CH714" s="61"/>
      <c r="CI714" s="61"/>
      <c r="CJ714" s="61"/>
      <c r="CK714" s="61"/>
      <c r="CL714" s="61"/>
      <c r="CM714" s="61"/>
    </row>
    <row r="715">
      <c r="A715" s="184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185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  <c r="CD715" s="61"/>
      <c r="CE715" s="61"/>
      <c r="CF715" s="61"/>
      <c r="CG715" s="61"/>
      <c r="CH715" s="61"/>
      <c r="CI715" s="61"/>
      <c r="CJ715" s="61"/>
      <c r="CK715" s="61"/>
      <c r="CL715" s="61"/>
      <c r="CM715" s="61"/>
    </row>
    <row r="716">
      <c r="A716" s="184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185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  <c r="CD716" s="61"/>
      <c r="CE716" s="61"/>
      <c r="CF716" s="61"/>
      <c r="CG716" s="61"/>
      <c r="CH716" s="61"/>
      <c r="CI716" s="61"/>
      <c r="CJ716" s="61"/>
      <c r="CK716" s="61"/>
      <c r="CL716" s="61"/>
      <c r="CM716" s="61"/>
    </row>
    <row r="717">
      <c r="A717" s="184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185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  <c r="CM717" s="61"/>
    </row>
    <row r="718">
      <c r="A718" s="184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185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</row>
    <row r="719">
      <c r="A719" s="184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185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</row>
    <row r="720">
      <c r="A720" s="184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185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</row>
    <row r="721">
      <c r="A721" s="184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185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  <c r="CD721" s="61"/>
      <c r="CE721" s="61"/>
      <c r="CF721" s="61"/>
      <c r="CG721" s="61"/>
      <c r="CH721" s="61"/>
      <c r="CI721" s="61"/>
      <c r="CJ721" s="61"/>
      <c r="CK721" s="61"/>
      <c r="CL721" s="61"/>
      <c r="CM721" s="61"/>
    </row>
    <row r="722">
      <c r="A722" s="184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185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  <c r="CD722" s="61"/>
      <c r="CE722" s="61"/>
      <c r="CF722" s="61"/>
      <c r="CG722" s="61"/>
      <c r="CH722" s="61"/>
      <c r="CI722" s="61"/>
      <c r="CJ722" s="61"/>
      <c r="CK722" s="61"/>
      <c r="CL722" s="61"/>
      <c r="CM722" s="61"/>
    </row>
    <row r="723">
      <c r="A723" s="184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185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</row>
    <row r="724">
      <c r="A724" s="184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185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  <c r="CD724" s="61"/>
      <c r="CE724" s="61"/>
      <c r="CF724" s="61"/>
      <c r="CG724" s="61"/>
      <c r="CH724" s="61"/>
      <c r="CI724" s="61"/>
      <c r="CJ724" s="61"/>
      <c r="CK724" s="61"/>
      <c r="CL724" s="61"/>
      <c r="CM724" s="61"/>
    </row>
    <row r="725">
      <c r="A725" s="184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185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  <c r="CD725" s="61"/>
      <c r="CE725" s="61"/>
      <c r="CF725" s="61"/>
      <c r="CG725" s="61"/>
      <c r="CH725" s="61"/>
      <c r="CI725" s="61"/>
      <c r="CJ725" s="61"/>
      <c r="CK725" s="61"/>
      <c r="CL725" s="61"/>
      <c r="CM725" s="61"/>
    </row>
    <row r="726">
      <c r="A726" s="184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185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  <c r="CD726" s="61"/>
      <c r="CE726" s="61"/>
      <c r="CF726" s="61"/>
      <c r="CG726" s="61"/>
      <c r="CH726" s="61"/>
      <c r="CI726" s="61"/>
      <c r="CJ726" s="61"/>
      <c r="CK726" s="61"/>
      <c r="CL726" s="61"/>
      <c r="CM726" s="61"/>
    </row>
    <row r="727">
      <c r="A727" s="184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185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  <c r="CD727" s="61"/>
      <c r="CE727" s="61"/>
      <c r="CF727" s="61"/>
      <c r="CG727" s="61"/>
      <c r="CH727" s="61"/>
      <c r="CI727" s="61"/>
      <c r="CJ727" s="61"/>
      <c r="CK727" s="61"/>
      <c r="CL727" s="61"/>
      <c r="CM727" s="61"/>
    </row>
    <row r="728">
      <c r="A728" s="184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185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  <c r="CD728" s="61"/>
      <c r="CE728" s="61"/>
      <c r="CF728" s="61"/>
      <c r="CG728" s="61"/>
      <c r="CH728" s="61"/>
      <c r="CI728" s="61"/>
      <c r="CJ728" s="61"/>
      <c r="CK728" s="61"/>
      <c r="CL728" s="61"/>
      <c r="CM728" s="61"/>
    </row>
    <row r="729">
      <c r="A729" s="184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185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  <c r="CD729" s="61"/>
      <c r="CE729" s="61"/>
      <c r="CF729" s="61"/>
      <c r="CG729" s="61"/>
      <c r="CH729" s="61"/>
      <c r="CI729" s="61"/>
      <c r="CJ729" s="61"/>
      <c r="CK729" s="61"/>
      <c r="CL729" s="61"/>
      <c r="CM729" s="61"/>
    </row>
    <row r="730">
      <c r="A730" s="184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185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  <c r="CD730" s="61"/>
      <c r="CE730" s="61"/>
      <c r="CF730" s="61"/>
      <c r="CG730" s="61"/>
      <c r="CH730" s="61"/>
      <c r="CI730" s="61"/>
      <c r="CJ730" s="61"/>
      <c r="CK730" s="61"/>
      <c r="CL730" s="61"/>
      <c r="CM730" s="61"/>
    </row>
    <row r="731">
      <c r="A731" s="184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185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  <c r="CD731" s="61"/>
      <c r="CE731" s="61"/>
      <c r="CF731" s="61"/>
      <c r="CG731" s="61"/>
      <c r="CH731" s="61"/>
      <c r="CI731" s="61"/>
      <c r="CJ731" s="61"/>
      <c r="CK731" s="61"/>
      <c r="CL731" s="61"/>
      <c r="CM731" s="61"/>
    </row>
    <row r="732">
      <c r="A732" s="184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185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  <c r="CD732" s="61"/>
      <c r="CE732" s="61"/>
      <c r="CF732" s="61"/>
      <c r="CG732" s="61"/>
      <c r="CH732" s="61"/>
      <c r="CI732" s="61"/>
      <c r="CJ732" s="61"/>
      <c r="CK732" s="61"/>
      <c r="CL732" s="61"/>
      <c r="CM732" s="61"/>
    </row>
    <row r="733">
      <c r="A733" s="184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185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  <c r="CD733" s="61"/>
      <c r="CE733" s="61"/>
      <c r="CF733" s="61"/>
      <c r="CG733" s="61"/>
      <c r="CH733" s="61"/>
      <c r="CI733" s="61"/>
      <c r="CJ733" s="61"/>
      <c r="CK733" s="61"/>
      <c r="CL733" s="61"/>
      <c r="CM733" s="61"/>
    </row>
    <row r="734">
      <c r="A734" s="184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185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  <c r="CD734" s="61"/>
      <c r="CE734" s="61"/>
      <c r="CF734" s="61"/>
      <c r="CG734" s="61"/>
      <c r="CH734" s="61"/>
      <c r="CI734" s="61"/>
      <c r="CJ734" s="61"/>
      <c r="CK734" s="61"/>
      <c r="CL734" s="61"/>
      <c r="CM734" s="61"/>
    </row>
    <row r="735">
      <c r="A735" s="184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185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  <c r="CD735" s="61"/>
      <c r="CE735" s="61"/>
      <c r="CF735" s="61"/>
      <c r="CG735" s="61"/>
      <c r="CH735" s="61"/>
      <c r="CI735" s="61"/>
      <c r="CJ735" s="61"/>
      <c r="CK735" s="61"/>
      <c r="CL735" s="61"/>
      <c r="CM735" s="61"/>
    </row>
    <row r="736">
      <c r="A736" s="184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185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  <c r="CD736" s="61"/>
      <c r="CE736" s="61"/>
      <c r="CF736" s="61"/>
      <c r="CG736" s="61"/>
      <c r="CH736" s="61"/>
      <c r="CI736" s="61"/>
      <c r="CJ736" s="61"/>
      <c r="CK736" s="61"/>
      <c r="CL736" s="61"/>
      <c r="CM736" s="61"/>
    </row>
    <row r="737">
      <c r="A737" s="184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185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  <c r="CD737" s="61"/>
      <c r="CE737" s="61"/>
      <c r="CF737" s="61"/>
      <c r="CG737" s="61"/>
      <c r="CH737" s="61"/>
      <c r="CI737" s="61"/>
      <c r="CJ737" s="61"/>
      <c r="CK737" s="61"/>
      <c r="CL737" s="61"/>
      <c r="CM737" s="61"/>
    </row>
    <row r="738">
      <c r="A738" s="184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185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  <c r="CD738" s="61"/>
      <c r="CE738" s="61"/>
      <c r="CF738" s="61"/>
      <c r="CG738" s="61"/>
      <c r="CH738" s="61"/>
      <c r="CI738" s="61"/>
      <c r="CJ738" s="61"/>
      <c r="CK738" s="61"/>
      <c r="CL738" s="61"/>
      <c r="CM738" s="61"/>
    </row>
    <row r="739">
      <c r="A739" s="184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185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  <c r="CD739" s="61"/>
      <c r="CE739" s="61"/>
      <c r="CF739" s="61"/>
      <c r="CG739" s="61"/>
      <c r="CH739" s="61"/>
      <c r="CI739" s="61"/>
      <c r="CJ739" s="61"/>
      <c r="CK739" s="61"/>
      <c r="CL739" s="61"/>
      <c r="CM739" s="61"/>
    </row>
    <row r="740">
      <c r="A740" s="184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185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  <c r="CD740" s="61"/>
      <c r="CE740" s="61"/>
      <c r="CF740" s="61"/>
      <c r="CG740" s="61"/>
      <c r="CH740" s="61"/>
      <c r="CI740" s="61"/>
      <c r="CJ740" s="61"/>
      <c r="CK740" s="61"/>
      <c r="CL740" s="61"/>
      <c r="CM740" s="61"/>
    </row>
    <row r="741">
      <c r="A741" s="184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185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  <c r="CD741" s="61"/>
      <c r="CE741" s="61"/>
      <c r="CF741" s="61"/>
      <c r="CG741" s="61"/>
      <c r="CH741" s="61"/>
      <c r="CI741" s="61"/>
      <c r="CJ741" s="61"/>
      <c r="CK741" s="61"/>
      <c r="CL741" s="61"/>
      <c r="CM741" s="61"/>
    </row>
    <row r="742">
      <c r="A742" s="184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185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  <c r="CD742" s="61"/>
      <c r="CE742" s="61"/>
      <c r="CF742" s="61"/>
      <c r="CG742" s="61"/>
      <c r="CH742" s="61"/>
      <c r="CI742" s="61"/>
      <c r="CJ742" s="61"/>
      <c r="CK742" s="61"/>
      <c r="CL742" s="61"/>
      <c r="CM742" s="61"/>
    </row>
    <row r="743">
      <c r="A743" s="184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185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  <c r="CD743" s="61"/>
      <c r="CE743" s="61"/>
      <c r="CF743" s="61"/>
      <c r="CG743" s="61"/>
      <c r="CH743" s="61"/>
      <c r="CI743" s="61"/>
      <c r="CJ743" s="61"/>
      <c r="CK743" s="61"/>
      <c r="CL743" s="61"/>
      <c r="CM743" s="61"/>
    </row>
    <row r="744">
      <c r="A744" s="184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185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  <c r="CD744" s="61"/>
      <c r="CE744" s="61"/>
      <c r="CF744" s="61"/>
      <c r="CG744" s="61"/>
      <c r="CH744" s="61"/>
      <c r="CI744" s="61"/>
      <c r="CJ744" s="61"/>
      <c r="CK744" s="61"/>
      <c r="CL744" s="61"/>
      <c r="CM744" s="61"/>
    </row>
    <row r="745">
      <c r="A745" s="184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185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  <c r="CD745" s="61"/>
      <c r="CE745" s="61"/>
      <c r="CF745" s="61"/>
      <c r="CG745" s="61"/>
      <c r="CH745" s="61"/>
      <c r="CI745" s="61"/>
      <c r="CJ745" s="61"/>
      <c r="CK745" s="61"/>
      <c r="CL745" s="61"/>
      <c r="CM745" s="61"/>
    </row>
    <row r="746">
      <c r="A746" s="184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185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  <c r="CD746" s="61"/>
      <c r="CE746" s="61"/>
      <c r="CF746" s="61"/>
      <c r="CG746" s="61"/>
      <c r="CH746" s="61"/>
      <c r="CI746" s="61"/>
      <c r="CJ746" s="61"/>
      <c r="CK746" s="61"/>
      <c r="CL746" s="61"/>
      <c r="CM746" s="61"/>
    </row>
    <row r="747">
      <c r="A747" s="184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185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  <c r="CD747" s="61"/>
      <c r="CE747" s="61"/>
      <c r="CF747" s="61"/>
      <c r="CG747" s="61"/>
      <c r="CH747" s="61"/>
      <c r="CI747" s="61"/>
      <c r="CJ747" s="61"/>
      <c r="CK747" s="61"/>
      <c r="CL747" s="61"/>
      <c r="CM747" s="61"/>
    </row>
    <row r="748">
      <c r="A748" s="184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185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  <c r="CM748" s="61"/>
    </row>
    <row r="749">
      <c r="A749" s="184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185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  <c r="CD749" s="61"/>
      <c r="CE749" s="61"/>
      <c r="CF749" s="61"/>
      <c r="CG749" s="61"/>
      <c r="CH749" s="61"/>
      <c r="CI749" s="61"/>
      <c r="CJ749" s="61"/>
      <c r="CK749" s="61"/>
      <c r="CL749" s="61"/>
      <c r="CM749" s="61"/>
    </row>
    <row r="750">
      <c r="A750" s="184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185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</row>
    <row r="751">
      <c r="A751" s="184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185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  <c r="CD751" s="61"/>
      <c r="CE751" s="61"/>
      <c r="CF751" s="61"/>
      <c r="CG751" s="61"/>
      <c r="CH751" s="61"/>
      <c r="CI751" s="61"/>
      <c r="CJ751" s="61"/>
      <c r="CK751" s="61"/>
      <c r="CL751" s="61"/>
      <c r="CM751" s="61"/>
    </row>
    <row r="752">
      <c r="A752" s="184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185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  <c r="CD752" s="61"/>
      <c r="CE752" s="61"/>
      <c r="CF752" s="61"/>
      <c r="CG752" s="61"/>
      <c r="CH752" s="61"/>
      <c r="CI752" s="61"/>
      <c r="CJ752" s="61"/>
      <c r="CK752" s="61"/>
      <c r="CL752" s="61"/>
      <c r="CM752" s="61"/>
    </row>
    <row r="753">
      <c r="A753" s="184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185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  <c r="CD753" s="61"/>
      <c r="CE753" s="61"/>
      <c r="CF753" s="61"/>
      <c r="CG753" s="61"/>
      <c r="CH753" s="61"/>
      <c r="CI753" s="61"/>
      <c r="CJ753" s="61"/>
      <c r="CK753" s="61"/>
      <c r="CL753" s="61"/>
      <c r="CM753" s="61"/>
    </row>
    <row r="754">
      <c r="A754" s="184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185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  <c r="CD754" s="61"/>
      <c r="CE754" s="61"/>
      <c r="CF754" s="61"/>
      <c r="CG754" s="61"/>
      <c r="CH754" s="61"/>
      <c r="CI754" s="61"/>
      <c r="CJ754" s="61"/>
      <c r="CK754" s="61"/>
      <c r="CL754" s="61"/>
      <c r="CM754" s="61"/>
    </row>
    <row r="755">
      <c r="A755" s="184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185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  <c r="CD755" s="61"/>
      <c r="CE755" s="61"/>
      <c r="CF755" s="61"/>
      <c r="CG755" s="61"/>
      <c r="CH755" s="61"/>
      <c r="CI755" s="61"/>
      <c r="CJ755" s="61"/>
      <c r="CK755" s="61"/>
      <c r="CL755" s="61"/>
      <c r="CM755" s="61"/>
    </row>
    <row r="756">
      <c r="A756" s="184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185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  <c r="CD756" s="61"/>
      <c r="CE756" s="61"/>
      <c r="CF756" s="61"/>
      <c r="CG756" s="61"/>
      <c r="CH756" s="61"/>
      <c r="CI756" s="61"/>
      <c r="CJ756" s="61"/>
      <c r="CK756" s="61"/>
      <c r="CL756" s="61"/>
      <c r="CM756" s="61"/>
    </row>
    <row r="757">
      <c r="A757" s="184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185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  <c r="CD757" s="61"/>
      <c r="CE757" s="61"/>
      <c r="CF757" s="61"/>
      <c r="CG757" s="61"/>
      <c r="CH757" s="61"/>
      <c r="CI757" s="61"/>
      <c r="CJ757" s="61"/>
      <c r="CK757" s="61"/>
      <c r="CL757" s="61"/>
      <c r="CM757" s="61"/>
    </row>
    <row r="758">
      <c r="A758" s="184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185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  <c r="CD758" s="61"/>
      <c r="CE758" s="61"/>
      <c r="CF758" s="61"/>
      <c r="CG758" s="61"/>
      <c r="CH758" s="61"/>
      <c r="CI758" s="61"/>
      <c r="CJ758" s="61"/>
      <c r="CK758" s="61"/>
      <c r="CL758" s="61"/>
      <c r="CM758" s="61"/>
    </row>
    <row r="759">
      <c r="A759" s="184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185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  <c r="CD759" s="61"/>
      <c r="CE759" s="61"/>
      <c r="CF759" s="61"/>
      <c r="CG759" s="61"/>
      <c r="CH759" s="61"/>
      <c r="CI759" s="61"/>
      <c r="CJ759" s="61"/>
      <c r="CK759" s="61"/>
      <c r="CL759" s="61"/>
      <c r="CM759" s="61"/>
    </row>
    <row r="760">
      <c r="A760" s="184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185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  <c r="CD760" s="61"/>
      <c r="CE760" s="61"/>
      <c r="CF760" s="61"/>
      <c r="CG760" s="61"/>
      <c r="CH760" s="61"/>
      <c r="CI760" s="61"/>
      <c r="CJ760" s="61"/>
      <c r="CK760" s="61"/>
      <c r="CL760" s="61"/>
      <c r="CM760" s="61"/>
    </row>
    <row r="761">
      <c r="A761" s="184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185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  <c r="CD761" s="61"/>
      <c r="CE761" s="61"/>
      <c r="CF761" s="61"/>
      <c r="CG761" s="61"/>
      <c r="CH761" s="61"/>
      <c r="CI761" s="61"/>
      <c r="CJ761" s="61"/>
      <c r="CK761" s="61"/>
      <c r="CL761" s="61"/>
      <c r="CM761" s="61"/>
    </row>
    <row r="762">
      <c r="A762" s="184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185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  <c r="CD762" s="61"/>
      <c r="CE762" s="61"/>
      <c r="CF762" s="61"/>
      <c r="CG762" s="61"/>
      <c r="CH762" s="61"/>
      <c r="CI762" s="61"/>
      <c r="CJ762" s="61"/>
      <c r="CK762" s="61"/>
      <c r="CL762" s="61"/>
      <c r="CM762" s="61"/>
    </row>
    <row r="763">
      <c r="A763" s="184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185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  <c r="CD763" s="61"/>
      <c r="CE763" s="61"/>
      <c r="CF763" s="61"/>
      <c r="CG763" s="61"/>
      <c r="CH763" s="61"/>
      <c r="CI763" s="61"/>
      <c r="CJ763" s="61"/>
      <c r="CK763" s="61"/>
      <c r="CL763" s="61"/>
      <c r="CM763" s="61"/>
    </row>
    <row r="764">
      <c r="A764" s="184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185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  <c r="CD764" s="61"/>
      <c r="CE764" s="61"/>
      <c r="CF764" s="61"/>
      <c r="CG764" s="61"/>
      <c r="CH764" s="61"/>
      <c r="CI764" s="61"/>
      <c r="CJ764" s="61"/>
      <c r="CK764" s="61"/>
      <c r="CL764" s="61"/>
      <c r="CM764" s="61"/>
    </row>
    <row r="765">
      <c r="A765" s="184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185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  <c r="CD765" s="61"/>
      <c r="CE765" s="61"/>
      <c r="CF765" s="61"/>
      <c r="CG765" s="61"/>
      <c r="CH765" s="61"/>
      <c r="CI765" s="61"/>
      <c r="CJ765" s="61"/>
      <c r="CK765" s="61"/>
      <c r="CL765" s="61"/>
      <c r="CM765" s="61"/>
    </row>
    <row r="766">
      <c r="A766" s="184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185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  <c r="CD766" s="61"/>
      <c r="CE766" s="61"/>
      <c r="CF766" s="61"/>
      <c r="CG766" s="61"/>
      <c r="CH766" s="61"/>
      <c r="CI766" s="61"/>
      <c r="CJ766" s="61"/>
      <c r="CK766" s="61"/>
      <c r="CL766" s="61"/>
      <c r="CM766" s="61"/>
    </row>
    <row r="767">
      <c r="A767" s="184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185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  <c r="CD767" s="61"/>
      <c r="CE767" s="61"/>
      <c r="CF767" s="61"/>
      <c r="CG767" s="61"/>
      <c r="CH767" s="61"/>
      <c r="CI767" s="61"/>
      <c r="CJ767" s="61"/>
      <c r="CK767" s="61"/>
      <c r="CL767" s="61"/>
      <c r="CM767" s="61"/>
    </row>
    <row r="768">
      <c r="A768" s="184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185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  <c r="CD768" s="61"/>
      <c r="CE768" s="61"/>
      <c r="CF768" s="61"/>
      <c r="CG768" s="61"/>
      <c r="CH768" s="61"/>
      <c r="CI768" s="61"/>
      <c r="CJ768" s="61"/>
      <c r="CK768" s="61"/>
      <c r="CL768" s="61"/>
      <c r="CM768" s="61"/>
    </row>
    <row r="769">
      <c r="A769" s="184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185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  <c r="CD769" s="61"/>
      <c r="CE769" s="61"/>
      <c r="CF769" s="61"/>
      <c r="CG769" s="61"/>
      <c r="CH769" s="61"/>
      <c r="CI769" s="61"/>
      <c r="CJ769" s="61"/>
      <c r="CK769" s="61"/>
      <c r="CL769" s="61"/>
      <c r="CM769" s="61"/>
    </row>
    <row r="770">
      <c r="A770" s="184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185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  <c r="CD770" s="61"/>
      <c r="CE770" s="61"/>
      <c r="CF770" s="61"/>
      <c r="CG770" s="61"/>
      <c r="CH770" s="61"/>
      <c r="CI770" s="61"/>
      <c r="CJ770" s="61"/>
      <c r="CK770" s="61"/>
      <c r="CL770" s="61"/>
      <c r="CM770" s="61"/>
    </row>
    <row r="771">
      <c r="A771" s="184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185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  <c r="CD771" s="61"/>
      <c r="CE771" s="61"/>
      <c r="CF771" s="61"/>
      <c r="CG771" s="61"/>
      <c r="CH771" s="61"/>
      <c r="CI771" s="61"/>
      <c r="CJ771" s="61"/>
      <c r="CK771" s="61"/>
      <c r="CL771" s="61"/>
      <c r="CM771" s="61"/>
    </row>
    <row r="772">
      <c r="A772" s="184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185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  <c r="CD772" s="61"/>
      <c r="CE772" s="61"/>
      <c r="CF772" s="61"/>
      <c r="CG772" s="61"/>
      <c r="CH772" s="61"/>
      <c r="CI772" s="61"/>
      <c r="CJ772" s="61"/>
      <c r="CK772" s="61"/>
      <c r="CL772" s="61"/>
      <c r="CM772" s="61"/>
    </row>
    <row r="773">
      <c r="A773" s="184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185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  <c r="CD773" s="61"/>
      <c r="CE773" s="61"/>
      <c r="CF773" s="61"/>
      <c r="CG773" s="61"/>
      <c r="CH773" s="61"/>
      <c r="CI773" s="61"/>
      <c r="CJ773" s="61"/>
      <c r="CK773" s="61"/>
      <c r="CL773" s="61"/>
      <c r="CM773" s="61"/>
    </row>
    <row r="774">
      <c r="A774" s="184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185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  <c r="CD774" s="61"/>
      <c r="CE774" s="61"/>
      <c r="CF774" s="61"/>
      <c r="CG774" s="61"/>
      <c r="CH774" s="61"/>
      <c r="CI774" s="61"/>
      <c r="CJ774" s="61"/>
      <c r="CK774" s="61"/>
      <c r="CL774" s="61"/>
      <c r="CM774" s="61"/>
    </row>
    <row r="775">
      <c r="A775" s="184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185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  <c r="CD775" s="61"/>
      <c r="CE775" s="61"/>
      <c r="CF775" s="61"/>
      <c r="CG775" s="61"/>
      <c r="CH775" s="61"/>
      <c r="CI775" s="61"/>
      <c r="CJ775" s="61"/>
      <c r="CK775" s="61"/>
      <c r="CL775" s="61"/>
      <c r="CM775" s="61"/>
    </row>
    <row r="776">
      <c r="A776" s="184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185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  <c r="CD776" s="61"/>
      <c r="CE776" s="61"/>
      <c r="CF776" s="61"/>
      <c r="CG776" s="61"/>
      <c r="CH776" s="61"/>
      <c r="CI776" s="61"/>
      <c r="CJ776" s="61"/>
      <c r="CK776" s="61"/>
      <c r="CL776" s="61"/>
      <c r="CM776" s="61"/>
    </row>
    <row r="777">
      <c r="A777" s="184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185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  <c r="CD777" s="61"/>
      <c r="CE777" s="61"/>
      <c r="CF777" s="61"/>
      <c r="CG777" s="61"/>
      <c r="CH777" s="61"/>
      <c r="CI777" s="61"/>
      <c r="CJ777" s="61"/>
      <c r="CK777" s="61"/>
      <c r="CL777" s="61"/>
      <c r="CM777" s="61"/>
    </row>
    <row r="778">
      <c r="A778" s="184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185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  <c r="CD778" s="61"/>
      <c r="CE778" s="61"/>
      <c r="CF778" s="61"/>
      <c r="CG778" s="61"/>
      <c r="CH778" s="61"/>
      <c r="CI778" s="61"/>
      <c r="CJ778" s="61"/>
      <c r="CK778" s="61"/>
      <c r="CL778" s="61"/>
      <c r="CM778" s="61"/>
    </row>
    <row r="779">
      <c r="A779" s="184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185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  <c r="CD779" s="61"/>
      <c r="CE779" s="61"/>
      <c r="CF779" s="61"/>
      <c r="CG779" s="61"/>
      <c r="CH779" s="61"/>
      <c r="CI779" s="61"/>
      <c r="CJ779" s="61"/>
      <c r="CK779" s="61"/>
      <c r="CL779" s="61"/>
      <c r="CM779" s="61"/>
    </row>
    <row r="780">
      <c r="A780" s="184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185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  <c r="CM780" s="61"/>
    </row>
    <row r="781">
      <c r="A781" s="184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185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  <c r="CD781" s="61"/>
      <c r="CE781" s="61"/>
      <c r="CF781" s="61"/>
      <c r="CG781" s="61"/>
      <c r="CH781" s="61"/>
      <c r="CI781" s="61"/>
      <c r="CJ781" s="61"/>
      <c r="CK781" s="61"/>
      <c r="CL781" s="61"/>
      <c r="CM781" s="61"/>
    </row>
    <row r="782">
      <c r="A782" s="184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185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  <c r="CD782" s="61"/>
      <c r="CE782" s="61"/>
      <c r="CF782" s="61"/>
      <c r="CG782" s="61"/>
      <c r="CH782" s="61"/>
      <c r="CI782" s="61"/>
      <c r="CJ782" s="61"/>
      <c r="CK782" s="61"/>
      <c r="CL782" s="61"/>
      <c r="CM782" s="61"/>
    </row>
    <row r="783">
      <c r="A783" s="184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185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  <c r="CD783" s="61"/>
      <c r="CE783" s="61"/>
      <c r="CF783" s="61"/>
      <c r="CG783" s="61"/>
      <c r="CH783" s="61"/>
      <c r="CI783" s="61"/>
      <c r="CJ783" s="61"/>
      <c r="CK783" s="61"/>
      <c r="CL783" s="61"/>
      <c r="CM783" s="61"/>
    </row>
    <row r="784">
      <c r="A784" s="184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185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  <c r="CD784" s="61"/>
      <c r="CE784" s="61"/>
      <c r="CF784" s="61"/>
      <c r="CG784" s="61"/>
      <c r="CH784" s="61"/>
      <c r="CI784" s="61"/>
      <c r="CJ784" s="61"/>
      <c r="CK784" s="61"/>
      <c r="CL784" s="61"/>
      <c r="CM784" s="61"/>
    </row>
    <row r="785">
      <c r="A785" s="184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185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  <c r="CD785" s="61"/>
      <c r="CE785" s="61"/>
      <c r="CF785" s="61"/>
      <c r="CG785" s="61"/>
      <c r="CH785" s="61"/>
      <c r="CI785" s="61"/>
      <c r="CJ785" s="61"/>
      <c r="CK785" s="61"/>
      <c r="CL785" s="61"/>
      <c r="CM785" s="61"/>
    </row>
    <row r="786">
      <c r="A786" s="184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185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  <c r="CD786" s="61"/>
      <c r="CE786" s="61"/>
      <c r="CF786" s="61"/>
      <c r="CG786" s="61"/>
      <c r="CH786" s="61"/>
      <c r="CI786" s="61"/>
      <c r="CJ786" s="61"/>
      <c r="CK786" s="61"/>
      <c r="CL786" s="61"/>
      <c r="CM786" s="61"/>
    </row>
    <row r="787">
      <c r="A787" s="184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185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  <c r="CD787" s="61"/>
      <c r="CE787" s="61"/>
      <c r="CF787" s="61"/>
      <c r="CG787" s="61"/>
      <c r="CH787" s="61"/>
      <c r="CI787" s="61"/>
      <c r="CJ787" s="61"/>
      <c r="CK787" s="61"/>
      <c r="CL787" s="61"/>
      <c r="CM787" s="61"/>
    </row>
    <row r="788">
      <c r="A788" s="184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185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</row>
    <row r="789">
      <c r="A789" s="184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185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</row>
    <row r="790">
      <c r="A790" s="184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185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</row>
    <row r="791">
      <c r="A791" s="184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185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  <c r="CD791" s="61"/>
      <c r="CE791" s="61"/>
      <c r="CF791" s="61"/>
      <c r="CG791" s="61"/>
      <c r="CH791" s="61"/>
      <c r="CI791" s="61"/>
      <c r="CJ791" s="61"/>
      <c r="CK791" s="61"/>
      <c r="CL791" s="61"/>
      <c r="CM791" s="61"/>
    </row>
    <row r="792">
      <c r="A792" s="184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185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  <c r="CD792" s="61"/>
      <c r="CE792" s="61"/>
      <c r="CF792" s="61"/>
      <c r="CG792" s="61"/>
      <c r="CH792" s="61"/>
      <c r="CI792" s="61"/>
      <c r="CJ792" s="61"/>
      <c r="CK792" s="61"/>
      <c r="CL792" s="61"/>
      <c r="CM792" s="61"/>
    </row>
    <row r="793">
      <c r="A793" s="184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185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  <c r="CD793" s="61"/>
      <c r="CE793" s="61"/>
      <c r="CF793" s="61"/>
      <c r="CG793" s="61"/>
      <c r="CH793" s="61"/>
      <c r="CI793" s="61"/>
      <c r="CJ793" s="61"/>
      <c r="CK793" s="61"/>
      <c r="CL793" s="61"/>
      <c r="CM793" s="61"/>
    </row>
    <row r="794">
      <c r="A794" s="184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185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  <c r="CD794" s="61"/>
      <c r="CE794" s="61"/>
      <c r="CF794" s="61"/>
      <c r="CG794" s="61"/>
      <c r="CH794" s="61"/>
      <c r="CI794" s="61"/>
      <c r="CJ794" s="61"/>
      <c r="CK794" s="61"/>
      <c r="CL794" s="61"/>
      <c r="CM794" s="61"/>
    </row>
    <row r="795">
      <c r="A795" s="184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185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  <c r="CD795" s="61"/>
      <c r="CE795" s="61"/>
      <c r="CF795" s="61"/>
      <c r="CG795" s="61"/>
      <c r="CH795" s="61"/>
      <c r="CI795" s="61"/>
      <c r="CJ795" s="61"/>
      <c r="CK795" s="61"/>
      <c r="CL795" s="61"/>
      <c r="CM795" s="61"/>
    </row>
    <row r="796">
      <c r="A796" s="184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185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  <c r="CD796" s="61"/>
      <c r="CE796" s="61"/>
      <c r="CF796" s="61"/>
      <c r="CG796" s="61"/>
      <c r="CH796" s="61"/>
      <c r="CI796" s="61"/>
      <c r="CJ796" s="61"/>
      <c r="CK796" s="61"/>
      <c r="CL796" s="61"/>
      <c r="CM796" s="61"/>
    </row>
    <row r="797">
      <c r="A797" s="184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185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  <c r="CD797" s="61"/>
      <c r="CE797" s="61"/>
      <c r="CF797" s="61"/>
      <c r="CG797" s="61"/>
      <c r="CH797" s="61"/>
      <c r="CI797" s="61"/>
      <c r="CJ797" s="61"/>
      <c r="CK797" s="61"/>
      <c r="CL797" s="61"/>
      <c r="CM797" s="61"/>
    </row>
    <row r="798">
      <c r="A798" s="184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185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  <c r="CD798" s="61"/>
      <c r="CE798" s="61"/>
      <c r="CF798" s="61"/>
      <c r="CG798" s="61"/>
      <c r="CH798" s="61"/>
      <c r="CI798" s="61"/>
      <c r="CJ798" s="61"/>
      <c r="CK798" s="61"/>
      <c r="CL798" s="61"/>
      <c r="CM798" s="61"/>
    </row>
    <row r="799">
      <c r="A799" s="184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185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  <c r="CD799" s="61"/>
      <c r="CE799" s="61"/>
      <c r="CF799" s="61"/>
      <c r="CG799" s="61"/>
      <c r="CH799" s="61"/>
      <c r="CI799" s="61"/>
      <c r="CJ799" s="61"/>
      <c r="CK799" s="61"/>
      <c r="CL799" s="61"/>
      <c r="CM799" s="61"/>
    </row>
    <row r="800">
      <c r="A800" s="184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185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  <c r="CD800" s="61"/>
      <c r="CE800" s="61"/>
      <c r="CF800" s="61"/>
      <c r="CG800" s="61"/>
      <c r="CH800" s="61"/>
      <c r="CI800" s="61"/>
      <c r="CJ800" s="61"/>
      <c r="CK800" s="61"/>
      <c r="CL800" s="61"/>
      <c r="CM800" s="61"/>
    </row>
    <row r="801">
      <c r="A801" s="184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185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</row>
    <row r="802">
      <c r="A802" s="184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185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  <c r="CD802" s="61"/>
      <c r="CE802" s="61"/>
      <c r="CF802" s="61"/>
      <c r="CG802" s="61"/>
      <c r="CH802" s="61"/>
      <c r="CI802" s="61"/>
      <c r="CJ802" s="61"/>
      <c r="CK802" s="61"/>
      <c r="CL802" s="61"/>
      <c r="CM802" s="61"/>
    </row>
    <row r="803">
      <c r="A803" s="184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185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  <c r="CD803" s="61"/>
      <c r="CE803" s="61"/>
      <c r="CF803" s="61"/>
      <c r="CG803" s="61"/>
      <c r="CH803" s="61"/>
      <c r="CI803" s="61"/>
      <c r="CJ803" s="61"/>
      <c r="CK803" s="61"/>
      <c r="CL803" s="61"/>
      <c r="CM803" s="61"/>
    </row>
    <row r="804">
      <c r="A804" s="184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185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  <c r="CD804" s="61"/>
      <c r="CE804" s="61"/>
      <c r="CF804" s="61"/>
      <c r="CG804" s="61"/>
      <c r="CH804" s="61"/>
      <c r="CI804" s="61"/>
      <c r="CJ804" s="61"/>
      <c r="CK804" s="61"/>
      <c r="CL804" s="61"/>
      <c r="CM804" s="61"/>
    </row>
    <row r="805">
      <c r="A805" s="184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185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  <c r="CD805" s="61"/>
      <c r="CE805" s="61"/>
      <c r="CF805" s="61"/>
      <c r="CG805" s="61"/>
      <c r="CH805" s="61"/>
      <c r="CI805" s="61"/>
      <c r="CJ805" s="61"/>
      <c r="CK805" s="61"/>
      <c r="CL805" s="61"/>
      <c r="CM805" s="61"/>
    </row>
    <row r="806">
      <c r="A806" s="184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185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  <c r="CD806" s="61"/>
      <c r="CE806" s="61"/>
      <c r="CF806" s="61"/>
      <c r="CG806" s="61"/>
      <c r="CH806" s="61"/>
      <c r="CI806" s="61"/>
      <c r="CJ806" s="61"/>
      <c r="CK806" s="61"/>
      <c r="CL806" s="61"/>
      <c r="CM806" s="61"/>
    </row>
    <row r="807">
      <c r="A807" s="184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185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  <c r="CD807" s="61"/>
      <c r="CE807" s="61"/>
      <c r="CF807" s="61"/>
      <c r="CG807" s="61"/>
      <c r="CH807" s="61"/>
      <c r="CI807" s="61"/>
      <c r="CJ807" s="61"/>
      <c r="CK807" s="61"/>
      <c r="CL807" s="61"/>
      <c r="CM807" s="61"/>
    </row>
    <row r="808">
      <c r="A808" s="184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185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  <c r="CD808" s="61"/>
      <c r="CE808" s="61"/>
      <c r="CF808" s="61"/>
      <c r="CG808" s="61"/>
      <c r="CH808" s="61"/>
      <c r="CI808" s="61"/>
      <c r="CJ808" s="61"/>
      <c r="CK808" s="61"/>
      <c r="CL808" s="61"/>
      <c r="CM808" s="61"/>
    </row>
    <row r="809">
      <c r="A809" s="184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185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  <c r="CD809" s="61"/>
      <c r="CE809" s="61"/>
      <c r="CF809" s="61"/>
      <c r="CG809" s="61"/>
      <c r="CH809" s="61"/>
      <c r="CI809" s="61"/>
      <c r="CJ809" s="61"/>
      <c r="CK809" s="61"/>
      <c r="CL809" s="61"/>
      <c r="CM809" s="61"/>
    </row>
    <row r="810">
      <c r="A810" s="184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185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  <c r="CD810" s="61"/>
      <c r="CE810" s="61"/>
      <c r="CF810" s="61"/>
      <c r="CG810" s="61"/>
      <c r="CH810" s="61"/>
      <c r="CI810" s="61"/>
      <c r="CJ810" s="61"/>
      <c r="CK810" s="61"/>
      <c r="CL810" s="61"/>
      <c r="CM810" s="61"/>
    </row>
    <row r="811">
      <c r="A811" s="184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185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  <c r="CM811" s="61"/>
    </row>
    <row r="812">
      <c r="A812" s="184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185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  <c r="CD812" s="61"/>
      <c r="CE812" s="61"/>
      <c r="CF812" s="61"/>
      <c r="CG812" s="61"/>
      <c r="CH812" s="61"/>
      <c r="CI812" s="61"/>
      <c r="CJ812" s="61"/>
      <c r="CK812" s="61"/>
      <c r="CL812" s="61"/>
      <c r="CM812" s="61"/>
    </row>
    <row r="813">
      <c r="A813" s="184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185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  <c r="CD813" s="61"/>
      <c r="CE813" s="61"/>
      <c r="CF813" s="61"/>
      <c r="CG813" s="61"/>
      <c r="CH813" s="61"/>
      <c r="CI813" s="61"/>
      <c r="CJ813" s="61"/>
      <c r="CK813" s="61"/>
      <c r="CL813" s="61"/>
      <c r="CM813" s="61"/>
    </row>
    <row r="814">
      <c r="A814" s="184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185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  <c r="CD814" s="61"/>
      <c r="CE814" s="61"/>
      <c r="CF814" s="61"/>
      <c r="CG814" s="61"/>
      <c r="CH814" s="61"/>
      <c r="CI814" s="61"/>
      <c r="CJ814" s="61"/>
      <c r="CK814" s="61"/>
      <c r="CL814" s="61"/>
      <c r="CM814" s="61"/>
    </row>
    <row r="815">
      <c r="A815" s="184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185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  <c r="CD815" s="61"/>
      <c r="CE815" s="61"/>
      <c r="CF815" s="61"/>
      <c r="CG815" s="61"/>
      <c r="CH815" s="61"/>
      <c r="CI815" s="61"/>
      <c r="CJ815" s="61"/>
      <c r="CK815" s="61"/>
      <c r="CL815" s="61"/>
      <c r="CM815" s="61"/>
    </row>
    <row r="816">
      <c r="A816" s="184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185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  <c r="CD816" s="61"/>
      <c r="CE816" s="61"/>
      <c r="CF816" s="61"/>
      <c r="CG816" s="61"/>
      <c r="CH816" s="61"/>
      <c r="CI816" s="61"/>
      <c r="CJ816" s="61"/>
      <c r="CK816" s="61"/>
      <c r="CL816" s="61"/>
      <c r="CM816" s="61"/>
    </row>
    <row r="817">
      <c r="A817" s="184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185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  <c r="CD817" s="61"/>
      <c r="CE817" s="61"/>
      <c r="CF817" s="61"/>
      <c r="CG817" s="61"/>
      <c r="CH817" s="61"/>
      <c r="CI817" s="61"/>
      <c r="CJ817" s="61"/>
      <c r="CK817" s="61"/>
      <c r="CL817" s="61"/>
      <c r="CM817" s="61"/>
    </row>
    <row r="818">
      <c r="A818" s="184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185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  <c r="CD818" s="61"/>
      <c r="CE818" s="61"/>
      <c r="CF818" s="61"/>
      <c r="CG818" s="61"/>
      <c r="CH818" s="61"/>
      <c r="CI818" s="61"/>
      <c r="CJ818" s="61"/>
      <c r="CK818" s="61"/>
      <c r="CL818" s="61"/>
      <c r="CM818" s="61"/>
    </row>
    <row r="819">
      <c r="A819" s="184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185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  <c r="CD819" s="61"/>
      <c r="CE819" s="61"/>
      <c r="CF819" s="61"/>
      <c r="CG819" s="61"/>
      <c r="CH819" s="61"/>
      <c r="CI819" s="61"/>
      <c r="CJ819" s="61"/>
      <c r="CK819" s="61"/>
      <c r="CL819" s="61"/>
      <c r="CM819" s="61"/>
    </row>
    <row r="820">
      <c r="A820" s="184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185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  <c r="CD820" s="61"/>
      <c r="CE820" s="61"/>
      <c r="CF820" s="61"/>
      <c r="CG820" s="61"/>
      <c r="CH820" s="61"/>
      <c r="CI820" s="61"/>
      <c r="CJ820" s="61"/>
      <c r="CK820" s="61"/>
      <c r="CL820" s="61"/>
      <c r="CM820" s="61"/>
    </row>
    <row r="821">
      <c r="A821" s="184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185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  <c r="CD821" s="61"/>
      <c r="CE821" s="61"/>
      <c r="CF821" s="61"/>
      <c r="CG821" s="61"/>
      <c r="CH821" s="61"/>
      <c r="CI821" s="61"/>
      <c r="CJ821" s="61"/>
      <c r="CK821" s="61"/>
      <c r="CL821" s="61"/>
      <c r="CM821" s="61"/>
    </row>
    <row r="822">
      <c r="A822" s="184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185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  <c r="CD822" s="61"/>
      <c r="CE822" s="61"/>
      <c r="CF822" s="61"/>
      <c r="CG822" s="61"/>
      <c r="CH822" s="61"/>
      <c r="CI822" s="61"/>
      <c r="CJ822" s="61"/>
      <c r="CK822" s="61"/>
      <c r="CL822" s="61"/>
      <c r="CM822" s="61"/>
    </row>
    <row r="823">
      <c r="A823" s="184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185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  <c r="CD823" s="61"/>
      <c r="CE823" s="61"/>
      <c r="CF823" s="61"/>
      <c r="CG823" s="61"/>
      <c r="CH823" s="61"/>
      <c r="CI823" s="61"/>
      <c r="CJ823" s="61"/>
      <c r="CK823" s="61"/>
      <c r="CL823" s="61"/>
      <c r="CM823" s="61"/>
    </row>
    <row r="824">
      <c r="A824" s="184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185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  <c r="CD824" s="61"/>
      <c r="CE824" s="61"/>
      <c r="CF824" s="61"/>
      <c r="CG824" s="61"/>
      <c r="CH824" s="61"/>
      <c r="CI824" s="61"/>
      <c r="CJ824" s="61"/>
      <c r="CK824" s="61"/>
      <c r="CL824" s="61"/>
      <c r="CM824" s="61"/>
    </row>
    <row r="825">
      <c r="A825" s="184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185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  <c r="CD825" s="61"/>
      <c r="CE825" s="61"/>
      <c r="CF825" s="61"/>
      <c r="CG825" s="61"/>
      <c r="CH825" s="61"/>
      <c r="CI825" s="61"/>
      <c r="CJ825" s="61"/>
      <c r="CK825" s="61"/>
      <c r="CL825" s="61"/>
      <c r="CM825" s="61"/>
    </row>
    <row r="826">
      <c r="A826" s="184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185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  <c r="CD826" s="61"/>
      <c r="CE826" s="61"/>
      <c r="CF826" s="61"/>
      <c r="CG826" s="61"/>
      <c r="CH826" s="61"/>
      <c r="CI826" s="61"/>
      <c r="CJ826" s="61"/>
      <c r="CK826" s="61"/>
      <c r="CL826" s="61"/>
      <c r="CM826" s="61"/>
    </row>
    <row r="827">
      <c r="A827" s="184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185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  <c r="CD827" s="61"/>
      <c r="CE827" s="61"/>
      <c r="CF827" s="61"/>
      <c r="CG827" s="61"/>
      <c r="CH827" s="61"/>
      <c r="CI827" s="61"/>
      <c r="CJ827" s="61"/>
      <c r="CK827" s="61"/>
      <c r="CL827" s="61"/>
      <c r="CM827" s="61"/>
    </row>
    <row r="828">
      <c r="A828" s="184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185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  <c r="CD828" s="61"/>
      <c r="CE828" s="61"/>
      <c r="CF828" s="61"/>
      <c r="CG828" s="61"/>
      <c r="CH828" s="61"/>
      <c r="CI828" s="61"/>
      <c r="CJ828" s="61"/>
      <c r="CK828" s="61"/>
      <c r="CL828" s="61"/>
      <c r="CM828" s="61"/>
    </row>
    <row r="829">
      <c r="A829" s="184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185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  <c r="CD829" s="61"/>
      <c r="CE829" s="61"/>
      <c r="CF829" s="61"/>
      <c r="CG829" s="61"/>
      <c r="CH829" s="61"/>
      <c r="CI829" s="61"/>
      <c r="CJ829" s="61"/>
      <c r="CK829" s="61"/>
      <c r="CL829" s="61"/>
      <c r="CM829" s="61"/>
    </row>
    <row r="830">
      <c r="A830" s="184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185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  <c r="CD830" s="61"/>
      <c r="CE830" s="61"/>
      <c r="CF830" s="61"/>
      <c r="CG830" s="61"/>
      <c r="CH830" s="61"/>
      <c r="CI830" s="61"/>
      <c r="CJ830" s="61"/>
      <c r="CK830" s="61"/>
      <c r="CL830" s="61"/>
      <c r="CM830" s="61"/>
    </row>
    <row r="831">
      <c r="A831" s="184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185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  <c r="CD831" s="61"/>
      <c r="CE831" s="61"/>
      <c r="CF831" s="61"/>
      <c r="CG831" s="61"/>
      <c r="CH831" s="61"/>
      <c r="CI831" s="61"/>
      <c r="CJ831" s="61"/>
      <c r="CK831" s="61"/>
      <c r="CL831" s="61"/>
      <c r="CM831" s="61"/>
    </row>
    <row r="832">
      <c r="A832" s="184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185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  <c r="CD832" s="61"/>
      <c r="CE832" s="61"/>
      <c r="CF832" s="61"/>
      <c r="CG832" s="61"/>
      <c r="CH832" s="61"/>
      <c r="CI832" s="61"/>
      <c r="CJ832" s="61"/>
      <c r="CK832" s="61"/>
      <c r="CL832" s="61"/>
      <c r="CM832" s="61"/>
    </row>
    <row r="833">
      <c r="A833" s="184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185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  <c r="CD833" s="61"/>
      <c r="CE833" s="61"/>
      <c r="CF833" s="61"/>
      <c r="CG833" s="61"/>
      <c r="CH833" s="61"/>
      <c r="CI833" s="61"/>
      <c r="CJ833" s="61"/>
      <c r="CK833" s="61"/>
      <c r="CL833" s="61"/>
      <c r="CM833" s="61"/>
    </row>
    <row r="834">
      <c r="A834" s="184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185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  <c r="CD834" s="61"/>
      <c r="CE834" s="61"/>
      <c r="CF834" s="61"/>
      <c r="CG834" s="61"/>
      <c r="CH834" s="61"/>
      <c r="CI834" s="61"/>
      <c r="CJ834" s="61"/>
      <c r="CK834" s="61"/>
      <c r="CL834" s="61"/>
      <c r="CM834" s="61"/>
    </row>
    <row r="835">
      <c r="A835" s="184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185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  <c r="CD835" s="61"/>
      <c r="CE835" s="61"/>
      <c r="CF835" s="61"/>
      <c r="CG835" s="61"/>
      <c r="CH835" s="61"/>
      <c r="CI835" s="61"/>
      <c r="CJ835" s="61"/>
      <c r="CK835" s="61"/>
      <c r="CL835" s="61"/>
      <c r="CM835" s="61"/>
    </row>
    <row r="836">
      <c r="A836" s="184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185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  <c r="CD836" s="61"/>
      <c r="CE836" s="61"/>
      <c r="CF836" s="61"/>
      <c r="CG836" s="61"/>
      <c r="CH836" s="61"/>
      <c r="CI836" s="61"/>
      <c r="CJ836" s="61"/>
      <c r="CK836" s="61"/>
      <c r="CL836" s="61"/>
      <c r="CM836" s="61"/>
    </row>
    <row r="837">
      <c r="A837" s="184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185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  <c r="CD837" s="61"/>
      <c r="CE837" s="61"/>
      <c r="CF837" s="61"/>
      <c r="CG837" s="61"/>
      <c r="CH837" s="61"/>
      <c r="CI837" s="61"/>
      <c r="CJ837" s="61"/>
      <c r="CK837" s="61"/>
      <c r="CL837" s="61"/>
      <c r="CM837" s="61"/>
    </row>
    <row r="838">
      <c r="A838" s="184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185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  <c r="CD838" s="61"/>
      <c r="CE838" s="61"/>
      <c r="CF838" s="61"/>
      <c r="CG838" s="61"/>
      <c r="CH838" s="61"/>
      <c r="CI838" s="61"/>
      <c r="CJ838" s="61"/>
      <c r="CK838" s="61"/>
      <c r="CL838" s="61"/>
      <c r="CM838" s="61"/>
    </row>
    <row r="839">
      <c r="A839" s="184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185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  <c r="CD839" s="61"/>
      <c r="CE839" s="61"/>
      <c r="CF839" s="61"/>
      <c r="CG839" s="61"/>
      <c r="CH839" s="61"/>
      <c r="CI839" s="61"/>
      <c r="CJ839" s="61"/>
      <c r="CK839" s="61"/>
      <c r="CL839" s="61"/>
      <c r="CM839" s="61"/>
    </row>
    <row r="840">
      <c r="A840" s="184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185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  <c r="CD840" s="61"/>
      <c r="CE840" s="61"/>
      <c r="CF840" s="61"/>
      <c r="CG840" s="61"/>
      <c r="CH840" s="61"/>
      <c r="CI840" s="61"/>
      <c r="CJ840" s="61"/>
      <c r="CK840" s="61"/>
      <c r="CL840" s="61"/>
      <c r="CM840" s="61"/>
    </row>
    <row r="841">
      <c r="A841" s="184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185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  <c r="CD841" s="61"/>
      <c r="CE841" s="61"/>
      <c r="CF841" s="61"/>
      <c r="CG841" s="61"/>
      <c r="CH841" s="61"/>
      <c r="CI841" s="61"/>
      <c r="CJ841" s="61"/>
      <c r="CK841" s="61"/>
      <c r="CL841" s="61"/>
      <c r="CM841" s="61"/>
    </row>
    <row r="842">
      <c r="A842" s="184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185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</row>
    <row r="843">
      <c r="A843" s="184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185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  <c r="CD843" s="61"/>
      <c r="CE843" s="61"/>
      <c r="CF843" s="61"/>
      <c r="CG843" s="61"/>
      <c r="CH843" s="61"/>
      <c r="CI843" s="61"/>
      <c r="CJ843" s="61"/>
      <c r="CK843" s="61"/>
      <c r="CL843" s="61"/>
      <c r="CM843" s="61"/>
    </row>
    <row r="844">
      <c r="A844" s="184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185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  <c r="CD844" s="61"/>
      <c r="CE844" s="61"/>
      <c r="CF844" s="61"/>
      <c r="CG844" s="61"/>
      <c r="CH844" s="61"/>
      <c r="CI844" s="61"/>
      <c r="CJ844" s="61"/>
      <c r="CK844" s="61"/>
      <c r="CL844" s="61"/>
      <c r="CM844" s="61"/>
    </row>
    <row r="845">
      <c r="A845" s="184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185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  <c r="CD845" s="61"/>
      <c r="CE845" s="61"/>
      <c r="CF845" s="61"/>
      <c r="CG845" s="61"/>
      <c r="CH845" s="61"/>
      <c r="CI845" s="61"/>
      <c r="CJ845" s="61"/>
      <c r="CK845" s="61"/>
      <c r="CL845" s="61"/>
      <c r="CM845" s="61"/>
    </row>
    <row r="846">
      <c r="A846" s="184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185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  <c r="CD846" s="61"/>
      <c r="CE846" s="61"/>
      <c r="CF846" s="61"/>
      <c r="CG846" s="61"/>
      <c r="CH846" s="61"/>
      <c r="CI846" s="61"/>
      <c r="CJ846" s="61"/>
      <c r="CK846" s="61"/>
      <c r="CL846" s="61"/>
      <c r="CM846" s="61"/>
    </row>
    <row r="847">
      <c r="A847" s="184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185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  <c r="CD847" s="61"/>
      <c r="CE847" s="61"/>
      <c r="CF847" s="61"/>
      <c r="CG847" s="61"/>
      <c r="CH847" s="61"/>
      <c r="CI847" s="61"/>
      <c r="CJ847" s="61"/>
      <c r="CK847" s="61"/>
      <c r="CL847" s="61"/>
      <c r="CM847" s="61"/>
    </row>
    <row r="848">
      <c r="A848" s="184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185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  <c r="CD848" s="61"/>
      <c r="CE848" s="61"/>
      <c r="CF848" s="61"/>
      <c r="CG848" s="61"/>
      <c r="CH848" s="61"/>
      <c r="CI848" s="61"/>
      <c r="CJ848" s="61"/>
      <c r="CK848" s="61"/>
      <c r="CL848" s="61"/>
      <c r="CM848" s="61"/>
    </row>
    <row r="849">
      <c r="A849" s="184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185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  <c r="CD849" s="61"/>
      <c r="CE849" s="61"/>
      <c r="CF849" s="61"/>
      <c r="CG849" s="61"/>
      <c r="CH849" s="61"/>
      <c r="CI849" s="61"/>
      <c r="CJ849" s="61"/>
      <c r="CK849" s="61"/>
      <c r="CL849" s="61"/>
      <c r="CM849" s="61"/>
    </row>
    <row r="850">
      <c r="A850" s="184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185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  <c r="CD850" s="61"/>
      <c r="CE850" s="61"/>
      <c r="CF850" s="61"/>
      <c r="CG850" s="61"/>
      <c r="CH850" s="61"/>
      <c r="CI850" s="61"/>
      <c r="CJ850" s="61"/>
      <c r="CK850" s="61"/>
      <c r="CL850" s="61"/>
      <c r="CM850" s="61"/>
    </row>
    <row r="851">
      <c r="A851" s="184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185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  <c r="CD851" s="61"/>
      <c r="CE851" s="61"/>
      <c r="CF851" s="61"/>
      <c r="CG851" s="61"/>
      <c r="CH851" s="61"/>
      <c r="CI851" s="61"/>
      <c r="CJ851" s="61"/>
      <c r="CK851" s="61"/>
      <c r="CL851" s="61"/>
      <c r="CM851" s="61"/>
    </row>
    <row r="852">
      <c r="A852" s="184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185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  <c r="CD852" s="61"/>
      <c r="CE852" s="61"/>
      <c r="CF852" s="61"/>
      <c r="CG852" s="61"/>
      <c r="CH852" s="61"/>
      <c r="CI852" s="61"/>
      <c r="CJ852" s="61"/>
      <c r="CK852" s="61"/>
      <c r="CL852" s="61"/>
      <c r="CM852" s="61"/>
    </row>
    <row r="853">
      <c r="A853" s="184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185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  <c r="CD853" s="61"/>
      <c r="CE853" s="61"/>
      <c r="CF853" s="61"/>
      <c r="CG853" s="61"/>
      <c r="CH853" s="61"/>
      <c r="CI853" s="61"/>
      <c r="CJ853" s="61"/>
      <c r="CK853" s="61"/>
      <c r="CL853" s="61"/>
      <c r="CM853" s="61"/>
    </row>
    <row r="854">
      <c r="A854" s="184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185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  <c r="CD854" s="61"/>
      <c r="CE854" s="61"/>
      <c r="CF854" s="61"/>
      <c r="CG854" s="61"/>
      <c r="CH854" s="61"/>
      <c r="CI854" s="61"/>
      <c r="CJ854" s="61"/>
      <c r="CK854" s="61"/>
      <c r="CL854" s="61"/>
      <c r="CM854" s="61"/>
    </row>
    <row r="855">
      <c r="A855" s="184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185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  <c r="CD855" s="61"/>
      <c r="CE855" s="61"/>
      <c r="CF855" s="61"/>
      <c r="CG855" s="61"/>
      <c r="CH855" s="61"/>
      <c r="CI855" s="61"/>
      <c r="CJ855" s="61"/>
      <c r="CK855" s="61"/>
      <c r="CL855" s="61"/>
      <c r="CM855" s="61"/>
    </row>
    <row r="856">
      <c r="A856" s="184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185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</row>
    <row r="857">
      <c r="A857" s="184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185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  <c r="CD857" s="61"/>
      <c r="CE857" s="61"/>
      <c r="CF857" s="61"/>
      <c r="CG857" s="61"/>
      <c r="CH857" s="61"/>
      <c r="CI857" s="61"/>
      <c r="CJ857" s="61"/>
      <c r="CK857" s="61"/>
      <c r="CL857" s="61"/>
      <c r="CM857" s="61"/>
    </row>
    <row r="858">
      <c r="A858" s="184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185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</row>
    <row r="859">
      <c r="A859" s="184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185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</row>
    <row r="860">
      <c r="A860" s="184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185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</row>
    <row r="861">
      <c r="A861" s="184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185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  <c r="CD861" s="61"/>
      <c r="CE861" s="61"/>
      <c r="CF861" s="61"/>
      <c r="CG861" s="61"/>
      <c r="CH861" s="61"/>
      <c r="CI861" s="61"/>
      <c r="CJ861" s="61"/>
      <c r="CK861" s="61"/>
      <c r="CL861" s="61"/>
      <c r="CM861" s="61"/>
    </row>
    <row r="862">
      <c r="A862" s="184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185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/>
      <c r="CI862" s="61"/>
      <c r="CJ862" s="61"/>
      <c r="CK862" s="61"/>
      <c r="CL862" s="61"/>
      <c r="CM862" s="61"/>
    </row>
    <row r="863">
      <c r="A863" s="184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185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  <c r="CD863" s="61"/>
      <c r="CE863" s="61"/>
      <c r="CF863" s="61"/>
      <c r="CG863" s="61"/>
      <c r="CH863" s="61"/>
      <c r="CI863" s="61"/>
      <c r="CJ863" s="61"/>
      <c r="CK863" s="61"/>
      <c r="CL863" s="61"/>
      <c r="CM863" s="61"/>
    </row>
    <row r="864">
      <c r="A864" s="184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185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  <c r="CD864" s="61"/>
      <c r="CE864" s="61"/>
      <c r="CF864" s="61"/>
      <c r="CG864" s="61"/>
      <c r="CH864" s="61"/>
      <c r="CI864" s="61"/>
      <c r="CJ864" s="61"/>
      <c r="CK864" s="61"/>
      <c r="CL864" s="61"/>
      <c r="CM864" s="61"/>
    </row>
    <row r="865">
      <c r="A865" s="184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185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  <c r="CD865" s="61"/>
      <c r="CE865" s="61"/>
      <c r="CF865" s="61"/>
      <c r="CG865" s="61"/>
      <c r="CH865" s="61"/>
      <c r="CI865" s="61"/>
      <c r="CJ865" s="61"/>
      <c r="CK865" s="61"/>
      <c r="CL865" s="61"/>
      <c r="CM865" s="61"/>
    </row>
    <row r="866">
      <c r="A866" s="184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185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  <c r="CD866" s="61"/>
      <c r="CE866" s="61"/>
      <c r="CF866" s="61"/>
      <c r="CG866" s="61"/>
      <c r="CH866" s="61"/>
      <c r="CI866" s="61"/>
      <c r="CJ866" s="61"/>
      <c r="CK866" s="61"/>
      <c r="CL866" s="61"/>
      <c r="CM866" s="61"/>
    </row>
    <row r="867">
      <c r="A867" s="184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185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  <c r="CD867" s="61"/>
      <c r="CE867" s="61"/>
      <c r="CF867" s="61"/>
      <c r="CG867" s="61"/>
      <c r="CH867" s="61"/>
      <c r="CI867" s="61"/>
      <c r="CJ867" s="61"/>
      <c r="CK867" s="61"/>
      <c r="CL867" s="61"/>
      <c r="CM867" s="61"/>
    </row>
    <row r="868">
      <c r="A868" s="184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185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  <c r="CD868" s="61"/>
      <c r="CE868" s="61"/>
      <c r="CF868" s="61"/>
      <c r="CG868" s="61"/>
      <c r="CH868" s="61"/>
      <c r="CI868" s="61"/>
      <c r="CJ868" s="61"/>
      <c r="CK868" s="61"/>
      <c r="CL868" s="61"/>
      <c r="CM868" s="61"/>
    </row>
    <row r="869">
      <c r="A869" s="184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185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</row>
    <row r="870">
      <c r="A870" s="184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185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  <c r="CD870" s="61"/>
      <c r="CE870" s="61"/>
      <c r="CF870" s="61"/>
      <c r="CG870" s="61"/>
      <c r="CH870" s="61"/>
      <c r="CI870" s="61"/>
      <c r="CJ870" s="61"/>
      <c r="CK870" s="61"/>
      <c r="CL870" s="61"/>
      <c r="CM870" s="61"/>
    </row>
    <row r="871">
      <c r="A871" s="184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185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  <c r="CD871" s="61"/>
      <c r="CE871" s="61"/>
      <c r="CF871" s="61"/>
      <c r="CG871" s="61"/>
      <c r="CH871" s="61"/>
      <c r="CI871" s="61"/>
      <c r="CJ871" s="61"/>
      <c r="CK871" s="61"/>
      <c r="CL871" s="61"/>
      <c r="CM871" s="61"/>
    </row>
    <row r="872">
      <c r="A872" s="184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185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  <c r="CD872" s="61"/>
      <c r="CE872" s="61"/>
      <c r="CF872" s="61"/>
      <c r="CG872" s="61"/>
      <c r="CH872" s="61"/>
      <c r="CI872" s="61"/>
      <c r="CJ872" s="61"/>
      <c r="CK872" s="61"/>
      <c r="CL872" s="61"/>
      <c r="CM872" s="61"/>
    </row>
    <row r="873">
      <c r="A873" s="184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185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  <c r="CM873" s="61"/>
    </row>
    <row r="874">
      <c r="A874" s="184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185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  <c r="CD874" s="61"/>
      <c r="CE874" s="61"/>
      <c r="CF874" s="61"/>
      <c r="CG874" s="61"/>
      <c r="CH874" s="61"/>
      <c r="CI874" s="61"/>
      <c r="CJ874" s="61"/>
      <c r="CK874" s="61"/>
      <c r="CL874" s="61"/>
      <c r="CM874" s="61"/>
    </row>
    <row r="875">
      <c r="A875" s="184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185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  <c r="CD875" s="61"/>
      <c r="CE875" s="61"/>
      <c r="CF875" s="61"/>
      <c r="CG875" s="61"/>
      <c r="CH875" s="61"/>
      <c r="CI875" s="61"/>
      <c r="CJ875" s="61"/>
      <c r="CK875" s="61"/>
      <c r="CL875" s="61"/>
      <c r="CM875" s="61"/>
    </row>
    <row r="876">
      <c r="A876" s="184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185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</row>
    <row r="877">
      <c r="A877" s="184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185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  <c r="CD877" s="61"/>
      <c r="CE877" s="61"/>
      <c r="CF877" s="61"/>
      <c r="CG877" s="61"/>
      <c r="CH877" s="61"/>
      <c r="CI877" s="61"/>
      <c r="CJ877" s="61"/>
      <c r="CK877" s="61"/>
      <c r="CL877" s="61"/>
      <c r="CM877" s="61"/>
    </row>
    <row r="878">
      <c r="A878" s="184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185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</row>
    <row r="879">
      <c r="A879" s="184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185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  <c r="CD879" s="61"/>
      <c r="CE879" s="61"/>
      <c r="CF879" s="61"/>
      <c r="CG879" s="61"/>
      <c r="CH879" s="61"/>
      <c r="CI879" s="61"/>
      <c r="CJ879" s="61"/>
      <c r="CK879" s="61"/>
      <c r="CL879" s="61"/>
      <c r="CM879" s="61"/>
    </row>
    <row r="880">
      <c r="A880" s="184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185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  <c r="CD880" s="61"/>
      <c r="CE880" s="61"/>
      <c r="CF880" s="61"/>
      <c r="CG880" s="61"/>
      <c r="CH880" s="61"/>
      <c r="CI880" s="61"/>
      <c r="CJ880" s="61"/>
      <c r="CK880" s="61"/>
      <c r="CL880" s="61"/>
      <c r="CM880" s="61"/>
    </row>
    <row r="881">
      <c r="A881" s="184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185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  <c r="CD881" s="61"/>
      <c r="CE881" s="61"/>
      <c r="CF881" s="61"/>
      <c r="CG881" s="61"/>
      <c r="CH881" s="61"/>
      <c r="CI881" s="61"/>
      <c r="CJ881" s="61"/>
      <c r="CK881" s="61"/>
      <c r="CL881" s="61"/>
      <c r="CM881" s="61"/>
    </row>
    <row r="882">
      <c r="A882" s="184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185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  <c r="CD882" s="61"/>
      <c r="CE882" s="61"/>
      <c r="CF882" s="61"/>
      <c r="CG882" s="61"/>
      <c r="CH882" s="61"/>
      <c r="CI882" s="61"/>
      <c r="CJ882" s="61"/>
      <c r="CK882" s="61"/>
      <c r="CL882" s="61"/>
      <c r="CM882" s="61"/>
    </row>
    <row r="883">
      <c r="A883" s="184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185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  <c r="CD883" s="61"/>
      <c r="CE883" s="61"/>
      <c r="CF883" s="61"/>
      <c r="CG883" s="61"/>
      <c r="CH883" s="61"/>
      <c r="CI883" s="61"/>
      <c r="CJ883" s="61"/>
      <c r="CK883" s="61"/>
      <c r="CL883" s="61"/>
      <c r="CM883" s="61"/>
    </row>
    <row r="884">
      <c r="A884" s="184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185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/>
      <c r="CK884" s="61"/>
      <c r="CL884" s="61"/>
      <c r="CM884" s="61"/>
    </row>
    <row r="885">
      <c r="A885" s="184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185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  <c r="CD885" s="61"/>
      <c r="CE885" s="61"/>
      <c r="CF885" s="61"/>
      <c r="CG885" s="61"/>
      <c r="CH885" s="61"/>
      <c r="CI885" s="61"/>
      <c r="CJ885" s="61"/>
      <c r="CK885" s="61"/>
      <c r="CL885" s="61"/>
      <c r="CM885" s="61"/>
    </row>
    <row r="886">
      <c r="A886" s="184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185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  <c r="CD886" s="61"/>
      <c r="CE886" s="61"/>
      <c r="CF886" s="61"/>
      <c r="CG886" s="61"/>
      <c r="CH886" s="61"/>
      <c r="CI886" s="61"/>
      <c r="CJ886" s="61"/>
      <c r="CK886" s="61"/>
      <c r="CL886" s="61"/>
      <c r="CM886" s="61"/>
    </row>
    <row r="887">
      <c r="A887" s="184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185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  <c r="CD887" s="61"/>
      <c r="CE887" s="61"/>
      <c r="CF887" s="61"/>
      <c r="CG887" s="61"/>
      <c r="CH887" s="61"/>
      <c r="CI887" s="61"/>
      <c r="CJ887" s="61"/>
      <c r="CK887" s="61"/>
      <c r="CL887" s="61"/>
      <c r="CM887" s="61"/>
    </row>
    <row r="888">
      <c r="A888" s="184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185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  <c r="CD888" s="61"/>
      <c r="CE888" s="61"/>
      <c r="CF888" s="61"/>
      <c r="CG888" s="61"/>
      <c r="CH888" s="61"/>
      <c r="CI888" s="61"/>
      <c r="CJ888" s="61"/>
      <c r="CK888" s="61"/>
      <c r="CL888" s="61"/>
      <c r="CM888" s="61"/>
    </row>
    <row r="889">
      <c r="A889" s="184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185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  <c r="CD889" s="61"/>
      <c r="CE889" s="61"/>
      <c r="CF889" s="61"/>
      <c r="CG889" s="61"/>
      <c r="CH889" s="61"/>
      <c r="CI889" s="61"/>
      <c r="CJ889" s="61"/>
      <c r="CK889" s="61"/>
      <c r="CL889" s="61"/>
      <c r="CM889" s="61"/>
    </row>
    <row r="890">
      <c r="A890" s="184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185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  <c r="CD890" s="61"/>
      <c r="CE890" s="61"/>
      <c r="CF890" s="61"/>
      <c r="CG890" s="61"/>
      <c r="CH890" s="61"/>
      <c r="CI890" s="61"/>
      <c r="CJ890" s="61"/>
      <c r="CK890" s="61"/>
      <c r="CL890" s="61"/>
      <c r="CM890" s="61"/>
    </row>
    <row r="891">
      <c r="A891" s="184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185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  <c r="CD891" s="61"/>
      <c r="CE891" s="61"/>
      <c r="CF891" s="61"/>
      <c r="CG891" s="61"/>
      <c r="CH891" s="61"/>
      <c r="CI891" s="61"/>
      <c r="CJ891" s="61"/>
      <c r="CK891" s="61"/>
      <c r="CL891" s="61"/>
      <c r="CM891" s="61"/>
    </row>
    <row r="892">
      <c r="A892" s="184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185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  <c r="CD892" s="61"/>
      <c r="CE892" s="61"/>
      <c r="CF892" s="61"/>
      <c r="CG892" s="61"/>
      <c r="CH892" s="61"/>
      <c r="CI892" s="61"/>
      <c r="CJ892" s="61"/>
      <c r="CK892" s="61"/>
      <c r="CL892" s="61"/>
      <c r="CM892" s="61"/>
    </row>
    <row r="893">
      <c r="A893" s="184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185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  <c r="CD893" s="61"/>
      <c r="CE893" s="61"/>
      <c r="CF893" s="61"/>
      <c r="CG893" s="61"/>
      <c r="CH893" s="61"/>
      <c r="CI893" s="61"/>
      <c r="CJ893" s="61"/>
      <c r="CK893" s="61"/>
      <c r="CL893" s="61"/>
      <c r="CM893" s="61"/>
    </row>
    <row r="894">
      <c r="A894" s="184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185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/>
      <c r="CL894" s="61"/>
      <c r="CM894" s="61"/>
    </row>
    <row r="895">
      <c r="A895" s="184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185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  <c r="CD895" s="61"/>
      <c r="CE895" s="61"/>
      <c r="CF895" s="61"/>
      <c r="CG895" s="61"/>
      <c r="CH895" s="61"/>
      <c r="CI895" s="61"/>
      <c r="CJ895" s="61"/>
      <c r="CK895" s="61"/>
      <c r="CL895" s="61"/>
      <c r="CM895" s="61"/>
    </row>
    <row r="896">
      <c r="A896" s="184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185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  <c r="CD896" s="61"/>
      <c r="CE896" s="61"/>
      <c r="CF896" s="61"/>
      <c r="CG896" s="61"/>
      <c r="CH896" s="61"/>
      <c r="CI896" s="61"/>
      <c r="CJ896" s="61"/>
      <c r="CK896" s="61"/>
      <c r="CL896" s="61"/>
      <c r="CM896" s="61"/>
    </row>
    <row r="897">
      <c r="A897" s="184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185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  <c r="CD897" s="61"/>
      <c r="CE897" s="61"/>
      <c r="CF897" s="61"/>
      <c r="CG897" s="61"/>
      <c r="CH897" s="61"/>
      <c r="CI897" s="61"/>
      <c r="CJ897" s="61"/>
      <c r="CK897" s="61"/>
      <c r="CL897" s="61"/>
      <c r="CM897" s="61"/>
    </row>
    <row r="898">
      <c r="A898" s="184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185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  <c r="CD898" s="61"/>
      <c r="CE898" s="61"/>
      <c r="CF898" s="61"/>
      <c r="CG898" s="61"/>
      <c r="CH898" s="61"/>
      <c r="CI898" s="61"/>
      <c r="CJ898" s="61"/>
      <c r="CK898" s="61"/>
      <c r="CL898" s="61"/>
      <c r="CM898" s="61"/>
    </row>
    <row r="899">
      <c r="A899" s="184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185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  <c r="CD899" s="61"/>
      <c r="CE899" s="61"/>
      <c r="CF899" s="61"/>
      <c r="CG899" s="61"/>
      <c r="CH899" s="61"/>
      <c r="CI899" s="61"/>
      <c r="CJ899" s="61"/>
      <c r="CK899" s="61"/>
      <c r="CL899" s="61"/>
      <c r="CM899" s="61"/>
    </row>
    <row r="900">
      <c r="A900" s="184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185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  <c r="CD900" s="61"/>
      <c r="CE900" s="61"/>
      <c r="CF900" s="61"/>
      <c r="CG900" s="61"/>
      <c r="CH900" s="61"/>
      <c r="CI900" s="61"/>
      <c r="CJ900" s="61"/>
      <c r="CK900" s="61"/>
      <c r="CL900" s="61"/>
      <c r="CM900" s="61"/>
    </row>
    <row r="901">
      <c r="A901" s="184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185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  <c r="CD901" s="61"/>
      <c r="CE901" s="61"/>
      <c r="CF901" s="61"/>
      <c r="CG901" s="61"/>
      <c r="CH901" s="61"/>
      <c r="CI901" s="61"/>
      <c r="CJ901" s="61"/>
      <c r="CK901" s="61"/>
      <c r="CL901" s="61"/>
      <c r="CM901" s="61"/>
    </row>
    <row r="902">
      <c r="A902" s="184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185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  <c r="CD902" s="61"/>
      <c r="CE902" s="61"/>
      <c r="CF902" s="61"/>
      <c r="CG902" s="61"/>
      <c r="CH902" s="61"/>
      <c r="CI902" s="61"/>
      <c r="CJ902" s="61"/>
      <c r="CK902" s="61"/>
      <c r="CL902" s="61"/>
      <c r="CM902" s="61"/>
    </row>
    <row r="903">
      <c r="A903" s="184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185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  <c r="CD903" s="61"/>
      <c r="CE903" s="61"/>
      <c r="CF903" s="61"/>
      <c r="CG903" s="61"/>
      <c r="CH903" s="61"/>
      <c r="CI903" s="61"/>
      <c r="CJ903" s="61"/>
      <c r="CK903" s="61"/>
      <c r="CL903" s="61"/>
      <c r="CM903" s="61"/>
    </row>
    <row r="904">
      <c r="A904" s="184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185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/>
      <c r="CL904" s="61"/>
      <c r="CM904" s="61"/>
    </row>
    <row r="905">
      <c r="A905" s="184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185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  <c r="CD905" s="61"/>
      <c r="CE905" s="61"/>
      <c r="CF905" s="61"/>
      <c r="CG905" s="61"/>
      <c r="CH905" s="61"/>
      <c r="CI905" s="61"/>
      <c r="CJ905" s="61"/>
      <c r="CK905" s="61"/>
      <c r="CL905" s="61"/>
      <c r="CM905" s="61"/>
    </row>
    <row r="906">
      <c r="A906" s="184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185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  <c r="CD906" s="61"/>
      <c r="CE906" s="61"/>
      <c r="CF906" s="61"/>
      <c r="CG906" s="61"/>
      <c r="CH906" s="61"/>
      <c r="CI906" s="61"/>
      <c r="CJ906" s="61"/>
      <c r="CK906" s="61"/>
      <c r="CL906" s="61"/>
      <c r="CM906" s="61"/>
    </row>
    <row r="907">
      <c r="A907" s="184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185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  <c r="CD907" s="61"/>
      <c r="CE907" s="61"/>
      <c r="CF907" s="61"/>
      <c r="CG907" s="61"/>
      <c r="CH907" s="61"/>
      <c r="CI907" s="61"/>
      <c r="CJ907" s="61"/>
      <c r="CK907" s="61"/>
      <c r="CL907" s="61"/>
      <c r="CM907" s="61"/>
    </row>
    <row r="908">
      <c r="A908" s="184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185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  <c r="CD908" s="61"/>
      <c r="CE908" s="61"/>
      <c r="CF908" s="61"/>
      <c r="CG908" s="61"/>
      <c r="CH908" s="61"/>
      <c r="CI908" s="61"/>
      <c r="CJ908" s="61"/>
      <c r="CK908" s="61"/>
      <c r="CL908" s="61"/>
      <c r="CM908" s="61"/>
    </row>
    <row r="909">
      <c r="A909" s="184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185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  <c r="CD909" s="61"/>
      <c r="CE909" s="61"/>
      <c r="CF909" s="61"/>
      <c r="CG909" s="61"/>
      <c r="CH909" s="61"/>
      <c r="CI909" s="61"/>
      <c r="CJ909" s="61"/>
      <c r="CK909" s="61"/>
      <c r="CL909" s="61"/>
      <c r="CM909" s="61"/>
    </row>
    <row r="910">
      <c r="A910" s="184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185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/>
      <c r="CK910" s="61"/>
      <c r="CL910" s="61"/>
      <c r="CM910" s="61"/>
    </row>
    <row r="911">
      <c r="A911" s="184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185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/>
      <c r="CG911" s="61"/>
      <c r="CH911" s="61"/>
      <c r="CI911" s="61"/>
      <c r="CJ911" s="61"/>
      <c r="CK911" s="61"/>
      <c r="CL911" s="61"/>
      <c r="CM911" s="61"/>
    </row>
    <row r="912">
      <c r="A912" s="184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185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  <c r="CD912" s="61"/>
      <c r="CE912" s="61"/>
      <c r="CF912" s="61"/>
      <c r="CG912" s="61"/>
      <c r="CH912" s="61"/>
      <c r="CI912" s="61"/>
      <c r="CJ912" s="61"/>
      <c r="CK912" s="61"/>
      <c r="CL912" s="61"/>
      <c r="CM912" s="61"/>
    </row>
    <row r="913">
      <c r="A913" s="184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185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/>
      <c r="CL913" s="61"/>
      <c r="CM913" s="61"/>
    </row>
    <row r="914">
      <c r="A914" s="184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185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  <c r="CD914" s="61"/>
      <c r="CE914" s="61"/>
      <c r="CF914" s="61"/>
      <c r="CG914" s="61"/>
      <c r="CH914" s="61"/>
      <c r="CI914" s="61"/>
      <c r="CJ914" s="61"/>
      <c r="CK914" s="61"/>
      <c r="CL914" s="61"/>
      <c r="CM914" s="61"/>
    </row>
    <row r="915">
      <c r="A915" s="184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185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  <c r="CD915" s="61"/>
      <c r="CE915" s="61"/>
      <c r="CF915" s="61"/>
      <c r="CG915" s="61"/>
      <c r="CH915" s="61"/>
      <c r="CI915" s="61"/>
      <c r="CJ915" s="61"/>
      <c r="CK915" s="61"/>
      <c r="CL915" s="61"/>
      <c r="CM915" s="61"/>
    </row>
    <row r="916">
      <c r="A916" s="184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185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  <c r="CD916" s="61"/>
      <c r="CE916" s="61"/>
      <c r="CF916" s="61"/>
      <c r="CG916" s="61"/>
      <c r="CH916" s="61"/>
      <c r="CI916" s="61"/>
      <c r="CJ916" s="61"/>
      <c r="CK916" s="61"/>
      <c r="CL916" s="61"/>
      <c r="CM916" s="61"/>
    </row>
    <row r="917">
      <c r="A917" s="184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185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  <c r="CD917" s="61"/>
      <c r="CE917" s="61"/>
      <c r="CF917" s="61"/>
      <c r="CG917" s="61"/>
      <c r="CH917" s="61"/>
      <c r="CI917" s="61"/>
      <c r="CJ917" s="61"/>
      <c r="CK917" s="61"/>
      <c r="CL917" s="61"/>
      <c r="CM917" s="61"/>
    </row>
    <row r="918">
      <c r="A918" s="184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185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  <c r="CD918" s="61"/>
      <c r="CE918" s="61"/>
      <c r="CF918" s="61"/>
      <c r="CG918" s="61"/>
      <c r="CH918" s="61"/>
      <c r="CI918" s="61"/>
      <c r="CJ918" s="61"/>
      <c r="CK918" s="61"/>
      <c r="CL918" s="61"/>
      <c r="CM918" s="61"/>
    </row>
    <row r="919">
      <c r="A919" s="184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185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  <c r="CD919" s="61"/>
      <c r="CE919" s="61"/>
      <c r="CF919" s="61"/>
      <c r="CG919" s="61"/>
      <c r="CH919" s="61"/>
      <c r="CI919" s="61"/>
      <c r="CJ919" s="61"/>
      <c r="CK919" s="61"/>
      <c r="CL919" s="61"/>
      <c r="CM919" s="61"/>
    </row>
    <row r="920">
      <c r="A920" s="184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185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  <c r="CD920" s="61"/>
      <c r="CE920" s="61"/>
      <c r="CF920" s="61"/>
      <c r="CG920" s="61"/>
      <c r="CH920" s="61"/>
      <c r="CI920" s="61"/>
      <c r="CJ920" s="61"/>
      <c r="CK920" s="61"/>
      <c r="CL920" s="61"/>
      <c r="CM920" s="61"/>
    </row>
    <row r="921">
      <c r="A921" s="184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185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  <c r="CD921" s="61"/>
      <c r="CE921" s="61"/>
      <c r="CF921" s="61"/>
      <c r="CG921" s="61"/>
      <c r="CH921" s="61"/>
      <c r="CI921" s="61"/>
      <c r="CJ921" s="61"/>
      <c r="CK921" s="61"/>
      <c r="CL921" s="61"/>
      <c r="CM921" s="61"/>
    </row>
    <row r="922">
      <c r="A922" s="184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185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/>
      <c r="CL922" s="61"/>
      <c r="CM922" s="61"/>
    </row>
    <row r="923">
      <c r="A923" s="184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185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  <c r="CD923" s="61"/>
      <c r="CE923" s="61"/>
      <c r="CF923" s="61"/>
      <c r="CG923" s="61"/>
      <c r="CH923" s="61"/>
      <c r="CI923" s="61"/>
      <c r="CJ923" s="61"/>
      <c r="CK923" s="61"/>
      <c r="CL923" s="61"/>
      <c r="CM923" s="61"/>
    </row>
    <row r="924">
      <c r="A924" s="184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185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  <c r="CD924" s="61"/>
      <c r="CE924" s="61"/>
      <c r="CF924" s="61"/>
      <c r="CG924" s="61"/>
      <c r="CH924" s="61"/>
      <c r="CI924" s="61"/>
      <c r="CJ924" s="61"/>
      <c r="CK924" s="61"/>
      <c r="CL924" s="61"/>
      <c r="CM924" s="61"/>
    </row>
    <row r="925">
      <c r="A925" s="184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185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  <c r="CD925" s="61"/>
      <c r="CE925" s="61"/>
      <c r="CF925" s="61"/>
      <c r="CG925" s="61"/>
      <c r="CH925" s="61"/>
      <c r="CI925" s="61"/>
      <c r="CJ925" s="61"/>
      <c r="CK925" s="61"/>
      <c r="CL925" s="61"/>
      <c r="CM925" s="61"/>
    </row>
    <row r="926">
      <c r="A926" s="184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185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  <c r="CD926" s="61"/>
      <c r="CE926" s="61"/>
      <c r="CF926" s="61"/>
      <c r="CG926" s="61"/>
      <c r="CH926" s="61"/>
      <c r="CI926" s="61"/>
      <c r="CJ926" s="61"/>
      <c r="CK926" s="61"/>
      <c r="CL926" s="61"/>
      <c r="CM926" s="61"/>
    </row>
    <row r="927">
      <c r="A927" s="184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185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  <c r="CD927" s="61"/>
      <c r="CE927" s="61"/>
      <c r="CF927" s="61"/>
      <c r="CG927" s="61"/>
      <c r="CH927" s="61"/>
      <c r="CI927" s="61"/>
      <c r="CJ927" s="61"/>
      <c r="CK927" s="61"/>
      <c r="CL927" s="61"/>
      <c r="CM927" s="61"/>
    </row>
    <row r="928">
      <c r="A928" s="184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185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  <c r="CD928" s="61"/>
      <c r="CE928" s="61"/>
      <c r="CF928" s="61"/>
      <c r="CG928" s="61"/>
      <c r="CH928" s="61"/>
      <c r="CI928" s="61"/>
      <c r="CJ928" s="61"/>
      <c r="CK928" s="61"/>
      <c r="CL928" s="61"/>
      <c r="CM928" s="61"/>
    </row>
    <row r="929">
      <c r="A929" s="184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185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  <c r="CD929" s="61"/>
      <c r="CE929" s="61"/>
      <c r="CF929" s="61"/>
      <c r="CG929" s="61"/>
      <c r="CH929" s="61"/>
      <c r="CI929" s="61"/>
      <c r="CJ929" s="61"/>
      <c r="CK929" s="61"/>
      <c r="CL929" s="61"/>
      <c r="CM929" s="61"/>
    </row>
    <row r="930">
      <c r="A930" s="184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185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/>
      <c r="CL930" s="61"/>
      <c r="CM930" s="61"/>
    </row>
    <row r="931">
      <c r="A931" s="184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185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  <c r="CG931" s="61"/>
      <c r="CH931" s="61"/>
      <c r="CI931" s="61"/>
      <c r="CJ931" s="61"/>
      <c r="CK931" s="61"/>
      <c r="CL931" s="61"/>
      <c r="CM931" s="61"/>
    </row>
    <row r="932">
      <c r="A932" s="184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185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  <c r="CD932" s="61"/>
      <c r="CE932" s="61"/>
      <c r="CF932" s="61"/>
      <c r="CG932" s="61"/>
      <c r="CH932" s="61"/>
      <c r="CI932" s="61"/>
      <c r="CJ932" s="61"/>
      <c r="CK932" s="61"/>
      <c r="CL932" s="61"/>
      <c r="CM932" s="61"/>
    </row>
    <row r="933">
      <c r="A933" s="184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185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  <c r="CD933" s="61"/>
      <c r="CE933" s="61"/>
      <c r="CF933" s="61"/>
      <c r="CG933" s="61"/>
      <c r="CH933" s="61"/>
      <c r="CI933" s="61"/>
      <c r="CJ933" s="61"/>
      <c r="CK933" s="61"/>
      <c r="CL933" s="61"/>
      <c r="CM933" s="61"/>
    </row>
    <row r="934">
      <c r="A934" s="184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185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  <c r="CD934" s="61"/>
      <c r="CE934" s="61"/>
      <c r="CF934" s="61"/>
      <c r="CG934" s="61"/>
      <c r="CH934" s="61"/>
      <c r="CI934" s="61"/>
      <c r="CJ934" s="61"/>
      <c r="CK934" s="61"/>
      <c r="CL934" s="61"/>
      <c r="CM934" s="61"/>
    </row>
    <row r="935">
      <c r="A935" s="184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185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  <c r="CM935" s="61"/>
    </row>
    <row r="936">
      <c r="A936" s="184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185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  <c r="CD936" s="61"/>
      <c r="CE936" s="61"/>
      <c r="CF936" s="61"/>
      <c r="CG936" s="61"/>
      <c r="CH936" s="61"/>
      <c r="CI936" s="61"/>
      <c r="CJ936" s="61"/>
      <c r="CK936" s="61"/>
      <c r="CL936" s="61"/>
      <c r="CM936" s="61"/>
    </row>
    <row r="937">
      <c r="A937" s="184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185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  <c r="CD937" s="61"/>
      <c r="CE937" s="61"/>
      <c r="CF937" s="61"/>
      <c r="CG937" s="61"/>
      <c r="CH937" s="61"/>
      <c r="CI937" s="61"/>
      <c r="CJ937" s="61"/>
      <c r="CK937" s="61"/>
      <c r="CL937" s="61"/>
      <c r="CM937" s="61"/>
    </row>
    <row r="938">
      <c r="A938" s="184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185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</row>
    <row r="939">
      <c r="A939" s="184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185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</row>
    <row r="940">
      <c r="A940" s="184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185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/>
      <c r="CK940" s="61"/>
      <c r="CL940" s="61"/>
      <c r="CM940" s="61"/>
    </row>
    <row r="941">
      <c r="A941" s="184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185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  <c r="CD941" s="61"/>
      <c r="CE941" s="61"/>
      <c r="CF941" s="61"/>
      <c r="CG941" s="61"/>
      <c r="CH941" s="61"/>
      <c r="CI941" s="61"/>
      <c r="CJ941" s="61"/>
      <c r="CK941" s="61"/>
      <c r="CL941" s="61"/>
      <c r="CM941" s="61"/>
    </row>
    <row r="942">
      <c r="A942" s="184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185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/>
      <c r="CL942" s="61"/>
      <c r="CM942" s="61"/>
    </row>
    <row r="943">
      <c r="A943" s="184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185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/>
      <c r="CL943" s="61"/>
      <c r="CM943" s="61"/>
    </row>
    <row r="944">
      <c r="A944" s="184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185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/>
      <c r="BX944" s="61"/>
      <c r="BY944" s="61"/>
      <c r="BZ944" s="61"/>
      <c r="CA944" s="61"/>
      <c r="CB944" s="61"/>
      <c r="CC944" s="61"/>
      <c r="CD944" s="61"/>
      <c r="CE944" s="61"/>
      <c r="CF944" s="61"/>
      <c r="CG944" s="61"/>
      <c r="CH944" s="61"/>
      <c r="CI944" s="61"/>
      <c r="CJ944" s="61"/>
      <c r="CK944" s="61"/>
      <c r="CL944" s="61"/>
      <c r="CM944" s="61"/>
    </row>
    <row r="945">
      <c r="A945" s="184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185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/>
      <c r="CL945" s="61"/>
      <c r="CM945" s="61"/>
    </row>
    <row r="946">
      <c r="A946" s="184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185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</row>
    <row r="947">
      <c r="A947" s="184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185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/>
      <c r="CK947" s="61"/>
      <c r="CL947" s="61"/>
      <c r="CM947" s="61"/>
    </row>
    <row r="948">
      <c r="A948" s="184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185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</row>
    <row r="949">
      <c r="A949" s="184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185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/>
      <c r="CK949" s="61"/>
      <c r="CL949" s="61"/>
      <c r="CM949" s="61"/>
    </row>
    <row r="950">
      <c r="A950" s="184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185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</row>
    <row r="951">
      <c r="A951" s="184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185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  <c r="CD951" s="61"/>
      <c r="CE951" s="61"/>
      <c r="CF951" s="61"/>
      <c r="CG951" s="61"/>
      <c r="CH951" s="61"/>
      <c r="CI951" s="61"/>
      <c r="CJ951" s="61"/>
      <c r="CK951" s="61"/>
      <c r="CL951" s="61"/>
      <c r="CM951" s="61"/>
    </row>
    <row r="952">
      <c r="A952" s="184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185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</row>
    <row r="953">
      <c r="A953" s="184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185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</row>
    <row r="954">
      <c r="A954" s="184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185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</row>
    <row r="955">
      <c r="A955" s="184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185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</row>
    <row r="956">
      <c r="A956" s="184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185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</row>
    <row r="957">
      <c r="A957" s="184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185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/>
      <c r="CG957" s="61"/>
      <c r="CH957" s="61"/>
      <c r="CI957" s="61"/>
      <c r="CJ957" s="61"/>
      <c r="CK957" s="61"/>
      <c r="CL957" s="61"/>
      <c r="CM957" s="61"/>
    </row>
    <row r="958">
      <c r="A958" s="184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185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</row>
    <row r="959">
      <c r="A959" s="184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185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/>
      <c r="CM959" s="61"/>
    </row>
    <row r="960">
      <c r="A960" s="184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185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</row>
    <row r="961">
      <c r="A961" s="184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185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</row>
    <row r="962">
      <c r="A962" s="184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185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/>
      <c r="CG962" s="61"/>
      <c r="CH962" s="61"/>
      <c r="CI962" s="61"/>
      <c r="CJ962" s="61"/>
      <c r="CK962" s="61"/>
      <c r="CL962" s="61"/>
      <c r="CM962" s="61"/>
    </row>
    <row r="963">
      <c r="A963" s="184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185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</row>
    <row r="964">
      <c r="A964" s="184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185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</row>
    <row r="965">
      <c r="A965" s="184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185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  <c r="CD965" s="61"/>
      <c r="CE965" s="61"/>
      <c r="CF965" s="61"/>
      <c r="CG965" s="61"/>
      <c r="CH965" s="61"/>
      <c r="CI965" s="61"/>
      <c r="CJ965" s="61"/>
      <c r="CK965" s="61"/>
      <c r="CL965" s="61"/>
      <c r="CM965" s="61"/>
    </row>
    <row r="966">
      <c r="A966" s="184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185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</row>
    <row r="967">
      <c r="A967" s="184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185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/>
      <c r="CG967" s="61"/>
      <c r="CH967" s="61"/>
      <c r="CI967" s="61"/>
      <c r="CJ967" s="61"/>
      <c r="CK967" s="61"/>
      <c r="CL967" s="61"/>
      <c r="CM967" s="61"/>
    </row>
    <row r="968">
      <c r="A968" s="184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185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</row>
    <row r="969">
      <c r="A969" s="184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185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</row>
    <row r="970">
      <c r="A970" s="184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185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/>
      <c r="CE970" s="61"/>
      <c r="CF970" s="61"/>
      <c r="CG970" s="61"/>
      <c r="CH970" s="61"/>
      <c r="CI970" s="61"/>
      <c r="CJ970" s="61"/>
      <c r="CK970" s="61"/>
      <c r="CL970" s="61"/>
      <c r="CM970" s="61"/>
    </row>
    <row r="971">
      <c r="A971" s="184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185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/>
      <c r="CI971" s="61"/>
      <c r="CJ971" s="61"/>
      <c r="CK971" s="61"/>
      <c r="CL971" s="61"/>
      <c r="CM971" s="61"/>
    </row>
    <row r="972">
      <c r="A972" s="184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185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</row>
    <row r="973">
      <c r="A973" s="184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185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</row>
    <row r="974">
      <c r="A974" s="184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185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/>
      <c r="CE974" s="61"/>
      <c r="CF974" s="61"/>
      <c r="CG974" s="61"/>
      <c r="CH974" s="61"/>
      <c r="CI974" s="61"/>
      <c r="CJ974" s="61"/>
      <c r="CK974" s="61"/>
      <c r="CL974" s="61"/>
      <c r="CM974" s="61"/>
    </row>
    <row r="975">
      <c r="A975" s="184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185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/>
      <c r="CM975" s="61"/>
    </row>
    <row r="976">
      <c r="A976" s="184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185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/>
      <c r="CK976" s="61"/>
      <c r="CL976" s="61"/>
      <c r="CM976" s="61"/>
    </row>
    <row r="977">
      <c r="A977" s="184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185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</row>
    <row r="978">
      <c r="A978" s="184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185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/>
      <c r="CI978" s="61"/>
      <c r="CJ978" s="61"/>
      <c r="CK978" s="61"/>
      <c r="CL978" s="61"/>
      <c r="CM978" s="61"/>
    </row>
    <row r="979">
      <c r="A979" s="184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185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/>
      <c r="CI979" s="61"/>
      <c r="CJ979" s="61"/>
      <c r="CK979" s="61"/>
      <c r="CL979" s="61"/>
      <c r="CM979" s="61"/>
    </row>
    <row r="980">
      <c r="A980" s="184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185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/>
      <c r="CI980" s="61"/>
      <c r="CJ980" s="61"/>
      <c r="CK980" s="61"/>
      <c r="CL980" s="61"/>
      <c r="CM980" s="61"/>
    </row>
    <row r="981">
      <c r="A981" s="184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185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/>
      <c r="CL981" s="61"/>
      <c r="CM981" s="61"/>
    </row>
    <row r="982">
      <c r="A982" s="184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185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/>
      <c r="CL982" s="61"/>
      <c r="CM982" s="61"/>
    </row>
    <row r="983">
      <c r="A983" s="184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185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</row>
    <row r="984">
      <c r="A984" s="184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185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/>
      <c r="CL984" s="61"/>
      <c r="CM984" s="61"/>
    </row>
    <row r="985">
      <c r="A985" s="184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185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/>
      <c r="CM985" s="61"/>
    </row>
    <row r="986">
      <c r="A986" s="184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185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</row>
    <row r="987">
      <c r="A987" s="184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185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/>
      <c r="CK987" s="61"/>
      <c r="CL987" s="61"/>
      <c r="CM987" s="61"/>
    </row>
    <row r="988">
      <c r="A988" s="184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185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  <c r="CD988" s="61"/>
      <c r="CE988" s="61"/>
      <c r="CF988" s="61"/>
      <c r="CG988" s="61"/>
      <c r="CH988" s="61"/>
      <c r="CI988" s="61"/>
      <c r="CJ988" s="61"/>
      <c r="CK988" s="61"/>
      <c r="CL988" s="61"/>
      <c r="CM988" s="61"/>
    </row>
    <row r="989">
      <c r="A989" s="184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185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</row>
    <row r="990">
      <c r="A990" s="184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185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</row>
    <row r="991">
      <c r="A991" s="184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185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</row>
    <row r="992">
      <c r="A992" s="184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185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</row>
    <row r="993">
      <c r="A993" s="184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185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</row>
    <row r="994">
      <c r="A994" s="184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185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</row>
    <row r="995">
      <c r="A995" s="184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185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/>
      <c r="CL995" s="61"/>
      <c r="CM995" s="61"/>
    </row>
    <row r="996">
      <c r="A996" s="184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185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/>
      <c r="CG996" s="61"/>
      <c r="CH996" s="61"/>
      <c r="CI996" s="61"/>
      <c r="CJ996" s="61"/>
      <c r="CK996" s="61"/>
      <c r="CL996" s="61"/>
      <c r="CM996" s="61"/>
    </row>
    <row r="997">
      <c r="A997" s="184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185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</row>
    <row r="998">
      <c r="A998" s="184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185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/>
      <c r="CE998" s="61"/>
      <c r="CF998" s="61"/>
      <c r="CG998" s="61"/>
      <c r="CH998" s="61"/>
      <c r="CI998" s="61"/>
      <c r="CJ998" s="61"/>
      <c r="CK998" s="61"/>
      <c r="CL998" s="61"/>
      <c r="CM998" s="61"/>
    </row>
    <row r="999">
      <c r="A999" s="184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185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</row>
    <row r="1000">
      <c r="A1000" s="184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185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  <c r="CD1000" s="61"/>
      <c r="CE1000" s="61"/>
      <c r="CF1000" s="61"/>
      <c r="CG1000" s="61"/>
      <c r="CH1000" s="61"/>
      <c r="CI1000" s="61"/>
      <c r="CJ1000" s="61"/>
      <c r="CK1000" s="61"/>
      <c r="CL1000" s="61"/>
      <c r="CM1000" s="61"/>
    </row>
    <row r="1001">
      <c r="A1001" s="184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185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  <c r="BV1001" s="61"/>
      <c r="BW1001" s="61"/>
      <c r="BX1001" s="61"/>
      <c r="BY1001" s="61"/>
      <c r="BZ1001" s="61"/>
      <c r="CA1001" s="61"/>
      <c r="CB1001" s="61"/>
      <c r="CC1001" s="61"/>
      <c r="CD1001" s="61"/>
      <c r="CE1001" s="61"/>
      <c r="CF1001" s="61"/>
      <c r="CG1001" s="61"/>
      <c r="CH1001" s="61"/>
      <c r="CI1001" s="61"/>
      <c r="CJ1001" s="61"/>
      <c r="CK1001" s="61"/>
      <c r="CL1001" s="61"/>
      <c r="CM1001" s="61"/>
    </row>
    <row r="1002">
      <c r="A1002" s="184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185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  <c r="BV1002" s="61"/>
      <c r="BW1002" s="61"/>
      <c r="BX1002" s="61"/>
      <c r="BY1002" s="61"/>
      <c r="BZ1002" s="61"/>
      <c r="CA1002" s="61"/>
      <c r="CB1002" s="61"/>
      <c r="CC1002" s="61"/>
      <c r="CD1002" s="61"/>
      <c r="CE1002" s="61"/>
      <c r="CF1002" s="61"/>
      <c r="CG1002" s="61"/>
      <c r="CH1002" s="61"/>
      <c r="CI1002" s="61"/>
      <c r="CJ1002" s="61"/>
      <c r="CK1002" s="61"/>
      <c r="CL1002" s="61"/>
      <c r="CM1002" s="61"/>
    </row>
    <row r="1003">
      <c r="A1003" s="186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185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  <c r="BV1003" s="61"/>
      <c r="BW1003" s="61"/>
      <c r="BX1003" s="61"/>
      <c r="BY1003" s="61"/>
      <c r="BZ1003" s="61"/>
      <c r="CA1003" s="61"/>
      <c r="CB1003" s="61"/>
      <c r="CC1003" s="61"/>
      <c r="CD1003" s="61"/>
      <c r="CE1003" s="61"/>
      <c r="CF1003" s="61"/>
      <c r="CG1003" s="61"/>
      <c r="CH1003" s="61"/>
      <c r="CI1003" s="61"/>
      <c r="CJ1003" s="61"/>
      <c r="CK1003" s="61"/>
      <c r="CL1003" s="61"/>
      <c r="CM1003" s="61"/>
    </row>
  </sheetData>
  <mergeCells count="2">
    <mergeCell ref="F4:G4"/>
    <mergeCell ref="J4: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6.38"/>
    <col customWidth="1" min="3" max="3" width="17.25"/>
    <col customWidth="1" min="4" max="4" width="10.75"/>
    <col customWidth="1" min="5" max="5" width="10.63"/>
    <col customWidth="1" min="6" max="6" width="17.88"/>
    <col customWidth="1" min="7" max="7" width="14.5"/>
    <col customWidth="1" min="8" max="8" width="10.13"/>
    <col customWidth="1" min="9" max="9" width="10.88"/>
    <col customWidth="1" min="10" max="11" width="8.88"/>
    <col customWidth="1" min="12" max="12" width="7.5"/>
    <col customWidth="1" min="13" max="13" width="10.5"/>
    <col customWidth="1" min="14" max="14" width="11.88"/>
    <col customWidth="1" min="16" max="17" width="8.88"/>
    <col customWidth="1" min="18" max="18" width="10.88"/>
    <col customWidth="1" min="19" max="19" width="16.13"/>
    <col customWidth="1" min="20" max="20" width="10.63"/>
    <col customWidth="1" min="21" max="68" width="8.88"/>
  </cols>
  <sheetData>
    <row r="1">
      <c r="A1" s="65"/>
      <c r="B1" s="65"/>
      <c r="C1" s="65"/>
      <c r="D1" s="65"/>
      <c r="E1" s="65"/>
      <c r="F1" s="66"/>
      <c r="G1" s="66"/>
      <c r="H1" s="65"/>
      <c r="I1" s="68" t="s">
        <v>0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>
      <c r="A2" s="65"/>
      <c r="B2" s="65"/>
      <c r="C2" s="65"/>
      <c r="D2" s="65"/>
      <c r="E2" s="65"/>
      <c r="F2" s="70"/>
      <c r="G2" s="70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66"/>
      <c r="BF2" s="66"/>
      <c r="BG2" s="66"/>
      <c r="BH2" s="66"/>
      <c r="BI2" s="66"/>
      <c r="BJ2" s="66"/>
      <c r="BK2" s="66"/>
      <c r="BL2" s="66"/>
      <c r="BM2" s="66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ht="24.75" customHeight="1">
      <c r="A3" s="65"/>
      <c r="B3" s="65"/>
      <c r="C3" s="65"/>
      <c r="D3" s="65"/>
      <c r="E3" s="65"/>
      <c r="F3" s="71" t="s">
        <v>140</v>
      </c>
      <c r="G3" s="187"/>
      <c r="H3" s="187"/>
      <c r="I3" s="187"/>
      <c r="J3" s="187"/>
      <c r="K3" s="187"/>
      <c r="L3" s="187"/>
      <c r="M3" s="188"/>
      <c r="N3" s="65"/>
      <c r="O3" s="65"/>
      <c r="P3" s="65"/>
      <c r="Q3" s="65"/>
      <c r="R3" s="65"/>
      <c r="S3" s="65"/>
      <c r="T3" s="65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66"/>
      <c r="BF3" s="66"/>
      <c r="BG3" s="66"/>
      <c r="BH3" s="66"/>
      <c r="BI3" s="66"/>
      <c r="BJ3" s="66"/>
      <c r="BK3" s="66"/>
      <c r="BL3" s="66"/>
      <c r="BM3" s="66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>
      <c r="A4" s="65"/>
      <c r="B4" s="65"/>
      <c r="C4" s="65"/>
      <c r="D4" s="65"/>
      <c r="E4" s="65"/>
      <c r="F4" s="75" t="s">
        <v>141</v>
      </c>
      <c r="H4" s="76">
        <f>F15</f>
        <v>22.3</v>
      </c>
      <c r="I4" s="77"/>
      <c r="J4" s="75" t="s">
        <v>142</v>
      </c>
      <c r="M4" s="78">
        <f>F25</f>
        <v>20.85</v>
      </c>
      <c r="N4" s="79"/>
      <c r="O4" s="65"/>
      <c r="P4" s="65"/>
      <c r="Q4" s="65"/>
      <c r="R4" s="65"/>
      <c r="S4" s="65"/>
      <c r="T4" s="65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66"/>
      <c r="BF4" s="66"/>
      <c r="BG4" s="66"/>
      <c r="BH4" s="66"/>
      <c r="BI4" s="66"/>
      <c r="BJ4" s="66"/>
      <c r="BK4" s="66"/>
      <c r="BL4" s="66"/>
      <c r="BM4" s="66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>
      <c r="A5" s="65"/>
      <c r="B5" s="65"/>
      <c r="C5" s="65"/>
      <c r="D5" s="65"/>
      <c r="E5" s="65"/>
      <c r="F5" s="80" t="s">
        <v>143</v>
      </c>
      <c r="G5" s="81"/>
      <c r="H5" s="82">
        <f>(F15*10)+0.25</f>
        <v>223.25</v>
      </c>
      <c r="I5" s="83"/>
      <c r="J5" s="84" t="s">
        <v>144</v>
      </c>
      <c r="K5" s="189"/>
      <c r="L5" s="189"/>
      <c r="M5" s="86">
        <f>(F25*10)+0.25</f>
        <v>208.75</v>
      </c>
      <c r="N5" s="79"/>
      <c r="O5" s="65"/>
      <c r="P5" s="65"/>
      <c r="Q5" s="65"/>
      <c r="R5" s="65"/>
      <c r="S5" s="65"/>
      <c r="T5" s="65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66"/>
      <c r="BF5" s="66"/>
      <c r="BG5" s="66"/>
      <c r="BH5" s="66"/>
      <c r="BI5" s="66"/>
      <c r="BJ5" s="66"/>
      <c r="BK5" s="66"/>
      <c r="BL5" s="66"/>
      <c r="BM5" s="66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>
      <c r="A6" s="65"/>
      <c r="B6" s="65"/>
      <c r="C6" s="65"/>
      <c r="D6" s="65"/>
      <c r="E6" s="65"/>
      <c r="F6" s="66"/>
      <c r="G6" s="66"/>
      <c r="H6" s="66"/>
      <c r="I6" s="66"/>
      <c r="J6" s="66"/>
      <c r="K6" s="66"/>
      <c r="L6" s="66"/>
      <c r="M6" s="66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66"/>
      <c r="BF6" s="66"/>
      <c r="BG6" s="66"/>
      <c r="BH6" s="66"/>
      <c r="BI6" s="66"/>
      <c r="BJ6" s="66"/>
      <c r="BK6" s="66"/>
      <c r="BL6" s="66"/>
      <c r="BM6" s="6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70"/>
      <c r="BA7" s="70"/>
      <c r="BB7" s="70"/>
      <c r="BC7" s="70"/>
      <c r="BD7" s="70"/>
      <c r="BE7" s="89"/>
      <c r="BF7" s="89"/>
      <c r="BG7" s="89"/>
      <c r="BH7" s="89"/>
      <c r="BI7" s="89"/>
      <c r="BJ7" s="89"/>
      <c r="BK7" s="89"/>
      <c r="BL7" s="89"/>
      <c r="BM7" s="89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>
      <c r="A8" s="10"/>
      <c r="B8" s="11" t="s">
        <v>1</v>
      </c>
      <c r="C8" s="12" t="s">
        <v>2</v>
      </c>
      <c r="D8" s="13" t="s">
        <v>3</v>
      </c>
      <c r="E8" s="13" t="s">
        <v>4</v>
      </c>
      <c r="F8" s="90" t="s">
        <v>5</v>
      </c>
      <c r="G8" s="91" t="s">
        <v>6</v>
      </c>
      <c r="H8" s="90" t="s">
        <v>7</v>
      </c>
      <c r="I8" s="92" t="s">
        <v>8</v>
      </c>
      <c r="J8" s="92" t="s">
        <v>9</v>
      </c>
      <c r="K8" s="93" t="s">
        <v>10</v>
      </c>
      <c r="L8" s="94" t="s">
        <v>11</v>
      </c>
      <c r="M8" s="95" t="s">
        <v>12</v>
      </c>
      <c r="N8" s="95" t="s">
        <v>13</v>
      </c>
      <c r="O8" s="96" t="s">
        <v>14</v>
      </c>
      <c r="P8" s="19" t="s">
        <v>15</v>
      </c>
      <c r="Q8" s="97" t="s">
        <v>16</v>
      </c>
      <c r="R8" s="21" t="s">
        <v>17</v>
      </c>
      <c r="S8" s="190" t="s">
        <v>18</v>
      </c>
      <c r="T8" s="23" t="s">
        <v>19</v>
      </c>
      <c r="U8" s="23" t="s">
        <v>20</v>
      </c>
      <c r="V8" s="23" t="s">
        <v>21</v>
      </c>
      <c r="W8" s="23" t="s">
        <v>22</v>
      </c>
      <c r="X8" s="23" t="s">
        <v>23</v>
      </c>
      <c r="Y8" s="23" t="s">
        <v>24</v>
      </c>
      <c r="Z8" s="23" t="s">
        <v>25</v>
      </c>
      <c r="AA8" s="23" t="s">
        <v>26</v>
      </c>
      <c r="AB8" s="23" t="s">
        <v>27</v>
      </c>
      <c r="AC8" s="23" t="s">
        <v>28</v>
      </c>
      <c r="AD8" s="23" t="s">
        <v>29</v>
      </c>
      <c r="AE8" s="23" t="s">
        <v>30</v>
      </c>
      <c r="AF8" s="23" t="s">
        <v>31</v>
      </c>
      <c r="AG8" s="23" t="s">
        <v>32</v>
      </c>
      <c r="AH8" s="23" t="s">
        <v>33</v>
      </c>
      <c r="AI8" s="23" t="s">
        <v>34</v>
      </c>
      <c r="AJ8" s="23" t="s">
        <v>35</v>
      </c>
      <c r="AK8" s="23" t="s">
        <v>36</v>
      </c>
      <c r="AL8" s="23" t="s">
        <v>37</v>
      </c>
      <c r="AM8" s="23" t="s">
        <v>38</v>
      </c>
      <c r="AN8" s="23" t="s">
        <v>39</v>
      </c>
      <c r="AO8" s="23" t="s">
        <v>40</v>
      </c>
      <c r="AP8" s="23" t="s">
        <v>41</v>
      </c>
      <c r="AQ8" s="23" t="s">
        <v>42</v>
      </c>
      <c r="AR8" s="23" t="s">
        <v>43</v>
      </c>
      <c r="AS8" s="23" t="s">
        <v>44</v>
      </c>
      <c r="AT8" s="23" t="s">
        <v>45</v>
      </c>
      <c r="AU8" s="23" t="s">
        <v>46</v>
      </c>
      <c r="AV8" s="23" t="s">
        <v>47</v>
      </c>
      <c r="AW8" s="23" t="s">
        <v>48</v>
      </c>
      <c r="AX8" s="23" t="s">
        <v>49</v>
      </c>
      <c r="AY8" s="23" t="s">
        <v>50</v>
      </c>
      <c r="AZ8" s="23" t="s">
        <v>51</v>
      </c>
      <c r="BA8" s="23" t="s">
        <v>52</v>
      </c>
      <c r="BB8" s="23" t="s">
        <v>53</v>
      </c>
      <c r="BC8" s="23" t="s">
        <v>54</v>
      </c>
      <c r="BD8" s="23" t="s">
        <v>55</v>
      </c>
      <c r="BE8" s="23" t="s">
        <v>56</v>
      </c>
      <c r="BF8" s="23" t="s">
        <v>57</v>
      </c>
      <c r="BG8" s="23" t="s">
        <v>58</v>
      </c>
      <c r="BH8" s="24" t="s">
        <v>59</v>
      </c>
      <c r="BI8" s="24" t="s">
        <v>60</v>
      </c>
      <c r="BJ8" s="24" t="s">
        <v>61</v>
      </c>
      <c r="BK8" s="24" t="s">
        <v>62</v>
      </c>
      <c r="BL8" s="24" t="s">
        <v>63</v>
      </c>
      <c r="BM8" s="24" t="s">
        <v>64</v>
      </c>
      <c r="BN8" s="24" t="s">
        <v>65</v>
      </c>
      <c r="BO8" s="25" t="s">
        <v>66</v>
      </c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>
      <c r="A9" s="98"/>
      <c r="B9" s="99">
        <v>1.0</v>
      </c>
      <c r="C9" s="100" t="str">
        <f t="array" ref="C9:CB68">SORT('Турнирная таблица по Алфавиту'!C7:CM66,4,FALSE, 5, FALSE, 11, FALSE, 12, FALSE, 10, FALSE, 13, TRUE)</f>
        <v>Артик</v>
      </c>
      <c r="D9" s="101">
        <v>50.0</v>
      </c>
      <c r="E9" s="102">
        <v>244.5</v>
      </c>
      <c r="F9" s="103">
        <v>24.45</v>
      </c>
      <c r="G9" s="104">
        <v>3.29</v>
      </c>
      <c r="H9" s="103">
        <v>80.0</v>
      </c>
      <c r="I9" s="105">
        <v>153.5</v>
      </c>
      <c r="J9" s="106">
        <v>1.5</v>
      </c>
      <c r="K9" s="107">
        <v>9.5</v>
      </c>
      <c r="L9" s="108">
        <v>14.0</v>
      </c>
      <c r="M9" s="109">
        <v>32.0</v>
      </c>
      <c r="N9" s="109">
        <v>7.0</v>
      </c>
      <c r="O9" s="110">
        <v>4.0</v>
      </c>
      <c r="P9" s="111"/>
      <c r="Q9" s="112"/>
      <c r="R9" s="112"/>
      <c r="S9" s="113"/>
      <c r="T9" s="191">
        <v>27.5</v>
      </c>
      <c r="U9" s="192"/>
      <c r="V9" s="115"/>
      <c r="W9" s="116"/>
      <c r="X9" s="116"/>
      <c r="Y9" s="116">
        <v>15.5</v>
      </c>
      <c r="Z9" s="115"/>
      <c r="AA9" s="116"/>
      <c r="AB9" s="115"/>
      <c r="AC9" s="115"/>
      <c r="AD9" s="116"/>
      <c r="AE9" s="116"/>
      <c r="AF9" s="116"/>
      <c r="AG9" s="115">
        <v>29.25</v>
      </c>
      <c r="AH9" s="116">
        <v>28.0</v>
      </c>
      <c r="AI9" s="116"/>
      <c r="AJ9" s="116"/>
      <c r="AK9" s="116"/>
      <c r="AL9" s="116"/>
      <c r="AM9" s="116"/>
      <c r="AN9" s="116"/>
      <c r="AO9" s="116"/>
      <c r="AP9" s="115"/>
      <c r="AQ9" s="116"/>
      <c r="AR9" s="116"/>
      <c r="AS9" s="116"/>
      <c r="AT9" s="116"/>
      <c r="AU9" s="115"/>
      <c r="AV9" s="115"/>
      <c r="AW9" s="116"/>
      <c r="AX9" s="116"/>
      <c r="AY9" s="116"/>
      <c r="AZ9" s="117"/>
      <c r="BA9" s="117">
        <v>24.5</v>
      </c>
      <c r="BB9" s="117"/>
      <c r="BC9" s="117">
        <v>22.25</v>
      </c>
      <c r="BD9" s="117"/>
      <c r="BE9" s="118"/>
      <c r="BF9" s="118"/>
      <c r="BG9" s="118">
        <v>28.0</v>
      </c>
      <c r="BH9" s="118"/>
      <c r="BI9" s="118"/>
      <c r="BJ9" s="118"/>
      <c r="BK9" s="118"/>
      <c r="BL9" s="119"/>
      <c r="BM9" s="119"/>
      <c r="BN9" s="119"/>
      <c r="BO9" s="119"/>
      <c r="BP9" s="193">
        <v>16.0</v>
      </c>
      <c r="BQ9" s="120"/>
      <c r="BR9" s="120"/>
      <c r="BS9" s="120"/>
      <c r="BT9" s="120"/>
      <c r="BU9" s="120">
        <v>27.0</v>
      </c>
      <c r="BV9" s="120"/>
      <c r="BW9" s="120"/>
      <c r="BX9" s="120"/>
      <c r="BY9" s="120"/>
      <c r="BZ9" s="120">
        <v>26.5</v>
      </c>
      <c r="CA9" s="120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>
      <c r="A10" s="98"/>
      <c r="B10" s="121">
        <v>2.0</v>
      </c>
      <c r="C10" s="122" t="s">
        <v>121</v>
      </c>
      <c r="D10" s="123">
        <v>50.0</v>
      </c>
      <c r="E10" s="124">
        <v>227.75</v>
      </c>
      <c r="F10" s="125">
        <v>22.775</v>
      </c>
      <c r="G10" s="126">
        <v>3.305</v>
      </c>
      <c r="H10" s="125">
        <v>62.5</v>
      </c>
      <c r="I10" s="127">
        <v>152.75</v>
      </c>
      <c r="J10" s="128">
        <v>3.5</v>
      </c>
      <c r="K10" s="129">
        <v>9.0</v>
      </c>
      <c r="L10" s="130">
        <v>14.0</v>
      </c>
      <c r="M10" s="131">
        <v>25.0</v>
      </c>
      <c r="N10" s="131">
        <v>4.0</v>
      </c>
      <c r="O10" s="132">
        <v>6.0</v>
      </c>
      <c r="P10" s="133"/>
      <c r="Q10" s="134"/>
      <c r="R10" s="134"/>
      <c r="S10" s="135"/>
      <c r="T10" s="194"/>
      <c r="U10" s="195"/>
      <c r="V10" s="137"/>
      <c r="W10" s="137"/>
      <c r="X10" s="138"/>
      <c r="Y10" s="137"/>
      <c r="Z10" s="137"/>
      <c r="AA10" s="137"/>
      <c r="AB10" s="137"/>
      <c r="AC10" s="138"/>
      <c r="AD10" s="137"/>
      <c r="AE10" s="137"/>
      <c r="AF10" s="137"/>
      <c r="AG10" s="137"/>
      <c r="AH10" s="138"/>
      <c r="AI10" s="137"/>
      <c r="AJ10" s="137"/>
      <c r="AK10" s="137"/>
      <c r="AL10" s="137"/>
      <c r="AM10" s="137"/>
      <c r="AN10" s="138"/>
      <c r="AO10" s="137"/>
      <c r="AP10" s="137">
        <v>31.5</v>
      </c>
      <c r="AQ10" s="137">
        <v>15.75</v>
      </c>
      <c r="AR10" s="138">
        <v>16.25</v>
      </c>
      <c r="AS10" s="137">
        <v>26.75</v>
      </c>
      <c r="AT10" s="137">
        <v>27.5</v>
      </c>
      <c r="AU10" s="137"/>
      <c r="AV10" s="137"/>
      <c r="AW10" s="137"/>
      <c r="AX10" s="137"/>
      <c r="AY10" s="137"/>
      <c r="AZ10" s="139"/>
      <c r="BA10" s="139"/>
      <c r="BB10" s="139"/>
      <c r="BC10" s="139"/>
      <c r="BD10" s="139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93"/>
      <c r="BQ10" s="120"/>
      <c r="BR10" s="120"/>
      <c r="BS10" s="120">
        <v>16.25</v>
      </c>
      <c r="BT10" s="120">
        <v>17.25</v>
      </c>
      <c r="BU10" s="120">
        <v>29.0</v>
      </c>
      <c r="BV10" s="120">
        <v>22.25</v>
      </c>
      <c r="BW10" s="120">
        <v>25.25</v>
      </c>
      <c r="BX10" s="120"/>
      <c r="BY10" s="120"/>
      <c r="BZ10" s="120"/>
      <c r="CA10" s="120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>
      <c r="A11" s="98"/>
      <c r="B11" s="121">
        <v>3.0</v>
      </c>
      <c r="C11" s="140" t="s">
        <v>87</v>
      </c>
      <c r="D11" s="141">
        <v>50.0</v>
      </c>
      <c r="E11" s="142">
        <v>225.25</v>
      </c>
      <c r="F11" s="143">
        <v>22.525</v>
      </c>
      <c r="G11" s="144">
        <v>3.205</v>
      </c>
      <c r="H11" s="143">
        <v>65.0</v>
      </c>
      <c r="I11" s="145">
        <v>152.75</v>
      </c>
      <c r="J11" s="146">
        <v>0.0</v>
      </c>
      <c r="K11" s="147">
        <v>7.5</v>
      </c>
      <c r="L11" s="148">
        <v>12.0</v>
      </c>
      <c r="M11" s="149">
        <v>26.0</v>
      </c>
      <c r="N11" s="149">
        <v>5.0</v>
      </c>
      <c r="O11" s="150">
        <v>1.0</v>
      </c>
      <c r="P11" s="151"/>
      <c r="Q11" s="152"/>
      <c r="R11" s="152"/>
      <c r="S11" s="153"/>
      <c r="T11" s="196"/>
      <c r="U11" s="197"/>
      <c r="V11" s="155"/>
      <c r="W11" s="155"/>
      <c r="X11" s="155"/>
      <c r="Y11" s="155"/>
      <c r="Z11" s="156"/>
      <c r="AA11" s="156"/>
      <c r="AB11" s="155"/>
      <c r="AC11" s="155"/>
      <c r="AD11" s="155">
        <v>23.0</v>
      </c>
      <c r="AE11" s="155">
        <v>18.25</v>
      </c>
      <c r="AF11" s="155">
        <v>25.75</v>
      </c>
      <c r="AG11" s="155">
        <v>28.5</v>
      </c>
      <c r="AH11" s="155">
        <v>18.0</v>
      </c>
      <c r="AI11" s="155"/>
      <c r="AJ11" s="155"/>
      <c r="AK11" s="156"/>
      <c r="AL11" s="156"/>
      <c r="AM11" s="155"/>
      <c r="AN11" s="155"/>
      <c r="AO11" s="155"/>
      <c r="AP11" s="155"/>
      <c r="AQ11" s="155"/>
      <c r="AR11" s="155"/>
      <c r="AS11" s="155"/>
      <c r="AT11" s="155"/>
      <c r="AU11" s="156">
        <v>26.25</v>
      </c>
      <c r="AV11" s="156">
        <v>21.75</v>
      </c>
      <c r="AW11" s="155">
        <v>14.5</v>
      </c>
      <c r="AX11" s="155">
        <v>25.0</v>
      </c>
      <c r="AY11" s="155">
        <v>24.25</v>
      </c>
      <c r="AZ11" s="157"/>
      <c r="BA11" s="157"/>
      <c r="BB11" s="157"/>
      <c r="BC11" s="157"/>
      <c r="BD11" s="157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93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>
      <c r="A12" s="98"/>
      <c r="B12" s="121">
        <v>4.0</v>
      </c>
      <c r="C12" s="122" t="s">
        <v>123</v>
      </c>
      <c r="D12" s="123">
        <v>50.0</v>
      </c>
      <c r="E12" s="124">
        <v>224.75</v>
      </c>
      <c r="F12" s="125">
        <v>22.475</v>
      </c>
      <c r="G12" s="126">
        <v>3.045</v>
      </c>
      <c r="H12" s="125">
        <v>72.5</v>
      </c>
      <c r="I12" s="127">
        <v>146.25</v>
      </c>
      <c r="J12" s="128">
        <v>0.5</v>
      </c>
      <c r="K12" s="129">
        <v>5.5</v>
      </c>
      <c r="L12" s="130">
        <v>9.0</v>
      </c>
      <c r="M12" s="131">
        <v>29.0</v>
      </c>
      <c r="N12" s="131">
        <v>9.0</v>
      </c>
      <c r="O12" s="132">
        <v>2.0</v>
      </c>
      <c r="P12" s="133"/>
      <c r="Q12" s="134"/>
      <c r="R12" s="134"/>
      <c r="S12" s="135"/>
      <c r="T12" s="194"/>
      <c r="U12" s="195"/>
      <c r="V12" s="137">
        <v>22.75</v>
      </c>
      <c r="W12" s="137">
        <v>26.5</v>
      </c>
      <c r="X12" s="138"/>
      <c r="Y12" s="137"/>
      <c r="Z12" s="137">
        <v>23.75</v>
      </c>
      <c r="AA12" s="137"/>
      <c r="AB12" s="137"/>
      <c r="AC12" s="138"/>
      <c r="AD12" s="137"/>
      <c r="AE12" s="137"/>
      <c r="AF12" s="137"/>
      <c r="AG12" s="137"/>
      <c r="AH12" s="138"/>
      <c r="AI12" s="137"/>
      <c r="AJ12" s="137"/>
      <c r="AK12" s="137"/>
      <c r="AL12" s="137"/>
      <c r="AM12" s="137"/>
      <c r="AN12" s="138"/>
      <c r="AO12" s="137"/>
      <c r="AP12" s="137"/>
      <c r="AQ12" s="137"/>
      <c r="AR12" s="138"/>
      <c r="AS12" s="137"/>
      <c r="AT12" s="137">
        <v>28.5</v>
      </c>
      <c r="AU12" s="137"/>
      <c r="AV12" s="137">
        <v>22.25</v>
      </c>
      <c r="AW12" s="137"/>
      <c r="AX12" s="137"/>
      <c r="AY12" s="137">
        <v>19.5</v>
      </c>
      <c r="AZ12" s="139"/>
      <c r="BA12" s="139"/>
      <c r="BB12" s="139"/>
      <c r="BC12" s="139"/>
      <c r="BD12" s="139">
        <v>19.75</v>
      </c>
      <c r="BE12" s="127"/>
      <c r="BF12" s="127"/>
      <c r="BG12" s="127">
        <v>22.5</v>
      </c>
      <c r="BH12" s="127"/>
      <c r="BI12" s="127"/>
      <c r="BJ12" s="127"/>
      <c r="BK12" s="127"/>
      <c r="BL12" s="127"/>
      <c r="BM12" s="127"/>
      <c r="BN12" s="127">
        <v>17.0</v>
      </c>
      <c r="BO12" s="127"/>
      <c r="BP12" s="193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>
        <v>22.25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>
      <c r="A13" s="98"/>
      <c r="B13" s="121">
        <v>5.0</v>
      </c>
      <c r="C13" s="140" t="s">
        <v>93</v>
      </c>
      <c r="D13" s="141">
        <v>50.0</v>
      </c>
      <c r="E13" s="142">
        <v>224.5</v>
      </c>
      <c r="F13" s="143">
        <v>22.450000000000003</v>
      </c>
      <c r="G13" s="144">
        <v>3.14</v>
      </c>
      <c r="H13" s="143">
        <v>67.5</v>
      </c>
      <c r="I13" s="145">
        <v>150.0</v>
      </c>
      <c r="J13" s="146">
        <v>2.5</v>
      </c>
      <c r="K13" s="147">
        <v>4.5</v>
      </c>
      <c r="L13" s="148">
        <v>9.0</v>
      </c>
      <c r="M13" s="149">
        <v>27.0</v>
      </c>
      <c r="N13" s="149">
        <v>6.0</v>
      </c>
      <c r="O13" s="150">
        <v>5.0</v>
      </c>
      <c r="P13" s="151"/>
      <c r="Q13" s="152"/>
      <c r="R13" s="152"/>
      <c r="S13" s="153"/>
      <c r="T13" s="196"/>
      <c r="U13" s="197"/>
      <c r="V13" s="155"/>
      <c r="W13" s="155"/>
      <c r="X13" s="155"/>
      <c r="Y13" s="155"/>
      <c r="Z13" s="156"/>
      <c r="AA13" s="156"/>
      <c r="AB13" s="155"/>
      <c r="AC13" s="155"/>
      <c r="AD13" s="155"/>
      <c r="AE13" s="155"/>
      <c r="AF13" s="155"/>
      <c r="AG13" s="155"/>
      <c r="AH13" s="155"/>
      <c r="AI13" s="155"/>
      <c r="AJ13" s="155"/>
      <c r="AK13" s="156"/>
      <c r="AL13" s="156"/>
      <c r="AM13" s="155"/>
      <c r="AN13" s="155"/>
      <c r="AO13" s="155"/>
      <c r="AP13" s="155"/>
      <c r="AQ13" s="155"/>
      <c r="AR13" s="155"/>
      <c r="AS13" s="155"/>
      <c r="AT13" s="155"/>
      <c r="AU13" s="156"/>
      <c r="AV13" s="156"/>
      <c r="AW13" s="155"/>
      <c r="AX13" s="155"/>
      <c r="AY13" s="155"/>
      <c r="AZ13" s="157">
        <v>18.0</v>
      </c>
      <c r="BA13" s="157">
        <v>23.0</v>
      </c>
      <c r="BB13" s="157">
        <v>30.5</v>
      </c>
      <c r="BC13" s="157">
        <v>17.25</v>
      </c>
      <c r="BD13" s="157"/>
      <c r="BE13" s="145"/>
      <c r="BF13" s="145"/>
      <c r="BG13" s="145"/>
      <c r="BH13" s="145"/>
      <c r="BI13" s="145"/>
      <c r="BJ13" s="145"/>
      <c r="BK13" s="145"/>
      <c r="BL13" s="145"/>
      <c r="BM13" s="145">
        <v>25.25</v>
      </c>
      <c r="BN13" s="145">
        <v>14.75</v>
      </c>
      <c r="BO13" s="145">
        <v>24.25</v>
      </c>
      <c r="BP13" s="193">
        <v>21.75</v>
      </c>
      <c r="BQ13" s="120">
        <v>20.25</v>
      </c>
      <c r="BR13" s="120">
        <v>29.5</v>
      </c>
      <c r="BS13" s="120"/>
      <c r="BT13" s="120"/>
      <c r="BU13" s="120"/>
      <c r="BV13" s="120"/>
      <c r="BW13" s="120"/>
      <c r="BX13" s="120"/>
      <c r="BY13" s="120"/>
      <c r="BZ13" s="120"/>
      <c r="CA13" s="120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>
      <c r="A14" s="98"/>
      <c r="B14" s="121">
        <v>6.0</v>
      </c>
      <c r="C14" s="122" t="s">
        <v>114</v>
      </c>
      <c r="D14" s="123">
        <v>50.0</v>
      </c>
      <c r="E14" s="124">
        <v>224.25</v>
      </c>
      <c r="F14" s="125">
        <v>22.425</v>
      </c>
      <c r="G14" s="126">
        <v>3.085</v>
      </c>
      <c r="H14" s="125">
        <v>70.0</v>
      </c>
      <c r="I14" s="127">
        <v>148.25</v>
      </c>
      <c r="J14" s="128">
        <v>2.0</v>
      </c>
      <c r="K14" s="129">
        <v>4.0</v>
      </c>
      <c r="L14" s="130">
        <v>8.0</v>
      </c>
      <c r="M14" s="131">
        <v>28.0</v>
      </c>
      <c r="N14" s="131">
        <v>5.0</v>
      </c>
      <c r="O14" s="132">
        <v>4.0</v>
      </c>
      <c r="P14" s="133"/>
      <c r="Q14" s="134"/>
      <c r="R14" s="134"/>
      <c r="S14" s="135"/>
      <c r="T14" s="194"/>
      <c r="U14" s="195"/>
      <c r="V14" s="137"/>
      <c r="W14" s="137"/>
      <c r="X14" s="138"/>
      <c r="Y14" s="137"/>
      <c r="Z14" s="137"/>
      <c r="AA14" s="137"/>
      <c r="AB14" s="137"/>
      <c r="AC14" s="138"/>
      <c r="AD14" s="137"/>
      <c r="AE14" s="137"/>
      <c r="AF14" s="137"/>
      <c r="AG14" s="137"/>
      <c r="AH14" s="138"/>
      <c r="AI14" s="137"/>
      <c r="AJ14" s="137"/>
      <c r="AK14" s="137">
        <v>18.25</v>
      </c>
      <c r="AL14" s="137">
        <v>22.75</v>
      </c>
      <c r="AM14" s="137">
        <v>20.5</v>
      </c>
      <c r="AN14" s="138">
        <v>29.0</v>
      </c>
      <c r="AO14" s="137">
        <v>19.25</v>
      </c>
      <c r="AP14" s="137"/>
      <c r="AQ14" s="137"/>
      <c r="AR14" s="138"/>
      <c r="AS14" s="137"/>
      <c r="AT14" s="137"/>
      <c r="AU14" s="137"/>
      <c r="AV14" s="137"/>
      <c r="AW14" s="137"/>
      <c r="AX14" s="137"/>
      <c r="AY14" s="137"/>
      <c r="AZ14" s="139"/>
      <c r="BA14" s="139"/>
      <c r="BB14" s="139"/>
      <c r="BC14" s="139"/>
      <c r="BD14" s="139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93"/>
      <c r="BQ14" s="120"/>
      <c r="BR14" s="120"/>
      <c r="BS14" s="120"/>
      <c r="BT14" s="120">
        <v>22.25</v>
      </c>
      <c r="BU14" s="120">
        <v>19.5</v>
      </c>
      <c r="BV14" s="120">
        <v>27.75</v>
      </c>
      <c r="BW14" s="120">
        <v>22.0</v>
      </c>
      <c r="BX14" s="120">
        <v>23.0</v>
      </c>
      <c r="BY14" s="120"/>
      <c r="BZ14" s="120"/>
      <c r="CA14" s="120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>
      <c r="A15" s="98"/>
      <c r="B15" s="121">
        <v>7.0</v>
      </c>
      <c r="C15" s="140" t="s">
        <v>107</v>
      </c>
      <c r="D15" s="141">
        <v>50.0</v>
      </c>
      <c r="E15" s="142">
        <v>223.0</v>
      </c>
      <c r="F15" s="143">
        <v>22.3</v>
      </c>
      <c r="G15" s="144">
        <v>3.16</v>
      </c>
      <c r="H15" s="143">
        <v>65.0</v>
      </c>
      <c r="I15" s="145">
        <v>147.0</v>
      </c>
      <c r="J15" s="146">
        <v>2.5</v>
      </c>
      <c r="K15" s="147">
        <v>8.5</v>
      </c>
      <c r="L15" s="148">
        <v>13.0</v>
      </c>
      <c r="M15" s="149">
        <v>26.0</v>
      </c>
      <c r="N15" s="149">
        <v>6.0</v>
      </c>
      <c r="O15" s="150">
        <v>5.0</v>
      </c>
      <c r="P15" s="151"/>
      <c r="Q15" s="152"/>
      <c r="R15" s="152"/>
      <c r="S15" s="153"/>
      <c r="T15" s="196"/>
      <c r="U15" s="197"/>
      <c r="V15" s="155"/>
      <c r="W15" s="155"/>
      <c r="X15" s="155"/>
      <c r="Y15" s="155"/>
      <c r="Z15" s="156">
        <v>30.75</v>
      </c>
      <c r="AA15" s="156">
        <v>20.5</v>
      </c>
      <c r="AB15" s="155">
        <v>24.75</v>
      </c>
      <c r="AC15" s="155">
        <v>19.0</v>
      </c>
      <c r="AD15" s="155">
        <v>29.0</v>
      </c>
      <c r="AE15" s="155">
        <v>16.25</v>
      </c>
      <c r="AF15" s="155"/>
      <c r="AG15" s="155"/>
      <c r="AH15" s="155"/>
      <c r="AI15" s="155"/>
      <c r="AJ15" s="155"/>
      <c r="AK15" s="156"/>
      <c r="AL15" s="156"/>
      <c r="AM15" s="155"/>
      <c r="AN15" s="155"/>
      <c r="AO15" s="155"/>
      <c r="AP15" s="155"/>
      <c r="AQ15" s="155"/>
      <c r="AR15" s="155"/>
      <c r="AS15" s="155"/>
      <c r="AT15" s="155"/>
      <c r="AU15" s="156"/>
      <c r="AV15" s="156"/>
      <c r="AW15" s="155"/>
      <c r="AX15" s="155"/>
      <c r="AY15" s="155"/>
      <c r="AZ15" s="157"/>
      <c r="BA15" s="157"/>
      <c r="BB15" s="157"/>
      <c r="BC15" s="157"/>
      <c r="BD15" s="157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>
        <v>22.5</v>
      </c>
      <c r="BP15" s="193">
        <v>23.75</v>
      </c>
      <c r="BQ15" s="120">
        <v>15.0</v>
      </c>
      <c r="BR15" s="120">
        <v>21.5</v>
      </c>
      <c r="BS15" s="120"/>
      <c r="BT15" s="120"/>
      <c r="BU15" s="120"/>
      <c r="BV15" s="120"/>
      <c r="BW15" s="120"/>
      <c r="BX15" s="120"/>
      <c r="BY15" s="120"/>
      <c r="BZ15" s="120"/>
      <c r="CA15" s="120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>
      <c r="A16" s="98"/>
      <c r="B16" s="158">
        <v>8.0</v>
      </c>
      <c r="C16" s="122" t="s">
        <v>80</v>
      </c>
      <c r="D16" s="123">
        <v>50.0</v>
      </c>
      <c r="E16" s="124">
        <v>217.75</v>
      </c>
      <c r="F16" s="125">
        <v>21.775000000000002</v>
      </c>
      <c r="G16" s="126">
        <v>3.005</v>
      </c>
      <c r="H16" s="125">
        <v>67.5</v>
      </c>
      <c r="I16" s="127">
        <v>144.25</v>
      </c>
      <c r="J16" s="128">
        <v>2.0</v>
      </c>
      <c r="K16" s="129">
        <v>4.0</v>
      </c>
      <c r="L16" s="130">
        <v>7.0</v>
      </c>
      <c r="M16" s="131">
        <v>27.0</v>
      </c>
      <c r="N16" s="131">
        <v>6.0</v>
      </c>
      <c r="O16" s="132">
        <v>6.0</v>
      </c>
      <c r="P16" s="133"/>
      <c r="Q16" s="134"/>
      <c r="R16" s="134"/>
      <c r="S16" s="135"/>
      <c r="T16" s="194"/>
      <c r="U16" s="195"/>
      <c r="V16" s="137"/>
      <c r="W16" s="137"/>
      <c r="X16" s="138"/>
      <c r="Y16" s="137"/>
      <c r="Z16" s="137"/>
      <c r="AA16" s="137"/>
      <c r="AB16" s="137"/>
      <c r="AC16" s="138"/>
      <c r="AD16" s="137"/>
      <c r="AE16" s="137"/>
      <c r="AF16" s="137"/>
      <c r="AG16" s="137"/>
      <c r="AH16" s="138"/>
      <c r="AI16" s="137"/>
      <c r="AJ16" s="137"/>
      <c r="AK16" s="137"/>
      <c r="AL16" s="137"/>
      <c r="AM16" s="137"/>
      <c r="AN16" s="138"/>
      <c r="AO16" s="137"/>
      <c r="AP16" s="137"/>
      <c r="AQ16" s="137"/>
      <c r="AR16" s="138">
        <v>26.5</v>
      </c>
      <c r="AS16" s="137">
        <v>27.0</v>
      </c>
      <c r="AT16" s="137">
        <v>18.0</v>
      </c>
      <c r="AU16" s="137">
        <v>24.25</v>
      </c>
      <c r="AV16" s="137">
        <v>14.25</v>
      </c>
      <c r="AW16" s="137">
        <v>14.0</v>
      </c>
      <c r="AX16" s="137">
        <v>25.75</v>
      </c>
      <c r="AY16" s="137">
        <v>22.5</v>
      </c>
      <c r="AZ16" s="139">
        <v>21.5</v>
      </c>
      <c r="BA16" s="139">
        <v>24.0</v>
      </c>
      <c r="BB16" s="139"/>
      <c r="BC16" s="139"/>
      <c r="BD16" s="139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93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ht="16.5" customHeight="1">
      <c r="A17" s="98"/>
      <c r="B17" s="158">
        <v>9.0</v>
      </c>
      <c r="C17" s="140" t="s">
        <v>90</v>
      </c>
      <c r="D17" s="141">
        <v>50.0</v>
      </c>
      <c r="E17" s="142">
        <v>217.75</v>
      </c>
      <c r="F17" s="143">
        <v>21.775000000000002</v>
      </c>
      <c r="G17" s="144">
        <v>2.955</v>
      </c>
      <c r="H17" s="143">
        <v>70.0</v>
      </c>
      <c r="I17" s="145">
        <v>142.25</v>
      </c>
      <c r="J17" s="146">
        <v>1.5</v>
      </c>
      <c r="K17" s="147">
        <v>4.0</v>
      </c>
      <c r="L17" s="148">
        <v>7.0</v>
      </c>
      <c r="M17" s="149">
        <v>28.0</v>
      </c>
      <c r="N17" s="149">
        <v>2.0</v>
      </c>
      <c r="O17" s="150">
        <v>0.0</v>
      </c>
      <c r="P17" s="151"/>
      <c r="Q17" s="152"/>
      <c r="R17" s="152"/>
      <c r="S17" s="153"/>
      <c r="T17" s="196">
        <v>22.0</v>
      </c>
      <c r="U17" s="197"/>
      <c r="V17" s="155"/>
      <c r="W17" s="155"/>
      <c r="X17" s="155"/>
      <c r="Y17" s="155"/>
      <c r="Z17" s="156">
        <v>25.0</v>
      </c>
      <c r="AA17" s="156"/>
      <c r="AB17" s="155"/>
      <c r="AC17" s="155"/>
      <c r="AD17" s="155"/>
      <c r="AE17" s="155"/>
      <c r="AF17" s="155"/>
      <c r="AG17" s="155"/>
      <c r="AH17" s="155"/>
      <c r="AI17" s="155"/>
      <c r="AJ17" s="155"/>
      <c r="AK17" s="156"/>
      <c r="AL17" s="156"/>
      <c r="AM17" s="155"/>
      <c r="AN17" s="155">
        <v>24.25</v>
      </c>
      <c r="AO17" s="155"/>
      <c r="AP17" s="155"/>
      <c r="AQ17" s="155"/>
      <c r="AR17" s="155"/>
      <c r="AS17" s="155"/>
      <c r="AT17" s="155"/>
      <c r="AU17" s="156">
        <v>17.5</v>
      </c>
      <c r="AV17" s="156"/>
      <c r="AW17" s="155"/>
      <c r="AX17" s="155"/>
      <c r="AY17" s="155"/>
      <c r="AZ17" s="157">
        <v>22.75</v>
      </c>
      <c r="BA17" s="157"/>
      <c r="BB17" s="157"/>
      <c r="BC17" s="157"/>
      <c r="BD17" s="157">
        <v>18.0</v>
      </c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93"/>
      <c r="BQ17" s="120">
        <v>18.75</v>
      </c>
      <c r="BR17" s="120">
        <v>25.25</v>
      </c>
      <c r="BS17" s="120"/>
      <c r="BT17" s="120"/>
      <c r="BU17" s="120"/>
      <c r="BV17" s="120">
        <v>22.75</v>
      </c>
      <c r="BW17" s="120">
        <v>21.5</v>
      </c>
      <c r="BX17" s="120"/>
      <c r="BY17" s="120"/>
      <c r="BZ17" s="120"/>
      <c r="CA17" s="120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ht="18.75" customHeight="1">
      <c r="A18" s="98"/>
      <c r="B18" s="158">
        <v>10.0</v>
      </c>
      <c r="C18" s="122" t="s">
        <v>89</v>
      </c>
      <c r="D18" s="123">
        <v>50.0</v>
      </c>
      <c r="E18" s="124">
        <v>215.75</v>
      </c>
      <c r="F18" s="125">
        <v>21.575000000000003</v>
      </c>
      <c r="G18" s="126">
        <v>2.915</v>
      </c>
      <c r="H18" s="125">
        <v>70.0</v>
      </c>
      <c r="I18" s="127">
        <v>143.75</v>
      </c>
      <c r="J18" s="128">
        <v>0.0</v>
      </c>
      <c r="K18" s="129">
        <v>2.0</v>
      </c>
      <c r="L18" s="130">
        <v>4.0</v>
      </c>
      <c r="M18" s="131">
        <v>28.0</v>
      </c>
      <c r="N18" s="131">
        <v>5.0</v>
      </c>
      <c r="O18" s="132">
        <v>6.0</v>
      </c>
      <c r="P18" s="133"/>
      <c r="Q18" s="134"/>
      <c r="R18" s="134"/>
      <c r="S18" s="135"/>
      <c r="T18" s="194"/>
      <c r="U18" s="195"/>
      <c r="V18" s="137"/>
      <c r="W18" s="137"/>
      <c r="X18" s="138"/>
      <c r="Y18" s="137"/>
      <c r="Z18" s="137">
        <v>24.0</v>
      </c>
      <c r="AA18" s="137">
        <v>22.25</v>
      </c>
      <c r="AB18" s="137">
        <v>17.75</v>
      </c>
      <c r="AC18" s="138">
        <v>21.5</v>
      </c>
      <c r="AD18" s="137"/>
      <c r="AE18" s="137"/>
      <c r="AF18" s="137"/>
      <c r="AG18" s="137"/>
      <c r="AH18" s="138"/>
      <c r="AI18" s="137"/>
      <c r="AJ18" s="137"/>
      <c r="AK18" s="137"/>
      <c r="AL18" s="137"/>
      <c r="AM18" s="137"/>
      <c r="AN18" s="138"/>
      <c r="AO18" s="137"/>
      <c r="AP18" s="137">
        <v>26.25</v>
      </c>
      <c r="AQ18" s="137">
        <v>24.25</v>
      </c>
      <c r="AR18" s="138">
        <v>17.25</v>
      </c>
      <c r="AS18" s="137">
        <v>21.25</v>
      </c>
      <c r="AT18" s="137"/>
      <c r="AU18" s="137"/>
      <c r="AV18" s="137"/>
      <c r="AW18" s="137"/>
      <c r="AX18" s="137"/>
      <c r="AY18" s="137"/>
      <c r="AZ18" s="139"/>
      <c r="BA18" s="139"/>
      <c r="BB18" s="139"/>
      <c r="BC18" s="139"/>
      <c r="BD18" s="139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93"/>
      <c r="BQ18" s="120"/>
      <c r="BR18" s="120"/>
      <c r="BS18" s="120"/>
      <c r="BT18" s="120"/>
      <c r="BU18" s="120"/>
      <c r="BV18" s="120"/>
      <c r="BW18" s="120"/>
      <c r="BX18" s="120"/>
      <c r="BY18" s="120">
        <v>21.25</v>
      </c>
      <c r="BZ18" s="120">
        <v>20.0</v>
      </c>
      <c r="CA18" s="120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>
      <c r="A19" s="98"/>
      <c r="B19" s="158">
        <v>11.0</v>
      </c>
      <c r="C19" s="140" t="s">
        <v>116</v>
      </c>
      <c r="D19" s="141">
        <v>50.0</v>
      </c>
      <c r="E19" s="142">
        <v>213.25</v>
      </c>
      <c r="F19" s="143">
        <v>21.325</v>
      </c>
      <c r="G19" s="144">
        <v>2.915</v>
      </c>
      <c r="H19" s="143">
        <v>67.5</v>
      </c>
      <c r="I19" s="145">
        <v>141.25</v>
      </c>
      <c r="J19" s="146">
        <v>1.5</v>
      </c>
      <c r="K19" s="147">
        <v>3.0</v>
      </c>
      <c r="L19" s="148">
        <v>5.0</v>
      </c>
      <c r="M19" s="149">
        <v>27.0</v>
      </c>
      <c r="N19" s="149">
        <v>8.0</v>
      </c>
      <c r="O19" s="150">
        <v>6.0</v>
      </c>
      <c r="P19" s="151"/>
      <c r="Q19" s="152"/>
      <c r="R19" s="152"/>
      <c r="S19" s="153"/>
      <c r="T19" s="196"/>
      <c r="U19" s="197">
        <v>23.75</v>
      </c>
      <c r="V19" s="155"/>
      <c r="W19" s="155"/>
      <c r="X19" s="155"/>
      <c r="Y19" s="155">
        <v>29.0</v>
      </c>
      <c r="Z19" s="156"/>
      <c r="AA19" s="156">
        <v>25.25</v>
      </c>
      <c r="AB19" s="155"/>
      <c r="AC19" s="155"/>
      <c r="AD19" s="155"/>
      <c r="AE19" s="155">
        <v>15.5</v>
      </c>
      <c r="AF19" s="155"/>
      <c r="AG19" s="155"/>
      <c r="AH19" s="155"/>
      <c r="AI19" s="155"/>
      <c r="AJ19" s="155"/>
      <c r="AK19" s="156"/>
      <c r="AL19" s="156"/>
      <c r="AM19" s="155"/>
      <c r="AN19" s="155"/>
      <c r="AO19" s="155"/>
      <c r="AP19" s="155"/>
      <c r="AQ19" s="155"/>
      <c r="AR19" s="155"/>
      <c r="AS19" s="155"/>
      <c r="AT19" s="155"/>
      <c r="AU19" s="156"/>
      <c r="AV19" s="156">
        <v>19.0</v>
      </c>
      <c r="AW19" s="155"/>
      <c r="AX19" s="155"/>
      <c r="AY19" s="155"/>
      <c r="AZ19" s="157"/>
      <c r="BA19" s="157"/>
      <c r="BB19" s="157"/>
      <c r="BC19" s="157"/>
      <c r="BD19" s="157"/>
      <c r="BE19" s="145">
        <v>25.25</v>
      </c>
      <c r="BF19" s="145"/>
      <c r="BG19" s="145"/>
      <c r="BH19" s="145"/>
      <c r="BI19" s="145"/>
      <c r="BJ19" s="145"/>
      <c r="BK19" s="145">
        <v>13.0</v>
      </c>
      <c r="BL19" s="145"/>
      <c r="BM19" s="145"/>
      <c r="BN19" s="145"/>
      <c r="BO19" s="145"/>
      <c r="BP19" s="193"/>
      <c r="BQ19" s="120"/>
      <c r="BR19" s="120"/>
      <c r="BS19" s="120">
        <v>21.25</v>
      </c>
      <c r="BT19" s="120">
        <v>17.5</v>
      </c>
      <c r="BU19" s="120"/>
      <c r="BV19" s="120"/>
      <c r="BW19" s="120"/>
      <c r="BX19" s="120">
        <v>23.75</v>
      </c>
      <c r="BY19" s="120"/>
      <c r="BZ19" s="120"/>
      <c r="CA19" s="120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>
      <c r="A20" s="98"/>
      <c r="B20" s="158">
        <v>12.0</v>
      </c>
      <c r="C20" s="122" t="s">
        <v>92</v>
      </c>
      <c r="D20" s="123">
        <v>50.0</v>
      </c>
      <c r="E20" s="124">
        <v>213.25</v>
      </c>
      <c r="F20" s="125">
        <v>21.325</v>
      </c>
      <c r="G20" s="126">
        <v>2.865</v>
      </c>
      <c r="H20" s="125">
        <v>70.0</v>
      </c>
      <c r="I20" s="127">
        <v>142.25</v>
      </c>
      <c r="J20" s="128">
        <v>0.0</v>
      </c>
      <c r="K20" s="129">
        <v>1.0</v>
      </c>
      <c r="L20" s="130">
        <v>2.0</v>
      </c>
      <c r="M20" s="131">
        <v>28.0</v>
      </c>
      <c r="N20" s="131">
        <v>5.0</v>
      </c>
      <c r="O20" s="132">
        <v>4.0</v>
      </c>
      <c r="P20" s="133"/>
      <c r="Q20" s="134"/>
      <c r="R20" s="134"/>
      <c r="S20" s="135"/>
      <c r="T20" s="194"/>
      <c r="U20" s="195"/>
      <c r="V20" s="137"/>
      <c r="W20" s="137"/>
      <c r="X20" s="138"/>
      <c r="Y20" s="137"/>
      <c r="Z20" s="137"/>
      <c r="AA20" s="137"/>
      <c r="AB20" s="137"/>
      <c r="AC20" s="138"/>
      <c r="AD20" s="137"/>
      <c r="AE20" s="137"/>
      <c r="AF20" s="137"/>
      <c r="AG20" s="137"/>
      <c r="AH20" s="138">
        <v>25.0</v>
      </c>
      <c r="AI20" s="137">
        <v>16.0</v>
      </c>
      <c r="AJ20" s="137"/>
      <c r="AK20" s="137"/>
      <c r="AL20" s="137"/>
      <c r="AM20" s="137"/>
      <c r="AN20" s="138"/>
      <c r="AO20" s="137">
        <v>21.25</v>
      </c>
      <c r="AP20" s="137"/>
      <c r="AQ20" s="137"/>
      <c r="AR20" s="138"/>
      <c r="AS20" s="137"/>
      <c r="AT20" s="137">
        <v>21.5</v>
      </c>
      <c r="AU20" s="137"/>
      <c r="AV20" s="137">
        <v>19.25</v>
      </c>
      <c r="AW20" s="137">
        <v>22.25</v>
      </c>
      <c r="AX20" s="137"/>
      <c r="AY20" s="137"/>
      <c r="AZ20" s="139"/>
      <c r="BA20" s="139"/>
      <c r="BB20" s="139"/>
      <c r="BC20" s="139"/>
      <c r="BD20" s="139"/>
      <c r="BE20" s="127"/>
      <c r="BF20" s="127">
        <v>25.25</v>
      </c>
      <c r="BG20" s="127"/>
      <c r="BH20" s="127"/>
      <c r="BI20" s="127"/>
      <c r="BJ20" s="127"/>
      <c r="BK20" s="127"/>
      <c r="BL20" s="127"/>
      <c r="BM20" s="127"/>
      <c r="BN20" s="127"/>
      <c r="BO20" s="127"/>
      <c r="BP20" s="193"/>
      <c r="BQ20" s="120"/>
      <c r="BR20" s="120"/>
      <c r="BS20" s="120"/>
      <c r="BT20" s="120"/>
      <c r="BU20" s="120"/>
      <c r="BV20" s="120"/>
      <c r="BW20" s="120"/>
      <c r="BX20" s="120">
        <v>25.25</v>
      </c>
      <c r="BY20" s="120">
        <v>14.5</v>
      </c>
      <c r="BZ20" s="120"/>
      <c r="CA20" s="120">
        <v>23.0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>
      <c r="A21" s="98"/>
      <c r="B21" s="158">
        <v>13.0</v>
      </c>
      <c r="C21" s="140" t="s">
        <v>110</v>
      </c>
      <c r="D21" s="141">
        <v>50.0</v>
      </c>
      <c r="E21" s="142">
        <v>212.75</v>
      </c>
      <c r="F21" s="143">
        <v>21.275</v>
      </c>
      <c r="G21" s="144">
        <v>2.855</v>
      </c>
      <c r="H21" s="143">
        <v>70.0</v>
      </c>
      <c r="I21" s="145">
        <v>140.25</v>
      </c>
      <c r="J21" s="146">
        <v>0.5</v>
      </c>
      <c r="K21" s="147">
        <v>2.0</v>
      </c>
      <c r="L21" s="148">
        <v>3.0</v>
      </c>
      <c r="M21" s="149">
        <v>28.0</v>
      </c>
      <c r="N21" s="149">
        <v>6.0</v>
      </c>
      <c r="O21" s="150">
        <v>5.0</v>
      </c>
      <c r="P21" s="151"/>
      <c r="Q21" s="152"/>
      <c r="R21" s="152"/>
      <c r="S21" s="153"/>
      <c r="T21" s="196"/>
      <c r="U21" s="197">
        <v>25.25</v>
      </c>
      <c r="V21" s="155"/>
      <c r="W21" s="155"/>
      <c r="X21" s="155"/>
      <c r="Y21" s="155"/>
      <c r="Z21" s="156">
        <v>18.75</v>
      </c>
      <c r="AA21" s="156"/>
      <c r="AB21" s="155"/>
      <c r="AC21" s="155"/>
      <c r="AD21" s="155"/>
      <c r="AE21" s="155"/>
      <c r="AF21" s="155">
        <v>17.0</v>
      </c>
      <c r="AG21" s="155"/>
      <c r="AH21" s="155"/>
      <c r="AI21" s="155">
        <v>25.0</v>
      </c>
      <c r="AJ21" s="155"/>
      <c r="AK21" s="156"/>
      <c r="AL21" s="156"/>
      <c r="AM21" s="155"/>
      <c r="AN21" s="155"/>
      <c r="AO21" s="155"/>
      <c r="AP21" s="155">
        <v>15.0</v>
      </c>
      <c r="AQ21" s="155"/>
      <c r="AR21" s="155"/>
      <c r="AS21" s="155"/>
      <c r="AT21" s="155"/>
      <c r="AU21" s="156">
        <v>24.25</v>
      </c>
      <c r="AV21" s="156"/>
      <c r="AW21" s="155"/>
      <c r="AX21" s="155"/>
      <c r="AY21" s="155"/>
      <c r="AZ21" s="157"/>
      <c r="BA21" s="157"/>
      <c r="BB21" s="157"/>
      <c r="BC21" s="157">
        <v>24.0</v>
      </c>
      <c r="BD21" s="157"/>
      <c r="BE21" s="145">
        <v>20.5</v>
      </c>
      <c r="BF21" s="145"/>
      <c r="BG21" s="145"/>
      <c r="BH21" s="145"/>
      <c r="BI21" s="145"/>
      <c r="BJ21" s="145"/>
      <c r="BK21" s="145"/>
      <c r="BL21" s="145"/>
      <c r="BM21" s="145"/>
      <c r="BN21" s="145"/>
      <c r="BO21" s="145">
        <v>25.25</v>
      </c>
      <c r="BP21" s="193"/>
      <c r="BQ21" s="120"/>
      <c r="BR21" s="120"/>
      <c r="BS21" s="120"/>
      <c r="BT21" s="120"/>
      <c r="BU21" s="120"/>
      <c r="BV21" s="120"/>
      <c r="BW21" s="120"/>
      <c r="BX21" s="120"/>
      <c r="BY21" s="120">
        <v>17.75</v>
      </c>
      <c r="BZ21" s="120"/>
      <c r="CA21" s="120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>
      <c r="A22" s="98"/>
      <c r="B22" s="158">
        <v>14.0</v>
      </c>
      <c r="C22" s="122" t="s">
        <v>111</v>
      </c>
      <c r="D22" s="123">
        <v>50.0</v>
      </c>
      <c r="E22" s="124">
        <v>211.0</v>
      </c>
      <c r="F22" s="125">
        <v>21.099999999999998</v>
      </c>
      <c r="G22" s="126">
        <v>3.02</v>
      </c>
      <c r="H22" s="125">
        <v>60.0</v>
      </c>
      <c r="I22" s="127">
        <v>146.5</v>
      </c>
      <c r="J22" s="128">
        <v>1.0</v>
      </c>
      <c r="K22" s="129">
        <v>3.5</v>
      </c>
      <c r="L22" s="130">
        <v>7.0</v>
      </c>
      <c r="M22" s="131">
        <v>24.0</v>
      </c>
      <c r="N22" s="131">
        <v>6.0</v>
      </c>
      <c r="O22" s="132">
        <v>6.0</v>
      </c>
      <c r="P22" s="133"/>
      <c r="Q22" s="134"/>
      <c r="R22" s="134"/>
      <c r="S22" s="135"/>
      <c r="T22" s="194"/>
      <c r="U22" s="195"/>
      <c r="V22" s="137"/>
      <c r="W22" s="137"/>
      <c r="X22" s="138"/>
      <c r="Y22" s="137"/>
      <c r="Z22" s="137"/>
      <c r="AA22" s="137"/>
      <c r="AB22" s="137"/>
      <c r="AC22" s="138"/>
      <c r="AD22" s="137"/>
      <c r="AE22" s="137"/>
      <c r="AF22" s="137">
        <v>13.75</v>
      </c>
      <c r="AG22" s="137">
        <v>18.75</v>
      </c>
      <c r="AH22" s="138">
        <v>26.0</v>
      </c>
      <c r="AI22" s="137">
        <v>23.5</v>
      </c>
      <c r="AJ22" s="137">
        <v>23.75</v>
      </c>
      <c r="AK22" s="137"/>
      <c r="AL22" s="137"/>
      <c r="AM22" s="137"/>
      <c r="AN22" s="138"/>
      <c r="AO22" s="137"/>
      <c r="AP22" s="137"/>
      <c r="AQ22" s="137"/>
      <c r="AR22" s="138"/>
      <c r="AS22" s="137"/>
      <c r="AT22" s="137"/>
      <c r="AU22" s="137"/>
      <c r="AV22" s="137"/>
      <c r="AW22" s="137"/>
      <c r="AX22" s="137"/>
      <c r="AY22" s="137"/>
      <c r="AZ22" s="139"/>
      <c r="BA22" s="139"/>
      <c r="BB22" s="139"/>
      <c r="BC22" s="139"/>
      <c r="BD22" s="139"/>
      <c r="BE22" s="127"/>
      <c r="BF22" s="127"/>
      <c r="BG22" s="127"/>
      <c r="BH22" s="127"/>
      <c r="BI22" s="127">
        <v>20.0</v>
      </c>
      <c r="BJ22" s="127">
        <v>22.25</v>
      </c>
      <c r="BK22" s="127">
        <v>21.75</v>
      </c>
      <c r="BL22" s="127">
        <v>16.0</v>
      </c>
      <c r="BM22" s="127">
        <v>25.25</v>
      </c>
      <c r="BN22" s="127"/>
      <c r="BO22" s="127"/>
      <c r="BP22" s="193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>
      <c r="A23" s="98"/>
      <c r="B23" s="158">
        <v>15.0</v>
      </c>
      <c r="C23" s="140" t="s">
        <v>113</v>
      </c>
      <c r="D23" s="141">
        <v>50.0</v>
      </c>
      <c r="E23" s="142">
        <v>209.75</v>
      </c>
      <c r="F23" s="143">
        <v>20.975</v>
      </c>
      <c r="G23" s="144">
        <v>3.145</v>
      </c>
      <c r="H23" s="143">
        <v>52.5</v>
      </c>
      <c r="I23" s="145">
        <v>149.75</v>
      </c>
      <c r="J23" s="146">
        <v>1.0</v>
      </c>
      <c r="K23" s="147">
        <v>6.5</v>
      </c>
      <c r="L23" s="148">
        <v>11.0</v>
      </c>
      <c r="M23" s="149">
        <v>21.0</v>
      </c>
      <c r="N23" s="149">
        <v>5.0</v>
      </c>
      <c r="O23" s="150">
        <v>6.0</v>
      </c>
      <c r="P23" s="151"/>
      <c r="Q23" s="152"/>
      <c r="R23" s="152"/>
      <c r="S23" s="153"/>
      <c r="T23" s="196"/>
      <c r="U23" s="197"/>
      <c r="V23" s="155"/>
      <c r="W23" s="155"/>
      <c r="X23" s="155"/>
      <c r="Y23" s="155"/>
      <c r="Z23" s="156"/>
      <c r="AA23" s="156"/>
      <c r="AB23" s="155"/>
      <c r="AC23" s="155"/>
      <c r="AD23" s="155"/>
      <c r="AE23" s="155"/>
      <c r="AF23" s="155"/>
      <c r="AG23" s="155"/>
      <c r="AH23" s="155"/>
      <c r="AI23" s="155">
        <v>21.0</v>
      </c>
      <c r="AJ23" s="155"/>
      <c r="AK23" s="156"/>
      <c r="AL23" s="156">
        <v>14.75</v>
      </c>
      <c r="AM23" s="155"/>
      <c r="AN23" s="155">
        <v>19.5</v>
      </c>
      <c r="AO23" s="155">
        <v>22.0</v>
      </c>
      <c r="AP23" s="155">
        <v>25.75</v>
      </c>
      <c r="AQ23" s="155"/>
      <c r="AR23" s="155"/>
      <c r="AS23" s="155">
        <v>18.75</v>
      </c>
      <c r="AT23" s="155"/>
      <c r="AU23" s="156"/>
      <c r="AV23" s="156"/>
      <c r="AW23" s="155"/>
      <c r="AX23" s="155"/>
      <c r="AY23" s="155"/>
      <c r="AZ23" s="157">
        <v>21.75</v>
      </c>
      <c r="BA23" s="157"/>
      <c r="BB23" s="157"/>
      <c r="BC23" s="157"/>
      <c r="BD23" s="157">
        <v>20.5</v>
      </c>
      <c r="BE23" s="145"/>
      <c r="BF23" s="145"/>
      <c r="BG23" s="145"/>
      <c r="BH23" s="145">
        <v>24.25</v>
      </c>
      <c r="BI23" s="145"/>
      <c r="BJ23" s="145"/>
      <c r="BK23" s="145"/>
      <c r="BL23" s="145">
        <v>21.5</v>
      </c>
      <c r="BM23" s="145"/>
      <c r="BN23" s="145"/>
      <c r="BO23" s="145"/>
      <c r="BP23" s="193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ht="18.75" customHeight="1">
      <c r="A24" s="98"/>
      <c r="B24" s="158">
        <v>16.0</v>
      </c>
      <c r="C24" s="122" t="s">
        <v>132</v>
      </c>
      <c r="D24" s="123">
        <v>50.0</v>
      </c>
      <c r="E24" s="124">
        <v>209.5</v>
      </c>
      <c r="F24" s="125">
        <v>20.950000000000003</v>
      </c>
      <c r="G24" s="126">
        <v>3.04</v>
      </c>
      <c r="H24" s="125">
        <v>57.5</v>
      </c>
      <c r="I24" s="127">
        <v>146.0</v>
      </c>
      <c r="J24" s="128">
        <v>1.5</v>
      </c>
      <c r="K24" s="129">
        <v>4.5</v>
      </c>
      <c r="L24" s="130">
        <v>8.0</v>
      </c>
      <c r="M24" s="131">
        <v>23.0</v>
      </c>
      <c r="N24" s="131">
        <v>6.0</v>
      </c>
      <c r="O24" s="132">
        <v>4.0</v>
      </c>
      <c r="P24" s="133"/>
      <c r="Q24" s="134"/>
      <c r="R24" s="134"/>
      <c r="S24" s="135"/>
      <c r="T24" s="194"/>
      <c r="U24" s="195"/>
      <c r="V24" s="137">
        <v>22.25</v>
      </c>
      <c r="W24" s="137"/>
      <c r="X24" s="138"/>
      <c r="Y24" s="137"/>
      <c r="Z24" s="137"/>
      <c r="AA24" s="137"/>
      <c r="AB24" s="137">
        <v>16.0</v>
      </c>
      <c r="AC24" s="138"/>
      <c r="AD24" s="137"/>
      <c r="AE24" s="137"/>
      <c r="AF24" s="137">
        <v>20.5</v>
      </c>
      <c r="AG24" s="137"/>
      <c r="AH24" s="138"/>
      <c r="AI24" s="137"/>
      <c r="AJ24" s="137"/>
      <c r="AK24" s="137"/>
      <c r="AL24" s="137"/>
      <c r="AM24" s="137"/>
      <c r="AN24" s="138"/>
      <c r="AO24" s="137"/>
      <c r="AP24" s="137"/>
      <c r="AQ24" s="137"/>
      <c r="AR24" s="138"/>
      <c r="AS24" s="137"/>
      <c r="AT24" s="137"/>
      <c r="AU24" s="137"/>
      <c r="AV24" s="137"/>
      <c r="AW24" s="137"/>
      <c r="AX24" s="137"/>
      <c r="AY24" s="137"/>
      <c r="AZ24" s="139"/>
      <c r="BA24" s="139"/>
      <c r="BB24" s="139">
        <v>21.75</v>
      </c>
      <c r="BC24" s="139"/>
      <c r="BD24" s="139"/>
      <c r="BE24" s="127">
        <v>19.75</v>
      </c>
      <c r="BF24" s="127"/>
      <c r="BG24" s="127">
        <v>22.75</v>
      </c>
      <c r="BH24" s="127"/>
      <c r="BI24" s="127">
        <v>20.25</v>
      </c>
      <c r="BJ24" s="127"/>
      <c r="BK24" s="127"/>
      <c r="BL24" s="127"/>
      <c r="BM24" s="127"/>
      <c r="BN24" s="127"/>
      <c r="BO24" s="127"/>
      <c r="BP24" s="193"/>
      <c r="BQ24" s="120"/>
      <c r="BR24" s="120">
        <v>16.75</v>
      </c>
      <c r="BS24" s="120">
        <v>26.0</v>
      </c>
      <c r="BT24" s="120"/>
      <c r="BU24" s="120"/>
      <c r="BV24" s="120"/>
      <c r="BW24" s="120"/>
      <c r="BX24" s="120"/>
      <c r="BY24" s="120">
        <v>23.5</v>
      </c>
      <c r="BZ24" s="120"/>
      <c r="CA24" s="120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>
      <c r="A25" s="98"/>
      <c r="B25" s="158">
        <v>17.0</v>
      </c>
      <c r="C25" s="140" t="s">
        <v>108</v>
      </c>
      <c r="D25" s="141">
        <v>50.0</v>
      </c>
      <c r="E25" s="142">
        <v>208.5</v>
      </c>
      <c r="F25" s="143">
        <v>20.85</v>
      </c>
      <c r="G25" s="144">
        <v>2.92</v>
      </c>
      <c r="H25" s="143">
        <v>62.5</v>
      </c>
      <c r="I25" s="145">
        <v>140.5</v>
      </c>
      <c r="J25" s="146">
        <v>1.5</v>
      </c>
      <c r="K25" s="147">
        <v>4.0</v>
      </c>
      <c r="L25" s="148">
        <v>7.0</v>
      </c>
      <c r="M25" s="149">
        <v>25.0</v>
      </c>
      <c r="N25" s="149">
        <v>4.0</v>
      </c>
      <c r="O25" s="150">
        <v>7.0</v>
      </c>
      <c r="P25" s="151"/>
      <c r="Q25" s="152"/>
      <c r="R25" s="152"/>
      <c r="S25" s="153"/>
      <c r="T25" s="196"/>
      <c r="U25" s="197"/>
      <c r="V25" s="155"/>
      <c r="W25" s="155"/>
      <c r="X25" s="155">
        <v>15.25</v>
      </c>
      <c r="Y25" s="155">
        <v>19.0</v>
      </c>
      <c r="Z25" s="156"/>
      <c r="AA25" s="156"/>
      <c r="AB25" s="155"/>
      <c r="AC25" s="155"/>
      <c r="AD25" s="155"/>
      <c r="AE25" s="155"/>
      <c r="AF25" s="155"/>
      <c r="AG25" s="155"/>
      <c r="AH25" s="155"/>
      <c r="AI25" s="155"/>
      <c r="AJ25" s="155">
        <v>18.5</v>
      </c>
      <c r="AK25" s="156">
        <v>26.5</v>
      </c>
      <c r="AL25" s="156">
        <v>21.25</v>
      </c>
      <c r="AM25" s="155"/>
      <c r="AN25" s="155"/>
      <c r="AO25" s="155"/>
      <c r="AP25" s="155"/>
      <c r="AQ25" s="155"/>
      <c r="AR25" s="155"/>
      <c r="AS25" s="155"/>
      <c r="AT25" s="155"/>
      <c r="AU25" s="156"/>
      <c r="AV25" s="156"/>
      <c r="AW25" s="155"/>
      <c r="AX25" s="155"/>
      <c r="AY25" s="155"/>
      <c r="AZ25" s="157"/>
      <c r="BA25" s="157"/>
      <c r="BB25" s="157"/>
      <c r="BC25" s="157"/>
      <c r="BD25" s="157"/>
      <c r="BE25" s="145"/>
      <c r="BF25" s="145"/>
      <c r="BG25" s="145"/>
      <c r="BH25" s="145"/>
      <c r="BI25" s="145"/>
      <c r="BJ25" s="145">
        <v>21.25</v>
      </c>
      <c r="BK25" s="145">
        <v>21.5</v>
      </c>
      <c r="BL25" s="145">
        <v>21.25</v>
      </c>
      <c r="BM25" s="145">
        <v>20.5</v>
      </c>
      <c r="BN25" s="145">
        <v>23.5</v>
      </c>
      <c r="BO25" s="145"/>
      <c r="BP25" s="193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>
      <c r="A26" s="98"/>
      <c r="B26" s="159">
        <v>18.0</v>
      </c>
      <c r="C26" s="122" t="s">
        <v>112</v>
      </c>
      <c r="D26" s="123">
        <v>50.0</v>
      </c>
      <c r="E26" s="124">
        <v>208.25</v>
      </c>
      <c r="F26" s="125">
        <v>20.825</v>
      </c>
      <c r="G26" s="126">
        <v>2.715</v>
      </c>
      <c r="H26" s="125">
        <v>72.5</v>
      </c>
      <c r="I26" s="127">
        <v>133.75</v>
      </c>
      <c r="J26" s="128">
        <v>0.0</v>
      </c>
      <c r="K26" s="129">
        <v>2.0</v>
      </c>
      <c r="L26" s="130">
        <v>4.0</v>
      </c>
      <c r="M26" s="131">
        <v>29.0</v>
      </c>
      <c r="N26" s="131">
        <v>5.0</v>
      </c>
      <c r="O26" s="132">
        <v>8.0</v>
      </c>
      <c r="P26" s="133"/>
      <c r="Q26" s="134"/>
      <c r="R26" s="134"/>
      <c r="S26" s="135"/>
      <c r="T26" s="194">
        <v>17.75</v>
      </c>
      <c r="U26" s="195"/>
      <c r="V26" s="137"/>
      <c r="W26" s="137"/>
      <c r="X26" s="138">
        <v>17.5</v>
      </c>
      <c r="Y26" s="137"/>
      <c r="Z26" s="137"/>
      <c r="AA26" s="137"/>
      <c r="AB26" s="137"/>
      <c r="AC26" s="138"/>
      <c r="AD26" s="137"/>
      <c r="AE26" s="137"/>
      <c r="AF26" s="137"/>
      <c r="AG26" s="137"/>
      <c r="AH26" s="138"/>
      <c r="AI26" s="137"/>
      <c r="AJ26" s="137"/>
      <c r="AK26" s="137"/>
      <c r="AL26" s="137"/>
      <c r="AM26" s="137"/>
      <c r="AN26" s="138">
        <v>16.5</v>
      </c>
      <c r="AO26" s="137"/>
      <c r="AP26" s="137"/>
      <c r="AQ26" s="137"/>
      <c r="AR26" s="138"/>
      <c r="AS26" s="137"/>
      <c r="AT26" s="137"/>
      <c r="AU26" s="137"/>
      <c r="AV26" s="137"/>
      <c r="AW26" s="137"/>
      <c r="AX26" s="137">
        <v>21.25</v>
      </c>
      <c r="AY26" s="137"/>
      <c r="AZ26" s="139"/>
      <c r="BA26" s="139"/>
      <c r="BB26" s="139"/>
      <c r="BC26" s="139"/>
      <c r="BD26" s="139"/>
      <c r="BE26" s="127"/>
      <c r="BF26" s="127">
        <v>21.75</v>
      </c>
      <c r="BG26" s="127"/>
      <c r="BH26" s="127">
        <v>21.5</v>
      </c>
      <c r="BI26" s="127">
        <v>26.5</v>
      </c>
      <c r="BJ26" s="127"/>
      <c r="BK26" s="127"/>
      <c r="BL26" s="127"/>
      <c r="BM26" s="127"/>
      <c r="BN26" s="127">
        <v>22.75</v>
      </c>
      <c r="BO26" s="127"/>
      <c r="BP26" s="193"/>
      <c r="BQ26" s="120"/>
      <c r="BR26" s="120"/>
      <c r="BS26" s="120"/>
      <c r="BT26" s="120"/>
      <c r="BU26" s="120"/>
      <c r="BV26" s="120"/>
      <c r="BW26" s="120">
        <v>20.75</v>
      </c>
      <c r="BX26" s="120"/>
      <c r="BY26" s="120"/>
      <c r="BZ26" s="120"/>
      <c r="CA26" s="120">
        <v>22.0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>
      <c r="A27" s="98"/>
      <c r="B27" s="159">
        <v>19.0</v>
      </c>
      <c r="C27" s="140" t="s">
        <v>138</v>
      </c>
      <c r="D27" s="141">
        <v>50.0</v>
      </c>
      <c r="E27" s="142">
        <v>207.25</v>
      </c>
      <c r="F27" s="143">
        <v>20.724999999999998</v>
      </c>
      <c r="G27" s="144">
        <v>2.895</v>
      </c>
      <c r="H27" s="143">
        <v>62.5</v>
      </c>
      <c r="I27" s="145">
        <v>143.25</v>
      </c>
      <c r="J27" s="146">
        <v>0.0</v>
      </c>
      <c r="K27" s="147">
        <v>1.5</v>
      </c>
      <c r="L27" s="148">
        <v>3.0</v>
      </c>
      <c r="M27" s="149">
        <v>25.0</v>
      </c>
      <c r="N27" s="149">
        <v>5.0</v>
      </c>
      <c r="O27" s="150">
        <v>4.0</v>
      </c>
      <c r="P27" s="151"/>
      <c r="Q27" s="152"/>
      <c r="R27" s="152"/>
      <c r="S27" s="153"/>
      <c r="T27" s="196"/>
      <c r="U27" s="197">
        <v>26.0</v>
      </c>
      <c r="V27" s="155"/>
      <c r="W27" s="155"/>
      <c r="X27" s="155"/>
      <c r="Y27" s="155"/>
      <c r="Z27" s="156"/>
      <c r="AA27" s="156">
        <v>15.75</v>
      </c>
      <c r="AB27" s="155"/>
      <c r="AC27" s="155"/>
      <c r="AD27" s="155">
        <v>17.75</v>
      </c>
      <c r="AE27" s="155"/>
      <c r="AF27" s="155"/>
      <c r="AG27" s="155">
        <v>23.75</v>
      </c>
      <c r="AH27" s="155"/>
      <c r="AI27" s="155"/>
      <c r="AJ27" s="155"/>
      <c r="AK27" s="156"/>
      <c r="AL27" s="156"/>
      <c r="AM27" s="155"/>
      <c r="AN27" s="155"/>
      <c r="AO27" s="155">
        <v>18.75</v>
      </c>
      <c r="AP27" s="155"/>
      <c r="AQ27" s="155"/>
      <c r="AR27" s="155">
        <v>27.75</v>
      </c>
      <c r="AS27" s="155"/>
      <c r="AT27" s="155"/>
      <c r="AU27" s="156"/>
      <c r="AV27" s="156"/>
      <c r="AW27" s="155"/>
      <c r="AX27" s="155"/>
      <c r="AY27" s="155"/>
      <c r="AZ27" s="157"/>
      <c r="BA27" s="157"/>
      <c r="BB27" s="157">
        <v>14.0</v>
      </c>
      <c r="BC27" s="157"/>
      <c r="BD27" s="157"/>
      <c r="BE27" s="145">
        <v>26.0</v>
      </c>
      <c r="BF27" s="145"/>
      <c r="BG27" s="145"/>
      <c r="BH27" s="145"/>
      <c r="BI27" s="145"/>
      <c r="BJ27" s="145">
        <v>19.0</v>
      </c>
      <c r="BK27" s="145"/>
      <c r="BL27" s="145"/>
      <c r="BM27" s="145"/>
      <c r="BN27" s="145"/>
      <c r="BO27" s="145"/>
      <c r="BP27" s="193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>
        <v>18.5</v>
      </c>
      <c r="CA27" s="120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ht="18.0" customHeight="1">
      <c r="A28" s="98"/>
      <c r="B28" s="159">
        <v>20.0</v>
      </c>
      <c r="C28" s="122" t="s">
        <v>106</v>
      </c>
      <c r="D28" s="123">
        <v>50.0</v>
      </c>
      <c r="E28" s="124">
        <v>207.0</v>
      </c>
      <c r="F28" s="125">
        <v>20.7</v>
      </c>
      <c r="G28" s="126">
        <v>2.89</v>
      </c>
      <c r="H28" s="125">
        <v>62.5</v>
      </c>
      <c r="I28" s="127">
        <v>142.0</v>
      </c>
      <c r="J28" s="128">
        <v>1.0</v>
      </c>
      <c r="K28" s="129">
        <v>1.5</v>
      </c>
      <c r="L28" s="130">
        <v>3.0</v>
      </c>
      <c r="M28" s="131">
        <v>25.0</v>
      </c>
      <c r="N28" s="131">
        <v>4.0</v>
      </c>
      <c r="O28" s="132">
        <v>3.0</v>
      </c>
      <c r="P28" s="133"/>
      <c r="Q28" s="134"/>
      <c r="R28" s="134"/>
      <c r="S28" s="135"/>
      <c r="T28" s="194">
        <v>20.0</v>
      </c>
      <c r="U28" s="195"/>
      <c r="V28" s="137"/>
      <c r="W28" s="137"/>
      <c r="X28" s="138">
        <v>19.25</v>
      </c>
      <c r="Y28" s="137"/>
      <c r="Z28" s="137"/>
      <c r="AA28" s="137"/>
      <c r="AB28" s="137"/>
      <c r="AC28" s="138"/>
      <c r="AD28" s="137">
        <v>18.25</v>
      </c>
      <c r="AE28" s="137"/>
      <c r="AF28" s="137"/>
      <c r="AG28" s="137"/>
      <c r="AH28" s="138"/>
      <c r="AI28" s="137"/>
      <c r="AJ28" s="137"/>
      <c r="AK28" s="137"/>
      <c r="AL28" s="137"/>
      <c r="AM28" s="137"/>
      <c r="AN28" s="138"/>
      <c r="AO28" s="137"/>
      <c r="AP28" s="137"/>
      <c r="AQ28" s="137">
        <v>21.5</v>
      </c>
      <c r="AR28" s="138"/>
      <c r="AS28" s="137">
        <v>26.25</v>
      </c>
      <c r="AT28" s="137"/>
      <c r="AU28" s="137"/>
      <c r="AV28" s="137"/>
      <c r="AW28" s="137"/>
      <c r="AX28" s="137"/>
      <c r="AY28" s="137"/>
      <c r="AZ28" s="139"/>
      <c r="BA28" s="139">
        <v>21.5</v>
      </c>
      <c r="BB28" s="139"/>
      <c r="BC28" s="139">
        <v>20.75</v>
      </c>
      <c r="BD28" s="139"/>
      <c r="BE28" s="127"/>
      <c r="BF28" s="127"/>
      <c r="BG28" s="127"/>
      <c r="BH28" s="127"/>
      <c r="BI28" s="127"/>
      <c r="BJ28" s="127">
        <v>13.75</v>
      </c>
      <c r="BK28" s="127"/>
      <c r="BL28" s="127"/>
      <c r="BM28" s="127">
        <v>28.5</v>
      </c>
      <c r="BN28" s="127"/>
      <c r="BO28" s="127"/>
      <c r="BP28" s="193"/>
      <c r="BQ28" s="120"/>
      <c r="BR28" s="120"/>
      <c r="BS28" s="120"/>
      <c r="BT28" s="120"/>
      <c r="BU28" s="120">
        <v>17.25</v>
      </c>
      <c r="BV28" s="120"/>
      <c r="BW28" s="120"/>
      <c r="BX28" s="120"/>
      <c r="BY28" s="120"/>
      <c r="BZ28" s="120"/>
      <c r="CA28" s="120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>
      <c r="A29" s="98"/>
      <c r="B29" s="159">
        <v>21.0</v>
      </c>
      <c r="C29" s="140" t="s">
        <v>83</v>
      </c>
      <c r="D29" s="141">
        <v>50.0</v>
      </c>
      <c r="E29" s="142">
        <v>206.0</v>
      </c>
      <c r="F29" s="143">
        <v>20.6</v>
      </c>
      <c r="G29" s="144">
        <v>2.82</v>
      </c>
      <c r="H29" s="143">
        <v>65.0</v>
      </c>
      <c r="I29" s="145">
        <v>139.0</v>
      </c>
      <c r="J29" s="146">
        <v>0.5</v>
      </c>
      <c r="K29" s="147">
        <v>1.5</v>
      </c>
      <c r="L29" s="148">
        <v>3.0</v>
      </c>
      <c r="M29" s="149">
        <v>26.0</v>
      </c>
      <c r="N29" s="149">
        <v>4.0</v>
      </c>
      <c r="O29" s="150">
        <v>5.0</v>
      </c>
      <c r="P29" s="151"/>
      <c r="Q29" s="152"/>
      <c r="R29" s="152"/>
      <c r="S29" s="153"/>
      <c r="T29" s="196"/>
      <c r="U29" s="197"/>
      <c r="V29" s="155"/>
      <c r="W29" s="155"/>
      <c r="X29" s="155"/>
      <c r="Y29" s="155"/>
      <c r="Z29" s="156"/>
      <c r="AA29" s="156"/>
      <c r="AB29" s="155"/>
      <c r="AC29" s="155"/>
      <c r="AD29" s="155"/>
      <c r="AE29" s="155"/>
      <c r="AF29" s="155"/>
      <c r="AG29" s="155"/>
      <c r="AH29" s="155"/>
      <c r="AI29" s="155"/>
      <c r="AJ29" s="155">
        <v>17.75</v>
      </c>
      <c r="AK29" s="156">
        <v>19.5</v>
      </c>
      <c r="AL29" s="156">
        <v>11.25</v>
      </c>
      <c r="AM29" s="155">
        <v>23.0</v>
      </c>
      <c r="AN29" s="155"/>
      <c r="AO29" s="155"/>
      <c r="AP29" s="155"/>
      <c r="AQ29" s="155"/>
      <c r="AR29" s="155"/>
      <c r="AS29" s="155"/>
      <c r="AT29" s="155"/>
      <c r="AU29" s="156"/>
      <c r="AV29" s="156"/>
      <c r="AW29" s="155"/>
      <c r="AX29" s="155"/>
      <c r="AY29" s="155"/>
      <c r="AZ29" s="157"/>
      <c r="BA29" s="157"/>
      <c r="BB29" s="157"/>
      <c r="BC29" s="157"/>
      <c r="BD29" s="157"/>
      <c r="BE29" s="145"/>
      <c r="BF29" s="145"/>
      <c r="BG29" s="145"/>
      <c r="BH29" s="145"/>
      <c r="BI29" s="145"/>
      <c r="BJ29" s="145"/>
      <c r="BK29" s="145"/>
      <c r="BL29" s="145">
        <v>21.25</v>
      </c>
      <c r="BM29" s="145">
        <v>25.0</v>
      </c>
      <c r="BN29" s="145">
        <v>19.25</v>
      </c>
      <c r="BO29" s="145"/>
      <c r="BP29" s="193"/>
      <c r="BQ29" s="120"/>
      <c r="BR29" s="120"/>
      <c r="BS29" s="120"/>
      <c r="BT29" s="120"/>
      <c r="BU29" s="120">
        <v>17.25</v>
      </c>
      <c r="BV29" s="120">
        <v>25.5</v>
      </c>
      <c r="BW29" s="120">
        <v>26.25</v>
      </c>
      <c r="BX29" s="120"/>
      <c r="BY29" s="120"/>
      <c r="BZ29" s="120"/>
      <c r="CA29" s="120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>
      <c r="A30" s="98"/>
      <c r="B30" s="159">
        <v>22.0</v>
      </c>
      <c r="C30" s="122" t="s">
        <v>100</v>
      </c>
      <c r="D30" s="123">
        <v>50.0</v>
      </c>
      <c r="E30" s="124">
        <v>205.75</v>
      </c>
      <c r="F30" s="125">
        <v>20.575000000000003</v>
      </c>
      <c r="G30" s="126">
        <v>2.915</v>
      </c>
      <c r="H30" s="125">
        <v>60.0</v>
      </c>
      <c r="I30" s="127">
        <v>143.25</v>
      </c>
      <c r="J30" s="128">
        <v>0.0</v>
      </c>
      <c r="K30" s="129">
        <v>2.5</v>
      </c>
      <c r="L30" s="130">
        <v>5.0</v>
      </c>
      <c r="M30" s="131">
        <v>24.0</v>
      </c>
      <c r="N30" s="131">
        <v>6.0</v>
      </c>
      <c r="O30" s="132">
        <v>6.0</v>
      </c>
      <c r="P30" s="133"/>
      <c r="Q30" s="134"/>
      <c r="R30" s="134"/>
      <c r="S30" s="135"/>
      <c r="T30" s="194"/>
      <c r="U30" s="195"/>
      <c r="V30" s="137"/>
      <c r="W30" s="137"/>
      <c r="X30" s="138"/>
      <c r="Y30" s="137"/>
      <c r="Z30" s="137"/>
      <c r="AA30" s="137"/>
      <c r="AB30" s="137"/>
      <c r="AC30" s="138"/>
      <c r="AD30" s="137"/>
      <c r="AE30" s="137"/>
      <c r="AF30" s="137"/>
      <c r="AG30" s="137"/>
      <c r="AH30" s="138"/>
      <c r="AI30" s="137"/>
      <c r="AJ30" s="137">
        <v>11.5</v>
      </c>
      <c r="AK30" s="137">
        <v>15.75</v>
      </c>
      <c r="AL30" s="137">
        <v>23.25</v>
      </c>
      <c r="AM30" s="137">
        <v>23.5</v>
      </c>
      <c r="AN30" s="138">
        <v>22.5</v>
      </c>
      <c r="AO30" s="137"/>
      <c r="AP30" s="137"/>
      <c r="AQ30" s="137"/>
      <c r="AR30" s="138"/>
      <c r="AS30" s="137"/>
      <c r="AT30" s="137"/>
      <c r="AU30" s="137"/>
      <c r="AV30" s="137"/>
      <c r="AW30" s="137"/>
      <c r="AX30" s="137"/>
      <c r="AY30" s="137"/>
      <c r="AZ30" s="139"/>
      <c r="BA30" s="139"/>
      <c r="BB30" s="139"/>
      <c r="BC30" s="139"/>
      <c r="BD30" s="139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>
        <v>21.0</v>
      </c>
      <c r="BO30" s="127">
        <v>28.0</v>
      </c>
      <c r="BP30" s="193">
        <v>20.75</v>
      </c>
      <c r="BQ30" s="120">
        <v>20.0</v>
      </c>
      <c r="BR30" s="120">
        <v>19.5</v>
      </c>
      <c r="BS30" s="120"/>
      <c r="BT30" s="120"/>
      <c r="BU30" s="120"/>
      <c r="BV30" s="120"/>
      <c r="BW30" s="120"/>
      <c r="BX30" s="120"/>
      <c r="BY30" s="120"/>
      <c r="BZ30" s="120"/>
      <c r="CA30" s="120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>
      <c r="A31" s="98"/>
      <c r="B31" s="159">
        <v>23.0</v>
      </c>
      <c r="C31" s="140" t="s">
        <v>136</v>
      </c>
      <c r="D31" s="141">
        <v>50.0</v>
      </c>
      <c r="E31" s="142">
        <v>202.5</v>
      </c>
      <c r="F31" s="143">
        <v>20.25</v>
      </c>
      <c r="G31" s="144">
        <v>2.8</v>
      </c>
      <c r="H31" s="143">
        <v>62.5</v>
      </c>
      <c r="I31" s="145">
        <v>137.5</v>
      </c>
      <c r="J31" s="146">
        <v>0.5</v>
      </c>
      <c r="K31" s="147">
        <v>2.0</v>
      </c>
      <c r="L31" s="148">
        <v>4.0</v>
      </c>
      <c r="M31" s="149">
        <v>25.0</v>
      </c>
      <c r="N31" s="149">
        <v>9.0</v>
      </c>
      <c r="O31" s="150">
        <v>3.0</v>
      </c>
      <c r="P31" s="151"/>
      <c r="Q31" s="152"/>
      <c r="R31" s="152"/>
      <c r="S31" s="153"/>
      <c r="T31" s="196"/>
      <c r="U31" s="197"/>
      <c r="V31" s="155">
        <v>14.5</v>
      </c>
      <c r="W31" s="155"/>
      <c r="X31" s="155"/>
      <c r="Y31" s="155"/>
      <c r="Z31" s="156"/>
      <c r="AA31" s="156"/>
      <c r="AB31" s="155"/>
      <c r="AC31" s="155">
        <v>23.75</v>
      </c>
      <c r="AD31" s="155"/>
      <c r="AE31" s="155"/>
      <c r="AF31" s="155"/>
      <c r="AG31" s="155">
        <v>27.75</v>
      </c>
      <c r="AH31" s="155"/>
      <c r="AI31" s="155"/>
      <c r="AJ31" s="155"/>
      <c r="AK31" s="156"/>
      <c r="AL31" s="156"/>
      <c r="AM31" s="155"/>
      <c r="AN31" s="155"/>
      <c r="AO31" s="155"/>
      <c r="AP31" s="155"/>
      <c r="AQ31" s="155"/>
      <c r="AR31" s="155">
        <v>14.75</v>
      </c>
      <c r="AS31" s="155"/>
      <c r="AT31" s="155"/>
      <c r="AU31" s="156"/>
      <c r="AV31" s="156"/>
      <c r="AW31" s="155"/>
      <c r="AX31" s="155"/>
      <c r="AY31" s="155"/>
      <c r="AZ31" s="157"/>
      <c r="BA31" s="157"/>
      <c r="BB31" s="157"/>
      <c r="BC31" s="157"/>
      <c r="BD31" s="157">
        <v>23.0</v>
      </c>
      <c r="BE31" s="145"/>
      <c r="BF31" s="145"/>
      <c r="BG31" s="145">
        <v>18.25</v>
      </c>
      <c r="BH31" s="145"/>
      <c r="BI31" s="145"/>
      <c r="BJ31" s="145"/>
      <c r="BK31" s="145"/>
      <c r="BL31" s="145"/>
      <c r="BM31" s="145"/>
      <c r="BN31" s="145"/>
      <c r="BO31" s="145"/>
      <c r="BP31" s="193"/>
      <c r="BQ31" s="120"/>
      <c r="BR31" s="120">
        <v>19.75</v>
      </c>
      <c r="BS31" s="120">
        <v>22.0</v>
      </c>
      <c r="BT31" s="120">
        <v>18.5</v>
      </c>
      <c r="BU31" s="120"/>
      <c r="BV31" s="120"/>
      <c r="BW31" s="120"/>
      <c r="BX31" s="120"/>
      <c r="BY31" s="120">
        <v>20.25</v>
      </c>
      <c r="BZ31" s="120"/>
      <c r="CA31" s="120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>
      <c r="A32" s="98"/>
      <c r="B32" s="159">
        <v>24.0</v>
      </c>
      <c r="C32" s="122" t="s">
        <v>99</v>
      </c>
      <c r="D32" s="123">
        <v>50.0</v>
      </c>
      <c r="E32" s="124">
        <v>201.25</v>
      </c>
      <c r="F32" s="125">
        <v>20.125</v>
      </c>
      <c r="G32" s="126">
        <v>2.775</v>
      </c>
      <c r="H32" s="125">
        <v>62.5</v>
      </c>
      <c r="I32" s="127">
        <v>137.75</v>
      </c>
      <c r="J32" s="128">
        <v>0.0</v>
      </c>
      <c r="K32" s="129">
        <v>1.0</v>
      </c>
      <c r="L32" s="130">
        <v>2.0</v>
      </c>
      <c r="M32" s="131">
        <v>25.0</v>
      </c>
      <c r="N32" s="131">
        <v>8.0</v>
      </c>
      <c r="O32" s="132">
        <v>5.0</v>
      </c>
      <c r="P32" s="133"/>
      <c r="Q32" s="134"/>
      <c r="R32" s="134"/>
      <c r="S32" s="135"/>
      <c r="T32" s="194"/>
      <c r="U32" s="195"/>
      <c r="V32" s="137"/>
      <c r="W32" s="137"/>
      <c r="X32" s="138"/>
      <c r="Y32" s="137"/>
      <c r="Z32" s="137"/>
      <c r="AA32" s="137">
        <v>15.25</v>
      </c>
      <c r="AB32" s="137"/>
      <c r="AC32" s="138"/>
      <c r="AD32" s="137"/>
      <c r="AE32" s="137"/>
      <c r="AF32" s="137"/>
      <c r="AG32" s="137">
        <v>23.0</v>
      </c>
      <c r="AH32" s="138"/>
      <c r="AI32" s="137">
        <v>19.0</v>
      </c>
      <c r="AJ32" s="137"/>
      <c r="AK32" s="137"/>
      <c r="AL32" s="137"/>
      <c r="AM32" s="137"/>
      <c r="AN32" s="138"/>
      <c r="AO32" s="137"/>
      <c r="AP32" s="137"/>
      <c r="AQ32" s="137">
        <v>19.5</v>
      </c>
      <c r="AR32" s="138">
        <v>18.25</v>
      </c>
      <c r="AS32" s="137"/>
      <c r="AT32" s="137"/>
      <c r="AU32" s="137"/>
      <c r="AV32" s="137"/>
      <c r="AW32" s="137"/>
      <c r="AX32" s="137"/>
      <c r="AY32" s="137"/>
      <c r="AZ32" s="139">
        <v>27.25</v>
      </c>
      <c r="BA32" s="139"/>
      <c r="BB32" s="139"/>
      <c r="BC32" s="139">
        <v>19.75</v>
      </c>
      <c r="BD32" s="139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93">
        <v>16.25</v>
      </c>
      <c r="BQ32" s="120"/>
      <c r="BR32" s="120"/>
      <c r="BS32" s="120"/>
      <c r="BT32" s="120"/>
      <c r="BU32" s="120"/>
      <c r="BV32" s="120"/>
      <c r="BW32" s="120"/>
      <c r="BX32" s="120">
        <v>20.25</v>
      </c>
      <c r="BY32" s="120"/>
      <c r="BZ32" s="120">
        <v>22.75</v>
      </c>
      <c r="CA32" s="120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>
      <c r="A33" s="98"/>
      <c r="B33" s="159">
        <v>25.0</v>
      </c>
      <c r="C33" s="140" t="s">
        <v>104</v>
      </c>
      <c r="D33" s="141">
        <v>50.0</v>
      </c>
      <c r="E33" s="142">
        <v>200.5</v>
      </c>
      <c r="F33" s="143">
        <v>20.049999999999997</v>
      </c>
      <c r="G33" s="144">
        <v>2.71</v>
      </c>
      <c r="H33" s="143">
        <v>65.0</v>
      </c>
      <c r="I33" s="145">
        <v>133.0</v>
      </c>
      <c r="J33" s="146">
        <v>0.5</v>
      </c>
      <c r="K33" s="147">
        <v>2.0</v>
      </c>
      <c r="L33" s="148">
        <v>4.0</v>
      </c>
      <c r="M33" s="149">
        <v>26.0</v>
      </c>
      <c r="N33" s="149">
        <v>6.0</v>
      </c>
      <c r="O33" s="150">
        <v>3.0</v>
      </c>
      <c r="P33" s="151"/>
      <c r="Q33" s="152"/>
      <c r="R33" s="152"/>
      <c r="S33" s="153"/>
      <c r="T33" s="196">
        <v>21.0</v>
      </c>
      <c r="U33" s="197"/>
      <c r="V33" s="155"/>
      <c r="W33" s="155"/>
      <c r="X33" s="155"/>
      <c r="Y33" s="155"/>
      <c r="Z33" s="156"/>
      <c r="AA33" s="156"/>
      <c r="AB33" s="155"/>
      <c r="AC33" s="155"/>
      <c r="AD33" s="155"/>
      <c r="AE33" s="155"/>
      <c r="AF33" s="155">
        <v>15.75</v>
      </c>
      <c r="AG33" s="155"/>
      <c r="AH33" s="155">
        <v>24.75</v>
      </c>
      <c r="AI33" s="155">
        <v>21.0</v>
      </c>
      <c r="AJ33" s="155"/>
      <c r="AK33" s="156"/>
      <c r="AL33" s="156"/>
      <c r="AM33" s="155"/>
      <c r="AN33" s="155"/>
      <c r="AO33" s="155"/>
      <c r="AP33" s="155"/>
      <c r="AQ33" s="155">
        <v>18.25</v>
      </c>
      <c r="AR33" s="155"/>
      <c r="AS33" s="155"/>
      <c r="AT33" s="155"/>
      <c r="AU33" s="156"/>
      <c r="AV33" s="156"/>
      <c r="AW33" s="155"/>
      <c r="AX33" s="155"/>
      <c r="AY33" s="155"/>
      <c r="AZ33" s="157"/>
      <c r="BA33" s="157"/>
      <c r="BB33" s="157"/>
      <c r="BC33" s="157">
        <v>21.25</v>
      </c>
      <c r="BD33" s="157"/>
      <c r="BE33" s="145"/>
      <c r="BF33" s="145">
        <v>25.5</v>
      </c>
      <c r="BG33" s="145"/>
      <c r="BH33" s="145"/>
      <c r="BI33" s="145">
        <v>17.25</v>
      </c>
      <c r="BJ33" s="145"/>
      <c r="BK33" s="145">
        <v>19.0</v>
      </c>
      <c r="BL33" s="145"/>
      <c r="BM33" s="145"/>
      <c r="BN33" s="145"/>
      <c r="BO33" s="145"/>
      <c r="BP33" s="193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>
        <v>16.75</v>
      </c>
      <c r="CA33" s="120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>
      <c r="A34" s="98"/>
      <c r="B34" s="159">
        <v>26.0</v>
      </c>
      <c r="C34" s="122" t="s">
        <v>131</v>
      </c>
      <c r="D34" s="123">
        <v>50.0</v>
      </c>
      <c r="E34" s="124">
        <v>199.75</v>
      </c>
      <c r="F34" s="125">
        <v>19.975</v>
      </c>
      <c r="G34" s="126">
        <v>2.895</v>
      </c>
      <c r="H34" s="125">
        <v>55.0</v>
      </c>
      <c r="I34" s="127">
        <v>141.75</v>
      </c>
      <c r="J34" s="128">
        <v>0.5</v>
      </c>
      <c r="K34" s="129">
        <v>2.5</v>
      </c>
      <c r="L34" s="130">
        <v>5.0</v>
      </c>
      <c r="M34" s="131">
        <v>22.0</v>
      </c>
      <c r="N34" s="131">
        <v>4.0</v>
      </c>
      <c r="O34" s="132">
        <v>6.0</v>
      </c>
      <c r="P34" s="133"/>
      <c r="Q34" s="134"/>
      <c r="R34" s="134"/>
      <c r="S34" s="135"/>
      <c r="T34" s="194"/>
      <c r="U34" s="195"/>
      <c r="V34" s="137">
        <v>15.0</v>
      </c>
      <c r="W34" s="137">
        <v>23.25</v>
      </c>
      <c r="X34" s="138">
        <v>17.0</v>
      </c>
      <c r="Y34" s="137">
        <v>17.0</v>
      </c>
      <c r="Z34" s="137"/>
      <c r="AA34" s="137"/>
      <c r="AB34" s="137"/>
      <c r="AC34" s="138"/>
      <c r="AD34" s="137"/>
      <c r="AE34" s="137"/>
      <c r="AF34" s="137"/>
      <c r="AG34" s="137"/>
      <c r="AH34" s="138"/>
      <c r="AI34" s="137"/>
      <c r="AJ34" s="137"/>
      <c r="AK34" s="137"/>
      <c r="AL34" s="137"/>
      <c r="AM34" s="137"/>
      <c r="AN34" s="138"/>
      <c r="AO34" s="137"/>
      <c r="AP34" s="137"/>
      <c r="AQ34" s="137"/>
      <c r="AR34" s="138"/>
      <c r="AS34" s="137"/>
      <c r="AT34" s="137"/>
      <c r="AU34" s="137"/>
      <c r="AV34" s="137"/>
      <c r="AW34" s="137"/>
      <c r="AX34" s="137"/>
      <c r="AY34" s="137"/>
      <c r="AZ34" s="139"/>
      <c r="BA34" s="139"/>
      <c r="BB34" s="139"/>
      <c r="BC34" s="139"/>
      <c r="BD34" s="139"/>
      <c r="BE34" s="127"/>
      <c r="BF34" s="127"/>
      <c r="BG34" s="127"/>
      <c r="BH34" s="127"/>
      <c r="BI34" s="127">
        <v>24.0</v>
      </c>
      <c r="BJ34" s="127">
        <v>28.0</v>
      </c>
      <c r="BK34" s="127">
        <v>23.25</v>
      </c>
      <c r="BL34" s="127">
        <v>14.25</v>
      </c>
      <c r="BM34" s="127"/>
      <c r="BN34" s="127"/>
      <c r="BO34" s="127"/>
      <c r="BP34" s="193"/>
      <c r="BQ34" s="120"/>
      <c r="BR34" s="120"/>
      <c r="BS34" s="120">
        <v>23.0</v>
      </c>
      <c r="BT34" s="120">
        <v>15.0</v>
      </c>
      <c r="BU34" s="120"/>
      <c r="BV34" s="120"/>
      <c r="BW34" s="120"/>
      <c r="BX34" s="120"/>
      <c r="BY34" s="120"/>
      <c r="BZ34" s="120"/>
      <c r="CA34" s="120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>
      <c r="A35" s="98"/>
      <c r="B35" s="159">
        <v>27.0</v>
      </c>
      <c r="C35" s="140" t="s">
        <v>97</v>
      </c>
      <c r="D35" s="141">
        <v>50.0</v>
      </c>
      <c r="E35" s="142">
        <v>199.75</v>
      </c>
      <c r="F35" s="143">
        <v>19.975</v>
      </c>
      <c r="G35" s="144">
        <v>2.745</v>
      </c>
      <c r="H35" s="143">
        <v>62.5</v>
      </c>
      <c r="I35" s="145">
        <v>136.75</v>
      </c>
      <c r="J35" s="146">
        <v>0.0</v>
      </c>
      <c r="K35" s="147">
        <v>0.5</v>
      </c>
      <c r="L35" s="148">
        <v>1.0</v>
      </c>
      <c r="M35" s="149">
        <v>25.0</v>
      </c>
      <c r="N35" s="149">
        <v>4.0</v>
      </c>
      <c r="O35" s="150">
        <v>4.0</v>
      </c>
      <c r="P35" s="151"/>
      <c r="Q35" s="152"/>
      <c r="R35" s="152"/>
      <c r="S35" s="153"/>
      <c r="T35" s="196"/>
      <c r="U35" s="197"/>
      <c r="V35" s="155"/>
      <c r="W35" s="155"/>
      <c r="X35" s="155"/>
      <c r="Y35" s="155"/>
      <c r="Z35" s="156"/>
      <c r="AA35" s="156">
        <v>18.5</v>
      </c>
      <c r="AB35" s="155"/>
      <c r="AC35" s="155"/>
      <c r="AD35" s="155">
        <v>26.75</v>
      </c>
      <c r="AE35" s="155"/>
      <c r="AF35" s="155"/>
      <c r="AG35" s="155"/>
      <c r="AH35" s="155"/>
      <c r="AI35" s="155"/>
      <c r="AJ35" s="155">
        <v>18.0</v>
      </c>
      <c r="AK35" s="156"/>
      <c r="AL35" s="156"/>
      <c r="AM35" s="155"/>
      <c r="AN35" s="155">
        <v>14.5</v>
      </c>
      <c r="AO35" s="155"/>
      <c r="AP35" s="155"/>
      <c r="AQ35" s="155"/>
      <c r="AR35" s="155"/>
      <c r="AS35" s="155"/>
      <c r="AT35" s="155"/>
      <c r="AU35" s="156">
        <v>15.5</v>
      </c>
      <c r="AV35" s="156"/>
      <c r="AW35" s="155"/>
      <c r="AX35" s="155">
        <v>17.5</v>
      </c>
      <c r="AY35" s="155"/>
      <c r="AZ35" s="157"/>
      <c r="BA35" s="157"/>
      <c r="BB35" s="157"/>
      <c r="BC35" s="157"/>
      <c r="BD35" s="157"/>
      <c r="BE35" s="145"/>
      <c r="BF35" s="145"/>
      <c r="BG35" s="145"/>
      <c r="BH35" s="145"/>
      <c r="BI35" s="145"/>
      <c r="BJ35" s="145">
        <v>15.0</v>
      </c>
      <c r="BK35" s="145"/>
      <c r="BL35" s="145"/>
      <c r="BM35" s="145"/>
      <c r="BN35" s="145"/>
      <c r="BO35" s="145">
        <v>22.25</v>
      </c>
      <c r="BP35" s="193"/>
      <c r="BQ35" s="120">
        <v>29.5</v>
      </c>
      <c r="BR35" s="120"/>
      <c r="BS35" s="120"/>
      <c r="BT35" s="120"/>
      <c r="BU35" s="120">
        <v>22.25</v>
      </c>
      <c r="BV35" s="120"/>
      <c r="BW35" s="120"/>
      <c r="BX35" s="120"/>
      <c r="BY35" s="120"/>
      <c r="BZ35" s="120"/>
      <c r="CA35" s="120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>
      <c r="A36" s="98"/>
      <c r="B36" s="159">
        <v>28.0</v>
      </c>
      <c r="C36" s="122" t="s">
        <v>122</v>
      </c>
      <c r="D36" s="123">
        <v>50.0</v>
      </c>
      <c r="E36" s="124">
        <v>199.25</v>
      </c>
      <c r="F36" s="125">
        <v>19.925</v>
      </c>
      <c r="G36" s="126">
        <v>2.735</v>
      </c>
      <c r="H36" s="125">
        <v>62.5</v>
      </c>
      <c r="I36" s="127">
        <v>135.75</v>
      </c>
      <c r="J36" s="128">
        <v>0.0</v>
      </c>
      <c r="K36" s="129">
        <v>1.0</v>
      </c>
      <c r="L36" s="130">
        <v>2.0</v>
      </c>
      <c r="M36" s="131">
        <v>25.0</v>
      </c>
      <c r="N36" s="131">
        <v>1.0</v>
      </c>
      <c r="O36" s="132">
        <v>4.0</v>
      </c>
      <c r="P36" s="133"/>
      <c r="Q36" s="134"/>
      <c r="R36" s="134"/>
      <c r="S36" s="135"/>
      <c r="T36" s="194"/>
      <c r="U36" s="195"/>
      <c r="V36" s="137"/>
      <c r="W36" s="137">
        <v>20.75</v>
      </c>
      <c r="X36" s="138"/>
      <c r="Y36" s="137"/>
      <c r="Z36" s="137"/>
      <c r="AA36" s="137">
        <v>15.25</v>
      </c>
      <c r="AB36" s="137"/>
      <c r="AC36" s="138"/>
      <c r="AD36" s="137"/>
      <c r="AE36" s="137"/>
      <c r="AF36" s="137"/>
      <c r="AG36" s="137"/>
      <c r="AH36" s="138"/>
      <c r="AI36" s="137"/>
      <c r="AJ36" s="137"/>
      <c r="AK36" s="137"/>
      <c r="AL36" s="137"/>
      <c r="AM36" s="137"/>
      <c r="AN36" s="138"/>
      <c r="AO36" s="137">
        <v>11.75</v>
      </c>
      <c r="AP36" s="137"/>
      <c r="AQ36" s="137"/>
      <c r="AR36" s="138"/>
      <c r="AS36" s="137">
        <v>18.25</v>
      </c>
      <c r="AT36" s="137"/>
      <c r="AU36" s="137"/>
      <c r="AV36" s="137"/>
      <c r="AW36" s="137"/>
      <c r="AX36" s="137"/>
      <c r="AY36" s="137"/>
      <c r="AZ36" s="139"/>
      <c r="BA36" s="139">
        <v>26.25</v>
      </c>
      <c r="BB36" s="139"/>
      <c r="BC36" s="139"/>
      <c r="BD36" s="139"/>
      <c r="BE36" s="127"/>
      <c r="BF36" s="127">
        <v>28.0</v>
      </c>
      <c r="BG36" s="127">
        <v>17.75</v>
      </c>
      <c r="BH36" s="127"/>
      <c r="BI36" s="127"/>
      <c r="BJ36" s="127"/>
      <c r="BK36" s="127"/>
      <c r="BL36" s="127"/>
      <c r="BM36" s="127"/>
      <c r="BN36" s="127"/>
      <c r="BO36" s="127"/>
      <c r="BP36" s="193"/>
      <c r="BQ36" s="120"/>
      <c r="BR36" s="120">
        <v>23.5</v>
      </c>
      <c r="BS36" s="120"/>
      <c r="BT36" s="120">
        <v>23.5</v>
      </c>
      <c r="BU36" s="120"/>
      <c r="BV36" s="120"/>
      <c r="BW36" s="120">
        <v>14.25</v>
      </c>
      <c r="BX36" s="120"/>
      <c r="BY36" s="120"/>
      <c r="BZ36" s="120"/>
      <c r="CA36" s="120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>
      <c r="A37" s="98"/>
      <c r="B37" s="159">
        <v>29.0</v>
      </c>
      <c r="C37" s="140" t="s">
        <v>120</v>
      </c>
      <c r="D37" s="141">
        <v>50.0</v>
      </c>
      <c r="E37" s="142">
        <v>196.75</v>
      </c>
      <c r="F37" s="143">
        <v>19.675</v>
      </c>
      <c r="G37" s="144">
        <v>2.685</v>
      </c>
      <c r="H37" s="143">
        <v>62.5</v>
      </c>
      <c r="I37" s="145">
        <v>131.25</v>
      </c>
      <c r="J37" s="146">
        <v>0.0</v>
      </c>
      <c r="K37" s="147">
        <v>3.0</v>
      </c>
      <c r="L37" s="148">
        <v>6.0</v>
      </c>
      <c r="M37" s="149">
        <v>25.0</v>
      </c>
      <c r="N37" s="149">
        <v>7.0</v>
      </c>
      <c r="O37" s="150">
        <v>4.0</v>
      </c>
      <c r="P37" s="151"/>
      <c r="Q37" s="152"/>
      <c r="R37" s="152"/>
      <c r="S37" s="153"/>
      <c r="T37" s="196"/>
      <c r="U37" s="197"/>
      <c r="V37" s="155"/>
      <c r="W37" s="155"/>
      <c r="X37" s="155"/>
      <c r="Y37" s="155"/>
      <c r="Z37" s="156">
        <v>13.5</v>
      </c>
      <c r="AA37" s="156"/>
      <c r="AB37" s="155"/>
      <c r="AC37" s="155"/>
      <c r="AD37" s="155"/>
      <c r="AE37" s="155"/>
      <c r="AF37" s="155"/>
      <c r="AG37" s="155"/>
      <c r="AH37" s="155">
        <v>21.5</v>
      </c>
      <c r="AI37" s="155"/>
      <c r="AJ37" s="155"/>
      <c r="AK37" s="156"/>
      <c r="AL37" s="156"/>
      <c r="AM37" s="155">
        <v>19.75</v>
      </c>
      <c r="AN37" s="155"/>
      <c r="AO37" s="155">
        <v>26.0</v>
      </c>
      <c r="AP37" s="155"/>
      <c r="AQ37" s="155"/>
      <c r="AR37" s="155"/>
      <c r="AS37" s="155"/>
      <c r="AT37" s="155"/>
      <c r="AU37" s="156"/>
      <c r="AV37" s="156"/>
      <c r="AW37" s="155">
        <v>25.75</v>
      </c>
      <c r="AX37" s="155"/>
      <c r="AY37" s="155"/>
      <c r="AZ37" s="157"/>
      <c r="BA37" s="157"/>
      <c r="BB37" s="157">
        <v>17.0</v>
      </c>
      <c r="BC37" s="157"/>
      <c r="BD37" s="157"/>
      <c r="BE37" s="145"/>
      <c r="BF37" s="145"/>
      <c r="BG37" s="145"/>
      <c r="BH37" s="145">
        <v>21.0</v>
      </c>
      <c r="BI37" s="145">
        <v>18.5</v>
      </c>
      <c r="BJ37" s="145"/>
      <c r="BK37" s="145"/>
      <c r="BL37" s="145">
        <v>20.0</v>
      </c>
      <c r="BM37" s="145"/>
      <c r="BN37" s="145"/>
      <c r="BO37" s="145"/>
      <c r="BP37" s="193"/>
      <c r="BQ37" s="120">
        <v>13.75</v>
      </c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>
      <c r="A38" s="98"/>
      <c r="B38" s="159">
        <v>30.0</v>
      </c>
      <c r="C38" s="122" t="s">
        <v>81</v>
      </c>
      <c r="D38" s="123">
        <v>50.0</v>
      </c>
      <c r="E38" s="124">
        <v>196.5</v>
      </c>
      <c r="F38" s="125">
        <v>19.650000000000002</v>
      </c>
      <c r="G38" s="126">
        <v>2.73</v>
      </c>
      <c r="H38" s="125">
        <v>60.0</v>
      </c>
      <c r="I38" s="127">
        <v>132.0</v>
      </c>
      <c r="J38" s="128">
        <v>1.5</v>
      </c>
      <c r="K38" s="129">
        <v>3.0</v>
      </c>
      <c r="L38" s="130">
        <v>5.0</v>
      </c>
      <c r="M38" s="131">
        <v>24.0</v>
      </c>
      <c r="N38" s="131">
        <v>4.0</v>
      </c>
      <c r="O38" s="132">
        <v>6.0</v>
      </c>
      <c r="P38" s="133"/>
      <c r="Q38" s="134"/>
      <c r="R38" s="134"/>
      <c r="S38" s="135"/>
      <c r="T38" s="194"/>
      <c r="U38" s="195">
        <v>20.0</v>
      </c>
      <c r="V38" s="137"/>
      <c r="W38" s="137"/>
      <c r="X38" s="138"/>
      <c r="Y38" s="137"/>
      <c r="Z38" s="137"/>
      <c r="AA38" s="137"/>
      <c r="AB38" s="137"/>
      <c r="AC38" s="138">
        <v>22.0</v>
      </c>
      <c r="AD38" s="137">
        <v>25.0</v>
      </c>
      <c r="AE38" s="137"/>
      <c r="AF38" s="137"/>
      <c r="AG38" s="137"/>
      <c r="AH38" s="138"/>
      <c r="AI38" s="137"/>
      <c r="AJ38" s="137">
        <v>20.5</v>
      </c>
      <c r="AK38" s="137"/>
      <c r="AL38" s="137"/>
      <c r="AM38" s="137"/>
      <c r="AN38" s="138"/>
      <c r="AO38" s="137"/>
      <c r="AP38" s="137"/>
      <c r="AQ38" s="137"/>
      <c r="AR38" s="138">
        <v>16.0</v>
      </c>
      <c r="AS38" s="137"/>
      <c r="AT38" s="137"/>
      <c r="AU38" s="137"/>
      <c r="AV38" s="137">
        <v>19.25</v>
      </c>
      <c r="AW38" s="137"/>
      <c r="AX38" s="137"/>
      <c r="AY38" s="137"/>
      <c r="AZ38" s="139"/>
      <c r="BA38" s="139"/>
      <c r="BB38" s="139">
        <v>18.75</v>
      </c>
      <c r="BC38" s="139"/>
      <c r="BD38" s="139"/>
      <c r="BE38" s="127"/>
      <c r="BF38" s="127"/>
      <c r="BG38" s="127"/>
      <c r="BH38" s="127"/>
      <c r="BI38" s="127"/>
      <c r="BJ38" s="127"/>
      <c r="BK38" s="127"/>
      <c r="BL38" s="127"/>
      <c r="BM38" s="127">
        <v>21.25</v>
      </c>
      <c r="BN38" s="127"/>
      <c r="BO38" s="127">
        <v>13.25</v>
      </c>
      <c r="BP38" s="193"/>
      <c r="BQ38" s="120"/>
      <c r="BR38" s="120"/>
      <c r="BS38" s="120"/>
      <c r="BT38" s="120"/>
      <c r="BU38" s="120"/>
      <c r="BV38" s="120"/>
      <c r="BW38" s="120"/>
      <c r="BX38" s="120"/>
      <c r="BY38" s="120">
        <v>20.5</v>
      </c>
      <c r="BZ38" s="120"/>
      <c r="CA38" s="120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>
      <c r="A39" s="98"/>
      <c r="B39" s="159">
        <v>31.0</v>
      </c>
      <c r="C39" s="140" t="s">
        <v>115</v>
      </c>
      <c r="D39" s="141">
        <v>50.0</v>
      </c>
      <c r="E39" s="142">
        <v>195.5</v>
      </c>
      <c r="F39" s="143">
        <v>19.55</v>
      </c>
      <c r="G39" s="144">
        <v>2.66</v>
      </c>
      <c r="H39" s="143">
        <v>62.5</v>
      </c>
      <c r="I39" s="145">
        <v>132.5</v>
      </c>
      <c r="J39" s="146">
        <v>0.0</v>
      </c>
      <c r="K39" s="147">
        <v>0.5</v>
      </c>
      <c r="L39" s="148">
        <v>1.0</v>
      </c>
      <c r="M39" s="149">
        <v>25.0</v>
      </c>
      <c r="N39" s="149">
        <v>9.0</v>
      </c>
      <c r="O39" s="150">
        <v>1.0</v>
      </c>
      <c r="P39" s="151"/>
      <c r="Q39" s="152"/>
      <c r="R39" s="152"/>
      <c r="S39" s="153"/>
      <c r="T39" s="196"/>
      <c r="U39" s="197"/>
      <c r="V39" s="155"/>
      <c r="W39" s="155"/>
      <c r="X39" s="155"/>
      <c r="Y39" s="155"/>
      <c r="Z39" s="156"/>
      <c r="AA39" s="156"/>
      <c r="AB39" s="155"/>
      <c r="AC39" s="155"/>
      <c r="AD39" s="155"/>
      <c r="AE39" s="155"/>
      <c r="AF39" s="155"/>
      <c r="AG39" s="155"/>
      <c r="AH39" s="155"/>
      <c r="AI39" s="155"/>
      <c r="AJ39" s="155"/>
      <c r="AK39" s="156"/>
      <c r="AL39" s="156"/>
      <c r="AM39" s="155"/>
      <c r="AN39" s="155"/>
      <c r="AO39" s="155"/>
      <c r="AP39" s="155"/>
      <c r="AQ39" s="155"/>
      <c r="AR39" s="155"/>
      <c r="AS39" s="155"/>
      <c r="AT39" s="155"/>
      <c r="AU39" s="156"/>
      <c r="AV39" s="156"/>
      <c r="AW39" s="155"/>
      <c r="AX39" s="155"/>
      <c r="AY39" s="155"/>
      <c r="AZ39" s="157">
        <v>15.5</v>
      </c>
      <c r="BA39" s="157">
        <v>18.75</v>
      </c>
      <c r="BB39" s="157">
        <v>24.75</v>
      </c>
      <c r="BC39" s="157">
        <v>16.0</v>
      </c>
      <c r="BD39" s="157">
        <v>17.25</v>
      </c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93"/>
      <c r="BQ39" s="120"/>
      <c r="BR39" s="120"/>
      <c r="BS39" s="120">
        <v>21.25</v>
      </c>
      <c r="BT39" s="120">
        <v>16.0</v>
      </c>
      <c r="BU39" s="120">
        <v>21.25</v>
      </c>
      <c r="BV39" s="120">
        <v>25.0</v>
      </c>
      <c r="BW39" s="120">
        <v>19.75</v>
      </c>
      <c r="BX39" s="120"/>
      <c r="BY39" s="120"/>
      <c r="BZ39" s="120"/>
      <c r="CA39" s="120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>
      <c r="A40" s="98"/>
      <c r="B40" s="159">
        <v>32.0</v>
      </c>
      <c r="C40" s="122" t="s">
        <v>84</v>
      </c>
      <c r="D40" s="123">
        <v>50.0</v>
      </c>
      <c r="E40" s="124">
        <v>194.75</v>
      </c>
      <c r="F40" s="125">
        <v>19.475</v>
      </c>
      <c r="G40" s="126">
        <v>2.745</v>
      </c>
      <c r="H40" s="125">
        <v>57.5</v>
      </c>
      <c r="I40" s="127">
        <v>135.75</v>
      </c>
      <c r="J40" s="128">
        <v>0.5</v>
      </c>
      <c r="K40" s="129">
        <v>1.0</v>
      </c>
      <c r="L40" s="130">
        <v>2.0</v>
      </c>
      <c r="M40" s="131">
        <v>23.0</v>
      </c>
      <c r="N40" s="131">
        <v>5.0</v>
      </c>
      <c r="O40" s="132">
        <v>4.0</v>
      </c>
      <c r="P40" s="133"/>
      <c r="Q40" s="134"/>
      <c r="R40" s="134"/>
      <c r="S40" s="135"/>
      <c r="T40" s="194"/>
      <c r="U40" s="195"/>
      <c r="V40" s="137"/>
      <c r="W40" s="137"/>
      <c r="X40" s="138"/>
      <c r="Y40" s="137"/>
      <c r="Z40" s="137"/>
      <c r="AA40" s="137"/>
      <c r="AB40" s="137"/>
      <c r="AC40" s="138"/>
      <c r="AD40" s="137"/>
      <c r="AE40" s="137"/>
      <c r="AF40" s="137"/>
      <c r="AG40" s="137"/>
      <c r="AH40" s="138"/>
      <c r="AI40" s="137"/>
      <c r="AJ40" s="137">
        <v>17.75</v>
      </c>
      <c r="AK40" s="137">
        <v>23.25</v>
      </c>
      <c r="AL40" s="137">
        <v>19.5</v>
      </c>
      <c r="AM40" s="137"/>
      <c r="AN40" s="138"/>
      <c r="AO40" s="137"/>
      <c r="AP40" s="137"/>
      <c r="AQ40" s="137"/>
      <c r="AR40" s="138"/>
      <c r="AS40" s="137"/>
      <c r="AT40" s="137"/>
      <c r="AU40" s="137">
        <v>21.0</v>
      </c>
      <c r="AV40" s="137">
        <v>27.0</v>
      </c>
      <c r="AW40" s="137">
        <v>17.25</v>
      </c>
      <c r="AX40" s="137"/>
      <c r="AY40" s="137"/>
      <c r="AZ40" s="139"/>
      <c r="BA40" s="139"/>
      <c r="BB40" s="139"/>
      <c r="BC40" s="139"/>
      <c r="BD40" s="139"/>
      <c r="BE40" s="127">
        <v>17.75</v>
      </c>
      <c r="BF40" s="127">
        <v>15.75</v>
      </c>
      <c r="BG40" s="127">
        <v>13.75</v>
      </c>
      <c r="BH40" s="127">
        <v>21.75</v>
      </c>
      <c r="BI40" s="127"/>
      <c r="BJ40" s="127"/>
      <c r="BK40" s="127"/>
      <c r="BL40" s="127"/>
      <c r="BM40" s="127"/>
      <c r="BN40" s="127"/>
      <c r="BO40" s="127"/>
      <c r="BP40" s="193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>
      <c r="A41" s="98"/>
      <c r="B41" s="159">
        <v>33.0</v>
      </c>
      <c r="C41" s="140" t="s">
        <v>119</v>
      </c>
      <c r="D41" s="141">
        <v>50.0</v>
      </c>
      <c r="E41" s="142">
        <v>194.75</v>
      </c>
      <c r="F41" s="143">
        <v>19.475</v>
      </c>
      <c r="G41" s="144">
        <v>2.645</v>
      </c>
      <c r="H41" s="143">
        <v>62.5</v>
      </c>
      <c r="I41" s="145">
        <v>129.75</v>
      </c>
      <c r="J41" s="146">
        <v>1.5</v>
      </c>
      <c r="K41" s="147">
        <v>1.0</v>
      </c>
      <c r="L41" s="148">
        <v>2.0</v>
      </c>
      <c r="M41" s="149">
        <v>25.0</v>
      </c>
      <c r="N41" s="149">
        <v>4.0</v>
      </c>
      <c r="O41" s="150">
        <v>9.0</v>
      </c>
      <c r="P41" s="151"/>
      <c r="Q41" s="152"/>
      <c r="R41" s="152"/>
      <c r="S41" s="153"/>
      <c r="T41" s="196">
        <v>21.25</v>
      </c>
      <c r="U41" s="197"/>
      <c r="V41" s="155"/>
      <c r="W41" s="155"/>
      <c r="X41" s="155">
        <v>14.75</v>
      </c>
      <c r="Y41" s="155"/>
      <c r="Z41" s="156"/>
      <c r="AA41" s="156"/>
      <c r="AB41" s="155">
        <v>12.0</v>
      </c>
      <c r="AC41" s="155"/>
      <c r="AD41" s="155"/>
      <c r="AE41" s="155">
        <v>21.0</v>
      </c>
      <c r="AF41" s="155"/>
      <c r="AG41" s="155"/>
      <c r="AH41" s="155"/>
      <c r="AI41" s="155"/>
      <c r="AJ41" s="155"/>
      <c r="AK41" s="156"/>
      <c r="AL41" s="156"/>
      <c r="AM41" s="155"/>
      <c r="AN41" s="155"/>
      <c r="AO41" s="155"/>
      <c r="AP41" s="155"/>
      <c r="AQ41" s="155"/>
      <c r="AR41" s="155"/>
      <c r="AS41" s="155"/>
      <c r="AT41" s="155"/>
      <c r="AU41" s="156"/>
      <c r="AV41" s="156"/>
      <c r="AW41" s="155"/>
      <c r="AX41" s="155">
        <v>23.5</v>
      </c>
      <c r="AY41" s="155">
        <v>18.0</v>
      </c>
      <c r="AZ41" s="157"/>
      <c r="BA41" s="157"/>
      <c r="BB41" s="157"/>
      <c r="BC41" s="157"/>
      <c r="BD41" s="157"/>
      <c r="BE41" s="145"/>
      <c r="BF41" s="145"/>
      <c r="BG41" s="145"/>
      <c r="BH41" s="145">
        <v>19.75</v>
      </c>
      <c r="BI41" s="145">
        <v>26.5</v>
      </c>
      <c r="BJ41" s="145"/>
      <c r="BK41" s="145"/>
      <c r="BL41" s="145">
        <v>20.25</v>
      </c>
      <c r="BM41" s="145"/>
      <c r="BN41" s="145"/>
      <c r="BO41" s="145"/>
      <c r="BP41" s="193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>
        <v>17.75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>
      <c r="A42" s="98"/>
      <c r="B42" s="159">
        <v>34.0</v>
      </c>
      <c r="C42" s="122" t="s">
        <v>135</v>
      </c>
      <c r="D42" s="123">
        <v>50.0</v>
      </c>
      <c r="E42" s="124">
        <v>194.25</v>
      </c>
      <c r="F42" s="125">
        <v>19.424999999999997</v>
      </c>
      <c r="G42" s="126">
        <v>2.635</v>
      </c>
      <c r="H42" s="125">
        <v>62.5</v>
      </c>
      <c r="I42" s="127">
        <v>130.75</v>
      </c>
      <c r="J42" s="128">
        <v>0.0</v>
      </c>
      <c r="K42" s="129">
        <v>1.0</v>
      </c>
      <c r="L42" s="130">
        <v>2.0</v>
      </c>
      <c r="M42" s="131">
        <v>25.0</v>
      </c>
      <c r="N42" s="131">
        <v>7.0</v>
      </c>
      <c r="O42" s="132">
        <v>6.0</v>
      </c>
      <c r="P42" s="133"/>
      <c r="Q42" s="134"/>
      <c r="R42" s="134"/>
      <c r="S42" s="135"/>
      <c r="T42" s="194"/>
      <c r="U42" s="195">
        <v>18.0</v>
      </c>
      <c r="V42" s="137"/>
      <c r="W42" s="137">
        <v>19.0</v>
      </c>
      <c r="X42" s="138"/>
      <c r="Y42" s="137"/>
      <c r="Z42" s="137"/>
      <c r="AA42" s="137"/>
      <c r="AB42" s="137"/>
      <c r="AC42" s="138"/>
      <c r="AD42" s="137"/>
      <c r="AE42" s="137"/>
      <c r="AF42" s="137"/>
      <c r="AG42" s="137"/>
      <c r="AH42" s="138"/>
      <c r="AI42" s="137"/>
      <c r="AJ42" s="137"/>
      <c r="AK42" s="137"/>
      <c r="AL42" s="137">
        <v>22.25</v>
      </c>
      <c r="AM42" s="137"/>
      <c r="AN42" s="138"/>
      <c r="AO42" s="137"/>
      <c r="AP42" s="137">
        <v>17.25</v>
      </c>
      <c r="AQ42" s="137"/>
      <c r="AR42" s="138"/>
      <c r="AS42" s="137"/>
      <c r="AT42" s="137">
        <v>14.75</v>
      </c>
      <c r="AU42" s="137"/>
      <c r="AV42" s="137"/>
      <c r="AW42" s="137">
        <v>19.5</v>
      </c>
      <c r="AX42" s="137"/>
      <c r="AY42" s="137"/>
      <c r="AZ42" s="139"/>
      <c r="BA42" s="139"/>
      <c r="BB42" s="139"/>
      <c r="BC42" s="139"/>
      <c r="BD42" s="139">
        <v>21.25</v>
      </c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>
        <v>23.25</v>
      </c>
      <c r="BP42" s="193">
        <v>21.5</v>
      </c>
      <c r="BQ42" s="120">
        <v>17.5</v>
      </c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>
      <c r="A43" s="98"/>
      <c r="B43" s="159">
        <v>35.0</v>
      </c>
      <c r="C43" s="140" t="s">
        <v>133</v>
      </c>
      <c r="D43" s="141">
        <v>50.0</v>
      </c>
      <c r="E43" s="142">
        <v>193.75</v>
      </c>
      <c r="F43" s="143">
        <v>19.375</v>
      </c>
      <c r="G43" s="144">
        <v>2.725</v>
      </c>
      <c r="H43" s="143">
        <v>57.5</v>
      </c>
      <c r="I43" s="145">
        <v>134.25</v>
      </c>
      <c r="J43" s="146">
        <v>0.5</v>
      </c>
      <c r="K43" s="147">
        <v>1.5</v>
      </c>
      <c r="L43" s="148">
        <v>3.0</v>
      </c>
      <c r="M43" s="149">
        <v>23.0</v>
      </c>
      <c r="N43" s="149">
        <v>6.0</v>
      </c>
      <c r="O43" s="150">
        <v>5.0</v>
      </c>
      <c r="P43" s="151"/>
      <c r="Q43" s="152"/>
      <c r="R43" s="152"/>
      <c r="S43" s="153"/>
      <c r="T43" s="196"/>
      <c r="U43" s="197"/>
      <c r="V43" s="155"/>
      <c r="W43" s="155">
        <v>16.5</v>
      </c>
      <c r="X43" s="155"/>
      <c r="Y43" s="155">
        <v>16.0</v>
      </c>
      <c r="Z43" s="156"/>
      <c r="AA43" s="156"/>
      <c r="AB43" s="155"/>
      <c r="AC43" s="155"/>
      <c r="AD43" s="155"/>
      <c r="AE43" s="155"/>
      <c r="AF43" s="155"/>
      <c r="AG43" s="155"/>
      <c r="AH43" s="155"/>
      <c r="AI43" s="155">
        <v>17.0</v>
      </c>
      <c r="AJ43" s="155"/>
      <c r="AK43" s="156">
        <v>24.25</v>
      </c>
      <c r="AL43" s="156"/>
      <c r="AM43" s="155"/>
      <c r="AN43" s="155"/>
      <c r="AO43" s="155"/>
      <c r="AP43" s="155"/>
      <c r="AQ43" s="155"/>
      <c r="AR43" s="155"/>
      <c r="AS43" s="155"/>
      <c r="AT43" s="155"/>
      <c r="AU43" s="156"/>
      <c r="AV43" s="156"/>
      <c r="AW43" s="155"/>
      <c r="AX43" s="155"/>
      <c r="AY43" s="155"/>
      <c r="AZ43" s="157">
        <v>13.0</v>
      </c>
      <c r="BA43" s="157">
        <v>24.75</v>
      </c>
      <c r="BB43" s="157"/>
      <c r="BC43" s="157"/>
      <c r="BD43" s="157"/>
      <c r="BE43" s="145">
        <v>25.0</v>
      </c>
      <c r="BF43" s="145"/>
      <c r="BG43" s="145"/>
      <c r="BH43" s="145">
        <v>21.5</v>
      </c>
      <c r="BI43" s="145"/>
      <c r="BJ43" s="145"/>
      <c r="BK43" s="145"/>
      <c r="BL43" s="145"/>
      <c r="BM43" s="145"/>
      <c r="BN43" s="145"/>
      <c r="BO43" s="145"/>
      <c r="BP43" s="193"/>
      <c r="BQ43" s="120"/>
      <c r="BR43" s="120"/>
      <c r="BS43" s="120"/>
      <c r="BT43" s="120"/>
      <c r="BU43" s="120"/>
      <c r="BV43" s="120"/>
      <c r="BW43" s="120">
        <v>20.25</v>
      </c>
      <c r="BX43" s="120"/>
      <c r="BY43" s="120">
        <v>15.5</v>
      </c>
      <c r="BZ43" s="120"/>
      <c r="CA43" s="120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>
      <c r="A44" s="98"/>
      <c r="B44" s="159">
        <v>36.0</v>
      </c>
      <c r="C44" s="122" t="s">
        <v>103</v>
      </c>
      <c r="D44" s="123">
        <v>50.0</v>
      </c>
      <c r="E44" s="124">
        <v>193.25</v>
      </c>
      <c r="F44" s="125">
        <v>19.325000000000003</v>
      </c>
      <c r="G44" s="126">
        <v>2.515</v>
      </c>
      <c r="H44" s="125">
        <v>67.5</v>
      </c>
      <c r="I44" s="127">
        <v>125.75</v>
      </c>
      <c r="J44" s="128">
        <v>0.0</v>
      </c>
      <c r="K44" s="129">
        <v>0.0</v>
      </c>
      <c r="L44" s="130">
        <v>0.0</v>
      </c>
      <c r="M44" s="131">
        <v>27.0</v>
      </c>
      <c r="N44" s="131">
        <v>5.0</v>
      </c>
      <c r="O44" s="132">
        <v>5.0</v>
      </c>
      <c r="P44" s="133"/>
      <c r="Q44" s="134"/>
      <c r="R44" s="134"/>
      <c r="S44" s="135"/>
      <c r="T44" s="194"/>
      <c r="U44" s="195"/>
      <c r="V44" s="137"/>
      <c r="W44" s="137"/>
      <c r="X44" s="138">
        <v>14.0</v>
      </c>
      <c r="Y44" s="137"/>
      <c r="Z44" s="137">
        <v>19.5</v>
      </c>
      <c r="AA44" s="137"/>
      <c r="AB44" s="137"/>
      <c r="AC44" s="138">
        <v>22.5</v>
      </c>
      <c r="AD44" s="137"/>
      <c r="AE44" s="137"/>
      <c r="AF44" s="137"/>
      <c r="AG44" s="137"/>
      <c r="AH44" s="138"/>
      <c r="AI44" s="137"/>
      <c r="AJ44" s="137"/>
      <c r="AK44" s="137"/>
      <c r="AL44" s="137"/>
      <c r="AM44" s="137"/>
      <c r="AN44" s="138"/>
      <c r="AO44" s="137"/>
      <c r="AP44" s="137">
        <v>13.5</v>
      </c>
      <c r="AQ44" s="137"/>
      <c r="AR44" s="138"/>
      <c r="AS44" s="137"/>
      <c r="AT44" s="137"/>
      <c r="AU44" s="137">
        <v>18.75</v>
      </c>
      <c r="AV44" s="137"/>
      <c r="AW44" s="137"/>
      <c r="AX44" s="137"/>
      <c r="AY44" s="137"/>
      <c r="AZ44" s="139"/>
      <c r="BA44" s="139"/>
      <c r="BB44" s="139">
        <v>20.5</v>
      </c>
      <c r="BC44" s="139"/>
      <c r="BD44" s="139"/>
      <c r="BE44" s="127"/>
      <c r="BF44" s="127">
        <v>19.0</v>
      </c>
      <c r="BG44" s="127"/>
      <c r="BH44" s="127"/>
      <c r="BI44" s="127"/>
      <c r="BJ44" s="127"/>
      <c r="BK44" s="127"/>
      <c r="BL44" s="127"/>
      <c r="BM44" s="127">
        <v>24.25</v>
      </c>
      <c r="BN44" s="127"/>
      <c r="BO44" s="127"/>
      <c r="BP44" s="193"/>
      <c r="BQ44" s="120"/>
      <c r="BR44" s="120">
        <v>21.75</v>
      </c>
      <c r="BS44" s="120"/>
      <c r="BT44" s="120"/>
      <c r="BU44" s="120"/>
      <c r="BV44" s="120">
        <v>19.5</v>
      </c>
      <c r="BW44" s="120"/>
      <c r="BX44" s="120"/>
      <c r="BY44" s="120"/>
      <c r="BZ44" s="120"/>
      <c r="CA44" s="120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>
      <c r="A45" s="98"/>
      <c r="B45" s="159">
        <v>37.0</v>
      </c>
      <c r="C45" s="140" t="s">
        <v>98</v>
      </c>
      <c r="D45" s="141">
        <v>50.0</v>
      </c>
      <c r="E45" s="142">
        <v>192.75</v>
      </c>
      <c r="F45" s="143">
        <v>19.275</v>
      </c>
      <c r="G45" s="144">
        <v>2.805</v>
      </c>
      <c r="H45" s="143">
        <v>52.5</v>
      </c>
      <c r="I45" s="145">
        <v>137.75</v>
      </c>
      <c r="J45" s="146">
        <v>1.0</v>
      </c>
      <c r="K45" s="147">
        <v>1.5</v>
      </c>
      <c r="L45" s="148">
        <v>3.0</v>
      </c>
      <c r="M45" s="149">
        <v>21.0</v>
      </c>
      <c r="N45" s="149">
        <v>9.0</v>
      </c>
      <c r="O45" s="150">
        <v>7.0</v>
      </c>
      <c r="P45" s="151"/>
      <c r="Q45" s="152"/>
      <c r="R45" s="152"/>
      <c r="S45" s="153"/>
      <c r="T45" s="196"/>
      <c r="U45" s="197">
        <v>21.5</v>
      </c>
      <c r="V45" s="155"/>
      <c r="W45" s="155"/>
      <c r="X45" s="155"/>
      <c r="Y45" s="155"/>
      <c r="Z45" s="156"/>
      <c r="AA45" s="156">
        <v>13.75</v>
      </c>
      <c r="AB45" s="155"/>
      <c r="AC45" s="155"/>
      <c r="AD45" s="155"/>
      <c r="AE45" s="155"/>
      <c r="AF45" s="155">
        <v>22.25</v>
      </c>
      <c r="AG45" s="155"/>
      <c r="AH45" s="155"/>
      <c r="AI45" s="155"/>
      <c r="AJ45" s="155">
        <v>23.5</v>
      </c>
      <c r="AK45" s="156"/>
      <c r="AL45" s="156"/>
      <c r="AM45" s="155"/>
      <c r="AN45" s="155"/>
      <c r="AO45" s="155"/>
      <c r="AP45" s="155">
        <v>15.0</v>
      </c>
      <c r="AQ45" s="155"/>
      <c r="AR45" s="155"/>
      <c r="AS45" s="155"/>
      <c r="AT45" s="155"/>
      <c r="AU45" s="156"/>
      <c r="AV45" s="156"/>
      <c r="AW45" s="155"/>
      <c r="AX45" s="155"/>
      <c r="AY45" s="155"/>
      <c r="AZ45" s="157"/>
      <c r="BA45" s="157"/>
      <c r="BB45" s="157"/>
      <c r="BC45" s="157"/>
      <c r="BD45" s="157"/>
      <c r="BE45" s="145">
        <v>22.25</v>
      </c>
      <c r="BF45" s="145"/>
      <c r="BG45" s="145"/>
      <c r="BH45" s="145"/>
      <c r="BI45" s="145"/>
      <c r="BJ45" s="145">
        <v>21.75</v>
      </c>
      <c r="BK45" s="145"/>
      <c r="BL45" s="145"/>
      <c r="BM45" s="145"/>
      <c r="BN45" s="145"/>
      <c r="BO45" s="145">
        <v>21.75</v>
      </c>
      <c r="BP45" s="193"/>
      <c r="BQ45" s="120"/>
      <c r="BR45" s="120">
        <v>10.25</v>
      </c>
      <c r="BS45" s="120"/>
      <c r="BT45" s="120"/>
      <c r="BU45" s="120">
        <v>20.75</v>
      </c>
      <c r="BV45" s="120"/>
      <c r="BW45" s="120"/>
      <c r="BX45" s="120"/>
      <c r="BY45" s="120"/>
      <c r="BZ45" s="120"/>
      <c r="CA45" s="120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>
      <c r="A46" s="98"/>
      <c r="B46" s="159">
        <v>38.0</v>
      </c>
      <c r="C46" s="122" t="s">
        <v>128</v>
      </c>
      <c r="D46" s="123">
        <v>50.0</v>
      </c>
      <c r="E46" s="124">
        <v>191.75</v>
      </c>
      <c r="F46" s="125">
        <v>19.175</v>
      </c>
      <c r="G46" s="126">
        <v>2.585</v>
      </c>
      <c r="H46" s="125">
        <v>62.5</v>
      </c>
      <c r="I46" s="127">
        <v>127.75</v>
      </c>
      <c r="J46" s="128">
        <v>0.5</v>
      </c>
      <c r="K46" s="129">
        <v>1.0</v>
      </c>
      <c r="L46" s="130">
        <v>2.0</v>
      </c>
      <c r="M46" s="131">
        <v>25.0</v>
      </c>
      <c r="N46" s="131">
        <v>2.0</v>
      </c>
      <c r="O46" s="132">
        <v>4.0</v>
      </c>
      <c r="P46" s="133"/>
      <c r="Q46" s="134"/>
      <c r="R46" s="134"/>
      <c r="S46" s="135"/>
      <c r="T46" s="194"/>
      <c r="U46" s="195"/>
      <c r="V46" s="137"/>
      <c r="W46" s="137"/>
      <c r="X46" s="138"/>
      <c r="Y46" s="137"/>
      <c r="Z46" s="137">
        <v>20.75</v>
      </c>
      <c r="AA46" s="137"/>
      <c r="AB46" s="137"/>
      <c r="AC46" s="138"/>
      <c r="AD46" s="137">
        <v>17.5</v>
      </c>
      <c r="AE46" s="137"/>
      <c r="AF46" s="137"/>
      <c r="AG46" s="137">
        <v>19.5</v>
      </c>
      <c r="AH46" s="138"/>
      <c r="AI46" s="137"/>
      <c r="AJ46" s="137"/>
      <c r="AK46" s="137"/>
      <c r="AL46" s="137">
        <v>16.5</v>
      </c>
      <c r="AM46" s="137"/>
      <c r="AN46" s="138"/>
      <c r="AO46" s="137"/>
      <c r="AP46" s="137"/>
      <c r="AQ46" s="137">
        <v>20.75</v>
      </c>
      <c r="AR46" s="138"/>
      <c r="AS46" s="137"/>
      <c r="AT46" s="137"/>
      <c r="AU46" s="137"/>
      <c r="AV46" s="137"/>
      <c r="AW46" s="137"/>
      <c r="AX46" s="137">
        <v>20.0</v>
      </c>
      <c r="AY46" s="137"/>
      <c r="AZ46" s="139"/>
      <c r="BA46" s="139"/>
      <c r="BB46" s="139"/>
      <c r="BC46" s="139"/>
      <c r="BD46" s="139"/>
      <c r="BE46" s="127"/>
      <c r="BF46" s="127"/>
      <c r="BG46" s="127"/>
      <c r="BH46" s="127"/>
      <c r="BI46" s="127">
        <v>16.0</v>
      </c>
      <c r="BJ46" s="127"/>
      <c r="BK46" s="127"/>
      <c r="BL46" s="127"/>
      <c r="BM46" s="127"/>
      <c r="BN46" s="127"/>
      <c r="BO46" s="127"/>
      <c r="BP46" s="193">
        <v>16.0</v>
      </c>
      <c r="BQ46" s="120"/>
      <c r="BR46" s="120"/>
      <c r="BS46" s="120"/>
      <c r="BT46" s="120">
        <v>27.25</v>
      </c>
      <c r="BU46" s="120"/>
      <c r="BV46" s="120">
        <v>17.5</v>
      </c>
      <c r="BW46" s="120"/>
      <c r="BX46" s="120"/>
      <c r="BY46" s="120"/>
      <c r="BZ46" s="120"/>
      <c r="CA46" s="120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>
      <c r="A47" s="98"/>
      <c r="B47" s="159">
        <v>39.0</v>
      </c>
      <c r="C47" s="140" t="s">
        <v>79</v>
      </c>
      <c r="D47" s="141">
        <v>50.0</v>
      </c>
      <c r="E47" s="142">
        <v>191.5</v>
      </c>
      <c r="F47" s="143">
        <v>19.15</v>
      </c>
      <c r="G47" s="144">
        <v>2.63</v>
      </c>
      <c r="H47" s="143">
        <v>60.0</v>
      </c>
      <c r="I47" s="145">
        <v>128.5</v>
      </c>
      <c r="J47" s="146">
        <v>1.0</v>
      </c>
      <c r="K47" s="147">
        <v>2.0</v>
      </c>
      <c r="L47" s="148">
        <v>4.0</v>
      </c>
      <c r="M47" s="149">
        <v>24.0</v>
      </c>
      <c r="N47" s="149">
        <v>5.0</v>
      </c>
      <c r="O47" s="150">
        <v>4.0</v>
      </c>
      <c r="P47" s="151"/>
      <c r="Q47" s="152"/>
      <c r="R47" s="152"/>
      <c r="S47" s="153"/>
      <c r="T47" s="196"/>
      <c r="U47" s="197"/>
      <c r="V47" s="155"/>
      <c r="W47" s="155">
        <v>22.75</v>
      </c>
      <c r="X47" s="155"/>
      <c r="Y47" s="155"/>
      <c r="Z47" s="156"/>
      <c r="AA47" s="156"/>
      <c r="AB47" s="155">
        <v>27.0</v>
      </c>
      <c r="AC47" s="155"/>
      <c r="AD47" s="155"/>
      <c r="AE47" s="155"/>
      <c r="AF47" s="155"/>
      <c r="AG47" s="155"/>
      <c r="AH47" s="155"/>
      <c r="AI47" s="155">
        <v>20.75</v>
      </c>
      <c r="AJ47" s="155"/>
      <c r="AK47" s="156"/>
      <c r="AL47" s="156"/>
      <c r="AM47" s="155"/>
      <c r="AN47" s="155"/>
      <c r="AO47" s="155"/>
      <c r="AP47" s="155"/>
      <c r="AQ47" s="155"/>
      <c r="AR47" s="155"/>
      <c r="AS47" s="155">
        <v>15.75</v>
      </c>
      <c r="AT47" s="155"/>
      <c r="AU47" s="156"/>
      <c r="AV47" s="156"/>
      <c r="AW47" s="155"/>
      <c r="AX47" s="155">
        <v>18.25</v>
      </c>
      <c r="AY47" s="155"/>
      <c r="AZ47" s="157"/>
      <c r="BA47" s="157"/>
      <c r="BB47" s="157"/>
      <c r="BC47" s="157">
        <v>16.75</v>
      </c>
      <c r="BD47" s="157"/>
      <c r="BE47" s="145"/>
      <c r="BF47" s="145"/>
      <c r="BG47" s="145">
        <v>20.5</v>
      </c>
      <c r="BH47" s="145"/>
      <c r="BI47" s="145"/>
      <c r="BJ47" s="145"/>
      <c r="BK47" s="145">
        <v>17.5</v>
      </c>
      <c r="BL47" s="145"/>
      <c r="BM47" s="145"/>
      <c r="BN47" s="145"/>
      <c r="BO47" s="145"/>
      <c r="BP47" s="193"/>
      <c r="BQ47" s="120"/>
      <c r="BR47" s="120">
        <v>16.5</v>
      </c>
      <c r="BS47" s="120"/>
      <c r="BT47" s="120">
        <v>15.75</v>
      </c>
      <c r="BU47" s="120"/>
      <c r="BV47" s="120"/>
      <c r="BW47" s="120"/>
      <c r="BX47" s="120"/>
      <c r="BY47" s="120"/>
      <c r="BZ47" s="120"/>
      <c r="CA47" s="120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>
      <c r="A48" s="98"/>
      <c r="B48" s="159">
        <v>40.0</v>
      </c>
      <c r="C48" s="122" t="s">
        <v>124</v>
      </c>
      <c r="D48" s="123">
        <v>50.0</v>
      </c>
      <c r="E48" s="124">
        <v>190.75</v>
      </c>
      <c r="F48" s="125">
        <v>19.075</v>
      </c>
      <c r="G48" s="126">
        <v>2.515</v>
      </c>
      <c r="H48" s="125">
        <v>65.0</v>
      </c>
      <c r="I48" s="127">
        <v>124.75</v>
      </c>
      <c r="J48" s="128">
        <v>0.5</v>
      </c>
      <c r="K48" s="129">
        <v>0.5</v>
      </c>
      <c r="L48" s="130">
        <v>1.0</v>
      </c>
      <c r="M48" s="131">
        <v>26.0</v>
      </c>
      <c r="N48" s="131">
        <v>8.0</v>
      </c>
      <c r="O48" s="132">
        <v>5.0</v>
      </c>
      <c r="P48" s="133"/>
      <c r="Q48" s="134"/>
      <c r="R48" s="134"/>
      <c r="S48" s="135"/>
      <c r="T48" s="194">
        <v>28.75</v>
      </c>
      <c r="U48" s="195"/>
      <c r="V48" s="137"/>
      <c r="W48" s="137"/>
      <c r="X48" s="138"/>
      <c r="Y48" s="137">
        <v>17.5</v>
      </c>
      <c r="Z48" s="137"/>
      <c r="AA48" s="137"/>
      <c r="AB48" s="137"/>
      <c r="AC48" s="138"/>
      <c r="AD48" s="137"/>
      <c r="AE48" s="137"/>
      <c r="AF48" s="137"/>
      <c r="AG48" s="137">
        <v>25.25</v>
      </c>
      <c r="AH48" s="138"/>
      <c r="AI48" s="137"/>
      <c r="AJ48" s="137"/>
      <c r="AK48" s="137"/>
      <c r="AL48" s="137"/>
      <c r="AM48" s="137"/>
      <c r="AN48" s="138"/>
      <c r="AO48" s="137"/>
      <c r="AP48" s="137">
        <v>20.25</v>
      </c>
      <c r="AQ48" s="137"/>
      <c r="AR48" s="138"/>
      <c r="AS48" s="137">
        <v>13.75</v>
      </c>
      <c r="AT48" s="137">
        <v>16.25</v>
      </c>
      <c r="AU48" s="137"/>
      <c r="AV48" s="137">
        <v>15.25</v>
      </c>
      <c r="AW48" s="137"/>
      <c r="AX48" s="137"/>
      <c r="AY48" s="137"/>
      <c r="AZ48" s="139"/>
      <c r="BA48" s="139"/>
      <c r="BB48" s="139"/>
      <c r="BC48" s="139"/>
      <c r="BD48" s="139"/>
      <c r="BE48" s="127"/>
      <c r="BF48" s="127"/>
      <c r="BG48" s="127"/>
      <c r="BH48" s="127"/>
      <c r="BI48" s="127"/>
      <c r="BJ48" s="127"/>
      <c r="BK48" s="127">
        <v>21.25</v>
      </c>
      <c r="BL48" s="127"/>
      <c r="BM48" s="127"/>
      <c r="BN48" s="127"/>
      <c r="BO48" s="127"/>
      <c r="BP48" s="193"/>
      <c r="BQ48" s="120"/>
      <c r="BR48" s="120"/>
      <c r="BS48" s="120">
        <v>16.75</v>
      </c>
      <c r="BT48" s="120"/>
      <c r="BU48" s="120"/>
      <c r="BV48" s="120"/>
      <c r="BW48" s="120">
        <v>15.75</v>
      </c>
      <c r="BX48" s="120"/>
      <c r="BY48" s="120"/>
      <c r="BZ48" s="120"/>
      <c r="CA48" s="120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>
      <c r="A49" s="98"/>
      <c r="B49" s="159">
        <v>41.0</v>
      </c>
      <c r="C49" s="140" t="s">
        <v>91</v>
      </c>
      <c r="D49" s="141">
        <v>50.0</v>
      </c>
      <c r="E49" s="142">
        <v>190.5</v>
      </c>
      <c r="F49" s="143">
        <v>19.05</v>
      </c>
      <c r="G49" s="144">
        <v>2.61</v>
      </c>
      <c r="H49" s="143">
        <v>60.0</v>
      </c>
      <c r="I49" s="145">
        <v>129.0</v>
      </c>
      <c r="J49" s="146">
        <v>0.0</v>
      </c>
      <c r="K49" s="147">
        <v>1.5</v>
      </c>
      <c r="L49" s="148">
        <v>3.0</v>
      </c>
      <c r="M49" s="149">
        <v>24.0</v>
      </c>
      <c r="N49" s="149">
        <v>2.0</v>
      </c>
      <c r="O49" s="150">
        <v>4.0</v>
      </c>
      <c r="P49" s="151"/>
      <c r="Q49" s="152"/>
      <c r="R49" s="152"/>
      <c r="S49" s="153"/>
      <c r="T49" s="196"/>
      <c r="U49" s="197"/>
      <c r="V49" s="155">
        <v>23.25</v>
      </c>
      <c r="W49" s="155"/>
      <c r="X49" s="155">
        <v>20.5</v>
      </c>
      <c r="Y49" s="155"/>
      <c r="Z49" s="156">
        <v>22.0</v>
      </c>
      <c r="AA49" s="156"/>
      <c r="AB49" s="155"/>
      <c r="AC49" s="155"/>
      <c r="AD49" s="155"/>
      <c r="AE49" s="155"/>
      <c r="AF49" s="155"/>
      <c r="AG49" s="155"/>
      <c r="AH49" s="155"/>
      <c r="AI49" s="155"/>
      <c r="AJ49" s="155"/>
      <c r="AK49" s="156">
        <v>18.25</v>
      </c>
      <c r="AL49" s="156"/>
      <c r="AM49" s="155"/>
      <c r="AN49" s="155"/>
      <c r="AO49" s="155"/>
      <c r="AP49" s="155"/>
      <c r="AQ49" s="155"/>
      <c r="AR49" s="155">
        <v>14.25</v>
      </c>
      <c r="AS49" s="155"/>
      <c r="AT49" s="155"/>
      <c r="AU49" s="156"/>
      <c r="AV49" s="156"/>
      <c r="AW49" s="155"/>
      <c r="AX49" s="155"/>
      <c r="AY49" s="155"/>
      <c r="AZ49" s="157"/>
      <c r="BA49" s="157"/>
      <c r="BB49" s="157"/>
      <c r="BC49" s="157"/>
      <c r="BD49" s="157"/>
      <c r="BE49" s="145"/>
      <c r="BF49" s="145"/>
      <c r="BG49" s="145"/>
      <c r="BH49" s="145"/>
      <c r="BI49" s="145"/>
      <c r="BJ49" s="145"/>
      <c r="BK49" s="145">
        <v>22.25</v>
      </c>
      <c r="BL49" s="145"/>
      <c r="BM49" s="145">
        <v>15.0</v>
      </c>
      <c r="BN49" s="145">
        <v>21.0</v>
      </c>
      <c r="BO49" s="145"/>
      <c r="BP49" s="193">
        <v>18.0</v>
      </c>
      <c r="BQ49" s="120"/>
      <c r="BR49" s="120"/>
      <c r="BS49" s="120"/>
      <c r="BT49" s="120"/>
      <c r="BU49" s="120">
        <v>16.0</v>
      </c>
      <c r="BV49" s="120"/>
      <c r="BW49" s="120"/>
      <c r="BX49" s="120"/>
      <c r="BY49" s="120"/>
      <c r="BZ49" s="120"/>
      <c r="CA49" s="120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>
      <c r="A50" s="98"/>
      <c r="B50" s="159">
        <v>42.0</v>
      </c>
      <c r="C50" s="122" t="s">
        <v>109</v>
      </c>
      <c r="D50" s="123">
        <v>50.0</v>
      </c>
      <c r="E50" s="124">
        <v>189.75</v>
      </c>
      <c r="F50" s="125">
        <v>18.975</v>
      </c>
      <c r="G50" s="126">
        <v>2.745</v>
      </c>
      <c r="H50" s="125">
        <v>52.5</v>
      </c>
      <c r="I50" s="127">
        <v>135.75</v>
      </c>
      <c r="J50" s="128">
        <v>0.0</v>
      </c>
      <c r="K50" s="129">
        <v>1.5</v>
      </c>
      <c r="L50" s="130">
        <v>3.0</v>
      </c>
      <c r="M50" s="131">
        <v>21.0</v>
      </c>
      <c r="N50" s="131">
        <v>0.0</v>
      </c>
      <c r="O50" s="132">
        <v>5.0</v>
      </c>
      <c r="P50" s="133"/>
      <c r="Q50" s="134"/>
      <c r="R50" s="134"/>
      <c r="S50" s="135"/>
      <c r="T50" s="194"/>
      <c r="U50" s="195"/>
      <c r="V50" s="137"/>
      <c r="W50" s="137"/>
      <c r="X50" s="138"/>
      <c r="Y50" s="137"/>
      <c r="Z50" s="137"/>
      <c r="AA50" s="137"/>
      <c r="AB50" s="137"/>
      <c r="AC50" s="138"/>
      <c r="AD50" s="137"/>
      <c r="AE50" s="137"/>
      <c r="AF50" s="137"/>
      <c r="AG50" s="137"/>
      <c r="AH50" s="138"/>
      <c r="AI50" s="137"/>
      <c r="AJ50" s="137"/>
      <c r="AK50" s="137"/>
      <c r="AL50" s="137"/>
      <c r="AM50" s="137"/>
      <c r="AN50" s="138">
        <v>21.25</v>
      </c>
      <c r="AO50" s="137">
        <v>21.25</v>
      </c>
      <c r="AP50" s="137"/>
      <c r="AQ50" s="137"/>
      <c r="AR50" s="138"/>
      <c r="AS50" s="137"/>
      <c r="AT50" s="137"/>
      <c r="AU50" s="137"/>
      <c r="AV50" s="137">
        <v>14.0</v>
      </c>
      <c r="AW50" s="137">
        <v>18.75</v>
      </c>
      <c r="AX50" s="137">
        <v>12.0</v>
      </c>
      <c r="AY50" s="137">
        <v>13.75</v>
      </c>
      <c r="AZ50" s="139"/>
      <c r="BA50" s="139"/>
      <c r="BB50" s="139"/>
      <c r="BC50" s="139"/>
      <c r="BD50" s="139"/>
      <c r="BE50" s="127">
        <v>18.0</v>
      </c>
      <c r="BF50" s="127">
        <v>26.5</v>
      </c>
      <c r="BG50" s="127">
        <v>15.25</v>
      </c>
      <c r="BH50" s="127">
        <v>29.0</v>
      </c>
      <c r="BI50" s="127"/>
      <c r="BJ50" s="127"/>
      <c r="BK50" s="127"/>
      <c r="BL50" s="127"/>
      <c r="BM50" s="127"/>
      <c r="BN50" s="127"/>
      <c r="BO50" s="127"/>
      <c r="BP50" s="193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>
      <c r="A51" s="98"/>
      <c r="B51" s="159">
        <v>43.0</v>
      </c>
      <c r="C51" s="140" t="s">
        <v>86</v>
      </c>
      <c r="D51" s="141">
        <v>50.0</v>
      </c>
      <c r="E51" s="142">
        <v>189.25</v>
      </c>
      <c r="F51" s="143">
        <v>18.925</v>
      </c>
      <c r="G51" s="144">
        <v>2.535</v>
      </c>
      <c r="H51" s="143">
        <v>62.5</v>
      </c>
      <c r="I51" s="145">
        <v>125.25</v>
      </c>
      <c r="J51" s="146">
        <v>0.0</v>
      </c>
      <c r="K51" s="147">
        <v>1.5</v>
      </c>
      <c r="L51" s="148">
        <v>3.0</v>
      </c>
      <c r="M51" s="149">
        <v>25.0</v>
      </c>
      <c r="N51" s="149">
        <v>8.0</v>
      </c>
      <c r="O51" s="150">
        <v>6.0</v>
      </c>
      <c r="P51" s="151"/>
      <c r="Q51" s="152"/>
      <c r="R51" s="152"/>
      <c r="S51" s="153"/>
      <c r="T51" s="196"/>
      <c r="U51" s="197"/>
      <c r="V51" s="155"/>
      <c r="W51" s="155"/>
      <c r="X51" s="155">
        <v>21.75</v>
      </c>
      <c r="Y51" s="155">
        <v>19.5</v>
      </c>
      <c r="Z51" s="156"/>
      <c r="AA51" s="156"/>
      <c r="AB51" s="155"/>
      <c r="AC51" s="155"/>
      <c r="AD51" s="155"/>
      <c r="AE51" s="155">
        <v>12.0</v>
      </c>
      <c r="AF51" s="155"/>
      <c r="AG51" s="155"/>
      <c r="AH51" s="155"/>
      <c r="AI51" s="155"/>
      <c r="AJ51" s="155"/>
      <c r="AK51" s="156">
        <v>21.75</v>
      </c>
      <c r="AL51" s="156"/>
      <c r="AM51" s="155"/>
      <c r="AN51" s="155">
        <v>24.25</v>
      </c>
      <c r="AO51" s="155"/>
      <c r="AP51" s="155"/>
      <c r="AQ51" s="155"/>
      <c r="AR51" s="155"/>
      <c r="AS51" s="155"/>
      <c r="AT51" s="155"/>
      <c r="AU51" s="156"/>
      <c r="AV51" s="156"/>
      <c r="AW51" s="155"/>
      <c r="AX51" s="155"/>
      <c r="AY51" s="155"/>
      <c r="AZ51" s="157"/>
      <c r="BA51" s="157"/>
      <c r="BB51" s="157">
        <v>13.75</v>
      </c>
      <c r="BC51" s="157"/>
      <c r="BD51" s="157"/>
      <c r="BE51" s="145"/>
      <c r="BF51" s="145"/>
      <c r="BG51" s="145"/>
      <c r="BH51" s="145"/>
      <c r="BI51" s="145">
        <v>19.75</v>
      </c>
      <c r="BJ51" s="145"/>
      <c r="BK51" s="145"/>
      <c r="BL51" s="145"/>
      <c r="BM51" s="145"/>
      <c r="BN51" s="145"/>
      <c r="BO51" s="145">
        <v>19.75</v>
      </c>
      <c r="BP51" s="193"/>
      <c r="BQ51" s="120"/>
      <c r="BR51" s="120"/>
      <c r="BS51" s="120"/>
      <c r="BT51" s="120"/>
      <c r="BU51" s="120"/>
      <c r="BV51" s="120"/>
      <c r="BW51" s="120"/>
      <c r="BX51" s="120">
        <v>18.0</v>
      </c>
      <c r="BY51" s="120"/>
      <c r="BZ51" s="120"/>
      <c r="CA51" s="120">
        <v>18.75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>
      <c r="A52" s="98"/>
      <c r="B52" s="159">
        <v>44.0</v>
      </c>
      <c r="C52" s="122" t="s">
        <v>130</v>
      </c>
      <c r="D52" s="123">
        <v>50.0</v>
      </c>
      <c r="E52" s="124">
        <v>188.25</v>
      </c>
      <c r="F52" s="125">
        <v>18.825</v>
      </c>
      <c r="G52" s="126">
        <v>2.715</v>
      </c>
      <c r="H52" s="125">
        <v>52.5</v>
      </c>
      <c r="I52" s="127">
        <v>132.25</v>
      </c>
      <c r="J52" s="128">
        <v>0.5</v>
      </c>
      <c r="K52" s="129">
        <v>3.0</v>
      </c>
      <c r="L52" s="130">
        <v>5.0</v>
      </c>
      <c r="M52" s="131">
        <v>21.0</v>
      </c>
      <c r="N52" s="131">
        <v>4.0</v>
      </c>
      <c r="O52" s="132">
        <v>6.0</v>
      </c>
      <c r="P52" s="133"/>
      <c r="Q52" s="134"/>
      <c r="R52" s="134"/>
      <c r="S52" s="135"/>
      <c r="T52" s="194"/>
      <c r="U52" s="195"/>
      <c r="V52" s="137"/>
      <c r="W52" s="137"/>
      <c r="X52" s="138"/>
      <c r="Y52" s="137"/>
      <c r="Z52" s="137"/>
      <c r="AA52" s="137"/>
      <c r="AB52" s="137"/>
      <c r="AC52" s="138"/>
      <c r="AD52" s="137"/>
      <c r="AE52" s="137"/>
      <c r="AF52" s="137"/>
      <c r="AG52" s="137"/>
      <c r="AH52" s="138"/>
      <c r="AI52" s="137"/>
      <c r="AJ52" s="137"/>
      <c r="AK52" s="137"/>
      <c r="AL52" s="137"/>
      <c r="AM52" s="137">
        <v>22.0</v>
      </c>
      <c r="AN52" s="138">
        <v>24.5</v>
      </c>
      <c r="AO52" s="137">
        <v>19.5</v>
      </c>
      <c r="AP52" s="137">
        <v>11.75</v>
      </c>
      <c r="AQ52" s="137">
        <v>21.75</v>
      </c>
      <c r="AR52" s="138"/>
      <c r="AS52" s="137"/>
      <c r="AT52" s="137"/>
      <c r="AU52" s="137"/>
      <c r="AV52" s="137"/>
      <c r="AW52" s="137"/>
      <c r="AX52" s="137"/>
      <c r="AY52" s="137">
        <v>20.0</v>
      </c>
      <c r="AZ52" s="139"/>
      <c r="BA52" s="139"/>
      <c r="BB52" s="139"/>
      <c r="BC52" s="139"/>
      <c r="BD52" s="139"/>
      <c r="BE52" s="127"/>
      <c r="BF52" s="127"/>
      <c r="BG52" s="127"/>
      <c r="BH52" s="127"/>
      <c r="BI52" s="127"/>
      <c r="BJ52" s="127"/>
      <c r="BK52" s="127"/>
      <c r="BL52" s="127"/>
      <c r="BM52" s="127">
        <v>15.75</v>
      </c>
      <c r="BN52" s="127">
        <v>10.75</v>
      </c>
      <c r="BO52" s="127"/>
      <c r="BP52" s="193"/>
      <c r="BQ52" s="120"/>
      <c r="BR52" s="120"/>
      <c r="BS52" s="120"/>
      <c r="BT52" s="120"/>
      <c r="BU52" s="120"/>
      <c r="BV52" s="120"/>
      <c r="BW52" s="120"/>
      <c r="BX52" s="120">
        <v>22.5</v>
      </c>
      <c r="BY52" s="120"/>
      <c r="BZ52" s="120"/>
      <c r="CA52" s="120">
        <v>19.75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>
      <c r="A53" s="98"/>
      <c r="B53" s="159">
        <v>45.0</v>
      </c>
      <c r="C53" s="140" t="s">
        <v>118</v>
      </c>
      <c r="D53" s="141">
        <v>50.0</v>
      </c>
      <c r="E53" s="142">
        <v>188.25</v>
      </c>
      <c r="F53" s="143">
        <v>18.825</v>
      </c>
      <c r="G53" s="144">
        <v>2.665</v>
      </c>
      <c r="H53" s="143">
        <v>55.0</v>
      </c>
      <c r="I53" s="145">
        <v>132.25</v>
      </c>
      <c r="J53" s="146">
        <v>0.0</v>
      </c>
      <c r="K53" s="147">
        <v>1.0</v>
      </c>
      <c r="L53" s="148">
        <v>2.0</v>
      </c>
      <c r="M53" s="149">
        <v>22.0</v>
      </c>
      <c r="N53" s="149">
        <v>5.0</v>
      </c>
      <c r="O53" s="150">
        <v>4.0</v>
      </c>
      <c r="P53" s="151"/>
      <c r="Q53" s="152"/>
      <c r="R53" s="152"/>
      <c r="S53" s="153"/>
      <c r="T53" s="196">
        <v>15.75</v>
      </c>
      <c r="U53" s="197"/>
      <c r="V53" s="155">
        <v>17.5</v>
      </c>
      <c r="W53" s="155"/>
      <c r="X53" s="155"/>
      <c r="Y53" s="155"/>
      <c r="Z53" s="156">
        <v>19.75</v>
      </c>
      <c r="AA53" s="156"/>
      <c r="AB53" s="155"/>
      <c r="AC53" s="155">
        <v>23.5</v>
      </c>
      <c r="AD53" s="155"/>
      <c r="AE53" s="155">
        <v>19.25</v>
      </c>
      <c r="AF53" s="155"/>
      <c r="AG53" s="155">
        <v>19.75</v>
      </c>
      <c r="AH53" s="155"/>
      <c r="AI53" s="155"/>
      <c r="AJ53" s="155">
        <v>15.5</v>
      </c>
      <c r="AK53" s="156"/>
      <c r="AL53" s="156"/>
      <c r="AM53" s="155">
        <v>21.5</v>
      </c>
      <c r="AN53" s="155"/>
      <c r="AO53" s="155"/>
      <c r="AP53" s="155"/>
      <c r="AQ53" s="155">
        <v>21.5</v>
      </c>
      <c r="AR53" s="155">
        <v>14.25</v>
      </c>
      <c r="AS53" s="155"/>
      <c r="AT53" s="155"/>
      <c r="AU53" s="156"/>
      <c r="AV53" s="156"/>
      <c r="AW53" s="155"/>
      <c r="AX53" s="155"/>
      <c r="AY53" s="155"/>
      <c r="AZ53" s="157"/>
      <c r="BA53" s="157"/>
      <c r="BB53" s="157"/>
      <c r="BC53" s="157"/>
      <c r="BD53" s="157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93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>
      <c r="A54" s="98"/>
      <c r="B54" s="159">
        <v>46.0</v>
      </c>
      <c r="C54" s="122" t="s">
        <v>95</v>
      </c>
      <c r="D54" s="123">
        <v>45.0</v>
      </c>
      <c r="E54" s="124">
        <v>168.0</v>
      </c>
      <c r="F54" s="125">
        <v>18.666666666666668</v>
      </c>
      <c r="G54" s="126">
        <v>2.7888888888888888</v>
      </c>
      <c r="H54" s="125">
        <v>42.5</v>
      </c>
      <c r="I54" s="127">
        <v>122.5</v>
      </c>
      <c r="J54" s="128">
        <v>1.0</v>
      </c>
      <c r="K54" s="129">
        <v>2.0</v>
      </c>
      <c r="L54" s="130">
        <v>4.0</v>
      </c>
      <c r="M54" s="131">
        <v>17.0</v>
      </c>
      <c r="N54" s="131">
        <v>2.0</v>
      </c>
      <c r="O54" s="132">
        <v>9.0</v>
      </c>
      <c r="P54" s="133"/>
      <c r="Q54" s="134"/>
      <c r="R54" s="134"/>
      <c r="S54" s="135"/>
      <c r="T54" s="194"/>
      <c r="U54" s="195"/>
      <c r="V54" s="137">
        <v>15.5</v>
      </c>
      <c r="W54" s="137"/>
      <c r="X54" s="138">
        <v>16.75</v>
      </c>
      <c r="Y54" s="137"/>
      <c r="Z54" s="137"/>
      <c r="AA54" s="137"/>
      <c r="AB54" s="137"/>
      <c r="AC54" s="138"/>
      <c r="AD54" s="137">
        <v>14.0</v>
      </c>
      <c r="AE54" s="137"/>
      <c r="AF54" s="137"/>
      <c r="AG54" s="137"/>
      <c r="AH54" s="138"/>
      <c r="AI54" s="137"/>
      <c r="AJ54" s="137"/>
      <c r="AK54" s="137">
        <v>17.5</v>
      </c>
      <c r="AL54" s="137"/>
      <c r="AM54" s="137"/>
      <c r="AN54" s="138"/>
      <c r="AO54" s="137"/>
      <c r="AP54" s="137"/>
      <c r="AQ54" s="137"/>
      <c r="AR54" s="138"/>
      <c r="AS54" s="137">
        <v>25.0</v>
      </c>
      <c r="AT54" s="137"/>
      <c r="AU54" s="137"/>
      <c r="AV54" s="137"/>
      <c r="AW54" s="137"/>
      <c r="AX54" s="137"/>
      <c r="AY54" s="137"/>
      <c r="AZ54" s="139"/>
      <c r="BA54" s="139"/>
      <c r="BB54" s="139"/>
      <c r="BC54" s="139"/>
      <c r="BD54" s="139">
        <v>18.75</v>
      </c>
      <c r="BE54" s="127"/>
      <c r="BF54" s="127"/>
      <c r="BG54" s="127"/>
      <c r="BH54" s="127">
        <v>28.25</v>
      </c>
      <c r="BI54" s="127"/>
      <c r="BJ54" s="127"/>
      <c r="BK54" s="127"/>
      <c r="BL54" s="127"/>
      <c r="BM54" s="127">
        <v>16.75</v>
      </c>
      <c r="BN54" s="127"/>
      <c r="BO54" s="127"/>
      <c r="BP54" s="193"/>
      <c r="BQ54" s="120"/>
      <c r="BR54" s="120"/>
      <c r="BS54" s="120"/>
      <c r="BT54" s="120"/>
      <c r="BU54" s="120"/>
      <c r="BV54" s="120"/>
      <c r="BW54" s="120"/>
      <c r="BX54" s="120">
        <v>15.5</v>
      </c>
      <c r="BY54" s="120"/>
      <c r="BZ54" s="120"/>
      <c r="CA54" s="120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>
      <c r="A55" s="98"/>
      <c r="B55" s="159">
        <v>47.0</v>
      </c>
      <c r="C55" s="140" t="s">
        <v>102</v>
      </c>
      <c r="D55" s="141">
        <v>50.0</v>
      </c>
      <c r="E55" s="142">
        <v>185.75</v>
      </c>
      <c r="F55" s="143">
        <v>18.575</v>
      </c>
      <c r="G55" s="144">
        <v>2.765</v>
      </c>
      <c r="H55" s="143">
        <v>47.5</v>
      </c>
      <c r="I55" s="145">
        <v>134.25</v>
      </c>
      <c r="J55" s="146">
        <v>0.5</v>
      </c>
      <c r="K55" s="147">
        <v>3.5</v>
      </c>
      <c r="L55" s="148">
        <v>7.0</v>
      </c>
      <c r="M55" s="149">
        <v>19.0</v>
      </c>
      <c r="N55" s="149">
        <v>7.0</v>
      </c>
      <c r="O55" s="150">
        <v>5.0</v>
      </c>
      <c r="P55" s="151"/>
      <c r="Q55" s="152"/>
      <c r="R55" s="152"/>
      <c r="S55" s="153"/>
      <c r="T55" s="196"/>
      <c r="U55" s="197">
        <v>23.0</v>
      </c>
      <c r="V55" s="155"/>
      <c r="W55" s="155">
        <v>22.5</v>
      </c>
      <c r="X55" s="155"/>
      <c r="Y55" s="155"/>
      <c r="Z55" s="156"/>
      <c r="AA55" s="156"/>
      <c r="AB55" s="155"/>
      <c r="AC55" s="155"/>
      <c r="AD55" s="155"/>
      <c r="AE55" s="155"/>
      <c r="AF55" s="155">
        <v>19.25</v>
      </c>
      <c r="AG55" s="155"/>
      <c r="AH55" s="155"/>
      <c r="AI55" s="155"/>
      <c r="AJ55" s="155"/>
      <c r="AK55" s="156"/>
      <c r="AL55" s="156"/>
      <c r="AM55" s="155">
        <v>22.75</v>
      </c>
      <c r="AN55" s="155"/>
      <c r="AO55" s="155"/>
      <c r="AP55" s="155"/>
      <c r="AQ55" s="155">
        <v>16.5</v>
      </c>
      <c r="AR55" s="155"/>
      <c r="AS55" s="155"/>
      <c r="AT55" s="155"/>
      <c r="AU55" s="156"/>
      <c r="AV55" s="156"/>
      <c r="AW55" s="155">
        <v>16.0</v>
      </c>
      <c r="AX55" s="155"/>
      <c r="AY55" s="155"/>
      <c r="AZ55" s="157"/>
      <c r="BA55" s="157"/>
      <c r="BB55" s="157"/>
      <c r="BC55" s="157"/>
      <c r="BD55" s="157"/>
      <c r="BE55" s="145"/>
      <c r="BF55" s="145"/>
      <c r="BG55" s="145">
        <v>24.75</v>
      </c>
      <c r="BH55" s="145"/>
      <c r="BI55" s="145"/>
      <c r="BJ55" s="145">
        <v>16.5</v>
      </c>
      <c r="BK55" s="145"/>
      <c r="BL55" s="145"/>
      <c r="BM55" s="145"/>
      <c r="BN55" s="145"/>
      <c r="BO55" s="145"/>
      <c r="BP55" s="193"/>
      <c r="BQ55" s="120"/>
      <c r="BR55" s="120"/>
      <c r="BS55" s="120"/>
      <c r="BT55" s="120">
        <v>12.0</v>
      </c>
      <c r="BU55" s="120"/>
      <c r="BV55" s="120"/>
      <c r="BW55" s="120"/>
      <c r="BX55" s="120"/>
      <c r="BY55" s="120">
        <v>12.5</v>
      </c>
      <c r="BZ55" s="120"/>
      <c r="CA55" s="120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>
      <c r="A56" s="98"/>
      <c r="B56" s="159">
        <v>48.0</v>
      </c>
      <c r="C56" s="122" t="s">
        <v>94</v>
      </c>
      <c r="D56" s="123">
        <v>50.0</v>
      </c>
      <c r="E56" s="124">
        <v>184.25</v>
      </c>
      <c r="F56" s="125">
        <v>18.425</v>
      </c>
      <c r="G56" s="126">
        <v>2.435</v>
      </c>
      <c r="H56" s="125">
        <v>62.5</v>
      </c>
      <c r="I56" s="127">
        <v>121.75</v>
      </c>
      <c r="J56" s="128">
        <v>0.0</v>
      </c>
      <c r="K56" s="129">
        <v>0.0</v>
      </c>
      <c r="L56" s="130">
        <v>0.0</v>
      </c>
      <c r="M56" s="131">
        <v>25.0</v>
      </c>
      <c r="N56" s="131">
        <v>6.0</v>
      </c>
      <c r="O56" s="132">
        <v>7.0</v>
      </c>
      <c r="P56" s="133"/>
      <c r="Q56" s="134"/>
      <c r="R56" s="134"/>
      <c r="S56" s="135"/>
      <c r="T56" s="194"/>
      <c r="U56" s="195"/>
      <c r="V56" s="137"/>
      <c r="W56" s="137">
        <v>18.25</v>
      </c>
      <c r="X56" s="138"/>
      <c r="Y56" s="137">
        <v>14.25</v>
      </c>
      <c r="Z56" s="137"/>
      <c r="AA56" s="137"/>
      <c r="AB56" s="137"/>
      <c r="AC56" s="138"/>
      <c r="AD56" s="137"/>
      <c r="AE56" s="137"/>
      <c r="AF56" s="137"/>
      <c r="AG56" s="137"/>
      <c r="AH56" s="138">
        <v>16.5</v>
      </c>
      <c r="AI56" s="137"/>
      <c r="AJ56" s="137"/>
      <c r="AK56" s="137"/>
      <c r="AL56" s="137"/>
      <c r="AM56" s="137"/>
      <c r="AN56" s="138"/>
      <c r="AO56" s="137"/>
      <c r="AP56" s="137">
        <v>21.25</v>
      </c>
      <c r="AQ56" s="137">
        <v>22.0</v>
      </c>
      <c r="AR56" s="138"/>
      <c r="AS56" s="137"/>
      <c r="AT56" s="137"/>
      <c r="AU56" s="137"/>
      <c r="AV56" s="137"/>
      <c r="AW56" s="137"/>
      <c r="AX56" s="137"/>
      <c r="AY56" s="137"/>
      <c r="AZ56" s="139">
        <v>17.0</v>
      </c>
      <c r="BA56" s="139">
        <v>14.25</v>
      </c>
      <c r="BB56" s="139"/>
      <c r="BC56" s="139"/>
      <c r="BD56" s="139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>
        <v>20.25</v>
      </c>
      <c r="BP56" s="193"/>
      <c r="BQ56" s="120"/>
      <c r="BR56" s="120"/>
      <c r="BS56" s="120"/>
      <c r="BT56" s="120"/>
      <c r="BU56" s="120"/>
      <c r="BV56" s="120">
        <v>20.75</v>
      </c>
      <c r="BW56" s="120"/>
      <c r="BX56" s="120"/>
      <c r="BY56" s="120"/>
      <c r="BZ56" s="120">
        <v>19.75</v>
      </c>
      <c r="CA56" s="120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>
      <c r="A57" s="98"/>
      <c r="B57" s="159">
        <v>49.0</v>
      </c>
      <c r="C57" s="140" t="s">
        <v>101</v>
      </c>
      <c r="D57" s="141">
        <v>50.0</v>
      </c>
      <c r="E57" s="142">
        <v>184.0</v>
      </c>
      <c r="F57" s="143">
        <v>18.400000000000002</v>
      </c>
      <c r="G57" s="144">
        <v>2.53</v>
      </c>
      <c r="H57" s="143">
        <v>57.5</v>
      </c>
      <c r="I57" s="145">
        <v>124.5</v>
      </c>
      <c r="J57" s="146">
        <v>0.0</v>
      </c>
      <c r="K57" s="147">
        <v>2.0</v>
      </c>
      <c r="L57" s="148">
        <v>4.0</v>
      </c>
      <c r="M57" s="149">
        <v>23.0</v>
      </c>
      <c r="N57" s="149">
        <v>3.0</v>
      </c>
      <c r="O57" s="150">
        <v>6.0</v>
      </c>
      <c r="P57" s="151"/>
      <c r="Q57" s="152"/>
      <c r="R57" s="152"/>
      <c r="S57" s="153"/>
      <c r="T57" s="196">
        <v>17.0</v>
      </c>
      <c r="U57" s="197"/>
      <c r="V57" s="155"/>
      <c r="W57" s="155"/>
      <c r="X57" s="155"/>
      <c r="Y57" s="155">
        <v>21.0</v>
      </c>
      <c r="Z57" s="156"/>
      <c r="AA57" s="156"/>
      <c r="AB57" s="155"/>
      <c r="AC57" s="155"/>
      <c r="AD57" s="155"/>
      <c r="AE57" s="155"/>
      <c r="AF57" s="155">
        <v>20.5</v>
      </c>
      <c r="AG57" s="155"/>
      <c r="AH57" s="155">
        <v>16.75</v>
      </c>
      <c r="AI57" s="155"/>
      <c r="AJ57" s="155"/>
      <c r="AK57" s="156"/>
      <c r="AL57" s="156"/>
      <c r="AM57" s="155"/>
      <c r="AN57" s="155">
        <v>18.25</v>
      </c>
      <c r="AO57" s="155"/>
      <c r="AP57" s="155"/>
      <c r="AQ57" s="155"/>
      <c r="AR57" s="155"/>
      <c r="AS57" s="155"/>
      <c r="AT57" s="155"/>
      <c r="AU57" s="156">
        <v>15.75</v>
      </c>
      <c r="AV57" s="156"/>
      <c r="AW57" s="155"/>
      <c r="AX57" s="155"/>
      <c r="AY57" s="155"/>
      <c r="AZ57" s="157"/>
      <c r="BA57" s="157"/>
      <c r="BB57" s="157"/>
      <c r="BC57" s="157"/>
      <c r="BD57" s="157"/>
      <c r="BE57" s="145"/>
      <c r="BF57" s="145"/>
      <c r="BG57" s="145"/>
      <c r="BH57" s="145"/>
      <c r="BI57" s="145">
        <v>17.5</v>
      </c>
      <c r="BJ57" s="145"/>
      <c r="BK57" s="145"/>
      <c r="BL57" s="145"/>
      <c r="BM57" s="145"/>
      <c r="BN57" s="145">
        <v>18.5</v>
      </c>
      <c r="BO57" s="145"/>
      <c r="BP57" s="193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>
        <v>14.5</v>
      </c>
      <c r="CA57" s="120">
        <v>24.25</v>
      </c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>
      <c r="A58" s="98"/>
      <c r="B58" s="159">
        <v>50.0</v>
      </c>
      <c r="C58" s="122" t="s">
        <v>105</v>
      </c>
      <c r="D58" s="123">
        <v>50.0</v>
      </c>
      <c r="E58" s="124">
        <v>183.5</v>
      </c>
      <c r="F58" s="125">
        <v>18.35</v>
      </c>
      <c r="G58" s="126">
        <v>2.57</v>
      </c>
      <c r="H58" s="125">
        <v>55.0</v>
      </c>
      <c r="I58" s="127">
        <v>123.5</v>
      </c>
      <c r="J58" s="128">
        <v>0.0</v>
      </c>
      <c r="K58" s="129">
        <v>5.0</v>
      </c>
      <c r="L58" s="130">
        <v>8.0</v>
      </c>
      <c r="M58" s="131">
        <v>22.0</v>
      </c>
      <c r="N58" s="131">
        <v>3.0</v>
      </c>
      <c r="O58" s="132">
        <v>7.0</v>
      </c>
      <c r="P58" s="133"/>
      <c r="Q58" s="134"/>
      <c r="R58" s="134"/>
      <c r="S58" s="135"/>
      <c r="T58" s="194">
        <v>14.75</v>
      </c>
      <c r="U58" s="195"/>
      <c r="V58" s="137"/>
      <c r="W58" s="137"/>
      <c r="X58" s="138">
        <v>22.5</v>
      </c>
      <c r="Y58" s="137"/>
      <c r="Z58" s="137"/>
      <c r="AA58" s="137"/>
      <c r="AB58" s="137"/>
      <c r="AC58" s="138"/>
      <c r="AD58" s="137"/>
      <c r="AE58" s="137"/>
      <c r="AF58" s="137"/>
      <c r="AG58" s="137"/>
      <c r="AH58" s="138">
        <v>10.75</v>
      </c>
      <c r="AI58" s="137"/>
      <c r="AJ58" s="137"/>
      <c r="AK58" s="137"/>
      <c r="AL58" s="137">
        <v>15.5</v>
      </c>
      <c r="AM58" s="137"/>
      <c r="AN58" s="138"/>
      <c r="AO58" s="137"/>
      <c r="AP58" s="137"/>
      <c r="AQ58" s="137"/>
      <c r="AR58" s="138">
        <v>19.75</v>
      </c>
      <c r="AS58" s="137"/>
      <c r="AT58" s="137"/>
      <c r="AU58" s="137">
        <v>20.5</v>
      </c>
      <c r="AV58" s="137"/>
      <c r="AW58" s="137"/>
      <c r="AX58" s="137"/>
      <c r="AY58" s="137"/>
      <c r="AZ58" s="139"/>
      <c r="BA58" s="139">
        <v>22.5</v>
      </c>
      <c r="BB58" s="139"/>
      <c r="BC58" s="139"/>
      <c r="BD58" s="139"/>
      <c r="BE58" s="127"/>
      <c r="BF58" s="127">
        <v>17.25</v>
      </c>
      <c r="BG58" s="127"/>
      <c r="BH58" s="127"/>
      <c r="BI58" s="127"/>
      <c r="BJ58" s="127"/>
      <c r="BK58" s="127"/>
      <c r="BL58" s="127"/>
      <c r="BM58" s="127"/>
      <c r="BN58" s="127"/>
      <c r="BO58" s="127"/>
      <c r="BP58" s="193"/>
      <c r="BQ58" s="120">
        <v>21.0</v>
      </c>
      <c r="BR58" s="120"/>
      <c r="BS58" s="120"/>
      <c r="BT58" s="120"/>
      <c r="BU58" s="120">
        <v>19.0</v>
      </c>
      <c r="BV58" s="120"/>
      <c r="BW58" s="120"/>
      <c r="BX58" s="120"/>
      <c r="BY58" s="120"/>
      <c r="BZ58" s="120"/>
      <c r="CA58" s="120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>
      <c r="A59" s="98"/>
      <c r="B59" s="159">
        <v>51.0</v>
      </c>
      <c r="C59" s="140" t="s">
        <v>96</v>
      </c>
      <c r="D59" s="141">
        <v>50.0</v>
      </c>
      <c r="E59" s="142">
        <v>183.5</v>
      </c>
      <c r="F59" s="143">
        <v>18.35</v>
      </c>
      <c r="G59" s="144">
        <v>2.52</v>
      </c>
      <c r="H59" s="143">
        <v>57.5</v>
      </c>
      <c r="I59" s="145">
        <v>124.0</v>
      </c>
      <c r="J59" s="146">
        <v>0.0</v>
      </c>
      <c r="K59" s="147">
        <v>2.0</v>
      </c>
      <c r="L59" s="148">
        <v>4.0</v>
      </c>
      <c r="M59" s="149">
        <v>23.0</v>
      </c>
      <c r="N59" s="149">
        <v>4.0</v>
      </c>
      <c r="O59" s="150">
        <v>4.0</v>
      </c>
      <c r="P59" s="151"/>
      <c r="Q59" s="152"/>
      <c r="R59" s="152"/>
      <c r="S59" s="153"/>
      <c r="T59" s="196"/>
      <c r="U59" s="197"/>
      <c r="V59" s="155"/>
      <c r="W59" s="155">
        <v>22.5</v>
      </c>
      <c r="X59" s="155"/>
      <c r="Y59" s="155"/>
      <c r="Z59" s="156"/>
      <c r="AA59" s="156">
        <v>13.25</v>
      </c>
      <c r="AB59" s="155"/>
      <c r="AC59" s="155"/>
      <c r="AD59" s="155">
        <v>22.5</v>
      </c>
      <c r="AE59" s="155"/>
      <c r="AF59" s="155"/>
      <c r="AG59" s="155"/>
      <c r="AH59" s="155"/>
      <c r="AI59" s="155">
        <v>23.25</v>
      </c>
      <c r="AJ59" s="155"/>
      <c r="AK59" s="156"/>
      <c r="AL59" s="156"/>
      <c r="AM59" s="155"/>
      <c r="AN59" s="155"/>
      <c r="AO59" s="155"/>
      <c r="AP59" s="155"/>
      <c r="AQ59" s="155"/>
      <c r="AR59" s="155"/>
      <c r="AS59" s="155"/>
      <c r="AT59" s="155"/>
      <c r="AU59" s="156"/>
      <c r="AV59" s="156"/>
      <c r="AW59" s="155"/>
      <c r="AX59" s="155"/>
      <c r="AY59" s="155"/>
      <c r="AZ59" s="157">
        <v>16.5</v>
      </c>
      <c r="BA59" s="157"/>
      <c r="BB59" s="157"/>
      <c r="BC59" s="157"/>
      <c r="BD59" s="157">
        <v>14.25</v>
      </c>
      <c r="BE59" s="145"/>
      <c r="BF59" s="145"/>
      <c r="BG59" s="145"/>
      <c r="BH59" s="145"/>
      <c r="BI59" s="145"/>
      <c r="BJ59" s="145">
        <v>21.25</v>
      </c>
      <c r="BK59" s="145"/>
      <c r="BL59" s="145">
        <v>17.25</v>
      </c>
      <c r="BM59" s="145"/>
      <c r="BN59" s="145"/>
      <c r="BO59" s="145"/>
      <c r="BP59" s="193"/>
      <c r="BQ59" s="120"/>
      <c r="BR59" s="120"/>
      <c r="BS59" s="120">
        <v>13.75</v>
      </c>
      <c r="BT59" s="120"/>
      <c r="BU59" s="120"/>
      <c r="BV59" s="120"/>
      <c r="BW59" s="120"/>
      <c r="BX59" s="120"/>
      <c r="BY59" s="120"/>
      <c r="BZ59" s="120"/>
      <c r="CA59" s="120">
        <v>19.0</v>
      </c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>
      <c r="A60" s="98"/>
      <c r="B60" s="159">
        <v>52.0</v>
      </c>
      <c r="C60" s="122" t="s">
        <v>88</v>
      </c>
      <c r="D60" s="123">
        <v>50.0</v>
      </c>
      <c r="E60" s="124">
        <v>182.0</v>
      </c>
      <c r="F60" s="125">
        <v>18.2</v>
      </c>
      <c r="G60" s="126">
        <v>2.49</v>
      </c>
      <c r="H60" s="125">
        <v>57.5</v>
      </c>
      <c r="I60" s="127">
        <v>123.5</v>
      </c>
      <c r="J60" s="128">
        <v>0.0</v>
      </c>
      <c r="K60" s="129">
        <v>1.0</v>
      </c>
      <c r="L60" s="130">
        <v>2.0</v>
      </c>
      <c r="M60" s="131">
        <v>23.0</v>
      </c>
      <c r="N60" s="131">
        <v>5.0</v>
      </c>
      <c r="O60" s="132">
        <v>6.0</v>
      </c>
      <c r="P60" s="133"/>
      <c r="Q60" s="134"/>
      <c r="R60" s="134"/>
      <c r="S60" s="135"/>
      <c r="T60" s="194"/>
      <c r="U60" s="195"/>
      <c r="V60" s="137"/>
      <c r="W60" s="137"/>
      <c r="X60" s="138"/>
      <c r="Y60" s="137"/>
      <c r="Z60" s="137"/>
      <c r="AA60" s="137">
        <v>12.0</v>
      </c>
      <c r="AB60" s="137">
        <v>25.0</v>
      </c>
      <c r="AC60" s="138">
        <v>17.25</v>
      </c>
      <c r="AD60" s="137">
        <v>19.75</v>
      </c>
      <c r="AE60" s="137">
        <v>27.75</v>
      </c>
      <c r="AF60" s="137"/>
      <c r="AG60" s="137"/>
      <c r="AH60" s="138"/>
      <c r="AI60" s="137"/>
      <c r="AJ60" s="137"/>
      <c r="AK60" s="137"/>
      <c r="AL60" s="137"/>
      <c r="AM60" s="137"/>
      <c r="AN60" s="138"/>
      <c r="AO60" s="137"/>
      <c r="AP60" s="137"/>
      <c r="AQ60" s="137"/>
      <c r="AR60" s="138"/>
      <c r="AS60" s="137"/>
      <c r="AT60" s="137"/>
      <c r="AU60" s="137"/>
      <c r="AV60" s="137"/>
      <c r="AW60" s="137"/>
      <c r="AX60" s="137"/>
      <c r="AY60" s="137"/>
      <c r="AZ60" s="139">
        <v>14.25</v>
      </c>
      <c r="BA60" s="139">
        <v>16.5</v>
      </c>
      <c r="BB60" s="139">
        <v>16.5</v>
      </c>
      <c r="BC60" s="139">
        <v>14.0</v>
      </c>
      <c r="BD60" s="139">
        <v>19.0</v>
      </c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  <c r="BP60" s="193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>
      <c r="A61" s="98"/>
      <c r="B61" s="159">
        <v>53.0</v>
      </c>
      <c r="C61" s="140" t="s">
        <v>117</v>
      </c>
      <c r="D61" s="141">
        <v>50.0</v>
      </c>
      <c r="E61" s="142">
        <v>181.75</v>
      </c>
      <c r="F61" s="143">
        <v>18.174999999999997</v>
      </c>
      <c r="G61" s="144">
        <v>2.635</v>
      </c>
      <c r="H61" s="143">
        <v>50.0</v>
      </c>
      <c r="I61" s="145">
        <v>127.75</v>
      </c>
      <c r="J61" s="146">
        <v>0.5</v>
      </c>
      <c r="K61" s="147">
        <v>3.5</v>
      </c>
      <c r="L61" s="148">
        <v>7.0</v>
      </c>
      <c r="M61" s="149">
        <v>20.0</v>
      </c>
      <c r="N61" s="149">
        <v>5.0</v>
      </c>
      <c r="O61" s="150">
        <v>2.0</v>
      </c>
      <c r="P61" s="151"/>
      <c r="Q61" s="152"/>
      <c r="R61" s="152"/>
      <c r="S61" s="153"/>
      <c r="T61" s="196"/>
      <c r="U61" s="197"/>
      <c r="V61" s="155">
        <v>14.5</v>
      </c>
      <c r="W61" s="155"/>
      <c r="X61" s="155"/>
      <c r="Y61" s="155"/>
      <c r="Z61" s="156"/>
      <c r="AA61" s="156"/>
      <c r="AB61" s="155">
        <v>20.5</v>
      </c>
      <c r="AC61" s="155"/>
      <c r="AD61" s="155"/>
      <c r="AE61" s="155"/>
      <c r="AF61" s="155"/>
      <c r="AG61" s="155"/>
      <c r="AH61" s="155"/>
      <c r="AI61" s="155"/>
      <c r="AJ61" s="155"/>
      <c r="AK61" s="156"/>
      <c r="AL61" s="156"/>
      <c r="AM61" s="155">
        <v>21.0</v>
      </c>
      <c r="AN61" s="155"/>
      <c r="AO61" s="155"/>
      <c r="AP61" s="155"/>
      <c r="AQ61" s="155"/>
      <c r="AR61" s="155"/>
      <c r="AS61" s="155"/>
      <c r="AT61" s="155"/>
      <c r="AU61" s="156"/>
      <c r="AV61" s="156"/>
      <c r="AW61" s="155"/>
      <c r="AX61" s="155"/>
      <c r="AY61" s="155"/>
      <c r="AZ61" s="157"/>
      <c r="BA61" s="157"/>
      <c r="BB61" s="157"/>
      <c r="BC61" s="157"/>
      <c r="BD61" s="157"/>
      <c r="BE61" s="145">
        <v>17.0</v>
      </c>
      <c r="BF61" s="145">
        <v>16.75</v>
      </c>
      <c r="BG61" s="145"/>
      <c r="BH61" s="145"/>
      <c r="BI61" s="145"/>
      <c r="BJ61" s="145"/>
      <c r="BK61" s="145">
        <v>18.75</v>
      </c>
      <c r="BL61" s="145">
        <v>14.75</v>
      </c>
      <c r="BM61" s="145"/>
      <c r="BN61" s="145"/>
      <c r="BO61" s="145"/>
      <c r="BP61" s="193"/>
      <c r="BQ61" s="120"/>
      <c r="BR61" s="120"/>
      <c r="BS61" s="120">
        <v>14.5</v>
      </c>
      <c r="BT61" s="120"/>
      <c r="BU61" s="120"/>
      <c r="BV61" s="120">
        <v>27.25</v>
      </c>
      <c r="BW61" s="120"/>
      <c r="BX61" s="120"/>
      <c r="BY61" s="120"/>
      <c r="BZ61" s="120"/>
      <c r="CA61" s="120">
        <v>16.75</v>
      </c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>
      <c r="A62" s="98"/>
      <c r="B62" s="159">
        <v>54.0</v>
      </c>
      <c r="C62" s="122" t="s">
        <v>137</v>
      </c>
      <c r="D62" s="123">
        <v>50.0</v>
      </c>
      <c r="E62" s="124">
        <v>180.75</v>
      </c>
      <c r="F62" s="125">
        <v>18.075000000000003</v>
      </c>
      <c r="G62" s="126">
        <v>2.615</v>
      </c>
      <c r="H62" s="125">
        <v>50.0</v>
      </c>
      <c r="I62" s="127">
        <v>129.75</v>
      </c>
      <c r="J62" s="128">
        <v>0.0</v>
      </c>
      <c r="K62" s="129">
        <v>1.0</v>
      </c>
      <c r="L62" s="130">
        <v>2.0</v>
      </c>
      <c r="M62" s="131">
        <v>20.0</v>
      </c>
      <c r="N62" s="131">
        <v>2.0</v>
      </c>
      <c r="O62" s="132">
        <v>3.0</v>
      </c>
      <c r="P62" s="133"/>
      <c r="Q62" s="134"/>
      <c r="R62" s="134"/>
      <c r="S62" s="135"/>
      <c r="T62" s="194"/>
      <c r="U62" s="195">
        <v>16.0</v>
      </c>
      <c r="V62" s="137">
        <v>17.5</v>
      </c>
      <c r="W62" s="137"/>
      <c r="X62" s="138"/>
      <c r="Y62" s="137"/>
      <c r="Z62" s="137"/>
      <c r="AA62" s="137"/>
      <c r="AB62" s="137"/>
      <c r="AC62" s="138"/>
      <c r="AD62" s="137"/>
      <c r="AE62" s="137"/>
      <c r="AF62" s="137"/>
      <c r="AG62" s="137"/>
      <c r="AH62" s="138"/>
      <c r="AI62" s="137"/>
      <c r="AJ62" s="137">
        <v>14.0</v>
      </c>
      <c r="AK62" s="137"/>
      <c r="AL62" s="137"/>
      <c r="AM62" s="137"/>
      <c r="AN62" s="138"/>
      <c r="AO62" s="137">
        <v>20.25</v>
      </c>
      <c r="AP62" s="137"/>
      <c r="AQ62" s="137"/>
      <c r="AR62" s="138"/>
      <c r="AS62" s="137"/>
      <c r="AT62" s="137">
        <v>13.25</v>
      </c>
      <c r="AU62" s="137"/>
      <c r="AV62" s="137"/>
      <c r="AW62" s="137"/>
      <c r="AX62" s="137">
        <v>18.5</v>
      </c>
      <c r="AY62" s="137">
        <v>25.75</v>
      </c>
      <c r="AZ62" s="139"/>
      <c r="BA62" s="139"/>
      <c r="BB62" s="139"/>
      <c r="BC62" s="139"/>
      <c r="BD62" s="139"/>
      <c r="BE62" s="127"/>
      <c r="BF62" s="127">
        <v>20.0</v>
      </c>
      <c r="BG62" s="127"/>
      <c r="BH62" s="127"/>
      <c r="BI62" s="127"/>
      <c r="BJ62" s="127"/>
      <c r="BK62" s="127"/>
      <c r="BL62" s="127">
        <v>18.0</v>
      </c>
      <c r="BM62" s="127"/>
      <c r="BN62" s="127"/>
      <c r="BO62" s="127"/>
      <c r="BP62" s="193"/>
      <c r="BQ62" s="120">
        <v>17.5</v>
      </c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>
      <c r="A63" s="98"/>
      <c r="B63" s="159">
        <v>55.0</v>
      </c>
      <c r="C63" s="140" t="s">
        <v>127</v>
      </c>
      <c r="D63" s="141">
        <v>50.0</v>
      </c>
      <c r="E63" s="142">
        <v>178.0</v>
      </c>
      <c r="F63" s="143">
        <v>17.8</v>
      </c>
      <c r="G63" s="144">
        <v>2.46</v>
      </c>
      <c r="H63" s="143">
        <v>55.0</v>
      </c>
      <c r="I63" s="145">
        <v>120.0</v>
      </c>
      <c r="J63" s="146">
        <v>0.5</v>
      </c>
      <c r="K63" s="147">
        <v>2.5</v>
      </c>
      <c r="L63" s="148">
        <v>4.0</v>
      </c>
      <c r="M63" s="149">
        <v>22.0</v>
      </c>
      <c r="N63" s="149">
        <v>1.0</v>
      </c>
      <c r="O63" s="150">
        <v>7.0</v>
      </c>
      <c r="P63" s="151"/>
      <c r="Q63" s="152"/>
      <c r="R63" s="152"/>
      <c r="S63" s="153"/>
      <c r="T63" s="196"/>
      <c r="U63" s="197">
        <v>21.0</v>
      </c>
      <c r="V63" s="155"/>
      <c r="W63" s="155"/>
      <c r="X63" s="155"/>
      <c r="Y63" s="155"/>
      <c r="Z63" s="156"/>
      <c r="AA63" s="156"/>
      <c r="AB63" s="155">
        <v>18.75</v>
      </c>
      <c r="AC63" s="155"/>
      <c r="AD63" s="155"/>
      <c r="AE63" s="155"/>
      <c r="AF63" s="155"/>
      <c r="AG63" s="155"/>
      <c r="AH63" s="155"/>
      <c r="AI63" s="155"/>
      <c r="AJ63" s="155"/>
      <c r="AK63" s="156"/>
      <c r="AL63" s="156"/>
      <c r="AM63" s="155">
        <v>20.0</v>
      </c>
      <c r="AN63" s="155"/>
      <c r="AO63" s="155"/>
      <c r="AP63" s="155"/>
      <c r="AQ63" s="155"/>
      <c r="AR63" s="155"/>
      <c r="AS63" s="155"/>
      <c r="AT63" s="155">
        <v>22.5</v>
      </c>
      <c r="AU63" s="156"/>
      <c r="AV63" s="156"/>
      <c r="AW63" s="155"/>
      <c r="AX63" s="155"/>
      <c r="AY63" s="155"/>
      <c r="AZ63" s="157"/>
      <c r="BA63" s="157"/>
      <c r="BB63" s="157">
        <v>19.25</v>
      </c>
      <c r="BC63" s="157"/>
      <c r="BD63" s="157">
        <v>7.75</v>
      </c>
      <c r="BE63" s="145">
        <v>12.5</v>
      </c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93"/>
      <c r="BQ63" s="120"/>
      <c r="BR63" s="120"/>
      <c r="BS63" s="120">
        <v>18.75</v>
      </c>
      <c r="BT63" s="120"/>
      <c r="BU63" s="120"/>
      <c r="BV63" s="120"/>
      <c r="BW63" s="120"/>
      <c r="BX63" s="120">
        <v>14.75</v>
      </c>
      <c r="BY63" s="120"/>
      <c r="BZ63" s="120">
        <v>22.75</v>
      </c>
      <c r="CA63" s="120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>
      <c r="A64" s="98"/>
      <c r="B64" s="159">
        <v>56.0</v>
      </c>
      <c r="C64" s="122" t="s">
        <v>134</v>
      </c>
      <c r="D64" s="123">
        <v>50.0</v>
      </c>
      <c r="E64" s="124">
        <v>174.75</v>
      </c>
      <c r="F64" s="125">
        <v>17.475</v>
      </c>
      <c r="G64" s="126">
        <v>2.445</v>
      </c>
      <c r="H64" s="125">
        <v>52.5</v>
      </c>
      <c r="I64" s="127">
        <v>121.75</v>
      </c>
      <c r="J64" s="128">
        <v>0.0</v>
      </c>
      <c r="K64" s="129">
        <v>0.5</v>
      </c>
      <c r="L64" s="130">
        <v>1.0</v>
      </c>
      <c r="M64" s="131">
        <v>21.0</v>
      </c>
      <c r="N64" s="131">
        <v>7.0</v>
      </c>
      <c r="O64" s="132">
        <v>7.0</v>
      </c>
      <c r="P64" s="133"/>
      <c r="Q64" s="134"/>
      <c r="R64" s="134"/>
      <c r="S64" s="135"/>
      <c r="T64" s="194"/>
      <c r="U64" s="195"/>
      <c r="V64" s="137"/>
      <c r="W64" s="137"/>
      <c r="X64" s="138"/>
      <c r="Y64" s="137"/>
      <c r="Z64" s="137"/>
      <c r="AA64" s="137"/>
      <c r="AB64" s="137"/>
      <c r="AC64" s="138"/>
      <c r="AD64" s="137"/>
      <c r="AE64" s="137">
        <v>18.75</v>
      </c>
      <c r="AF64" s="137"/>
      <c r="AG64" s="137"/>
      <c r="AH64" s="138"/>
      <c r="AI64" s="137"/>
      <c r="AJ64" s="137"/>
      <c r="AK64" s="137"/>
      <c r="AL64" s="137">
        <v>18.25</v>
      </c>
      <c r="AM64" s="137"/>
      <c r="AN64" s="138"/>
      <c r="AO64" s="137"/>
      <c r="AP64" s="137"/>
      <c r="AQ64" s="137"/>
      <c r="AR64" s="138"/>
      <c r="AS64" s="137"/>
      <c r="AT64" s="137">
        <v>9.25</v>
      </c>
      <c r="AU64" s="137"/>
      <c r="AV64" s="137"/>
      <c r="AW64" s="137"/>
      <c r="AX64" s="137"/>
      <c r="AY64" s="137"/>
      <c r="AZ64" s="139"/>
      <c r="BA64" s="139"/>
      <c r="BB64" s="139"/>
      <c r="BC64" s="139"/>
      <c r="BD64" s="139"/>
      <c r="BE64" s="127"/>
      <c r="BF64" s="127"/>
      <c r="BG64" s="127"/>
      <c r="BH64" s="127">
        <v>15.75</v>
      </c>
      <c r="BI64" s="127"/>
      <c r="BJ64" s="127"/>
      <c r="BK64" s="127"/>
      <c r="BL64" s="127"/>
      <c r="BM64" s="127"/>
      <c r="BN64" s="127">
        <v>24.0</v>
      </c>
      <c r="BO64" s="127"/>
      <c r="BP64" s="193"/>
      <c r="BQ64" s="120">
        <v>19.25</v>
      </c>
      <c r="BR64" s="120"/>
      <c r="BS64" s="120"/>
      <c r="BT64" s="120"/>
      <c r="BU64" s="120"/>
      <c r="BV64" s="120">
        <v>16.0</v>
      </c>
      <c r="BW64" s="120"/>
      <c r="BX64" s="120"/>
      <c r="BY64" s="120">
        <v>13.0</v>
      </c>
      <c r="BZ64" s="120">
        <v>21.5</v>
      </c>
      <c r="CA64" s="120">
        <v>19.0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>
      <c r="A65" s="98"/>
      <c r="B65" s="159">
        <v>57.0</v>
      </c>
      <c r="C65" s="140" t="s">
        <v>125</v>
      </c>
      <c r="D65" s="141">
        <v>50.0</v>
      </c>
      <c r="E65" s="142">
        <v>174.0</v>
      </c>
      <c r="F65" s="143">
        <v>17.4</v>
      </c>
      <c r="G65" s="144">
        <v>2.43</v>
      </c>
      <c r="H65" s="143">
        <v>52.5</v>
      </c>
      <c r="I65" s="145">
        <v>119.0</v>
      </c>
      <c r="J65" s="146">
        <v>1.0</v>
      </c>
      <c r="K65" s="147">
        <v>1.5</v>
      </c>
      <c r="L65" s="148">
        <v>3.0</v>
      </c>
      <c r="M65" s="149">
        <v>21.0</v>
      </c>
      <c r="N65" s="149">
        <v>2.0</v>
      </c>
      <c r="O65" s="150">
        <v>4.0</v>
      </c>
      <c r="P65" s="151"/>
      <c r="Q65" s="152"/>
      <c r="R65" s="152"/>
      <c r="S65" s="153"/>
      <c r="T65" s="196"/>
      <c r="U65" s="197"/>
      <c r="V65" s="155"/>
      <c r="W65" s="155"/>
      <c r="X65" s="155"/>
      <c r="Y65" s="155"/>
      <c r="Z65" s="156"/>
      <c r="AA65" s="156"/>
      <c r="AB65" s="155"/>
      <c r="AC65" s="155">
        <v>20.75</v>
      </c>
      <c r="AD65" s="155"/>
      <c r="AE65" s="155">
        <v>11.0</v>
      </c>
      <c r="AF65" s="155">
        <v>15.0</v>
      </c>
      <c r="AG65" s="155">
        <v>18.25</v>
      </c>
      <c r="AH65" s="155">
        <v>17.5</v>
      </c>
      <c r="AI65" s="155">
        <v>18.75</v>
      </c>
      <c r="AJ65" s="155"/>
      <c r="AK65" s="156"/>
      <c r="AL65" s="156"/>
      <c r="AM65" s="155">
        <v>15.0</v>
      </c>
      <c r="AN65" s="155"/>
      <c r="AO65" s="155"/>
      <c r="AP65" s="155"/>
      <c r="AQ65" s="155"/>
      <c r="AR65" s="155"/>
      <c r="AS65" s="155"/>
      <c r="AT65" s="155"/>
      <c r="AU65" s="156"/>
      <c r="AV65" s="156"/>
      <c r="AW65" s="155">
        <v>23.5</v>
      </c>
      <c r="AX65" s="155">
        <v>15.25</v>
      </c>
      <c r="AY65" s="155">
        <v>19.0</v>
      </c>
      <c r="AZ65" s="157"/>
      <c r="BA65" s="157"/>
      <c r="BB65" s="157"/>
      <c r="BC65" s="157"/>
      <c r="BD65" s="157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93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>
      <c r="A66" s="98"/>
      <c r="B66" s="159">
        <v>58.0</v>
      </c>
      <c r="C66" s="122" t="s">
        <v>126</v>
      </c>
      <c r="D66" s="123">
        <v>50.0</v>
      </c>
      <c r="E66" s="124">
        <v>173.75</v>
      </c>
      <c r="F66" s="125">
        <v>17.375</v>
      </c>
      <c r="G66" s="126">
        <v>2.575</v>
      </c>
      <c r="H66" s="125">
        <v>45.0</v>
      </c>
      <c r="I66" s="127">
        <v>128.25</v>
      </c>
      <c r="J66" s="128">
        <v>0.0</v>
      </c>
      <c r="K66" s="129">
        <v>0.5</v>
      </c>
      <c r="L66" s="130">
        <v>1.0</v>
      </c>
      <c r="M66" s="131">
        <v>18.0</v>
      </c>
      <c r="N66" s="131">
        <v>4.0</v>
      </c>
      <c r="O66" s="132">
        <v>6.0</v>
      </c>
      <c r="P66" s="133"/>
      <c r="Q66" s="134"/>
      <c r="R66" s="134"/>
      <c r="S66" s="135"/>
      <c r="T66" s="194"/>
      <c r="U66" s="195"/>
      <c r="V66" s="137">
        <v>18.5</v>
      </c>
      <c r="W66" s="137"/>
      <c r="X66" s="138"/>
      <c r="Y66" s="137"/>
      <c r="Z66" s="137"/>
      <c r="AA66" s="137"/>
      <c r="AB66" s="137">
        <v>20.5</v>
      </c>
      <c r="AC66" s="138"/>
      <c r="AD66" s="137"/>
      <c r="AE66" s="137">
        <v>18.0</v>
      </c>
      <c r="AF66" s="137"/>
      <c r="AG66" s="137"/>
      <c r="AH66" s="138"/>
      <c r="AI66" s="137"/>
      <c r="AJ66" s="137"/>
      <c r="AK66" s="137">
        <v>10.5</v>
      </c>
      <c r="AL66" s="137"/>
      <c r="AM66" s="137"/>
      <c r="AN66" s="138"/>
      <c r="AO66" s="137"/>
      <c r="AP66" s="137"/>
      <c r="AQ66" s="137"/>
      <c r="AR66" s="138"/>
      <c r="AS66" s="137">
        <v>17.0</v>
      </c>
      <c r="AT66" s="137"/>
      <c r="AU66" s="137"/>
      <c r="AV66" s="137"/>
      <c r="AW66" s="137">
        <v>15.75</v>
      </c>
      <c r="AX66" s="137"/>
      <c r="AY66" s="137">
        <v>20.0</v>
      </c>
      <c r="AZ66" s="139"/>
      <c r="BA66" s="139"/>
      <c r="BB66" s="139"/>
      <c r="BC66" s="139"/>
      <c r="BD66" s="139"/>
      <c r="BE66" s="127"/>
      <c r="BF66" s="127"/>
      <c r="BG66" s="127"/>
      <c r="BH66" s="127">
        <v>15.25</v>
      </c>
      <c r="BI66" s="127"/>
      <c r="BJ66" s="127"/>
      <c r="BK66" s="127"/>
      <c r="BL66" s="127"/>
      <c r="BM66" s="127"/>
      <c r="BN66" s="127"/>
      <c r="BO66" s="127"/>
      <c r="BP66" s="193">
        <v>16.5</v>
      </c>
      <c r="BQ66" s="120"/>
      <c r="BR66" s="120"/>
      <c r="BS66" s="120"/>
      <c r="BT66" s="120"/>
      <c r="BU66" s="120"/>
      <c r="BV66" s="120"/>
      <c r="BW66" s="120"/>
      <c r="BX66" s="120"/>
      <c r="BY66" s="120">
        <v>21.75</v>
      </c>
      <c r="BZ66" s="120"/>
      <c r="CA66" s="120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>
      <c r="A67" s="98"/>
      <c r="B67" s="159">
        <v>59.0</v>
      </c>
      <c r="C67" s="140" t="s">
        <v>129</v>
      </c>
      <c r="D67" s="141">
        <v>50.0</v>
      </c>
      <c r="E67" s="142">
        <v>173.5</v>
      </c>
      <c r="F67" s="143">
        <v>17.35</v>
      </c>
      <c r="G67" s="144">
        <v>2.57</v>
      </c>
      <c r="H67" s="143">
        <v>45.0</v>
      </c>
      <c r="I67" s="145">
        <v>127.5</v>
      </c>
      <c r="J67" s="146">
        <v>0.0</v>
      </c>
      <c r="K67" s="147">
        <v>1.0</v>
      </c>
      <c r="L67" s="148">
        <v>2.0</v>
      </c>
      <c r="M67" s="149">
        <v>18.0</v>
      </c>
      <c r="N67" s="149">
        <v>3.0</v>
      </c>
      <c r="O67" s="150">
        <v>7.0</v>
      </c>
      <c r="P67" s="151"/>
      <c r="Q67" s="152"/>
      <c r="R67" s="152"/>
      <c r="S67" s="153"/>
      <c r="T67" s="196"/>
      <c r="U67" s="197"/>
      <c r="V67" s="155"/>
      <c r="W67" s="155"/>
      <c r="X67" s="155"/>
      <c r="Y67" s="155"/>
      <c r="Z67" s="156"/>
      <c r="AA67" s="156"/>
      <c r="AB67" s="155">
        <v>25.25</v>
      </c>
      <c r="AC67" s="155">
        <v>18.5</v>
      </c>
      <c r="AD67" s="155"/>
      <c r="AE67" s="155"/>
      <c r="AF67" s="155">
        <v>14.0</v>
      </c>
      <c r="AG67" s="155"/>
      <c r="AH67" s="155"/>
      <c r="AI67" s="155"/>
      <c r="AJ67" s="155"/>
      <c r="AK67" s="156"/>
      <c r="AL67" s="156"/>
      <c r="AM67" s="155"/>
      <c r="AN67" s="155"/>
      <c r="AO67" s="155"/>
      <c r="AP67" s="155"/>
      <c r="AQ67" s="155"/>
      <c r="AR67" s="155"/>
      <c r="AS67" s="155"/>
      <c r="AT67" s="155">
        <v>19.5</v>
      </c>
      <c r="AU67" s="156"/>
      <c r="AV67" s="156">
        <v>17.25</v>
      </c>
      <c r="AW67" s="155"/>
      <c r="AX67" s="155"/>
      <c r="AY67" s="155"/>
      <c r="AZ67" s="157"/>
      <c r="BA67" s="157"/>
      <c r="BB67" s="157"/>
      <c r="BC67" s="157"/>
      <c r="BD67" s="157"/>
      <c r="BE67" s="145"/>
      <c r="BF67" s="145"/>
      <c r="BG67" s="145"/>
      <c r="BH67" s="145"/>
      <c r="BI67" s="145"/>
      <c r="BJ67" s="145">
        <v>13.75</v>
      </c>
      <c r="BK67" s="145">
        <v>18.75</v>
      </c>
      <c r="BL67" s="145"/>
      <c r="BM67" s="145"/>
      <c r="BN67" s="145"/>
      <c r="BO67" s="145"/>
      <c r="BP67" s="193">
        <v>10.0</v>
      </c>
      <c r="BQ67" s="120"/>
      <c r="BR67" s="120"/>
      <c r="BS67" s="120"/>
      <c r="BT67" s="120"/>
      <c r="BU67" s="120"/>
      <c r="BV67" s="120"/>
      <c r="BW67" s="120">
        <v>23.0</v>
      </c>
      <c r="BX67" s="120">
        <v>13.5</v>
      </c>
      <c r="BY67" s="120"/>
      <c r="BZ67" s="120"/>
      <c r="CA67" s="120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>
      <c r="A68" s="98"/>
      <c r="B68" s="160">
        <v>60.0</v>
      </c>
      <c r="C68" s="161" t="s">
        <v>85</v>
      </c>
      <c r="D68" s="162">
        <v>50.0</v>
      </c>
      <c r="E68" s="163">
        <v>162.5</v>
      </c>
      <c r="F68" s="164">
        <v>16.25</v>
      </c>
      <c r="G68" s="165">
        <v>2.5</v>
      </c>
      <c r="H68" s="164">
        <v>37.5</v>
      </c>
      <c r="I68" s="166">
        <v>122.5</v>
      </c>
      <c r="J68" s="167">
        <v>1.0</v>
      </c>
      <c r="K68" s="168">
        <v>1.5</v>
      </c>
      <c r="L68" s="169">
        <v>3.0</v>
      </c>
      <c r="M68" s="170">
        <v>15.0</v>
      </c>
      <c r="N68" s="170">
        <v>4.0</v>
      </c>
      <c r="O68" s="171">
        <v>6.0</v>
      </c>
      <c r="P68" s="172"/>
      <c r="Q68" s="173"/>
      <c r="R68" s="173"/>
      <c r="S68" s="174"/>
      <c r="T68" s="198"/>
      <c r="U68" s="199">
        <v>14.25</v>
      </c>
      <c r="V68" s="176"/>
      <c r="W68" s="177">
        <v>16.5</v>
      </c>
      <c r="X68" s="176"/>
      <c r="Y68" s="177">
        <v>15.75</v>
      </c>
      <c r="Z68" s="177"/>
      <c r="AA68" s="177"/>
      <c r="AB68" s="177"/>
      <c r="AC68" s="177">
        <v>15.75</v>
      </c>
      <c r="AD68" s="177"/>
      <c r="AE68" s="177"/>
      <c r="AF68" s="177"/>
      <c r="AG68" s="176"/>
      <c r="AH68" s="177"/>
      <c r="AI68" s="177"/>
      <c r="AJ68" s="177"/>
      <c r="AK68" s="177"/>
      <c r="AL68" s="177"/>
      <c r="AM68" s="177"/>
      <c r="AN68" s="176"/>
      <c r="AO68" s="177">
        <v>14.25</v>
      </c>
      <c r="AP68" s="177"/>
      <c r="AQ68" s="177"/>
      <c r="AR68" s="177"/>
      <c r="AS68" s="177"/>
      <c r="AT68" s="177"/>
      <c r="AU68" s="177">
        <v>19.25</v>
      </c>
      <c r="AV68" s="177"/>
      <c r="AW68" s="177"/>
      <c r="AX68" s="177"/>
      <c r="AY68" s="177"/>
      <c r="AZ68" s="178"/>
      <c r="BA68" s="178"/>
      <c r="BB68" s="178"/>
      <c r="BC68" s="178">
        <v>23.25</v>
      </c>
      <c r="BD68" s="178"/>
      <c r="BE68" s="179"/>
      <c r="BF68" s="179"/>
      <c r="BG68" s="179">
        <v>13.75</v>
      </c>
      <c r="BH68" s="179"/>
      <c r="BI68" s="179"/>
      <c r="BJ68" s="179"/>
      <c r="BK68" s="179"/>
      <c r="BL68" s="179"/>
      <c r="BM68" s="179"/>
      <c r="BN68" s="179"/>
      <c r="BO68" s="179"/>
      <c r="BP68" s="193"/>
      <c r="BQ68" s="120"/>
      <c r="BR68" s="120"/>
      <c r="BS68" s="120"/>
      <c r="BT68" s="120"/>
      <c r="BU68" s="120"/>
      <c r="BV68" s="120"/>
      <c r="BW68" s="120"/>
      <c r="BX68" s="120">
        <v>14.0</v>
      </c>
      <c r="BY68" s="120"/>
      <c r="BZ68" s="120">
        <v>15.75</v>
      </c>
      <c r="CA68" s="120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>
      <c r="A69" s="8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4"/>
      <c r="BF69" s="66"/>
      <c r="BG69" s="66"/>
      <c r="BH69" s="66"/>
      <c r="BI69" s="66"/>
      <c r="BJ69" s="66"/>
      <c r="BK69" s="66"/>
      <c r="BL69" s="180"/>
      <c r="BM69" s="66"/>
      <c r="BN69" s="66"/>
      <c r="BO69" s="66"/>
      <c r="BP69" s="4"/>
      <c r="BQ69" s="66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>
      <c r="A70" s="87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87"/>
      <c r="BF70" s="74"/>
      <c r="BG70" s="74"/>
      <c r="BH70" s="74"/>
      <c r="BI70" s="74"/>
      <c r="BJ70" s="74"/>
      <c r="BK70" s="74"/>
      <c r="BL70" s="181"/>
      <c r="BM70" s="66"/>
      <c r="BN70" s="66"/>
      <c r="BO70" s="66"/>
      <c r="BP70" s="4"/>
      <c r="BQ70" s="66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>
      <c r="A71" s="87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182"/>
      <c r="BF71" s="70"/>
      <c r="BG71" s="70"/>
      <c r="BH71" s="70"/>
      <c r="BI71" s="70"/>
      <c r="BJ71" s="70"/>
      <c r="BK71" s="70"/>
      <c r="BL71" s="183"/>
      <c r="BM71" s="66"/>
      <c r="BN71" s="66"/>
      <c r="BO71" s="66"/>
      <c r="BP71" s="66"/>
      <c r="BQ71" s="66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>
      <c r="A72" s="184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</row>
    <row r="73">
      <c r="A73" s="184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</row>
    <row r="74">
      <c r="A74" s="184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</row>
    <row r="75">
      <c r="A75" s="184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</row>
    <row r="76">
      <c r="A76" s="184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</row>
    <row r="77">
      <c r="A77" s="184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</row>
    <row r="78">
      <c r="A78" s="184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</row>
    <row r="79">
      <c r="A79" s="184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</row>
    <row r="80">
      <c r="A80" s="184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</row>
    <row r="81">
      <c r="A81" s="184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</row>
    <row r="82">
      <c r="A82" s="184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</row>
    <row r="83">
      <c r="A83" s="184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</row>
    <row r="84">
      <c r="A84" s="184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</row>
    <row r="85">
      <c r="A85" s="184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</row>
    <row r="86">
      <c r="A86" s="184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</row>
    <row r="87">
      <c r="A87" s="184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</row>
    <row r="88">
      <c r="A88" s="184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</row>
    <row r="89">
      <c r="A89" s="184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</row>
    <row r="90">
      <c r="A90" s="184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</row>
    <row r="91">
      <c r="A91" s="184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</row>
    <row r="92">
      <c r="A92" s="184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</row>
    <row r="93">
      <c r="A93" s="184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</row>
    <row r="94">
      <c r="A94" s="184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</row>
    <row r="95">
      <c r="A95" s="184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</row>
    <row r="96">
      <c r="A96" s="184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</row>
    <row r="97">
      <c r="A97" s="184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</row>
    <row r="98">
      <c r="A98" s="184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</row>
    <row r="99">
      <c r="A99" s="184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</row>
    <row r="100">
      <c r="A100" s="184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</row>
    <row r="101">
      <c r="A101" s="184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</row>
    <row r="102">
      <c r="A102" s="184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</row>
    <row r="103">
      <c r="A103" s="184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</row>
    <row r="104">
      <c r="A104" s="184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</row>
    <row r="105">
      <c r="A105" s="184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</row>
    <row r="106">
      <c r="A106" s="184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</row>
    <row r="107">
      <c r="A107" s="184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</row>
    <row r="108">
      <c r="A108" s="184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</row>
    <row r="109">
      <c r="A109" s="184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</row>
    <row r="110">
      <c r="A110" s="184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</row>
    <row r="111">
      <c r="A111" s="184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</row>
    <row r="112">
      <c r="A112" s="184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</row>
    <row r="113">
      <c r="A113" s="184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</row>
    <row r="114">
      <c r="A114" s="184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</row>
    <row r="115">
      <c r="A115" s="184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</row>
    <row r="116">
      <c r="A116" s="184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</row>
    <row r="117">
      <c r="A117" s="184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</row>
    <row r="118">
      <c r="A118" s="184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</row>
    <row r="119">
      <c r="A119" s="184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</row>
    <row r="120">
      <c r="A120" s="184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</row>
    <row r="121">
      <c r="A121" s="184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</row>
    <row r="122">
      <c r="A122" s="184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</row>
    <row r="123">
      <c r="A123" s="184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</row>
    <row r="124">
      <c r="A124" s="184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</row>
    <row r="125">
      <c r="A125" s="184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</row>
    <row r="126">
      <c r="A126" s="184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</row>
    <row r="127">
      <c r="A127" s="184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</row>
    <row r="128">
      <c r="A128" s="184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</row>
    <row r="129">
      <c r="A129" s="184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</row>
    <row r="130">
      <c r="A130" s="184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</row>
    <row r="131">
      <c r="A131" s="184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</row>
    <row r="132">
      <c r="A132" s="184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</row>
    <row r="133">
      <c r="A133" s="184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</row>
    <row r="134">
      <c r="A134" s="184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</row>
    <row r="135">
      <c r="A135" s="184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</row>
    <row r="136">
      <c r="A136" s="184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</row>
    <row r="137">
      <c r="A137" s="184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</row>
    <row r="138">
      <c r="A138" s="184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</row>
    <row r="139">
      <c r="A139" s="184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</row>
    <row r="140">
      <c r="A140" s="184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</row>
    <row r="141">
      <c r="A141" s="184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</row>
    <row r="142">
      <c r="A142" s="184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</row>
    <row r="143">
      <c r="A143" s="184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</row>
    <row r="144">
      <c r="A144" s="184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</row>
    <row r="145">
      <c r="A145" s="184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</row>
    <row r="146">
      <c r="A146" s="184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</row>
    <row r="147">
      <c r="A147" s="184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</row>
    <row r="148">
      <c r="A148" s="184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</row>
    <row r="149">
      <c r="A149" s="184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</row>
    <row r="150">
      <c r="A150" s="184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</row>
    <row r="151">
      <c r="A151" s="184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</row>
    <row r="152">
      <c r="A152" s="184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</row>
    <row r="153">
      <c r="A153" s="184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</row>
    <row r="154">
      <c r="A154" s="184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</row>
    <row r="155">
      <c r="A155" s="184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</row>
    <row r="156">
      <c r="A156" s="184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</row>
    <row r="157">
      <c r="A157" s="184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</row>
    <row r="158">
      <c r="A158" s="184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</row>
    <row r="159">
      <c r="A159" s="184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</row>
    <row r="160">
      <c r="A160" s="184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</row>
    <row r="161">
      <c r="A161" s="184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</row>
    <row r="162">
      <c r="A162" s="184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</row>
    <row r="163">
      <c r="A163" s="184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</row>
    <row r="164">
      <c r="A164" s="184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</row>
    <row r="165">
      <c r="A165" s="184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</row>
    <row r="166">
      <c r="A166" s="184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</row>
    <row r="167">
      <c r="A167" s="184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</row>
    <row r="168">
      <c r="A168" s="184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</row>
    <row r="169">
      <c r="A169" s="184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</row>
    <row r="170">
      <c r="A170" s="184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</row>
    <row r="171">
      <c r="A171" s="184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</row>
    <row r="172">
      <c r="A172" s="184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</row>
    <row r="173">
      <c r="A173" s="184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</row>
    <row r="174">
      <c r="A174" s="184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</row>
    <row r="175">
      <c r="A175" s="184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</row>
    <row r="176">
      <c r="A176" s="184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</row>
    <row r="177">
      <c r="A177" s="184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</row>
    <row r="178">
      <c r="A178" s="184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</row>
    <row r="179">
      <c r="A179" s="184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</row>
    <row r="180">
      <c r="A180" s="184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</row>
    <row r="181">
      <c r="A181" s="184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</row>
    <row r="182">
      <c r="A182" s="184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</row>
    <row r="183">
      <c r="A183" s="184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</row>
    <row r="184">
      <c r="A184" s="184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</row>
    <row r="185">
      <c r="A185" s="184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</row>
    <row r="186">
      <c r="A186" s="184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</row>
    <row r="187">
      <c r="A187" s="184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</row>
    <row r="188">
      <c r="A188" s="184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</row>
    <row r="189">
      <c r="A189" s="184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</row>
    <row r="190">
      <c r="A190" s="184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</row>
    <row r="191">
      <c r="A191" s="184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</row>
    <row r="192">
      <c r="A192" s="184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  <c r="CM192" s="61"/>
    </row>
    <row r="193">
      <c r="A193" s="184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</row>
    <row r="194">
      <c r="A194" s="184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</row>
    <row r="195">
      <c r="A195" s="184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</row>
    <row r="196">
      <c r="A196" s="184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</row>
    <row r="197">
      <c r="A197" s="184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</row>
    <row r="198">
      <c r="A198" s="184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</row>
    <row r="199">
      <c r="A199" s="184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</row>
    <row r="200">
      <c r="A200" s="184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</row>
    <row r="201">
      <c r="A201" s="184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</row>
    <row r="202">
      <c r="A202" s="184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</row>
    <row r="203">
      <c r="A203" s="184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1"/>
      <c r="CG203" s="61"/>
      <c r="CH203" s="61"/>
      <c r="CI203" s="61"/>
      <c r="CJ203" s="61"/>
      <c r="CK203" s="61"/>
      <c r="CL203" s="61"/>
      <c r="CM203" s="61"/>
    </row>
    <row r="204">
      <c r="A204" s="184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</row>
    <row r="205">
      <c r="A205" s="184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</row>
    <row r="206">
      <c r="A206" s="184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</row>
    <row r="207">
      <c r="A207" s="184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61"/>
      <c r="CE207" s="61"/>
      <c r="CF207" s="61"/>
      <c r="CG207" s="61"/>
      <c r="CH207" s="61"/>
      <c r="CI207" s="61"/>
      <c r="CJ207" s="61"/>
      <c r="CK207" s="61"/>
      <c r="CL207" s="61"/>
      <c r="CM207" s="61"/>
    </row>
    <row r="208">
      <c r="A208" s="184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/>
      <c r="CH208" s="61"/>
      <c r="CI208" s="61"/>
      <c r="CJ208" s="61"/>
      <c r="CK208" s="61"/>
      <c r="CL208" s="61"/>
      <c r="CM208" s="61"/>
    </row>
    <row r="209">
      <c r="A209" s="184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</row>
    <row r="210">
      <c r="A210" s="184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</row>
    <row r="211">
      <c r="A211" s="184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</row>
    <row r="212">
      <c r="A212" s="184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</row>
    <row r="213">
      <c r="A213" s="184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</row>
    <row r="214">
      <c r="A214" s="184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</row>
    <row r="215">
      <c r="A215" s="184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</row>
    <row r="216">
      <c r="A216" s="184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</row>
    <row r="217">
      <c r="A217" s="184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1"/>
      <c r="CG217" s="61"/>
      <c r="CH217" s="61"/>
      <c r="CI217" s="61"/>
      <c r="CJ217" s="61"/>
      <c r="CK217" s="61"/>
      <c r="CL217" s="61"/>
      <c r="CM217" s="61"/>
    </row>
    <row r="218">
      <c r="A218" s="184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</row>
    <row r="219">
      <c r="A219" s="184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</row>
    <row r="220">
      <c r="A220" s="184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</row>
    <row r="221">
      <c r="A221" s="184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</row>
    <row r="222">
      <c r="A222" s="184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</row>
    <row r="223">
      <c r="A223" s="184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</row>
    <row r="224">
      <c r="A224" s="184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</row>
    <row r="225">
      <c r="A225" s="184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</row>
    <row r="226">
      <c r="A226" s="184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</row>
    <row r="227">
      <c r="A227" s="184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</row>
    <row r="228">
      <c r="A228" s="184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</row>
    <row r="229">
      <c r="A229" s="184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</row>
    <row r="230">
      <c r="A230" s="184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</row>
    <row r="231">
      <c r="A231" s="184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</row>
    <row r="232">
      <c r="A232" s="184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</row>
    <row r="233">
      <c r="A233" s="184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</row>
    <row r="234">
      <c r="A234" s="184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</row>
    <row r="235">
      <c r="A235" s="184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/>
      <c r="CH235" s="61"/>
      <c r="CI235" s="61"/>
      <c r="CJ235" s="61"/>
      <c r="CK235" s="61"/>
      <c r="CL235" s="61"/>
      <c r="CM235" s="61"/>
    </row>
    <row r="236">
      <c r="A236" s="184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</row>
    <row r="237">
      <c r="A237" s="184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</row>
    <row r="238">
      <c r="A238" s="184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</row>
    <row r="239">
      <c r="A239" s="184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</row>
    <row r="240">
      <c r="A240" s="184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</row>
    <row r="241">
      <c r="A241" s="184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</row>
    <row r="242">
      <c r="A242" s="184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</row>
    <row r="243">
      <c r="A243" s="184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</row>
    <row r="244">
      <c r="A244" s="184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</row>
    <row r="245">
      <c r="A245" s="184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</row>
    <row r="246">
      <c r="A246" s="184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</row>
    <row r="247">
      <c r="A247" s="184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</row>
    <row r="248">
      <c r="A248" s="184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</row>
    <row r="249">
      <c r="A249" s="184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</row>
    <row r="250">
      <c r="A250" s="184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</row>
    <row r="251">
      <c r="A251" s="184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</row>
    <row r="252">
      <c r="A252" s="184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</row>
    <row r="253">
      <c r="A253" s="184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</row>
    <row r="254">
      <c r="A254" s="184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</row>
    <row r="255">
      <c r="A255" s="184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</row>
    <row r="256">
      <c r="A256" s="184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</row>
    <row r="257">
      <c r="A257" s="184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</row>
    <row r="258">
      <c r="A258" s="184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</row>
    <row r="259">
      <c r="A259" s="184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</row>
    <row r="260">
      <c r="A260" s="184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</row>
    <row r="261">
      <c r="A261" s="184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1"/>
      <c r="CG261" s="61"/>
      <c r="CH261" s="61"/>
      <c r="CI261" s="61"/>
      <c r="CJ261" s="61"/>
      <c r="CK261" s="61"/>
      <c r="CL261" s="61"/>
      <c r="CM261" s="61"/>
    </row>
    <row r="262">
      <c r="A262" s="184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</row>
    <row r="263">
      <c r="A263" s="184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</row>
    <row r="264">
      <c r="A264" s="184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</row>
    <row r="265">
      <c r="A265" s="184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1"/>
      <c r="CG265" s="61"/>
      <c r="CH265" s="61"/>
      <c r="CI265" s="61"/>
      <c r="CJ265" s="61"/>
      <c r="CK265" s="61"/>
      <c r="CL265" s="61"/>
      <c r="CM265" s="61"/>
    </row>
    <row r="266">
      <c r="A266" s="184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</row>
    <row r="267">
      <c r="A267" s="184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</row>
    <row r="268">
      <c r="A268" s="184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</row>
    <row r="269">
      <c r="A269" s="184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1"/>
      <c r="CG269" s="61"/>
      <c r="CH269" s="61"/>
      <c r="CI269" s="61"/>
      <c r="CJ269" s="61"/>
      <c r="CK269" s="61"/>
      <c r="CL269" s="61"/>
      <c r="CM269" s="61"/>
    </row>
    <row r="270">
      <c r="A270" s="184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61"/>
      <c r="CE270" s="61"/>
      <c r="CF270" s="61"/>
      <c r="CG270" s="61"/>
      <c r="CH270" s="61"/>
      <c r="CI270" s="61"/>
      <c r="CJ270" s="61"/>
      <c r="CK270" s="61"/>
      <c r="CL270" s="61"/>
      <c r="CM270" s="61"/>
    </row>
    <row r="271">
      <c r="A271" s="184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</row>
    <row r="272">
      <c r="A272" s="184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</row>
    <row r="273">
      <c r="A273" s="184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</row>
    <row r="274">
      <c r="A274" s="184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</row>
    <row r="275">
      <c r="A275" s="184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</row>
    <row r="276">
      <c r="A276" s="184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</row>
    <row r="277">
      <c r="A277" s="184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</row>
    <row r="278">
      <c r="A278" s="184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61"/>
      <c r="CK278" s="61"/>
      <c r="CL278" s="61"/>
      <c r="CM278" s="61"/>
    </row>
    <row r="279">
      <c r="A279" s="184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61"/>
      <c r="CK279" s="61"/>
      <c r="CL279" s="61"/>
      <c r="CM279" s="61"/>
    </row>
    <row r="280">
      <c r="A280" s="184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</row>
    <row r="281">
      <c r="A281" s="184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</row>
    <row r="282">
      <c r="A282" s="184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</row>
    <row r="283">
      <c r="A283" s="184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</row>
    <row r="284">
      <c r="A284" s="184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</row>
    <row r="285">
      <c r="A285" s="184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</row>
    <row r="286">
      <c r="A286" s="184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</row>
    <row r="287">
      <c r="A287" s="184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</row>
    <row r="288">
      <c r="A288" s="184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61"/>
      <c r="CE288" s="61"/>
      <c r="CF288" s="61"/>
      <c r="CG288" s="61"/>
      <c r="CH288" s="61"/>
      <c r="CI288" s="61"/>
      <c r="CJ288" s="61"/>
      <c r="CK288" s="61"/>
      <c r="CL288" s="61"/>
      <c r="CM288" s="61"/>
    </row>
    <row r="289">
      <c r="A289" s="184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</row>
    <row r="290">
      <c r="A290" s="184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</row>
    <row r="291">
      <c r="A291" s="184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61"/>
      <c r="CE291" s="61"/>
      <c r="CF291" s="61"/>
      <c r="CG291" s="61"/>
      <c r="CH291" s="61"/>
      <c r="CI291" s="61"/>
      <c r="CJ291" s="61"/>
      <c r="CK291" s="61"/>
      <c r="CL291" s="61"/>
      <c r="CM291" s="61"/>
    </row>
    <row r="292">
      <c r="A292" s="184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</row>
    <row r="293">
      <c r="A293" s="184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</row>
    <row r="294">
      <c r="A294" s="184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</row>
    <row r="295">
      <c r="A295" s="184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</row>
    <row r="296">
      <c r="A296" s="184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</row>
    <row r="297">
      <c r="A297" s="184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</row>
    <row r="298">
      <c r="A298" s="184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</row>
    <row r="299">
      <c r="A299" s="184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</row>
    <row r="300">
      <c r="A300" s="184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</row>
    <row r="301">
      <c r="A301" s="184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</row>
    <row r="302">
      <c r="A302" s="184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</row>
    <row r="303">
      <c r="A303" s="184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</row>
    <row r="304">
      <c r="A304" s="184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</row>
    <row r="305">
      <c r="A305" s="184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</row>
    <row r="306">
      <c r="A306" s="184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</row>
    <row r="307">
      <c r="A307" s="184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</row>
    <row r="308">
      <c r="A308" s="184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</row>
    <row r="309">
      <c r="A309" s="184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1"/>
      <c r="CL309" s="61"/>
      <c r="CM309" s="61"/>
    </row>
    <row r="310">
      <c r="A310" s="184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</row>
    <row r="311">
      <c r="A311" s="184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</row>
    <row r="312">
      <c r="A312" s="184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1"/>
      <c r="CL312" s="61"/>
      <c r="CM312" s="61"/>
    </row>
    <row r="313">
      <c r="A313" s="184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</row>
    <row r="314">
      <c r="A314" s="184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</row>
    <row r="315">
      <c r="A315" s="184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</row>
    <row r="316">
      <c r="A316" s="184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</row>
    <row r="317">
      <c r="A317" s="184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</row>
    <row r="318">
      <c r="A318" s="184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</row>
    <row r="319">
      <c r="A319" s="184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1"/>
      <c r="CL319" s="61"/>
      <c r="CM319" s="61"/>
    </row>
    <row r="320">
      <c r="A320" s="184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</row>
    <row r="321">
      <c r="A321" s="184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</row>
    <row r="322">
      <c r="A322" s="184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</row>
    <row r="323">
      <c r="A323" s="184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1"/>
      <c r="CL323" s="61"/>
      <c r="CM323" s="61"/>
    </row>
    <row r="324">
      <c r="A324" s="184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</row>
    <row r="325">
      <c r="A325" s="184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</row>
    <row r="326">
      <c r="A326" s="184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</row>
    <row r="327">
      <c r="A327" s="184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</row>
    <row r="328">
      <c r="A328" s="184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</row>
    <row r="329">
      <c r="A329" s="184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</row>
    <row r="330">
      <c r="A330" s="184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</row>
    <row r="331">
      <c r="A331" s="184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</row>
    <row r="332">
      <c r="A332" s="184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1"/>
      <c r="CL332" s="61"/>
      <c r="CM332" s="61"/>
    </row>
    <row r="333">
      <c r="A333" s="184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</row>
    <row r="334">
      <c r="A334" s="184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</row>
    <row r="335">
      <c r="A335" s="184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</row>
    <row r="336">
      <c r="A336" s="184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</row>
    <row r="337">
      <c r="A337" s="184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</row>
    <row r="338">
      <c r="A338" s="184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</row>
    <row r="339">
      <c r="A339" s="184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1"/>
      <c r="CL339" s="61"/>
      <c r="CM339" s="61"/>
    </row>
    <row r="340">
      <c r="A340" s="184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</row>
    <row r="341">
      <c r="A341" s="184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</row>
    <row r="342">
      <c r="A342" s="184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1"/>
      <c r="CL342" s="61"/>
      <c r="CM342" s="61"/>
    </row>
    <row r="343">
      <c r="A343" s="184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</row>
    <row r="344">
      <c r="A344" s="184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</row>
    <row r="345">
      <c r="A345" s="184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</row>
    <row r="346">
      <c r="A346" s="184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</row>
    <row r="347">
      <c r="A347" s="184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</row>
    <row r="348">
      <c r="A348" s="184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1"/>
      <c r="CL348" s="61"/>
      <c r="CM348" s="61"/>
    </row>
    <row r="349">
      <c r="A349" s="184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</row>
    <row r="350">
      <c r="A350" s="184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</row>
    <row r="351">
      <c r="A351" s="184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</row>
    <row r="352">
      <c r="A352" s="184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</row>
    <row r="353">
      <c r="A353" s="184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</row>
    <row r="354">
      <c r="A354" s="184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</row>
    <row r="355">
      <c r="A355" s="184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</row>
    <row r="356">
      <c r="A356" s="184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1"/>
      <c r="CL356" s="61"/>
      <c r="CM356" s="61"/>
    </row>
    <row r="357">
      <c r="A357" s="184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</row>
    <row r="358">
      <c r="A358" s="184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</row>
    <row r="359">
      <c r="A359" s="184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1"/>
      <c r="CK359" s="61"/>
      <c r="CL359" s="61"/>
      <c r="CM359" s="61"/>
    </row>
    <row r="360">
      <c r="A360" s="184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</row>
    <row r="361">
      <c r="A361" s="184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</row>
    <row r="362">
      <c r="A362" s="184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</row>
    <row r="363">
      <c r="A363" s="184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1"/>
      <c r="CL363" s="61"/>
      <c r="CM363" s="61"/>
    </row>
    <row r="364">
      <c r="A364" s="184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1"/>
      <c r="CL364" s="61"/>
      <c r="CM364" s="61"/>
    </row>
    <row r="365">
      <c r="A365" s="184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</row>
    <row r="366">
      <c r="A366" s="184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1"/>
      <c r="CL366" s="61"/>
      <c r="CM366" s="61"/>
    </row>
    <row r="367">
      <c r="A367" s="184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1"/>
      <c r="CL367" s="61"/>
      <c r="CM367" s="61"/>
    </row>
    <row r="368">
      <c r="A368" s="184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1"/>
      <c r="CK368" s="61"/>
      <c r="CL368" s="61"/>
      <c r="CM368" s="61"/>
    </row>
    <row r="369">
      <c r="A369" s="184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</row>
    <row r="370">
      <c r="A370" s="184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1"/>
      <c r="CL370" s="61"/>
      <c r="CM370" s="61"/>
    </row>
    <row r="371">
      <c r="A371" s="184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</row>
    <row r="372">
      <c r="A372" s="184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1"/>
      <c r="CL372" s="61"/>
      <c r="CM372" s="61"/>
    </row>
    <row r="373">
      <c r="A373" s="184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1"/>
      <c r="CL373" s="61"/>
      <c r="CM373" s="61"/>
    </row>
    <row r="374">
      <c r="A374" s="184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1"/>
      <c r="CK374" s="61"/>
      <c r="CL374" s="61"/>
      <c r="CM374" s="61"/>
    </row>
    <row r="375">
      <c r="A375" s="184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1"/>
      <c r="CK375" s="61"/>
      <c r="CL375" s="61"/>
      <c r="CM375" s="61"/>
    </row>
    <row r="376">
      <c r="A376" s="184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</row>
    <row r="377">
      <c r="A377" s="184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1"/>
      <c r="CL377" s="61"/>
      <c r="CM377" s="61"/>
    </row>
    <row r="378">
      <c r="A378" s="184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  <c r="CM378" s="61"/>
    </row>
    <row r="379">
      <c r="A379" s="184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1"/>
      <c r="CL379" s="61"/>
      <c r="CM379" s="61"/>
    </row>
    <row r="380">
      <c r="A380" s="184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1"/>
      <c r="CL380" s="61"/>
      <c r="CM380" s="61"/>
    </row>
    <row r="381">
      <c r="A381" s="184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1"/>
      <c r="CL381" s="61"/>
      <c r="CM381" s="61"/>
    </row>
    <row r="382">
      <c r="A382" s="184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1"/>
      <c r="CK382" s="61"/>
      <c r="CL382" s="61"/>
      <c r="CM382" s="61"/>
    </row>
    <row r="383">
      <c r="A383" s="184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1"/>
      <c r="CL383" s="61"/>
      <c r="CM383" s="61"/>
    </row>
    <row r="384">
      <c r="A384" s="184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1"/>
      <c r="CL384" s="61"/>
      <c r="CM384" s="61"/>
    </row>
    <row r="385">
      <c r="A385" s="184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1"/>
      <c r="CK385" s="61"/>
      <c r="CL385" s="61"/>
      <c r="CM385" s="61"/>
    </row>
    <row r="386">
      <c r="A386" s="184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1"/>
      <c r="CL386" s="61"/>
      <c r="CM386" s="61"/>
    </row>
    <row r="387">
      <c r="A387" s="184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1"/>
      <c r="CL387" s="61"/>
      <c r="CM387" s="61"/>
    </row>
    <row r="388">
      <c r="A388" s="184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1"/>
      <c r="CL388" s="61"/>
      <c r="CM388" s="61"/>
    </row>
    <row r="389">
      <c r="A389" s="184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1"/>
      <c r="CL389" s="61"/>
      <c r="CM389" s="61"/>
    </row>
    <row r="390">
      <c r="A390" s="184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1"/>
      <c r="CL390" s="61"/>
      <c r="CM390" s="61"/>
    </row>
    <row r="391">
      <c r="A391" s="184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1"/>
      <c r="CL391" s="61"/>
      <c r="CM391" s="61"/>
    </row>
    <row r="392">
      <c r="A392" s="184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1"/>
      <c r="CL392" s="61"/>
      <c r="CM392" s="61"/>
    </row>
    <row r="393">
      <c r="A393" s="184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1"/>
      <c r="CL393" s="61"/>
      <c r="CM393" s="61"/>
    </row>
    <row r="394">
      <c r="A394" s="184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1"/>
      <c r="CL394" s="61"/>
      <c r="CM394" s="61"/>
    </row>
    <row r="395">
      <c r="A395" s="184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1"/>
      <c r="CL395" s="61"/>
      <c r="CM395" s="61"/>
    </row>
    <row r="396">
      <c r="A396" s="184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1"/>
      <c r="CL396" s="61"/>
      <c r="CM396" s="61"/>
    </row>
    <row r="397">
      <c r="A397" s="184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1"/>
      <c r="CL397" s="61"/>
      <c r="CM397" s="61"/>
    </row>
    <row r="398">
      <c r="A398" s="184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1"/>
      <c r="CL398" s="61"/>
      <c r="CM398" s="61"/>
    </row>
    <row r="399">
      <c r="A399" s="184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1"/>
      <c r="CL399" s="61"/>
      <c r="CM399" s="61"/>
    </row>
    <row r="400">
      <c r="A400" s="184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1"/>
      <c r="CL400" s="61"/>
      <c r="CM400" s="61"/>
    </row>
    <row r="401">
      <c r="A401" s="184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1"/>
      <c r="CL401" s="61"/>
      <c r="CM401" s="61"/>
    </row>
    <row r="402">
      <c r="A402" s="184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1"/>
      <c r="CL402" s="61"/>
      <c r="CM402" s="61"/>
    </row>
    <row r="403">
      <c r="A403" s="184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</row>
    <row r="404">
      <c r="A404" s="184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</row>
    <row r="405">
      <c r="A405" s="184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1"/>
      <c r="CK405" s="61"/>
      <c r="CL405" s="61"/>
      <c r="CM405" s="61"/>
    </row>
    <row r="406">
      <c r="A406" s="184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1"/>
      <c r="CL406" s="61"/>
      <c r="CM406" s="61"/>
    </row>
    <row r="407">
      <c r="A407" s="184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1"/>
      <c r="CL407" s="61"/>
      <c r="CM407" s="61"/>
    </row>
    <row r="408">
      <c r="A408" s="184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1"/>
      <c r="CL408" s="61"/>
      <c r="CM408" s="61"/>
    </row>
    <row r="409">
      <c r="A409" s="184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  <c r="CM409" s="61"/>
    </row>
    <row r="410">
      <c r="A410" s="184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1"/>
      <c r="CL410" s="61"/>
      <c r="CM410" s="61"/>
    </row>
    <row r="411">
      <c r="A411" s="184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1"/>
      <c r="CL411" s="61"/>
      <c r="CM411" s="61"/>
    </row>
    <row r="412">
      <c r="A412" s="184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1"/>
      <c r="CL412" s="61"/>
      <c r="CM412" s="61"/>
    </row>
    <row r="413">
      <c r="A413" s="184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1"/>
      <c r="CL413" s="61"/>
      <c r="CM413" s="61"/>
    </row>
    <row r="414">
      <c r="A414" s="184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</row>
    <row r="415">
      <c r="A415" s="184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1"/>
      <c r="CL415" s="61"/>
      <c r="CM415" s="61"/>
    </row>
    <row r="416">
      <c r="A416" s="184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  <c r="CD416" s="61"/>
      <c r="CE416" s="61"/>
      <c r="CF416" s="61"/>
      <c r="CG416" s="61"/>
      <c r="CH416" s="61"/>
      <c r="CI416" s="61"/>
      <c r="CJ416" s="61"/>
      <c r="CK416" s="61"/>
      <c r="CL416" s="61"/>
      <c r="CM416" s="61"/>
    </row>
    <row r="417">
      <c r="A417" s="184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1"/>
      <c r="CL417" s="61"/>
      <c r="CM417" s="61"/>
    </row>
    <row r="418">
      <c r="A418" s="184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1"/>
      <c r="CL418" s="61"/>
      <c r="CM418" s="61"/>
    </row>
    <row r="419">
      <c r="A419" s="184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1"/>
      <c r="CL419" s="61"/>
      <c r="CM419" s="61"/>
    </row>
    <row r="420">
      <c r="A420" s="184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1"/>
      <c r="CL420" s="61"/>
      <c r="CM420" s="61"/>
    </row>
    <row r="421">
      <c r="A421" s="184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1"/>
      <c r="CK421" s="61"/>
      <c r="CL421" s="61"/>
      <c r="CM421" s="61"/>
    </row>
    <row r="422">
      <c r="A422" s="184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</row>
    <row r="423">
      <c r="A423" s="184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</row>
    <row r="424">
      <c r="A424" s="184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</row>
    <row r="425">
      <c r="A425" s="184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</row>
    <row r="426">
      <c r="A426" s="184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</row>
    <row r="427">
      <c r="A427" s="184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</row>
    <row r="428">
      <c r="A428" s="184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</row>
    <row r="429">
      <c r="A429" s="184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</row>
    <row r="430">
      <c r="A430" s="184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</row>
    <row r="431">
      <c r="A431" s="184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1"/>
      <c r="CL431" s="61"/>
      <c r="CM431" s="61"/>
    </row>
    <row r="432">
      <c r="A432" s="184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</row>
    <row r="433">
      <c r="A433" s="184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</row>
    <row r="434">
      <c r="A434" s="184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</row>
    <row r="435">
      <c r="A435" s="184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</row>
    <row r="436">
      <c r="A436" s="184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</row>
    <row r="437">
      <c r="A437" s="184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</row>
    <row r="438">
      <c r="A438" s="184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</row>
    <row r="439">
      <c r="A439" s="184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</row>
    <row r="440">
      <c r="A440" s="184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</row>
    <row r="441">
      <c r="A441" s="184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  <c r="CM441" s="61"/>
    </row>
    <row r="442">
      <c r="A442" s="184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1"/>
      <c r="CL442" s="61"/>
      <c r="CM442" s="61"/>
    </row>
    <row r="443">
      <c r="A443" s="184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1"/>
      <c r="CL443" s="61"/>
      <c r="CM443" s="61"/>
    </row>
    <row r="444">
      <c r="A444" s="184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1"/>
      <c r="CK444" s="61"/>
      <c r="CL444" s="61"/>
      <c r="CM444" s="61"/>
    </row>
    <row r="445">
      <c r="A445" s="184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</row>
    <row r="446">
      <c r="A446" s="184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1"/>
      <c r="CL446" s="61"/>
      <c r="CM446" s="61"/>
    </row>
    <row r="447">
      <c r="A447" s="184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1"/>
      <c r="CL447" s="61"/>
      <c r="CM447" s="61"/>
    </row>
    <row r="448">
      <c r="A448" s="184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</row>
    <row r="449">
      <c r="A449" s="184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1"/>
      <c r="CL449" s="61"/>
      <c r="CM449" s="61"/>
    </row>
    <row r="450">
      <c r="A450" s="184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1"/>
      <c r="CL450" s="61"/>
      <c r="CM450" s="61"/>
    </row>
    <row r="451">
      <c r="A451" s="184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1"/>
      <c r="CL451" s="61"/>
      <c r="CM451" s="61"/>
    </row>
    <row r="452">
      <c r="A452" s="184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1"/>
      <c r="CL452" s="61"/>
      <c r="CM452" s="61"/>
    </row>
    <row r="453">
      <c r="A453" s="184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1"/>
      <c r="CL453" s="61"/>
      <c r="CM453" s="61"/>
    </row>
    <row r="454">
      <c r="A454" s="184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1"/>
      <c r="CL454" s="61"/>
      <c r="CM454" s="61"/>
    </row>
    <row r="455">
      <c r="A455" s="184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1"/>
      <c r="CL455" s="61"/>
      <c r="CM455" s="61"/>
    </row>
    <row r="456">
      <c r="A456" s="184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1"/>
      <c r="CL456" s="61"/>
      <c r="CM456" s="61"/>
    </row>
    <row r="457">
      <c r="A457" s="184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1"/>
      <c r="CL457" s="61"/>
      <c r="CM457" s="61"/>
    </row>
    <row r="458">
      <c r="A458" s="184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1"/>
      <c r="CL458" s="61"/>
      <c r="CM458" s="61"/>
    </row>
    <row r="459">
      <c r="A459" s="184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1"/>
      <c r="CL459" s="61"/>
      <c r="CM459" s="61"/>
    </row>
    <row r="460">
      <c r="A460" s="184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1"/>
      <c r="CL460" s="61"/>
      <c r="CM460" s="61"/>
    </row>
    <row r="461">
      <c r="A461" s="184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1"/>
      <c r="CL461" s="61"/>
      <c r="CM461" s="61"/>
    </row>
    <row r="462">
      <c r="A462" s="184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1"/>
      <c r="CK462" s="61"/>
      <c r="CL462" s="61"/>
      <c r="CM462" s="61"/>
    </row>
    <row r="463">
      <c r="A463" s="184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1"/>
      <c r="CL463" s="61"/>
      <c r="CM463" s="61"/>
    </row>
    <row r="464">
      <c r="A464" s="184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1"/>
      <c r="CL464" s="61"/>
      <c r="CM464" s="61"/>
    </row>
    <row r="465">
      <c r="A465" s="184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1"/>
      <c r="CL465" s="61"/>
      <c r="CM465" s="61"/>
    </row>
    <row r="466">
      <c r="A466" s="184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1"/>
      <c r="CL466" s="61"/>
      <c r="CM466" s="61"/>
    </row>
    <row r="467">
      <c r="A467" s="184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1"/>
      <c r="CL467" s="61"/>
      <c r="CM467" s="61"/>
    </row>
    <row r="468">
      <c r="A468" s="184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1"/>
      <c r="CL468" s="61"/>
      <c r="CM468" s="61"/>
    </row>
    <row r="469">
      <c r="A469" s="184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1"/>
      <c r="CL469" s="61"/>
      <c r="CM469" s="61"/>
    </row>
    <row r="470">
      <c r="A470" s="184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</row>
    <row r="471">
      <c r="A471" s="184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1"/>
      <c r="CL471" s="61"/>
      <c r="CM471" s="61"/>
    </row>
    <row r="472">
      <c r="A472" s="184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1"/>
      <c r="CL472" s="61"/>
      <c r="CM472" s="61"/>
    </row>
    <row r="473">
      <c r="A473" s="184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1"/>
      <c r="CL473" s="61"/>
      <c r="CM473" s="61"/>
    </row>
    <row r="474">
      <c r="A474" s="184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1"/>
      <c r="CL474" s="61"/>
      <c r="CM474" s="61"/>
    </row>
    <row r="475">
      <c r="A475" s="184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1"/>
      <c r="CL475" s="61"/>
      <c r="CM475" s="61"/>
    </row>
    <row r="476">
      <c r="A476" s="184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1"/>
      <c r="CL476" s="61"/>
      <c r="CM476" s="61"/>
    </row>
    <row r="477">
      <c r="A477" s="184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1"/>
      <c r="CL477" s="61"/>
      <c r="CM477" s="61"/>
    </row>
    <row r="478">
      <c r="A478" s="184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1"/>
      <c r="CL478" s="61"/>
      <c r="CM478" s="61"/>
    </row>
    <row r="479">
      <c r="A479" s="184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1"/>
      <c r="CL479" s="61"/>
      <c r="CM479" s="61"/>
    </row>
    <row r="480">
      <c r="A480" s="184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1"/>
      <c r="CL480" s="61"/>
      <c r="CM480" s="61"/>
    </row>
    <row r="481">
      <c r="A481" s="184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1"/>
      <c r="CL481" s="61"/>
      <c r="CM481" s="61"/>
    </row>
    <row r="482">
      <c r="A482" s="184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1"/>
      <c r="CL482" s="61"/>
      <c r="CM482" s="61"/>
    </row>
    <row r="483">
      <c r="A483" s="184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1"/>
      <c r="CL483" s="61"/>
      <c r="CM483" s="61"/>
    </row>
    <row r="484">
      <c r="A484" s="184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1"/>
      <c r="CK484" s="61"/>
      <c r="CL484" s="61"/>
      <c r="CM484" s="61"/>
    </row>
    <row r="485">
      <c r="A485" s="184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1"/>
      <c r="CL485" s="61"/>
      <c r="CM485" s="61"/>
    </row>
    <row r="486">
      <c r="A486" s="184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</row>
    <row r="487">
      <c r="A487" s="184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1"/>
      <c r="CL487" s="61"/>
      <c r="CM487" s="61"/>
    </row>
    <row r="488">
      <c r="A488" s="184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1"/>
      <c r="CK488" s="61"/>
      <c r="CL488" s="61"/>
      <c r="CM488" s="61"/>
    </row>
    <row r="489">
      <c r="A489" s="184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1"/>
      <c r="CL489" s="61"/>
      <c r="CM489" s="61"/>
    </row>
    <row r="490">
      <c r="A490" s="184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1"/>
      <c r="CL490" s="61"/>
      <c r="CM490" s="61"/>
    </row>
    <row r="491">
      <c r="A491" s="184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1"/>
      <c r="CL491" s="61"/>
      <c r="CM491" s="61"/>
    </row>
    <row r="492">
      <c r="A492" s="184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1"/>
      <c r="CL492" s="61"/>
      <c r="CM492" s="61"/>
    </row>
    <row r="493">
      <c r="A493" s="184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1"/>
      <c r="CL493" s="61"/>
      <c r="CM493" s="61"/>
    </row>
    <row r="494">
      <c r="A494" s="184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</row>
    <row r="495">
      <c r="A495" s="184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1"/>
      <c r="CL495" s="61"/>
      <c r="CM495" s="61"/>
    </row>
    <row r="496">
      <c r="A496" s="184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1"/>
      <c r="CK496" s="61"/>
      <c r="CL496" s="61"/>
      <c r="CM496" s="61"/>
    </row>
    <row r="497">
      <c r="A497" s="184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1"/>
      <c r="CL497" s="61"/>
      <c r="CM497" s="61"/>
    </row>
    <row r="498">
      <c r="A498" s="184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1"/>
      <c r="CL498" s="61"/>
      <c r="CM498" s="61"/>
    </row>
    <row r="499">
      <c r="A499" s="184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1"/>
      <c r="CL499" s="61"/>
      <c r="CM499" s="61"/>
    </row>
    <row r="500">
      <c r="A500" s="184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1"/>
      <c r="CL500" s="61"/>
      <c r="CM500" s="61"/>
    </row>
    <row r="501">
      <c r="A501" s="184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  <c r="CM501" s="61"/>
    </row>
    <row r="502">
      <c r="A502" s="184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</row>
    <row r="503">
      <c r="A503" s="184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1"/>
      <c r="CL503" s="61"/>
      <c r="CM503" s="61"/>
    </row>
    <row r="504">
      <c r="A504" s="184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1"/>
      <c r="CL504" s="61"/>
      <c r="CM504" s="61"/>
    </row>
    <row r="505">
      <c r="A505" s="184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1"/>
      <c r="CL505" s="61"/>
      <c r="CM505" s="61"/>
    </row>
    <row r="506">
      <c r="A506" s="184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1"/>
      <c r="CL506" s="61"/>
      <c r="CM506" s="61"/>
    </row>
    <row r="507">
      <c r="A507" s="184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1"/>
      <c r="CL507" s="61"/>
      <c r="CM507" s="61"/>
    </row>
    <row r="508">
      <c r="A508" s="184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1"/>
      <c r="CL508" s="61"/>
      <c r="CM508" s="61"/>
    </row>
    <row r="509">
      <c r="A509" s="184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1"/>
      <c r="CL509" s="61"/>
      <c r="CM509" s="61"/>
    </row>
    <row r="510">
      <c r="A510" s="184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1"/>
      <c r="CL510" s="61"/>
      <c r="CM510" s="61"/>
    </row>
    <row r="511">
      <c r="A511" s="184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1"/>
      <c r="CL511" s="61"/>
      <c r="CM511" s="61"/>
    </row>
    <row r="512">
      <c r="A512" s="184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1"/>
      <c r="CL512" s="61"/>
      <c r="CM512" s="61"/>
    </row>
    <row r="513">
      <c r="A513" s="184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1"/>
      <c r="CL513" s="61"/>
      <c r="CM513" s="61"/>
    </row>
    <row r="514">
      <c r="A514" s="184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1"/>
      <c r="CL514" s="61"/>
      <c r="CM514" s="61"/>
    </row>
    <row r="515">
      <c r="A515" s="184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1"/>
      <c r="CL515" s="61"/>
      <c r="CM515" s="61"/>
    </row>
    <row r="516">
      <c r="A516" s="184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1"/>
      <c r="CL516" s="61"/>
      <c r="CM516" s="61"/>
    </row>
    <row r="517">
      <c r="A517" s="184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1"/>
      <c r="CK517" s="61"/>
      <c r="CL517" s="61"/>
      <c r="CM517" s="61"/>
    </row>
    <row r="518">
      <c r="A518" s="184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1"/>
      <c r="CL518" s="61"/>
      <c r="CM518" s="61"/>
    </row>
    <row r="519">
      <c r="A519" s="184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1"/>
      <c r="CL519" s="61"/>
      <c r="CM519" s="61"/>
    </row>
    <row r="520">
      <c r="A520" s="184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1"/>
      <c r="CL520" s="61"/>
      <c r="CM520" s="61"/>
    </row>
    <row r="521">
      <c r="A521" s="184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1"/>
      <c r="CL521" s="61"/>
      <c r="CM521" s="61"/>
    </row>
    <row r="522">
      <c r="A522" s="184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1"/>
      <c r="CL522" s="61"/>
      <c r="CM522" s="61"/>
    </row>
    <row r="523">
      <c r="A523" s="184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1"/>
      <c r="CL523" s="61"/>
      <c r="CM523" s="61"/>
    </row>
    <row r="524">
      <c r="A524" s="184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1"/>
      <c r="CL524" s="61"/>
      <c r="CM524" s="61"/>
    </row>
    <row r="525">
      <c r="A525" s="184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1"/>
      <c r="CL525" s="61"/>
      <c r="CM525" s="61"/>
    </row>
    <row r="526">
      <c r="A526" s="184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1"/>
      <c r="CL526" s="61"/>
      <c r="CM526" s="61"/>
    </row>
    <row r="527">
      <c r="A527" s="184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1"/>
      <c r="CL527" s="61"/>
      <c r="CM527" s="61"/>
    </row>
    <row r="528">
      <c r="A528" s="184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1"/>
      <c r="CL528" s="61"/>
      <c r="CM528" s="61"/>
    </row>
    <row r="529">
      <c r="A529" s="184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</row>
    <row r="530">
      <c r="A530" s="184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</row>
    <row r="531">
      <c r="A531" s="184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</row>
    <row r="532">
      <c r="A532" s="184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  <c r="CM532" s="61"/>
    </row>
    <row r="533">
      <c r="A533" s="184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  <c r="CD533" s="61"/>
      <c r="CE533" s="61"/>
      <c r="CF533" s="61"/>
      <c r="CG533" s="61"/>
      <c r="CH533" s="61"/>
      <c r="CI533" s="61"/>
      <c r="CJ533" s="61"/>
      <c r="CK533" s="61"/>
      <c r="CL533" s="61"/>
      <c r="CM533" s="61"/>
    </row>
    <row r="534">
      <c r="A534" s="184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  <c r="CD534" s="61"/>
      <c r="CE534" s="61"/>
      <c r="CF534" s="61"/>
      <c r="CG534" s="61"/>
      <c r="CH534" s="61"/>
      <c r="CI534" s="61"/>
      <c r="CJ534" s="61"/>
      <c r="CK534" s="61"/>
      <c r="CL534" s="61"/>
      <c r="CM534" s="61"/>
    </row>
    <row r="535">
      <c r="A535" s="184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  <c r="CD535" s="61"/>
      <c r="CE535" s="61"/>
      <c r="CF535" s="61"/>
      <c r="CG535" s="61"/>
      <c r="CH535" s="61"/>
      <c r="CI535" s="61"/>
      <c r="CJ535" s="61"/>
      <c r="CK535" s="61"/>
      <c r="CL535" s="61"/>
      <c r="CM535" s="61"/>
    </row>
    <row r="536">
      <c r="A536" s="184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  <c r="CD536" s="61"/>
      <c r="CE536" s="61"/>
      <c r="CF536" s="61"/>
      <c r="CG536" s="61"/>
      <c r="CH536" s="61"/>
      <c r="CI536" s="61"/>
      <c r="CJ536" s="61"/>
      <c r="CK536" s="61"/>
      <c r="CL536" s="61"/>
      <c r="CM536" s="61"/>
    </row>
    <row r="537">
      <c r="A537" s="184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  <c r="CD537" s="61"/>
      <c r="CE537" s="61"/>
      <c r="CF537" s="61"/>
      <c r="CG537" s="61"/>
      <c r="CH537" s="61"/>
      <c r="CI537" s="61"/>
      <c r="CJ537" s="61"/>
      <c r="CK537" s="61"/>
      <c r="CL537" s="61"/>
      <c r="CM537" s="61"/>
    </row>
    <row r="538">
      <c r="A538" s="184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  <c r="CD538" s="61"/>
      <c r="CE538" s="61"/>
      <c r="CF538" s="61"/>
      <c r="CG538" s="61"/>
      <c r="CH538" s="61"/>
      <c r="CI538" s="61"/>
      <c r="CJ538" s="61"/>
      <c r="CK538" s="61"/>
      <c r="CL538" s="61"/>
      <c r="CM538" s="61"/>
    </row>
    <row r="539">
      <c r="A539" s="184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  <c r="BZ539" s="61"/>
      <c r="CA539" s="61"/>
      <c r="CB539" s="61"/>
      <c r="CC539" s="61"/>
      <c r="CD539" s="61"/>
      <c r="CE539" s="61"/>
      <c r="CF539" s="61"/>
      <c r="CG539" s="61"/>
      <c r="CH539" s="61"/>
      <c r="CI539" s="61"/>
      <c r="CJ539" s="61"/>
      <c r="CK539" s="61"/>
      <c r="CL539" s="61"/>
      <c r="CM539" s="61"/>
    </row>
    <row r="540">
      <c r="A540" s="184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  <c r="CD540" s="61"/>
      <c r="CE540" s="61"/>
      <c r="CF540" s="61"/>
      <c r="CG540" s="61"/>
      <c r="CH540" s="61"/>
      <c r="CI540" s="61"/>
      <c r="CJ540" s="61"/>
      <c r="CK540" s="61"/>
      <c r="CL540" s="61"/>
      <c r="CM540" s="61"/>
    </row>
    <row r="541">
      <c r="A541" s="184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  <c r="CD541" s="61"/>
      <c r="CE541" s="61"/>
      <c r="CF541" s="61"/>
      <c r="CG541" s="61"/>
      <c r="CH541" s="61"/>
      <c r="CI541" s="61"/>
      <c r="CJ541" s="61"/>
      <c r="CK541" s="61"/>
      <c r="CL541" s="61"/>
      <c r="CM541" s="61"/>
    </row>
    <row r="542">
      <c r="A542" s="184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  <c r="CD542" s="61"/>
      <c r="CE542" s="61"/>
      <c r="CF542" s="61"/>
      <c r="CG542" s="61"/>
      <c r="CH542" s="61"/>
      <c r="CI542" s="61"/>
      <c r="CJ542" s="61"/>
      <c r="CK542" s="61"/>
      <c r="CL542" s="61"/>
      <c r="CM542" s="61"/>
    </row>
    <row r="543">
      <c r="A543" s="184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  <c r="CD543" s="61"/>
      <c r="CE543" s="61"/>
      <c r="CF543" s="61"/>
      <c r="CG543" s="61"/>
      <c r="CH543" s="61"/>
      <c r="CI543" s="61"/>
      <c r="CJ543" s="61"/>
      <c r="CK543" s="61"/>
      <c r="CL543" s="61"/>
      <c r="CM543" s="61"/>
    </row>
    <row r="544">
      <c r="A544" s="184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  <c r="CD544" s="61"/>
      <c r="CE544" s="61"/>
      <c r="CF544" s="61"/>
      <c r="CG544" s="61"/>
      <c r="CH544" s="61"/>
      <c r="CI544" s="61"/>
      <c r="CJ544" s="61"/>
      <c r="CK544" s="61"/>
      <c r="CL544" s="61"/>
      <c r="CM544" s="61"/>
    </row>
    <row r="545">
      <c r="A545" s="184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  <c r="CD545" s="61"/>
      <c r="CE545" s="61"/>
      <c r="CF545" s="61"/>
      <c r="CG545" s="61"/>
      <c r="CH545" s="61"/>
      <c r="CI545" s="61"/>
      <c r="CJ545" s="61"/>
      <c r="CK545" s="61"/>
      <c r="CL545" s="61"/>
      <c r="CM545" s="61"/>
    </row>
    <row r="546">
      <c r="A546" s="184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  <c r="CD546" s="61"/>
      <c r="CE546" s="61"/>
      <c r="CF546" s="61"/>
      <c r="CG546" s="61"/>
      <c r="CH546" s="61"/>
      <c r="CI546" s="61"/>
      <c r="CJ546" s="61"/>
      <c r="CK546" s="61"/>
      <c r="CL546" s="61"/>
      <c r="CM546" s="61"/>
    </row>
    <row r="547">
      <c r="A547" s="184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  <c r="CD547" s="61"/>
      <c r="CE547" s="61"/>
      <c r="CF547" s="61"/>
      <c r="CG547" s="61"/>
      <c r="CH547" s="61"/>
      <c r="CI547" s="61"/>
      <c r="CJ547" s="61"/>
      <c r="CK547" s="61"/>
      <c r="CL547" s="61"/>
      <c r="CM547" s="61"/>
    </row>
    <row r="548">
      <c r="A548" s="184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  <c r="CD548" s="61"/>
      <c r="CE548" s="61"/>
      <c r="CF548" s="61"/>
      <c r="CG548" s="61"/>
      <c r="CH548" s="61"/>
      <c r="CI548" s="61"/>
      <c r="CJ548" s="61"/>
      <c r="CK548" s="61"/>
      <c r="CL548" s="61"/>
      <c r="CM548" s="61"/>
    </row>
    <row r="549">
      <c r="A549" s="184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  <c r="CD549" s="61"/>
      <c r="CE549" s="61"/>
      <c r="CF549" s="61"/>
      <c r="CG549" s="61"/>
      <c r="CH549" s="61"/>
      <c r="CI549" s="61"/>
      <c r="CJ549" s="61"/>
      <c r="CK549" s="61"/>
      <c r="CL549" s="61"/>
      <c r="CM549" s="61"/>
    </row>
    <row r="550">
      <c r="A550" s="184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  <c r="CD550" s="61"/>
      <c r="CE550" s="61"/>
      <c r="CF550" s="61"/>
      <c r="CG550" s="61"/>
      <c r="CH550" s="61"/>
      <c r="CI550" s="61"/>
      <c r="CJ550" s="61"/>
      <c r="CK550" s="61"/>
      <c r="CL550" s="61"/>
      <c r="CM550" s="61"/>
    </row>
    <row r="551">
      <c r="A551" s="184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  <c r="CD551" s="61"/>
      <c r="CE551" s="61"/>
      <c r="CF551" s="61"/>
      <c r="CG551" s="61"/>
      <c r="CH551" s="61"/>
      <c r="CI551" s="61"/>
      <c r="CJ551" s="61"/>
      <c r="CK551" s="61"/>
      <c r="CL551" s="61"/>
      <c r="CM551" s="61"/>
    </row>
    <row r="552">
      <c r="A552" s="184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  <c r="CD552" s="61"/>
      <c r="CE552" s="61"/>
      <c r="CF552" s="61"/>
      <c r="CG552" s="61"/>
      <c r="CH552" s="61"/>
      <c r="CI552" s="61"/>
      <c r="CJ552" s="61"/>
      <c r="CK552" s="61"/>
      <c r="CL552" s="61"/>
      <c r="CM552" s="61"/>
    </row>
    <row r="553">
      <c r="A553" s="184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  <c r="BZ553" s="61"/>
      <c r="CA553" s="61"/>
      <c r="CB553" s="61"/>
      <c r="CC553" s="61"/>
      <c r="CD553" s="61"/>
      <c r="CE553" s="61"/>
      <c r="CF553" s="61"/>
      <c r="CG553" s="61"/>
      <c r="CH553" s="61"/>
      <c r="CI553" s="61"/>
      <c r="CJ553" s="61"/>
      <c r="CK553" s="61"/>
      <c r="CL553" s="61"/>
      <c r="CM553" s="61"/>
    </row>
    <row r="554">
      <c r="A554" s="184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  <c r="CD554" s="61"/>
      <c r="CE554" s="61"/>
      <c r="CF554" s="61"/>
      <c r="CG554" s="61"/>
      <c r="CH554" s="61"/>
      <c r="CI554" s="61"/>
      <c r="CJ554" s="61"/>
      <c r="CK554" s="61"/>
      <c r="CL554" s="61"/>
      <c r="CM554" s="61"/>
    </row>
    <row r="555">
      <c r="A555" s="184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  <c r="CD555" s="61"/>
      <c r="CE555" s="61"/>
      <c r="CF555" s="61"/>
      <c r="CG555" s="61"/>
      <c r="CH555" s="61"/>
      <c r="CI555" s="61"/>
      <c r="CJ555" s="61"/>
      <c r="CK555" s="61"/>
      <c r="CL555" s="61"/>
      <c r="CM555" s="61"/>
    </row>
    <row r="556">
      <c r="A556" s="184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  <c r="CD556" s="61"/>
      <c r="CE556" s="61"/>
      <c r="CF556" s="61"/>
      <c r="CG556" s="61"/>
      <c r="CH556" s="61"/>
      <c r="CI556" s="61"/>
      <c r="CJ556" s="61"/>
      <c r="CK556" s="61"/>
      <c r="CL556" s="61"/>
      <c r="CM556" s="61"/>
    </row>
    <row r="557">
      <c r="A557" s="184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  <c r="CD557" s="61"/>
      <c r="CE557" s="61"/>
      <c r="CF557" s="61"/>
      <c r="CG557" s="61"/>
      <c r="CH557" s="61"/>
      <c r="CI557" s="61"/>
      <c r="CJ557" s="61"/>
      <c r="CK557" s="61"/>
      <c r="CL557" s="61"/>
      <c r="CM557" s="61"/>
    </row>
    <row r="558">
      <c r="A558" s="184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</row>
    <row r="559">
      <c r="A559" s="184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  <c r="CD559" s="61"/>
      <c r="CE559" s="61"/>
      <c r="CF559" s="61"/>
      <c r="CG559" s="61"/>
      <c r="CH559" s="61"/>
      <c r="CI559" s="61"/>
      <c r="CJ559" s="61"/>
      <c r="CK559" s="61"/>
      <c r="CL559" s="61"/>
      <c r="CM559" s="61"/>
    </row>
    <row r="560">
      <c r="A560" s="184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  <c r="CD560" s="61"/>
      <c r="CE560" s="61"/>
      <c r="CF560" s="61"/>
      <c r="CG560" s="61"/>
      <c r="CH560" s="61"/>
      <c r="CI560" s="61"/>
      <c r="CJ560" s="61"/>
      <c r="CK560" s="61"/>
      <c r="CL560" s="61"/>
      <c r="CM560" s="61"/>
    </row>
    <row r="561">
      <c r="A561" s="184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  <c r="CD561" s="61"/>
      <c r="CE561" s="61"/>
      <c r="CF561" s="61"/>
      <c r="CG561" s="61"/>
      <c r="CH561" s="61"/>
      <c r="CI561" s="61"/>
      <c r="CJ561" s="61"/>
      <c r="CK561" s="61"/>
      <c r="CL561" s="61"/>
      <c r="CM561" s="61"/>
    </row>
    <row r="562">
      <c r="A562" s="184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61"/>
      <c r="CD562" s="61"/>
      <c r="CE562" s="61"/>
      <c r="CF562" s="61"/>
      <c r="CG562" s="61"/>
      <c r="CH562" s="61"/>
      <c r="CI562" s="61"/>
      <c r="CJ562" s="61"/>
      <c r="CK562" s="61"/>
      <c r="CL562" s="61"/>
      <c r="CM562" s="61"/>
    </row>
    <row r="563">
      <c r="A563" s="184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  <c r="CM563" s="61"/>
    </row>
    <row r="564">
      <c r="A564" s="184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</row>
    <row r="565">
      <c r="A565" s="184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  <c r="CD565" s="61"/>
      <c r="CE565" s="61"/>
      <c r="CF565" s="61"/>
      <c r="CG565" s="61"/>
      <c r="CH565" s="61"/>
      <c r="CI565" s="61"/>
      <c r="CJ565" s="61"/>
      <c r="CK565" s="61"/>
      <c r="CL565" s="61"/>
      <c r="CM565" s="61"/>
    </row>
    <row r="566">
      <c r="A566" s="184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  <c r="CD566" s="61"/>
      <c r="CE566" s="61"/>
      <c r="CF566" s="61"/>
      <c r="CG566" s="61"/>
      <c r="CH566" s="61"/>
      <c r="CI566" s="61"/>
      <c r="CJ566" s="61"/>
      <c r="CK566" s="61"/>
      <c r="CL566" s="61"/>
      <c r="CM566" s="61"/>
    </row>
    <row r="567">
      <c r="A567" s="184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  <c r="CD567" s="61"/>
      <c r="CE567" s="61"/>
      <c r="CF567" s="61"/>
      <c r="CG567" s="61"/>
      <c r="CH567" s="61"/>
      <c r="CI567" s="61"/>
      <c r="CJ567" s="61"/>
      <c r="CK567" s="61"/>
      <c r="CL567" s="61"/>
      <c r="CM567" s="61"/>
    </row>
    <row r="568">
      <c r="A568" s="184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  <c r="CD568" s="61"/>
      <c r="CE568" s="61"/>
      <c r="CF568" s="61"/>
      <c r="CG568" s="61"/>
      <c r="CH568" s="61"/>
      <c r="CI568" s="61"/>
      <c r="CJ568" s="61"/>
      <c r="CK568" s="61"/>
      <c r="CL568" s="61"/>
      <c r="CM568" s="61"/>
    </row>
    <row r="569">
      <c r="A569" s="184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  <c r="CD569" s="61"/>
      <c r="CE569" s="61"/>
      <c r="CF569" s="61"/>
      <c r="CG569" s="61"/>
      <c r="CH569" s="61"/>
      <c r="CI569" s="61"/>
      <c r="CJ569" s="61"/>
      <c r="CK569" s="61"/>
      <c r="CL569" s="61"/>
      <c r="CM569" s="61"/>
    </row>
    <row r="570">
      <c r="A570" s="184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  <c r="CD570" s="61"/>
      <c r="CE570" s="61"/>
      <c r="CF570" s="61"/>
      <c r="CG570" s="61"/>
      <c r="CH570" s="61"/>
      <c r="CI570" s="61"/>
      <c r="CJ570" s="61"/>
      <c r="CK570" s="61"/>
      <c r="CL570" s="61"/>
      <c r="CM570" s="61"/>
    </row>
    <row r="571">
      <c r="A571" s="184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  <c r="CD571" s="61"/>
      <c r="CE571" s="61"/>
      <c r="CF571" s="61"/>
      <c r="CG571" s="61"/>
      <c r="CH571" s="61"/>
      <c r="CI571" s="61"/>
      <c r="CJ571" s="61"/>
      <c r="CK571" s="61"/>
      <c r="CL571" s="61"/>
      <c r="CM571" s="61"/>
    </row>
    <row r="572">
      <c r="A572" s="184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  <c r="CD572" s="61"/>
      <c r="CE572" s="61"/>
      <c r="CF572" s="61"/>
      <c r="CG572" s="61"/>
      <c r="CH572" s="61"/>
      <c r="CI572" s="61"/>
      <c r="CJ572" s="61"/>
      <c r="CK572" s="61"/>
      <c r="CL572" s="61"/>
      <c r="CM572" s="61"/>
    </row>
    <row r="573">
      <c r="A573" s="184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  <c r="CD573" s="61"/>
      <c r="CE573" s="61"/>
      <c r="CF573" s="61"/>
      <c r="CG573" s="61"/>
      <c r="CH573" s="61"/>
      <c r="CI573" s="61"/>
      <c r="CJ573" s="61"/>
      <c r="CK573" s="61"/>
      <c r="CL573" s="61"/>
      <c r="CM573" s="61"/>
    </row>
    <row r="574">
      <c r="A574" s="184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  <c r="CD574" s="61"/>
      <c r="CE574" s="61"/>
      <c r="CF574" s="61"/>
      <c r="CG574" s="61"/>
      <c r="CH574" s="61"/>
      <c r="CI574" s="61"/>
      <c r="CJ574" s="61"/>
      <c r="CK574" s="61"/>
      <c r="CL574" s="61"/>
      <c r="CM574" s="61"/>
    </row>
    <row r="575">
      <c r="A575" s="184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  <c r="CD575" s="61"/>
      <c r="CE575" s="61"/>
      <c r="CF575" s="61"/>
      <c r="CG575" s="61"/>
      <c r="CH575" s="61"/>
      <c r="CI575" s="61"/>
      <c r="CJ575" s="61"/>
      <c r="CK575" s="61"/>
      <c r="CL575" s="61"/>
      <c r="CM575" s="61"/>
    </row>
    <row r="576">
      <c r="A576" s="184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</row>
    <row r="577">
      <c r="A577" s="184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</row>
    <row r="578">
      <c r="A578" s="184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  <c r="CD578" s="61"/>
      <c r="CE578" s="61"/>
      <c r="CF578" s="61"/>
      <c r="CG578" s="61"/>
      <c r="CH578" s="61"/>
      <c r="CI578" s="61"/>
      <c r="CJ578" s="61"/>
      <c r="CK578" s="61"/>
      <c r="CL578" s="61"/>
      <c r="CM578" s="61"/>
    </row>
    <row r="579">
      <c r="A579" s="184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  <c r="CD579" s="61"/>
      <c r="CE579" s="61"/>
      <c r="CF579" s="61"/>
      <c r="CG579" s="61"/>
      <c r="CH579" s="61"/>
      <c r="CI579" s="61"/>
      <c r="CJ579" s="61"/>
      <c r="CK579" s="61"/>
      <c r="CL579" s="61"/>
      <c r="CM579" s="61"/>
    </row>
    <row r="580">
      <c r="A580" s="184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  <c r="CD580" s="61"/>
      <c r="CE580" s="61"/>
      <c r="CF580" s="61"/>
      <c r="CG580" s="61"/>
      <c r="CH580" s="61"/>
      <c r="CI580" s="61"/>
      <c r="CJ580" s="61"/>
      <c r="CK580" s="61"/>
      <c r="CL580" s="61"/>
      <c r="CM580" s="61"/>
    </row>
    <row r="581">
      <c r="A581" s="184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  <c r="CD581" s="61"/>
      <c r="CE581" s="61"/>
      <c r="CF581" s="61"/>
      <c r="CG581" s="61"/>
      <c r="CH581" s="61"/>
      <c r="CI581" s="61"/>
      <c r="CJ581" s="61"/>
      <c r="CK581" s="61"/>
      <c r="CL581" s="61"/>
      <c r="CM581" s="61"/>
    </row>
    <row r="582">
      <c r="A582" s="184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  <c r="CD582" s="61"/>
      <c r="CE582" s="61"/>
      <c r="CF582" s="61"/>
      <c r="CG582" s="61"/>
      <c r="CH582" s="61"/>
      <c r="CI582" s="61"/>
      <c r="CJ582" s="61"/>
      <c r="CK582" s="61"/>
      <c r="CL582" s="61"/>
      <c r="CM582" s="61"/>
    </row>
    <row r="583">
      <c r="A583" s="184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  <c r="CD583" s="61"/>
      <c r="CE583" s="61"/>
      <c r="CF583" s="61"/>
      <c r="CG583" s="61"/>
      <c r="CH583" s="61"/>
      <c r="CI583" s="61"/>
      <c r="CJ583" s="61"/>
      <c r="CK583" s="61"/>
      <c r="CL583" s="61"/>
      <c r="CM583" s="61"/>
    </row>
    <row r="584">
      <c r="A584" s="184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  <c r="CD584" s="61"/>
      <c r="CE584" s="61"/>
      <c r="CF584" s="61"/>
      <c r="CG584" s="61"/>
      <c r="CH584" s="61"/>
      <c r="CI584" s="61"/>
      <c r="CJ584" s="61"/>
      <c r="CK584" s="61"/>
      <c r="CL584" s="61"/>
      <c r="CM584" s="61"/>
    </row>
    <row r="585">
      <c r="A585" s="184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  <c r="CD585" s="61"/>
      <c r="CE585" s="61"/>
      <c r="CF585" s="61"/>
      <c r="CG585" s="61"/>
      <c r="CH585" s="61"/>
      <c r="CI585" s="61"/>
      <c r="CJ585" s="61"/>
      <c r="CK585" s="61"/>
      <c r="CL585" s="61"/>
      <c r="CM585" s="61"/>
    </row>
    <row r="586">
      <c r="A586" s="184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  <c r="CD586" s="61"/>
      <c r="CE586" s="61"/>
      <c r="CF586" s="61"/>
      <c r="CG586" s="61"/>
      <c r="CH586" s="61"/>
      <c r="CI586" s="61"/>
      <c r="CJ586" s="61"/>
      <c r="CK586" s="61"/>
      <c r="CL586" s="61"/>
      <c r="CM586" s="61"/>
    </row>
    <row r="587">
      <c r="A587" s="184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  <c r="CD587" s="61"/>
      <c r="CE587" s="61"/>
      <c r="CF587" s="61"/>
      <c r="CG587" s="61"/>
      <c r="CH587" s="61"/>
      <c r="CI587" s="61"/>
      <c r="CJ587" s="61"/>
      <c r="CK587" s="61"/>
      <c r="CL587" s="61"/>
      <c r="CM587" s="61"/>
    </row>
    <row r="588">
      <c r="A588" s="184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  <c r="CD588" s="61"/>
      <c r="CE588" s="61"/>
      <c r="CF588" s="61"/>
      <c r="CG588" s="61"/>
      <c r="CH588" s="61"/>
      <c r="CI588" s="61"/>
      <c r="CJ588" s="61"/>
      <c r="CK588" s="61"/>
      <c r="CL588" s="61"/>
      <c r="CM588" s="61"/>
    </row>
    <row r="589">
      <c r="A589" s="184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  <c r="CD589" s="61"/>
      <c r="CE589" s="61"/>
      <c r="CF589" s="61"/>
      <c r="CG589" s="61"/>
      <c r="CH589" s="61"/>
      <c r="CI589" s="61"/>
      <c r="CJ589" s="61"/>
      <c r="CK589" s="61"/>
      <c r="CL589" s="61"/>
      <c r="CM589" s="61"/>
    </row>
    <row r="590">
      <c r="A590" s="184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  <c r="CD590" s="61"/>
      <c r="CE590" s="61"/>
      <c r="CF590" s="61"/>
      <c r="CG590" s="61"/>
      <c r="CH590" s="61"/>
      <c r="CI590" s="61"/>
      <c r="CJ590" s="61"/>
      <c r="CK590" s="61"/>
      <c r="CL590" s="61"/>
      <c r="CM590" s="61"/>
    </row>
    <row r="591">
      <c r="A591" s="184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</row>
    <row r="592">
      <c r="A592" s="184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  <c r="CD592" s="61"/>
      <c r="CE592" s="61"/>
      <c r="CF592" s="61"/>
      <c r="CG592" s="61"/>
      <c r="CH592" s="61"/>
      <c r="CI592" s="61"/>
      <c r="CJ592" s="61"/>
      <c r="CK592" s="61"/>
      <c r="CL592" s="61"/>
      <c r="CM592" s="61"/>
    </row>
    <row r="593">
      <c r="A593" s="184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  <c r="CD593" s="61"/>
      <c r="CE593" s="61"/>
      <c r="CF593" s="61"/>
      <c r="CG593" s="61"/>
      <c r="CH593" s="61"/>
      <c r="CI593" s="61"/>
      <c r="CJ593" s="61"/>
      <c r="CK593" s="61"/>
      <c r="CL593" s="61"/>
      <c r="CM593" s="61"/>
    </row>
    <row r="594">
      <c r="A594" s="184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  <c r="CM594" s="61"/>
    </row>
    <row r="595">
      <c r="A595" s="184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  <c r="CD595" s="61"/>
      <c r="CE595" s="61"/>
      <c r="CF595" s="61"/>
      <c r="CG595" s="61"/>
      <c r="CH595" s="61"/>
      <c r="CI595" s="61"/>
      <c r="CJ595" s="61"/>
      <c r="CK595" s="61"/>
      <c r="CL595" s="61"/>
      <c r="CM595" s="61"/>
    </row>
    <row r="596">
      <c r="A596" s="184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  <c r="CD596" s="61"/>
      <c r="CE596" s="61"/>
      <c r="CF596" s="61"/>
      <c r="CG596" s="61"/>
      <c r="CH596" s="61"/>
      <c r="CI596" s="61"/>
      <c r="CJ596" s="61"/>
      <c r="CK596" s="61"/>
      <c r="CL596" s="61"/>
      <c r="CM596" s="61"/>
    </row>
    <row r="597">
      <c r="A597" s="184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  <c r="CD597" s="61"/>
      <c r="CE597" s="61"/>
      <c r="CF597" s="61"/>
      <c r="CG597" s="61"/>
      <c r="CH597" s="61"/>
      <c r="CI597" s="61"/>
      <c r="CJ597" s="61"/>
      <c r="CK597" s="61"/>
      <c r="CL597" s="61"/>
      <c r="CM597" s="61"/>
    </row>
    <row r="598">
      <c r="A598" s="184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  <c r="CD598" s="61"/>
      <c r="CE598" s="61"/>
      <c r="CF598" s="61"/>
      <c r="CG598" s="61"/>
      <c r="CH598" s="61"/>
      <c r="CI598" s="61"/>
      <c r="CJ598" s="61"/>
      <c r="CK598" s="61"/>
      <c r="CL598" s="61"/>
      <c r="CM598" s="61"/>
    </row>
    <row r="599">
      <c r="A599" s="184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  <c r="CD599" s="61"/>
      <c r="CE599" s="61"/>
      <c r="CF599" s="61"/>
      <c r="CG599" s="61"/>
      <c r="CH599" s="61"/>
      <c r="CI599" s="61"/>
      <c r="CJ599" s="61"/>
      <c r="CK599" s="61"/>
      <c r="CL599" s="61"/>
      <c r="CM599" s="61"/>
    </row>
    <row r="600">
      <c r="A600" s="184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  <c r="CD600" s="61"/>
      <c r="CE600" s="61"/>
      <c r="CF600" s="61"/>
      <c r="CG600" s="61"/>
      <c r="CH600" s="61"/>
      <c r="CI600" s="61"/>
      <c r="CJ600" s="61"/>
      <c r="CK600" s="61"/>
      <c r="CL600" s="61"/>
      <c r="CM600" s="61"/>
    </row>
    <row r="601">
      <c r="A601" s="184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  <c r="CD601" s="61"/>
      <c r="CE601" s="61"/>
      <c r="CF601" s="61"/>
      <c r="CG601" s="61"/>
      <c r="CH601" s="61"/>
      <c r="CI601" s="61"/>
      <c r="CJ601" s="61"/>
      <c r="CK601" s="61"/>
      <c r="CL601" s="61"/>
      <c r="CM601" s="61"/>
    </row>
    <row r="602">
      <c r="A602" s="184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  <c r="CD602" s="61"/>
      <c r="CE602" s="61"/>
      <c r="CF602" s="61"/>
      <c r="CG602" s="61"/>
      <c r="CH602" s="61"/>
      <c r="CI602" s="61"/>
      <c r="CJ602" s="61"/>
      <c r="CK602" s="61"/>
      <c r="CL602" s="61"/>
      <c r="CM602" s="61"/>
    </row>
    <row r="603">
      <c r="A603" s="184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  <c r="CD603" s="61"/>
      <c r="CE603" s="61"/>
      <c r="CF603" s="61"/>
      <c r="CG603" s="61"/>
      <c r="CH603" s="61"/>
      <c r="CI603" s="61"/>
      <c r="CJ603" s="61"/>
      <c r="CK603" s="61"/>
      <c r="CL603" s="61"/>
      <c r="CM603" s="61"/>
    </row>
    <row r="604">
      <c r="A604" s="184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  <c r="CD604" s="61"/>
      <c r="CE604" s="61"/>
      <c r="CF604" s="61"/>
      <c r="CG604" s="61"/>
      <c r="CH604" s="61"/>
      <c r="CI604" s="61"/>
      <c r="CJ604" s="61"/>
      <c r="CK604" s="61"/>
      <c r="CL604" s="61"/>
      <c r="CM604" s="61"/>
    </row>
    <row r="605">
      <c r="A605" s="184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  <c r="CD605" s="61"/>
      <c r="CE605" s="61"/>
      <c r="CF605" s="61"/>
      <c r="CG605" s="61"/>
      <c r="CH605" s="61"/>
      <c r="CI605" s="61"/>
      <c r="CJ605" s="61"/>
      <c r="CK605" s="61"/>
      <c r="CL605" s="61"/>
      <c r="CM605" s="61"/>
    </row>
    <row r="606">
      <c r="A606" s="184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  <c r="CD606" s="61"/>
      <c r="CE606" s="61"/>
      <c r="CF606" s="61"/>
      <c r="CG606" s="61"/>
      <c r="CH606" s="61"/>
      <c r="CI606" s="61"/>
      <c r="CJ606" s="61"/>
      <c r="CK606" s="61"/>
      <c r="CL606" s="61"/>
      <c r="CM606" s="61"/>
    </row>
    <row r="607">
      <c r="A607" s="184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  <c r="CD607" s="61"/>
      <c r="CE607" s="61"/>
      <c r="CF607" s="61"/>
      <c r="CG607" s="61"/>
      <c r="CH607" s="61"/>
      <c r="CI607" s="61"/>
      <c r="CJ607" s="61"/>
      <c r="CK607" s="61"/>
      <c r="CL607" s="61"/>
      <c r="CM607" s="61"/>
    </row>
    <row r="608">
      <c r="A608" s="184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61"/>
      <c r="CD608" s="61"/>
      <c r="CE608" s="61"/>
      <c r="CF608" s="61"/>
      <c r="CG608" s="61"/>
      <c r="CH608" s="61"/>
      <c r="CI608" s="61"/>
      <c r="CJ608" s="61"/>
      <c r="CK608" s="61"/>
      <c r="CL608" s="61"/>
      <c r="CM608" s="61"/>
    </row>
    <row r="609">
      <c r="A609" s="184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  <c r="CD609" s="61"/>
      <c r="CE609" s="61"/>
      <c r="CF609" s="61"/>
      <c r="CG609" s="61"/>
      <c r="CH609" s="61"/>
      <c r="CI609" s="61"/>
      <c r="CJ609" s="61"/>
      <c r="CK609" s="61"/>
      <c r="CL609" s="61"/>
      <c r="CM609" s="61"/>
    </row>
    <row r="610">
      <c r="A610" s="184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  <c r="CD610" s="61"/>
      <c r="CE610" s="61"/>
      <c r="CF610" s="61"/>
      <c r="CG610" s="61"/>
      <c r="CH610" s="61"/>
      <c r="CI610" s="61"/>
      <c r="CJ610" s="61"/>
      <c r="CK610" s="61"/>
      <c r="CL610" s="61"/>
      <c r="CM610" s="61"/>
    </row>
    <row r="611">
      <c r="A611" s="184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  <c r="CD611" s="61"/>
      <c r="CE611" s="61"/>
      <c r="CF611" s="61"/>
      <c r="CG611" s="61"/>
      <c r="CH611" s="61"/>
      <c r="CI611" s="61"/>
      <c r="CJ611" s="61"/>
      <c r="CK611" s="61"/>
      <c r="CL611" s="61"/>
      <c r="CM611" s="61"/>
    </row>
    <row r="612">
      <c r="A612" s="184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</row>
    <row r="613">
      <c r="A613" s="184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</row>
    <row r="614">
      <c r="A614" s="184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  <c r="CD614" s="61"/>
      <c r="CE614" s="61"/>
      <c r="CF614" s="61"/>
      <c r="CG614" s="61"/>
      <c r="CH614" s="61"/>
      <c r="CI614" s="61"/>
      <c r="CJ614" s="61"/>
      <c r="CK614" s="61"/>
      <c r="CL614" s="61"/>
      <c r="CM614" s="61"/>
    </row>
    <row r="615">
      <c r="A615" s="184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  <c r="CD615" s="61"/>
      <c r="CE615" s="61"/>
      <c r="CF615" s="61"/>
      <c r="CG615" s="61"/>
      <c r="CH615" s="61"/>
      <c r="CI615" s="61"/>
      <c r="CJ615" s="61"/>
      <c r="CK615" s="61"/>
      <c r="CL615" s="61"/>
      <c r="CM615" s="61"/>
    </row>
    <row r="616">
      <c r="A616" s="184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  <c r="CD616" s="61"/>
      <c r="CE616" s="61"/>
      <c r="CF616" s="61"/>
      <c r="CG616" s="61"/>
      <c r="CH616" s="61"/>
      <c r="CI616" s="61"/>
      <c r="CJ616" s="61"/>
      <c r="CK616" s="61"/>
      <c r="CL616" s="61"/>
      <c r="CM616" s="61"/>
    </row>
    <row r="617">
      <c r="A617" s="184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  <c r="CD617" s="61"/>
      <c r="CE617" s="61"/>
      <c r="CF617" s="61"/>
      <c r="CG617" s="61"/>
      <c r="CH617" s="61"/>
      <c r="CI617" s="61"/>
      <c r="CJ617" s="61"/>
      <c r="CK617" s="61"/>
      <c r="CL617" s="61"/>
      <c r="CM617" s="61"/>
    </row>
    <row r="618">
      <c r="A618" s="184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  <c r="CD618" s="61"/>
      <c r="CE618" s="61"/>
      <c r="CF618" s="61"/>
      <c r="CG618" s="61"/>
      <c r="CH618" s="61"/>
      <c r="CI618" s="61"/>
      <c r="CJ618" s="61"/>
      <c r="CK618" s="61"/>
      <c r="CL618" s="61"/>
      <c r="CM618" s="61"/>
    </row>
    <row r="619">
      <c r="A619" s="184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  <c r="CD619" s="61"/>
      <c r="CE619" s="61"/>
      <c r="CF619" s="61"/>
      <c r="CG619" s="61"/>
      <c r="CH619" s="61"/>
      <c r="CI619" s="61"/>
      <c r="CJ619" s="61"/>
      <c r="CK619" s="61"/>
      <c r="CL619" s="61"/>
      <c r="CM619" s="61"/>
    </row>
    <row r="620">
      <c r="A620" s="184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  <c r="CD620" s="61"/>
      <c r="CE620" s="61"/>
      <c r="CF620" s="61"/>
      <c r="CG620" s="61"/>
      <c r="CH620" s="61"/>
      <c r="CI620" s="61"/>
      <c r="CJ620" s="61"/>
      <c r="CK620" s="61"/>
      <c r="CL620" s="61"/>
      <c r="CM620" s="61"/>
    </row>
    <row r="621">
      <c r="A621" s="184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  <c r="CD621" s="61"/>
      <c r="CE621" s="61"/>
      <c r="CF621" s="61"/>
      <c r="CG621" s="61"/>
      <c r="CH621" s="61"/>
      <c r="CI621" s="61"/>
      <c r="CJ621" s="61"/>
      <c r="CK621" s="61"/>
      <c r="CL621" s="61"/>
      <c r="CM621" s="61"/>
    </row>
    <row r="622">
      <c r="A622" s="184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  <c r="CD622" s="61"/>
      <c r="CE622" s="61"/>
      <c r="CF622" s="61"/>
      <c r="CG622" s="61"/>
      <c r="CH622" s="61"/>
      <c r="CI622" s="61"/>
      <c r="CJ622" s="61"/>
      <c r="CK622" s="61"/>
      <c r="CL622" s="61"/>
      <c r="CM622" s="61"/>
    </row>
    <row r="623">
      <c r="A623" s="184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  <c r="CD623" s="61"/>
      <c r="CE623" s="61"/>
      <c r="CF623" s="61"/>
      <c r="CG623" s="61"/>
      <c r="CH623" s="61"/>
      <c r="CI623" s="61"/>
      <c r="CJ623" s="61"/>
      <c r="CK623" s="61"/>
      <c r="CL623" s="61"/>
      <c r="CM623" s="61"/>
    </row>
    <row r="624">
      <c r="A624" s="184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</row>
    <row r="625">
      <c r="A625" s="184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</row>
    <row r="626">
      <c r="A626" s="184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  <c r="CD626" s="61"/>
      <c r="CE626" s="61"/>
      <c r="CF626" s="61"/>
      <c r="CG626" s="61"/>
      <c r="CH626" s="61"/>
      <c r="CI626" s="61"/>
      <c r="CJ626" s="61"/>
      <c r="CK626" s="61"/>
      <c r="CL626" s="61"/>
      <c r="CM626" s="61"/>
    </row>
    <row r="627">
      <c r="A627" s="184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  <c r="CD627" s="61"/>
      <c r="CE627" s="61"/>
      <c r="CF627" s="61"/>
      <c r="CG627" s="61"/>
      <c r="CH627" s="61"/>
      <c r="CI627" s="61"/>
      <c r="CJ627" s="61"/>
      <c r="CK627" s="61"/>
      <c r="CL627" s="61"/>
      <c r="CM627" s="61"/>
    </row>
    <row r="628">
      <c r="A628" s="184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  <c r="CD628" s="61"/>
      <c r="CE628" s="61"/>
      <c r="CF628" s="61"/>
      <c r="CG628" s="61"/>
      <c r="CH628" s="61"/>
      <c r="CI628" s="61"/>
      <c r="CJ628" s="61"/>
      <c r="CK628" s="61"/>
      <c r="CL628" s="61"/>
      <c r="CM628" s="61"/>
    </row>
    <row r="629">
      <c r="A629" s="184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  <c r="CD629" s="61"/>
      <c r="CE629" s="61"/>
      <c r="CF629" s="61"/>
      <c r="CG629" s="61"/>
      <c r="CH629" s="61"/>
      <c r="CI629" s="61"/>
      <c r="CJ629" s="61"/>
      <c r="CK629" s="61"/>
      <c r="CL629" s="61"/>
      <c r="CM629" s="61"/>
    </row>
    <row r="630">
      <c r="A630" s="184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61"/>
      <c r="CD630" s="61"/>
      <c r="CE630" s="61"/>
      <c r="CF630" s="61"/>
      <c r="CG630" s="61"/>
      <c r="CH630" s="61"/>
      <c r="CI630" s="61"/>
      <c r="CJ630" s="61"/>
      <c r="CK630" s="61"/>
      <c r="CL630" s="61"/>
      <c r="CM630" s="61"/>
    </row>
    <row r="631">
      <c r="A631" s="184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  <c r="CD631" s="61"/>
      <c r="CE631" s="61"/>
      <c r="CF631" s="61"/>
      <c r="CG631" s="61"/>
      <c r="CH631" s="61"/>
      <c r="CI631" s="61"/>
      <c r="CJ631" s="61"/>
      <c r="CK631" s="61"/>
      <c r="CL631" s="61"/>
      <c r="CM631" s="61"/>
    </row>
    <row r="632">
      <c r="A632" s="184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  <c r="CD632" s="61"/>
      <c r="CE632" s="61"/>
      <c r="CF632" s="61"/>
      <c r="CG632" s="61"/>
      <c r="CH632" s="61"/>
      <c r="CI632" s="61"/>
      <c r="CJ632" s="61"/>
      <c r="CK632" s="61"/>
      <c r="CL632" s="61"/>
      <c r="CM632" s="61"/>
    </row>
    <row r="633">
      <c r="A633" s="184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  <c r="CD633" s="61"/>
      <c r="CE633" s="61"/>
      <c r="CF633" s="61"/>
      <c r="CG633" s="61"/>
      <c r="CH633" s="61"/>
      <c r="CI633" s="61"/>
      <c r="CJ633" s="61"/>
      <c r="CK633" s="61"/>
      <c r="CL633" s="61"/>
      <c r="CM633" s="61"/>
    </row>
    <row r="634">
      <c r="A634" s="184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  <c r="CD634" s="61"/>
      <c r="CE634" s="61"/>
      <c r="CF634" s="61"/>
      <c r="CG634" s="61"/>
      <c r="CH634" s="61"/>
      <c r="CI634" s="61"/>
      <c r="CJ634" s="61"/>
      <c r="CK634" s="61"/>
      <c r="CL634" s="61"/>
      <c r="CM634" s="61"/>
    </row>
    <row r="635">
      <c r="A635" s="184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  <c r="CD635" s="61"/>
      <c r="CE635" s="61"/>
      <c r="CF635" s="61"/>
      <c r="CG635" s="61"/>
      <c r="CH635" s="61"/>
      <c r="CI635" s="61"/>
      <c r="CJ635" s="61"/>
      <c r="CK635" s="61"/>
      <c r="CL635" s="61"/>
      <c r="CM635" s="61"/>
    </row>
    <row r="636">
      <c r="A636" s="184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  <c r="CD636" s="61"/>
      <c r="CE636" s="61"/>
      <c r="CF636" s="61"/>
      <c r="CG636" s="61"/>
      <c r="CH636" s="61"/>
      <c r="CI636" s="61"/>
      <c r="CJ636" s="61"/>
      <c r="CK636" s="61"/>
      <c r="CL636" s="61"/>
      <c r="CM636" s="61"/>
    </row>
    <row r="637">
      <c r="A637" s="184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</row>
    <row r="638">
      <c r="A638" s="184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</row>
    <row r="639">
      <c r="A639" s="184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  <c r="BZ639" s="61"/>
      <c r="CA639" s="61"/>
      <c r="CB639" s="61"/>
      <c r="CC639" s="61"/>
      <c r="CD639" s="61"/>
      <c r="CE639" s="61"/>
      <c r="CF639" s="61"/>
      <c r="CG639" s="61"/>
      <c r="CH639" s="61"/>
      <c r="CI639" s="61"/>
      <c r="CJ639" s="61"/>
      <c r="CK639" s="61"/>
      <c r="CL639" s="61"/>
      <c r="CM639" s="61"/>
    </row>
    <row r="640">
      <c r="A640" s="184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  <c r="CD640" s="61"/>
      <c r="CE640" s="61"/>
      <c r="CF640" s="61"/>
      <c r="CG640" s="61"/>
      <c r="CH640" s="61"/>
      <c r="CI640" s="61"/>
      <c r="CJ640" s="61"/>
      <c r="CK640" s="61"/>
      <c r="CL640" s="61"/>
      <c r="CM640" s="61"/>
    </row>
    <row r="641">
      <c r="A641" s="184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  <c r="CD641" s="61"/>
      <c r="CE641" s="61"/>
      <c r="CF641" s="61"/>
      <c r="CG641" s="61"/>
      <c r="CH641" s="61"/>
      <c r="CI641" s="61"/>
      <c r="CJ641" s="61"/>
      <c r="CK641" s="61"/>
      <c r="CL641" s="61"/>
      <c r="CM641" s="61"/>
    </row>
    <row r="642">
      <c r="A642" s="184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  <c r="CD642" s="61"/>
      <c r="CE642" s="61"/>
      <c r="CF642" s="61"/>
      <c r="CG642" s="61"/>
      <c r="CH642" s="61"/>
      <c r="CI642" s="61"/>
      <c r="CJ642" s="61"/>
      <c r="CK642" s="61"/>
      <c r="CL642" s="61"/>
      <c r="CM642" s="61"/>
    </row>
    <row r="643">
      <c r="A643" s="184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  <c r="CD643" s="61"/>
      <c r="CE643" s="61"/>
      <c r="CF643" s="61"/>
      <c r="CG643" s="61"/>
      <c r="CH643" s="61"/>
      <c r="CI643" s="61"/>
      <c r="CJ643" s="61"/>
      <c r="CK643" s="61"/>
      <c r="CL643" s="61"/>
      <c r="CM643" s="61"/>
    </row>
    <row r="644">
      <c r="A644" s="184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  <c r="CD644" s="61"/>
      <c r="CE644" s="61"/>
      <c r="CF644" s="61"/>
      <c r="CG644" s="61"/>
      <c r="CH644" s="61"/>
      <c r="CI644" s="61"/>
      <c r="CJ644" s="61"/>
      <c r="CK644" s="61"/>
      <c r="CL644" s="61"/>
      <c r="CM644" s="61"/>
    </row>
    <row r="645">
      <c r="A645" s="184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  <c r="CD645" s="61"/>
      <c r="CE645" s="61"/>
      <c r="CF645" s="61"/>
      <c r="CG645" s="61"/>
      <c r="CH645" s="61"/>
      <c r="CI645" s="61"/>
      <c r="CJ645" s="61"/>
      <c r="CK645" s="61"/>
      <c r="CL645" s="61"/>
      <c r="CM645" s="61"/>
    </row>
    <row r="646">
      <c r="A646" s="184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  <c r="CD646" s="61"/>
      <c r="CE646" s="61"/>
      <c r="CF646" s="61"/>
      <c r="CG646" s="61"/>
      <c r="CH646" s="61"/>
      <c r="CI646" s="61"/>
      <c r="CJ646" s="61"/>
      <c r="CK646" s="61"/>
      <c r="CL646" s="61"/>
      <c r="CM646" s="61"/>
    </row>
    <row r="647">
      <c r="A647" s="184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  <c r="CD647" s="61"/>
      <c r="CE647" s="61"/>
      <c r="CF647" s="61"/>
      <c r="CG647" s="61"/>
      <c r="CH647" s="61"/>
      <c r="CI647" s="61"/>
      <c r="CJ647" s="61"/>
      <c r="CK647" s="61"/>
      <c r="CL647" s="61"/>
      <c r="CM647" s="61"/>
    </row>
    <row r="648">
      <c r="A648" s="184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  <c r="CD648" s="61"/>
      <c r="CE648" s="61"/>
      <c r="CF648" s="61"/>
      <c r="CG648" s="61"/>
      <c r="CH648" s="61"/>
      <c r="CI648" s="61"/>
      <c r="CJ648" s="61"/>
      <c r="CK648" s="61"/>
      <c r="CL648" s="61"/>
      <c r="CM648" s="61"/>
    </row>
    <row r="649">
      <c r="A649" s="184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  <c r="CD649" s="61"/>
      <c r="CE649" s="61"/>
      <c r="CF649" s="61"/>
      <c r="CG649" s="61"/>
      <c r="CH649" s="61"/>
      <c r="CI649" s="61"/>
      <c r="CJ649" s="61"/>
      <c r="CK649" s="61"/>
      <c r="CL649" s="61"/>
      <c r="CM649" s="61"/>
    </row>
    <row r="650">
      <c r="A650" s="184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  <c r="CD650" s="61"/>
      <c r="CE650" s="61"/>
      <c r="CF650" s="61"/>
      <c r="CG650" s="61"/>
      <c r="CH650" s="61"/>
      <c r="CI650" s="61"/>
      <c r="CJ650" s="61"/>
      <c r="CK650" s="61"/>
      <c r="CL650" s="61"/>
      <c r="CM650" s="61"/>
    </row>
    <row r="651">
      <c r="A651" s="184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  <c r="CD651" s="61"/>
      <c r="CE651" s="61"/>
      <c r="CF651" s="61"/>
      <c r="CG651" s="61"/>
      <c r="CH651" s="61"/>
      <c r="CI651" s="61"/>
      <c r="CJ651" s="61"/>
      <c r="CK651" s="61"/>
      <c r="CL651" s="61"/>
      <c r="CM651" s="61"/>
    </row>
    <row r="652">
      <c r="A652" s="184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  <c r="CD652" s="61"/>
      <c r="CE652" s="61"/>
      <c r="CF652" s="61"/>
      <c r="CG652" s="61"/>
      <c r="CH652" s="61"/>
      <c r="CI652" s="61"/>
      <c r="CJ652" s="61"/>
      <c r="CK652" s="61"/>
      <c r="CL652" s="61"/>
      <c r="CM652" s="61"/>
    </row>
    <row r="653">
      <c r="A653" s="184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  <c r="CD653" s="61"/>
      <c r="CE653" s="61"/>
      <c r="CF653" s="61"/>
      <c r="CG653" s="61"/>
      <c r="CH653" s="61"/>
      <c r="CI653" s="61"/>
      <c r="CJ653" s="61"/>
      <c r="CK653" s="61"/>
      <c r="CL653" s="61"/>
      <c r="CM653" s="61"/>
    </row>
    <row r="654">
      <c r="A654" s="184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  <c r="CD654" s="61"/>
      <c r="CE654" s="61"/>
      <c r="CF654" s="61"/>
      <c r="CG654" s="61"/>
      <c r="CH654" s="61"/>
      <c r="CI654" s="61"/>
      <c r="CJ654" s="61"/>
      <c r="CK654" s="61"/>
      <c r="CL654" s="61"/>
      <c r="CM654" s="61"/>
    </row>
    <row r="655">
      <c r="A655" s="184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  <c r="CD655" s="61"/>
      <c r="CE655" s="61"/>
      <c r="CF655" s="61"/>
      <c r="CG655" s="61"/>
      <c r="CH655" s="61"/>
      <c r="CI655" s="61"/>
      <c r="CJ655" s="61"/>
      <c r="CK655" s="61"/>
      <c r="CL655" s="61"/>
      <c r="CM655" s="61"/>
    </row>
    <row r="656">
      <c r="A656" s="184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  <c r="CM656" s="61"/>
    </row>
    <row r="657">
      <c r="A657" s="184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  <c r="CD657" s="61"/>
      <c r="CE657" s="61"/>
      <c r="CF657" s="61"/>
      <c r="CG657" s="61"/>
      <c r="CH657" s="61"/>
      <c r="CI657" s="61"/>
      <c r="CJ657" s="61"/>
      <c r="CK657" s="61"/>
      <c r="CL657" s="61"/>
      <c r="CM657" s="61"/>
    </row>
    <row r="658">
      <c r="A658" s="184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  <c r="CD658" s="61"/>
      <c r="CE658" s="61"/>
      <c r="CF658" s="61"/>
      <c r="CG658" s="61"/>
      <c r="CH658" s="61"/>
      <c r="CI658" s="61"/>
      <c r="CJ658" s="61"/>
      <c r="CK658" s="61"/>
      <c r="CL658" s="61"/>
      <c r="CM658" s="61"/>
    </row>
    <row r="659">
      <c r="A659" s="184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  <c r="CD659" s="61"/>
      <c r="CE659" s="61"/>
      <c r="CF659" s="61"/>
      <c r="CG659" s="61"/>
      <c r="CH659" s="61"/>
      <c r="CI659" s="61"/>
      <c r="CJ659" s="61"/>
      <c r="CK659" s="61"/>
      <c r="CL659" s="61"/>
      <c r="CM659" s="61"/>
    </row>
    <row r="660">
      <c r="A660" s="184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  <c r="CD660" s="61"/>
      <c r="CE660" s="61"/>
      <c r="CF660" s="61"/>
      <c r="CG660" s="61"/>
      <c r="CH660" s="61"/>
      <c r="CI660" s="61"/>
      <c r="CJ660" s="61"/>
      <c r="CK660" s="61"/>
      <c r="CL660" s="61"/>
      <c r="CM660" s="61"/>
    </row>
    <row r="661">
      <c r="A661" s="184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  <c r="CD661" s="61"/>
      <c r="CE661" s="61"/>
      <c r="CF661" s="61"/>
      <c r="CG661" s="61"/>
      <c r="CH661" s="61"/>
      <c r="CI661" s="61"/>
      <c r="CJ661" s="61"/>
      <c r="CK661" s="61"/>
      <c r="CL661" s="61"/>
      <c r="CM661" s="61"/>
    </row>
    <row r="662">
      <c r="A662" s="184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  <c r="CD662" s="61"/>
      <c r="CE662" s="61"/>
      <c r="CF662" s="61"/>
      <c r="CG662" s="61"/>
      <c r="CH662" s="61"/>
      <c r="CI662" s="61"/>
      <c r="CJ662" s="61"/>
      <c r="CK662" s="61"/>
      <c r="CL662" s="61"/>
      <c r="CM662" s="61"/>
    </row>
    <row r="663">
      <c r="A663" s="184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  <c r="CD663" s="61"/>
      <c r="CE663" s="61"/>
      <c r="CF663" s="61"/>
      <c r="CG663" s="61"/>
      <c r="CH663" s="61"/>
      <c r="CI663" s="61"/>
      <c r="CJ663" s="61"/>
      <c r="CK663" s="61"/>
      <c r="CL663" s="61"/>
      <c r="CM663" s="61"/>
    </row>
    <row r="664">
      <c r="A664" s="184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  <c r="CD664" s="61"/>
      <c r="CE664" s="61"/>
      <c r="CF664" s="61"/>
      <c r="CG664" s="61"/>
      <c r="CH664" s="61"/>
      <c r="CI664" s="61"/>
      <c r="CJ664" s="61"/>
      <c r="CK664" s="61"/>
      <c r="CL664" s="61"/>
      <c r="CM664" s="61"/>
    </row>
    <row r="665">
      <c r="A665" s="184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  <c r="CD665" s="61"/>
      <c r="CE665" s="61"/>
      <c r="CF665" s="61"/>
      <c r="CG665" s="61"/>
      <c r="CH665" s="61"/>
      <c r="CI665" s="61"/>
      <c r="CJ665" s="61"/>
      <c r="CK665" s="61"/>
      <c r="CL665" s="61"/>
      <c r="CM665" s="61"/>
    </row>
    <row r="666">
      <c r="A666" s="184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  <c r="CD666" s="61"/>
      <c r="CE666" s="61"/>
      <c r="CF666" s="61"/>
      <c r="CG666" s="61"/>
      <c r="CH666" s="61"/>
      <c r="CI666" s="61"/>
      <c r="CJ666" s="61"/>
      <c r="CK666" s="61"/>
      <c r="CL666" s="61"/>
      <c r="CM666" s="61"/>
    </row>
    <row r="667">
      <c r="A667" s="184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</row>
    <row r="668">
      <c r="A668" s="184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  <c r="CD668" s="61"/>
      <c r="CE668" s="61"/>
      <c r="CF668" s="61"/>
      <c r="CG668" s="61"/>
      <c r="CH668" s="61"/>
      <c r="CI668" s="61"/>
      <c r="CJ668" s="61"/>
      <c r="CK668" s="61"/>
      <c r="CL668" s="61"/>
      <c r="CM668" s="61"/>
    </row>
    <row r="669">
      <c r="A669" s="184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  <c r="CD669" s="61"/>
      <c r="CE669" s="61"/>
      <c r="CF669" s="61"/>
      <c r="CG669" s="61"/>
      <c r="CH669" s="61"/>
      <c r="CI669" s="61"/>
      <c r="CJ669" s="61"/>
      <c r="CK669" s="61"/>
      <c r="CL669" s="61"/>
      <c r="CM669" s="61"/>
    </row>
    <row r="670">
      <c r="A670" s="184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  <c r="CD670" s="61"/>
      <c r="CE670" s="61"/>
      <c r="CF670" s="61"/>
      <c r="CG670" s="61"/>
      <c r="CH670" s="61"/>
      <c r="CI670" s="61"/>
      <c r="CJ670" s="61"/>
      <c r="CK670" s="61"/>
      <c r="CL670" s="61"/>
      <c r="CM670" s="61"/>
    </row>
    <row r="671">
      <c r="A671" s="184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  <c r="CD671" s="61"/>
      <c r="CE671" s="61"/>
      <c r="CF671" s="61"/>
      <c r="CG671" s="61"/>
      <c r="CH671" s="61"/>
      <c r="CI671" s="61"/>
      <c r="CJ671" s="61"/>
      <c r="CK671" s="61"/>
      <c r="CL671" s="61"/>
      <c r="CM671" s="61"/>
    </row>
    <row r="672">
      <c r="A672" s="184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  <c r="CD672" s="61"/>
      <c r="CE672" s="61"/>
      <c r="CF672" s="61"/>
      <c r="CG672" s="61"/>
      <c r="CH672" s="61"/>
      <c r="CI672" s="61"/>
      <c r="CJ672" s="61"/>
      <c r="CK672" s="61"/>
      <c r="CL672" s="61"/>
      <c r="CM672" s="61"/>
    </row>
    <row r="673">
      <c r="A673" s="184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  <c r="CD673" s="61"/>
      <c r="CE673" s="61"/>
      <c r="CF673" s="61"/>
      <c r="CG673" s="61"/>
      <c r="CH673" s="61"/>
      <c r="CI673" s="61"/>
      <c r="CJ673" s="61"/>
      <c r="CK673" s="61"/>
      <c r="CL673" s="61"/>
      <c r="CM673" s="61"/>
    </row>
    <row r="674">
      <c r="A674" s="184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  <c r="CD674" s="61"/>
      <c r="CE674" s="61"/>
      <c r="CF674" s="61"/>
      <c r="CG674" s="61"/>
      <c r="CH674" s="61"/>
      <c r="CI674" s="61"/>
      <c r="CJ674" s="61"/>
      <c r="CK674" s="61"/>
      <c r="CL674" s="61"/>
      <c r="CM674" s="61"/>
    </row>
    <row r="675">
      <c r="A675" s="184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  <c r="CD675" s="61"/>
      <c r="CE675" s="61"/>
      <c r="CF675" s="61"/>
      <c r="CG675" s="61"/>
      <c r="CH675" s="61"/>
      <c r="CI675" s="61"/>
      <c r="CJ675" s="61"/>
      <c r="CK675" s="61"/>
      <c r="CL675" s="61"/>
      <c r="CM675" s="61"/>
    </row>
    <row r="676">
      <c r="A676" s="184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  <c r="CD676" s="61"/>
      <c r="CE676" s="61"/>
      <c r="CF676" s="61"/>
      <c r="CG676" s="61"/>
      <c r="CH676" s="61"/>
      <c r="CI676" s="61"/>
      <c r="CJ676" s="61"/>
      <c r="CK676" s="61"/>
      <c r="CL676" s="61"/>
      <c r="CM676" s="61"/>
    </row>
    <row r="677">
      <c r="A677" s="184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  <c r="CD677" s="61"/>
      <c r="CE677" s="61"/>
      <c r="CF677" s="61"/>
      <c r="CG677" s="61"/>
      <c r="CH677" s="61"/>
      <c r="CI677" s="61"/>
      <c r="CJ677" s="61"/>
      <c r="CK677" s="61"/>
      <c r="CL677" s="61"/>
      <c r="CM677" s="61"/>
    </row>
    <row r="678">
      <c r="A678" s="184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/>
      <c r="CH678" s="61"/>
      <c r="CI678" s="61"/>
      <c r="CJ678" s="61"/>
      <c r="CK678" s="61"/>
      <c r="CL678" s="61"/>
      <c r="CM678" s="61"/>
    </row>
    <row r="679">
      <c r="A679" s="184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  <c r="CD679" s="61"/>
      <c r="CE679" s="61"/>
      <c r="CF679" s="61"/>
      <c r="CG679" s="61"/>
      <c r="CH679" s="61"/>
      <c r="CI679" s="61"/>
      <c r="CJ679" s="61"/>
      <c r="CK679" s="61"/>
      <c r="CL679" s="61"/>
      <c r="CM679" s="61"/>
    </row>
    <row r="680">
      <c r="A680" s="184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  <c r="CD680" s="61"/>
      <c r="CE680" s="61"/>
      <c r="CF680" s="61"/>
      <c r="CG680" s="61"/>
      <c r="CH680" s="61"/>
      <c r="CI680" s="61"/>
      <c r="CJ680" s="61"/>
      <c r="CK680" s="61"/>
      <c r="CL680" s="61"/>
      <c r="CM680" s="61"/>
    </row>
    <row r="681">
      <c r="A681" s="184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  <c r="CD681" s="61"/>
      <c r="CE681" s="61"/>
      <c r="CF681" s="61"/>
      <c r="CG681" s="61"/>
      <c r="CH681" s="61"/>
      <c r="CI681" s="61"/>
      <c r="CJ681" s="61"/>
      <c r="CK681" s="61"/>
      <c r="CL681" s="61"/>
      <c r="CM681" s="61"/>
    </row>
    <row r="682">
      <c r="A682" s="184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  <c r="CD682" s="61"/>
      <c r="CE682" s="61"/>
      <c r="CF682" s="61"/>
      <c r="CG682" s="61"/>
      <c r="CH682" s="61"/>
      <c r="CI682" s="61"/>
      <c r="CJ682" s="61"/>
      <c r="CK682" s="61"/>
      <c r="CL682" s="61"/>
      <c r="CM682" s="61"/>
    </row>
    <row r="683">
      <c r="A683" s="184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  <c r="CD683" s="61"/>
      <c r="CE683" s="61"/>
      <c r="CF683" s="61"/>
      <c r="CG683" s="61"/>
      <c r="CH683" s="61"/>
      <c r="CI683" s="61"/>
      <c r="CJ683" s="61"/>
      <c r="CK683" s="61"/>
      <c r="CL683" s="61"/>
      <c r="CM683" s="61"/>
    </row>
    <row r="684">
      <c r="A684" s="184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  <c r="CD684" s="61"/>
      <c r="CE684" s="61"/>
      <c r="CF684" s="61"/>
      <c r="CG684" s="61"/>
      <c r="CH684" s="61"/>
      <c r="CI684" s="61"/>
      <c r="CJ684" s="61"/>
      <c r="CK684" s="61"/>
      <c r="CL684" s="61"/>
      <c r="CM684" s="61"/>
    </row>
    <row r="685">
      <c r="A685" s="184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  <c r="CD685" s="61"/>
      <c r="CE685" s="61"/>
      <c r="CF685" s="61"/>
      <c r="CG685" s="61"/>
      <c r="CH685" s="61"/>
      <c r="CI685" s="61"/>
      <c r="CJ685" s="61"/>
      <c r="CK685" s="61"/>
      <c r="CL685" s="61"/>
      <c r="CM685" s="61"/>
    </row>
    <row r="686">
      <c r="A686" s="184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  <c r="CM686" s="61"/>
    </row>
    <row r="687">
      <c r="A687" s="184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  <c r="CD687" s="61"/>
      <c r="CE687" s="61"/>
      <c r="CF687" s="61"/>
      <c r="CG687" s="61"/>
      <c r="CH687" s="61"/>
      <c r="CI687" s="61"/>
      <c r="CJ687" s="61"/>
      <c r="CK687" s="61"/>
      <c r="CL687" s="61"/>
      <c r="CM687" s="61"/>
    </row>
    <row r="688">
      <c r="A688" s="184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  <c r="CD688" s="61"/>
      <c r="CE688" s="61"/>
      <c r="CF688" s="61"/>
      <c r="CG688" s="61"/>
      <c r="CH688" s="61"/>
      <c r="CI688" s="61"/>
      <c r="CJ688" s="61"/>
      <c r="CK688" s="61"/>
      <c r="CL688" s="61"/>
      <c r="CM688" s="61"/>
    </row>
    <row r="689">
      <c r="A689" s="184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  <c r="CD689" s="61"/>
      <c r="CE689" s="61"/>
      <c r="CF689" s="61"/>
      <c r="CG689" s="61"/>
      <c r="CH689" s="61"/>
      <c r="CI689" s="61"/>
      <c r="CJ689" s="61"/>
      <c r="CK689" s="61"/>
      <c r="CL689" s="61"/>
      <c r="CM689" s="61"/>
    </row>
    <row r="690">
      <c r="A690" s="184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  <c r="CD690" s="61"/>
      <c r="CE690" s="61"/>
      <c r="CF690" s="61"/>
      <c r="CG690" s="61"/>
      <c r="CH690" s="61"/>
      <c r="CI690" s="61"/>
      <c r="CJ690" s="61"/>
      <c r="CK690" s="61"/>
      <c r="CL690" s="61"/>
      <c r="CM690" s="61"/>
    </row>
    <row r="691">
      <c r="A691" s="184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  <c r="CD691" s="61"/>
      <c r="CE691" s="61"/>
      <c r="CF691" s="61"/>
      <c r="CG691" s="61"/>
      <c r="CH691" s="61"/>
      <c r="CI691" s="61"/>
      <c r="CJ691" s="61"/>
      <c r="CK691" s="61"/>
      <c r="CL691" s="61"/>
      <c r="CM691" s="61"/>
    </row>
    <row r="692">
      <c r="A692" s="184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  <c r="CD692" s="61"/>
      <c r="CE692" s="61"/>
      <c r="CF692" s="61"/>
      <c r="CG692" s="61"/>
      <c r="CH692" s="61"/>
      <c r="CI692" s="61"/>
      <c r="CJ692" s="61"/>
      <c r="CK692" s="61"/>
      <c r="CL692" s="61"/>
      <c r="CM692" s="61"/>
    </row>
    <row r="693">
      <c r="A693" s="184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  <c r="CD693" s="61"/>
      <c r="CE693" s="61"/>
      <c r="CF693" s="61"/>
      <c r="CG693" s="61"/>
      <c r="CH693" s="61"/>
      <c r="CI693" s="61"/>
      <c r="CJ693" s="61"/>
      <c r="CK693" s="61"/>
      <c r="CL693" s="61"/>
      <c r="CM693" s="61"/>
    </row>
    <row r="694">
      <c r="A694" s="184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  <c r="CD694" s="61"/>
      <c r="CE694" s="61"/>
      <c r="CF694" s="61"/>
      <c r="CG694" s="61"/>
      <c r="CH694" s="61"/>
      <c r="CI694" s="61"/>
      <c r="CJ694" s="61"/>
      <c r="CK694" s="61"/>
      <c r="CL694" s="61"/>
      <c r="CM694" s="61"/>
    </row>
    <row r="695">
      <c r="A695" s="184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</row>
    <row r="696">
      <c r="A696" s="184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</row>
    <row r="697">
      <c r="A697" s="184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  <c r="CD697" s="61"/>
      <c r="CE697" s="61"/>
      <c r="CF697" s="61"/>
      <c r="CG697" s="61"/>
      <c r="CH697" s="61"/>
      <c r="CI697" s="61"/>
      <c r="CJ697" s="61"/>
      <c r="CK697" s="61"/>
      <c r="CL697" s="61"/>
      <c r="CM697" s="61"/>
    </row>
    <row r="698">
      <c r="A698" s="184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  <c r="CD698" s="61"/>
      <c r="CE698" s="61"/>
      <c r="CF698" s="61"/>
      <c r="CG698" s="61"/>
      <c r="CH698" s="61"/>
      <c r="CI698" s="61"/>
      <c r="CJ698" s="61"/>
      <c r="CK698" s="61"/>
      <c r="CL698" s="61"/>
      <c r="CM698" s="61"/>
    </row>
    <row r="699">
      <c r="A699" s="184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</row>
    <row r="700">
      <c r="A700" s="184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</row>
    <row r="701">
      <c r="A701" s="184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</row>
    <row r="702">
      <c r="A702" s="184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  <c r="CD702" s="61"/>
      <c r="CE702" s="61"/>
      <c r="CF702" s="61"/>
      <c r="CG702" s="61"/>
      <c r="CH702" s="61"/>
      <c r="CI702" s="61"/>
      <c r="CJ702" s="61"/>
      <c r="CK702" s="61"/>
      <c r="CL702" s="61"/>
      <c r="CM702" s="61"/>
    </row>
    <row r="703">
      <c r="A703" s="184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  <c r="CD703" s="61"/>
      <c r="CE703" s="61"/>
      <c r="CF703" s="61"/>
      <c r="CG703" s="61"/>
      <c r="CH703" s="61"/>
      <c r="CI703" s="61"/>
      <c r="CJ703" s="61"/>
      <c r="CK703" s="61"/>
      <c r="CL703" s="61"/>
      <c r="CM703" s="61"/>
    </row>
    <row r="704">
      <c r="A704" s="184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  <c r="CD704" s="61"/>
      <c r="CE704" s="61"/>
      <c r="CF704" s="61"/>
      <c r="CG704" s="61"/>
      <c r="CH704" s="61"/>
      <c r="CI704" s="61"/>
      <c r="CJ704" s="61"/>
      <c r="CK704" s="61"/>
      <c r="CL704" s="61"/>
      <c r="CM704" s="61"/>
    </row>
    <row r="705">
      <c r="A705" s="184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  <c r="CD705" s="61"/>
      <c r="CE705" s="61"/>
      <c r="CF705" s="61"/>
      <c r="CG705" s="61"/>
      <c r="CH705" s="61"/>
      <c r="CI705" s="61"/>
      <c r="CJ705" s="61"/>
      <c r="CK705" s="61"/>
      <c r="CL705" s="61"/>
      <c r="CM705" s="61"/>
    </row>
    <row r="706">
      <c r="A706" s="184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  <c r="CD706" s="61"/>
      <c r="CE706" s="61"/>
      <c r="CF706" s="61"/>
      <c r="CG706" s="61"/>
      <c r="CH706" s="61"/>
      <c r="CI706" s="61"/>
      <c r="CJ706" s="61"/>
      <c r="CK706" s="61"/>
      <c r="CL706" s="61"/>
      <c r="CM706" s="61"/>
    </row>
    <row r="707">
      <c r="A707" s="184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  <c r="CD707" s="61"/>
      <c r="CE707" s="61"/>
      <c r="CF707" s="61"/>
      <c r="CG707" s="61"/>
      <c r="CH707" s="61"/>
      <c r="CI707" s="61"/>
      <c r="CJ707" s="61"/>
      <c r="CK707" s="61"/>
      <c r="CL707" s="61"/>
      <c r="CM707" s="61"/>
    </row>
    <row r="708">
      <c r="A708" s="184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  <c r="CD708" s="61"/>
      <c r="CE708" s="61"/>
      <c r="CF708" s="61"/>
      <c r="CG708" s="61"/>
      <c r="CH708" s="61"/>
      <c r="CI708" s="61"/>
      <c r="CJ708" s="61"/>
      <c r="CK708" s="61"/>
      <c r="CL708" s="61"/>
      <c r="CM708" s="61"/>
    </row>
    <row r="709">
      <c r="A709" s="184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  <c r="CD709" s="61"/>
      <c r="CE709" s="61"/>
      <c r="CF709" s="61"/>
      <c r="CG709" s="61"/>
      <c r="CH709" s="61"/>
      <c r="CI709" s="61"/>
      <c r="CJ709" s="61"/>
      <c r="CK709" s="61"/>
      <c r="CL709" s="61"/>
      <c r="CM709" s="61"/>
    </row>
    <row r="710">
      <c r="A710" s="184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  <c r="CD710" s="61"/>
      <c r="CE710" s="61"/>
      <c r="CF710" s="61"/>
      <c r="CG710" s="61"/>
      <c r="CH710" s="61"/>
      <c r="CI710" s="61"/>
      <c r="CJ710" s="61"/>
      <c r="CK710" s="61"/>
      <c r="CL710" s="61"/>
      <c r="CM710" s="61"/>
    </row>
    <row r="711">
      <c r="A711" s="184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  <c r="CD711" s="61"/>
      <c r="CE711" s="61"/>
      <c r="CF711" s="61"/>
      <c r="CG711" s="61"/>
      <c r="CH711" s="61"/>
      <c r="CI711" s="61"/>
      <c r="CJ711" s="61"/>
      <c r="CK711" s="61"/>
      <c r="CL711" s="61"/>
      <c r="CM711" s="61"/>
    </row>
    <row r="712">
      <c r="A712" s="184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  <c r="CD712" s="61"/>
      <c r="CE712" s="61"/>
      <c r="CF712" s="61"/>
      <c r="CG712" s="61"/>
      <c r="CH712" s="61"/>
      <c r="CI712" s="61"/>
      <c r="CJ712" s="61"/>
      <c r="CK712" s="61"/>
      <c r="CL712" s="61"/>
      <c r="CM712" s="61"/>
    </row>
    <row r="713">
      <c r="A713" s="184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  <c r="CD713" s="61"/>
      <c r="CE713" s="61"/>
      <c r="CF713" s="61"/>
      <c r="CG713" s="61"/>
      <c r="CH713" s="61"/>
      <c r="CI713" s="61"/>
      <c r="CJ713" s="61"/>
      <c r="CK713" s="61"/>
      <c r="CL713" s="61"/>
      <c r="CM713" s="61"/>
    </row>
    <row r="714">
      <c r="A714" s="184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  <c r="CD714" s="61"/>
      <c r="CE714" s="61"/>
      <c r="CF714" s="61"/>
      <c r="CG714" s="61"/>
      <c r="CH714" s="61"/>
      <c r="CI714" s="61"/>
      <c r="CJ714" s="61"/>
      <c r="CK714" s="61"/>
      <c r="CL714" s="61"/>
      <c r="CM714" s="61"/>
    </row>
    <row r="715">
      <c r="A715" s="184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  <c r="CD715" s="61"/>
      <c r="CE715" s="61"/>
      <c r="CF715" s="61"/>
      <c r="CG715" s="61"/>
      <c r="CH715" s="61"/>
      <c r="CI715" s="61"/>
      <c r="CJ715" s="61"/>
      <c r="CK715" s="61"/>
      <c r="CL715" s="61"/>
      <c r="CM715" s="61"/>
    </row>
    <row r="716">
      <c r="A716" s="184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  <c r="CD716" s="61"/>
      <c r="CE716" s="61"/>
      <c r="CF716" s="61"/>
      <c r="CG716" s="61"/>
      <c r="CH716" s="61"/>
      <c r="CI716" s="61"/>
      <c r="CJ716" s="61"/>
      <c r="CK716" s="61"/>
      <c r="CL716" s="61"/>
      <c r="CM716" s="61"/>
    </row>
    <row r="717">
      <c r="A717" s="184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  <c r="CM717" s="61"/>
    </row>
    <row r="718">
      <c r="A718" s="184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</row>
    <row r="719">
      <c r="A719" s="184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</row>
    <row r="720">
      <c r="A720" s="184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</row>
    <row r="721">
      <c r="A721" s="184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  <c r="CD721" s="61"/>
      <c r="CE721" s="61"/>
      <c r="CF721" s="61"/>
      <c r="CG721" s="61"/>
      <c r="CH721" s="61"/>
      <c r="CI721" s="61"/>
      <c r="CJ721" s="61"/>
      <c r="CK721" s="61"/>
      <c r="CL721" s="61"/>
      <c r="CM721" s="61"/>
    </row>
    <row r="722">
      <c r="A722" s="184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  <c r="CD722" s="61"/>
      <c r="CE722" s="61"/>
      <c r="CF722" s="61"/>
      <c r="CG722" s="61"/>
      <c r="CH722" s="61"/>
      <c r="CI722" s="61"/>
      <c r="CJ722" s="61"/>
      <c r="CK722" s="61"/>
      <c r="CL722" s="61"/>
      <c r="CM722" s="61"/>
    </row>
    <row r="723">
      <c r="A723" s="184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</row>
    <row r="724">
      <c r="A724" s="184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  <c r="CD724" s="61"/>
      <c r="CE724" s="61"/>
      <c r="CF724" s="61"/>
      <c r="CG724" s="61"/>
      <c r="CH724" s="61"/>
      <c r="CI724" s="61"/>
      <c r="CJ724" s="61"/>
      <c r="CK724" s="61"/>
      <c r="CL724" s="61"/>
      <c r="CM724" s="61"/>
    </row>
    <row r="725">
      <c r="A725" s="184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  <c r="CD725" s="61"/>
      <c r="CE725" s="61"/>
      <c r="CF725" s="61"/>
      <c r="CG725" s="61"/>
      <c r="CH725" s="61"/>
      <c r="CI725" s="61"/>
      <c r="CJ725" s="61"/>
      <c r="CK725" s="61"/>
      <c r="CL725" s="61"/>
      <c r="CM725" s="61"/>
    </row>
    <row r="726">
      <c r="A726" s="184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  <c r="CD726" s="61"/>
      <c r="CE726" s="61"/>
      <c r="CF726" s="61"/>
      <c r="CG726" s="61"/>
      <c r="CH726" s="61"/>
      <c r="CI726" s="61"/>
      <c r="CJ726" s="61"/>
      <c r="CK726" s="61"/>
      <c r="CL726" s="61"/>
      <c r="CM726" s="61"/>
    </row>
    <row r="727">
      <c r="A727" s="184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  <c r="CD727" s="61"/>
      <c r="CE727" s="61"/>
      <c r="CF727" s="61"/>
      <c r="CG727" s="61"/>
      <c r="CH727" s="61"/>
      <c r="CI727" s="61"/>
      <c r="CJ727" s="61"/>
      <c r="CK727" s="61"/>
      <c r="CL727" s="61"/>
      <c r="CM727" s="61"/>
    </row>
    <row r="728">
      <c r="A728" s="184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  <c r="CD728" s="61"/>
      <c r="CE728" s="61"/>
      <c r="CF728" s="61"/>
      <c r="CG728" s="61"/>
      <c r="CH728" s="61"/>
      <c r="CI728" s="61"/>
      <c r="CJ728" s="61"/>
      <c r="CK728" s="61"/>
      <c r="CL728" s="61"/>
      <c r="CM728" s="61"/>
    </row>
    <row r="729">
      <c r="A729" s="184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  <c r="CD729" s="61"/>
      <c r="CE729" s="61"/>
      <c r="CF729" s="61"/>
      <c r="CG729" s="61"/>
      <c r="CH729" s="61"/>
      <c r="CI729" s="61"/>
      <c r="CJ729" s="61"/>
      <c r="CK729" s="61"/>
      <c r="CL729" s="61"/>
      <c r="CM729" s="61"/>
    </row>
    <row r="730">
      <c r="A730" s="184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  <c r="CD730" s="61"/>
      <c r="CE730" s="61"/>
      <c r="CF730" s="61"/>
      <c r="CG730" s="61"/>
      <c r="CH730" s="61"/>
      <c r="CI730" s="61"/>
      <c r="CJ730" s="61"/>
      <c r="CK730" s="61"/>
      <c r="CL730" s="61"/>
      <c r="CM730" s="61"/>
    </row>
    <row r="731">
      <c r="A731" s="184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  <c r="CD731" s="61"/>
      <c r="CE731" s="61"/>
      <c r="CF731" s="61"/>
      <c r="CG731" s="61"/>
      <c r="CH731" s="61"/>
      <c r="CI731" s="61"/>
      <c r="CJ731" s="61"/>
      <c r="CK731" s="61"/>
      <c r="CL731" s="61"/>
      <c r="CM731" s="61"/>
    </row>
    <row r="732">
      <c r="A732" s="184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  <c r="CD732" s="61"/>
      <c r="CE732" s="61"/>
      <c r="CF732" s="61"/>
      <c r="CG732" s="61"/>
      <c r="CH732" s="61"/>
      <c r="CI732" s="61"/>
      <c r="CJ732" s="61"/>
      <c r="CK732" s="61"/>
      <c r="CL732" s="61"/>
      <c r="CM732" s="61"/>
    </row>
    <row r="733">
      <c r="A733" s="184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  <c r="CD733" s="61"/>
      <c r="CE733" s="61"/>
      <c r="CF733" s="61"/>
      <c r="CG733" s="61"/>
      <c r="CH733" s="61"/>
      <c r="CI733" s="61"/>
      <c r="CJ733" s="61"/>
      <c r="CK733" s="61"/>
      <c r="CL733" s="61"/>
      <c r="CM733" s="61"/>
    </row>
    <row r="734">
      <c r="A734" s="184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  <c r="CD734" s="61"/>
      <c r="CE734" s="61"/>
      <c r="CF734" s="61"/>
      <c r="CG734" s="61"/>
      <c r="CH734" s="61"/>
      <c r="CI734" s="61"/>
      <c r="CJ734" s="61"/>
      <c r="CK734" s="61"/>
      <c r="CL734" s="61"/>
      <c r="CM734" s="61"/>
    </row>
    <row r="735">
      <c r="A735" s="184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  <c r="CD735" s="61"/>
      <c r="CE735" s="61"/>
      <c r="CF735" s="61"/>
      <c r="CG735" s="61"/>
      <c r="CH735" s="61"/>
      <c r="CI735" s="61"/>
      <c r="CJ735" s="61"/>
      <c r="CK735" s="61"/>
      <c r="CL735" s="61"/>
      <c r="CM735" s="61"/>
    </row>
    <row r="736">
      <c r="A736" s="184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  <c r="CD736" s="61"/>
      <c r="CE736" s="61"/>
      <c r="CF736" s="61"/>
      <c r="CG736" s="61"/>
      <c r="CH736" s="61"/>
      <c r="CI736" s="61"/>
      <c r="CJ736" s="61"/>
      <c r="CK736" s="61"/>
      <c r="CL736" s="61"/>
      <c r="CM736" s="61"/>
    </row>
    <row r="737">
      <c r="A737" s="184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  <c r="CD737" s="61"/>
      <c r="CE737" s="61"/>
      <c r="CF737" s="61"/>
      <c r="CG737" s="61"/>
      <c r="CH737" s="61"/>
      <c r="CI737" s="61"/>
      <c r="CJ737" s="61"/>
      <c r="CK737" s="61"/>
      <c r="CL737" s="61"/>
      <c r="CM737" s="61"/>
    </row>
    <row r="738">
      <c r="A738" s="184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  <c r="CD738" s="61"/>
      <c r="CE738" s="61"/>
      <c r="CF738" s="61"/>
      <c r="CG738" s="61"/>
      <c r="CH738" s="61"/>
      <c r="CI738" s="61"/>
      <c r="CJ738" s="61"/>
      <c r="CK738" s="61"/>
      <c r="CL738" s="61"/>
      <c r="CM738" s="61"/>
    </row>
    <row r="739">
      <c r="A739" s="184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  <c r="CD739" s="61"/>
      <c r="CE739" s="61"/>
      <c r="CF739" s="61"/>
      <c r="CG739" s="61"/>
      <c r="CH739" s="61"/>
      <c r="CI739" s="61"/>
      <c r="CJ739" s="61"/>
      <c r="CK739" s="61"/>
      <c r="CL739" s="61"/>
      <c r="CM739" s="61"/>
    </row>
    <row r="740">
      <c r="A740" s="184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  <c r="CD740" s="61"/>
      <c r="CE740" s="61"/>
      <c r="CF740" s="61"/>
      <c r="CG740" s="61"/>
      <c r="CH740" s="61"/>
      <c r="CI740" s="61"/>
      <c r="CJ740" s="61"/>
      <c r="CK740" s="61"/>
      <c r="CL740" s="61"/>
      <c r="CM740" s="61"/>
    </row>
    <row r="741">
      <c r="A741" s="184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  <c r="CD741" s="61"/>
      <c r="CE741" s="61"/>
      <c r="CF741" s="61"/>
      <c r="CG741" s="61"/>
      <c r="CH741" s="61"/>
      <c r="CI741" s="61"/>
      <c r="CJ741" s="61"/>
      <c r="CK741" s="61"/>
      <c r="CL741" s="61"/>
      <c r="CM741" s="61"/>
    </row>
    <row r="742">
      <c r="A742" s="184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  <c r="CD742" s="61"/>
      <c r="CE742" s="61"/>
      <c r="CF742" s="61"/>
      <c r="CG742" s="61"/>
      <c r="CH742" s="61"/>
      <c r="CI742" s="61"/>
      <c r="CJ742" s="61"/>
      <c r="CK742" s="61"/>
      <c r="CL742" s="61"/>
      <c r="CM742" s="61"/>
    </row>
    <row r="743">
      <c r="A743" s="184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  <c r="CD743" s="61"/>
      <c r="CE743" s="61"/>
      <c r="CF743" s="61"/>
      <c r="CG743" s="61"/>
      <c r="CH743" s="61"/>
      <c r="CI743" s="61"/>
      <c r="CJ743" s="61"/>
      <c r="CK743" s="61"/>
      <c r="CL743" s="61"/>
      <c r="CM743" s="61"/>
    </row>
    <row r="744">
      <c r="A744" s="184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  <c r="CD744" s="61"/>
      <c r="CE744" s="61"/>
      <c r="CF744" s="61"/>
      <c r="CG744" s="61"/>
      <c r="CH744" s="61"/>
      <c r="CI744" s="61"/>
      <c r="CJ744" s="61"/>
      <c r="CK744" s="61"/>
      <c r="CL744" s="61"/>
      <c r="CM744" s="61"/>
    </row>
    <row r="745">
      <c r="A745" s="184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  <c r="CD745" s="61"/>
      <c r="CE745" s="61"/>
      <c r="CF745" s="61"/>
      <c r="CG745" s="61"/>
      <c r="CH745" s="61"/>
      <c r="CI745" s="61"/>
      <c r="CJ745" s="61"/>
      <c r="CK745" s="61"/>
      <c r="CL745" s="61"/>
      <c r="CM745" s="61"/>
    </row>
    <row r="746">
      <c r="A746" s="184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  <c r="CD746" s="61"/>
      <c r="CE746" s="61"/>
      <c r="CF746" s="61"/>
      <c r="CG746" s="61"/>
      <c r="CH746" s="61"/>
      <c r="CI746" s="61"/>
      <c r="CJ746" s="61"/>
      <c r="CK746" s="61"/>
      <c r="CL746" s="61"/>
      <c r="CM746" s="61"/>
    </row>
    <row r="747">
      <c r="A747" s="184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  <c r="CD747" s="61"/>
      <c r="CE747" s="61"/>
      <c r="CF747" s="61"/>
      <c r="CG747" s="61"/>
      <c r="CH747" s="61"/>
      <c r="CI747" s="61"/>
      <c r="CJ747" s="61"/>
      <c r="CK747" s="61"/>
      <c r="CL747" s="61"/>
      <c r="CM747" s="61"/>
    </row>
    <row r="748">
      <c r="A748" s="184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  <c r="CM748" s="61"/>
    </row>
    <row r="749">
      <c r="A749" s="184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  <c r="CD749" s="61"/>
      <c r="CE749" s="61"/>
      <c r="CF749" s="61"/>
      <c r="CG749" s="61"/>
      <c r="CH749" s="61"/>
      <c r="CI749" s="61"/>
      <c r="CJ749" s="61"/>
      <c r="CK749" s="61"/>
      <c r="CL749" s="61"/>
      <c r="CM749" s="61"/>
    </row>
    <row r="750">
      <c r="A750" s="184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</row>
    <row r="751">
      <c r="A751" s="184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  <c r="CD751" s="61"/>
      <c r="CE751" s="61"/>
      <c r="CF751" s="61"/>
      <c r="CG751" s="61"/>
      <c r="CH751" s="61"/>
      <c r="CI751" s="61"/>
      <c r="CJ751" s="61"/>
      <c r="CK751" s="61"/>
      <c r="CL751" s="61"/>
      <c r="CM751" s="61"/>
    </row>
    <row r="752">
      <c r="A752" s="184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  <c r="CD752" s="61"/>
      <c r="CE752" s="61"/>
      <c r="CF752" s="61"/>
      <c r="CG752" s="61"/>
      <c r="CH752" s="61"/>
      <c r="CI752" s="61"/>
      <c r="CJ752" s="61"/>
      <c r="CK752" s="61"/>
      <c r="CL752" s="61"/>
      <c r="CM752" s="61"/>
    </row>
    <row r="753">
      <c r="A753" s="184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  <c r="CD753" s="61"/>
      <c r="CE753" s="61"/>
      <c r="CF753" s="61"/>
      <c r="CG753" s="61"/>
      <c r="CH753" s="61"/>
      <c r="CI753" s="61"/>
      <c r="CJ753" s="61"/>
      <c r="CK753" s="61"/>
      <c r="CL753" s="61"/>
      <c r="CM753" s="61"/>
    </row>
    <row r="754">
      <c r="A754" s="184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  <c r="CD754" s="61"/>
      <c r="CE754" s="61"/>
      <c r="CF754" s="61"/>
      <c r="CG754" s="61"/>
      <c r="CH754" s="61"/>
      <c r="CI754" s="61"/>
      <c r="CJ754" s="61"/>
      <c r="CK754" s="61"/>
      <c r="CL754" s="61"/>
      <c r="CM754" s="61"/>
    </row>
    <row r="755">
      <c r="A755" s="184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  <c r="CD755" s="61"/>
      <c r="CE755" s="61"/>
      <c r="CF755" s="61"/>
      <c r="CG755" s="61"/>
      <c r="CH755" s="61"/>
      <c r="CI755" s="61"/>
      <c r="CJ755" s="61"/>
      <c r="CK755" s="61"/>
      <c r="CL755" s="61"/>
      <c r="CM755" s="61"/>
    </row>
    <row r="756">
      <c r="A756" s="184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  <c r="CD756" s="61"/>
      <c r="CE756" s="61"/>
      <c r="CF756" s="61"/>
      <c r="CG756" s="61"/>
      <c r="CH756" s="61"/>
      <c r="CI756" s="61"/>
      <c r="CJ756" s="61"/>
      <c r="CK756" s="61"/>
      <c r="CL756" s="61"/>
      <c r="CM756" s="61"/>
    </row>
    <row r="757">
      <c r="A757" s="184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  <c r="CD757" s="61"/>
      <c r="CE757" s="61"/>
      <c r="CF757" s="61"/>
      <c r="CG757" s="61"/>
      <c r="CH757" s="61"/>
      <c r="CI757" s="61"/>
      <c r="CJ757" s="61"/>
      <c r="CK757" s="61"/>
      <c r="CL757" s="61"/>
      <c r="CM757" s="61"/>
    </row>
    <row r="758">
      <c r="A758" s="184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  <c r="CD758" s="61"/>
      <c r="CE758" s="61"/>
      <c r="CF758" s="61"/>
      <c r="CG758" s="61"/>
      <c r="CH758" s="61"/>
      <c r="CI758" s="61"/>
      <c r="CJ758" s="61"/>
      <c r="CK758" s="61"/>
      <c r="CL758" s="61"/>
      <c r="CM758" s="61"/>
    </row>
    <row r="759">
      <c r="A759" s="184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  <c r="CD759" s="61"/>
      <c r="CE759" s="61"/>
      <c r="CF759" s="61"/>
      <c r="CG759" s="61"/>
      <c r="CH759" s="61"/>
      <c r="CI759" s="61"/>
      <c r="CJ759" s="61"/>
      <c r="CK759" s="61"/>
      <c r="CL759" s="61"/>
      <c r="CM759" s="61"/>
    </row>
    <row r="760">
      <c r="A760" s="184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  <c r="CD760" s="61"/>
      <c r="CE760" s="61"/>
      <c r="CF760" s="61"/>
      <c r="CG760" s="61"/>
      <c r="CH760" s="61"/>
      <c r="CI760" s="61"/>
      <c r="CJ760" s="61"/>
      <c r="CK760" s="61"/>
      <c r="CL760" s="61"/>
      <c r="CM760" s="61"/>
    </row>
    <row r="761">
      <c r="A761" s="184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  <c r="CD761" s="61"/>
      <c r="CE761" s="61"/>
      <c r="CF761" s="61"/>
      <c r="CG761" s="61"/>
      <c r="CH761" s="61"/>
      <c r="CI761" s="61"/>
      <c r="CJ761" s="61"/>
      <c r="CK761" s="61"/>
      <c r="CL761" s="61"/>
      <c r="CM761" s="61"/>
    </row>
    <row r="762">
      <c r="A762" s="184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  <c r="CD762" s="61"/>
      <c r="CE762" s="61"/>
      <c r="CF762" s="61"/>
      <c r="CG762" s="61"/>
      <c r="CH762" s="61"/>
      <c r="CI762" s="61"/>
      <c r="CJ762" s="61"/>
      <c r="CK762" s="61"/>
      <c r="CL762" s="61"/>
      <c r="CM762" s="61"/>
    </row>
    <row r="763">
      <c r="A763" s="184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  <c r="CD763" s="61"/>
      <c r="CE763" s="61"/>
      <c r="CF763" s="61"/>
      <c r="CG763" s="61"/>
      <c r="CH763" s="61"/>
      <c r="CI763" s="61"/>
      <c r="CJ763" s="61"/>
      <c r="CK763" s="61"/>
      <c r="CL763" s="61"/>
      <c r="CM763" s="61"/>
    </row>
    <row r="764">
      <c r="A764" s="184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  <c r="CD764" s="61"/>
      <c r="CE764" s="61"/>
      <c r="CF764" s="61"/>
      <c r="CG764" s="61"/>
      <c r="CH764" s="61"/>
      <c r="CI764" s="61"/>
      <c r="CJ764" s="61"/>
      <c r="CK764" s="61"/>
      <c r="CL764" s="61"/>
      <c r="CM764" s="61"/>
    </row>
    <row r="765">
      <c r="A765" s="184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  <c r="CD765" s="61"/>
      <c r="CE765" s="61"/>
      <c r="CF765" s="61"/>
      <c r="CG765" s="61"/>
      <c r="CH765" s="61"/>
      <c r="CI765" s="61"/>
      <c r="CJ765" s="61"/>
      <c r="CK765" s="61"/>
      <c r="CL765" s="61"/>
      <c r="CM765" s="61"/>
    </row>
    <row r="766">
      <c r="A766" s="184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  <c r="CD766" s="61"/>
      <c r="CE766" s="61"/>
      <c r="CF766" s="61"/>
      <c r="CG766" s="61"/>
      <c r="CH766" s="61"/>
      <c r="CI766" s="61"/>
      <c r="CJ766" s="61"/>
      <c r="CK766" s="61"/>
      <c r="CL766" s="61"/>
      <c r="CM766" s="61"/>
    </row>
    <row r="767">
      <c r="A767" s="184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  <c r="CD767" s="61"/>
      <c r="CE767" s="61"/>
      <c r="CF767" s="61"/>
      <c r="CG767" s="61"/>
      <c r="CH767" s="61"/>
      <c r="CI767" s="61"/>
      <c r="CJ767" s="61"/>
      <c r="CK767" s="61"/>
      <c r="CL767" s="61"/>
      <c r="CM767" s="61"/>
    </row>
    <row r="768">
      <c r="A768" s="184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  <c r="CD768" s="61"/>
      <c r="CE768" s="61"/>
      <c r="CF768" s="61"/>
      <c r="CG768" s="61"/>
      <c r="CH768" s="61"/>
      <c r="CI768" s="61"/>
      <c r="CJ768" s="61"/>
      <c r="CK768" s="61"/>
      <c r="CL768" s="61"/>
      <c r="CM768" s="61"/>
    </row>
    <row r="769">
      <c r="A769" s="184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  <c r="CD769" s="61"/>
      <c r="CE769" s="61"/>
      <c r="CF769" s="61"/>
      <c r="CG769" s="61"/>
      <c r="CH769" s="61"/>
      <c r="CI769" s="61"/>
      <c r="CJ769" s="61"/>
      <c r="CK769" s="61"/>
      <c r="CL769" s="61"/>
      <c r="CM769" s="61"/>
    </row>
    <row r="770">
      <c r="A770" s="184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  <c r="CD770" s="61"/>
      <c r="CE770" s="61"/>
      <c r="CF770" s="61"/>
      <c r="CG770" s="61"/>
      <c r="CH770" s="61"/>
      <c r="CI770" s="61"/>
      <c r="CJ770" s="61"/>
      <c r="CK770" s="61"/>
      <c r="CL770" s="61"/>
      <c r="CM770" s="61"/>
    </row>
    <row r="771">
      <c r="A771" s="184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  <c r="CD771" s="61"/>
      <c r="CE771" s="61"/>
      <c r="CF771" s="61"/>
      <c r="CG771" s="61"/>
      <c r="CH771" s="61"/>
      <c r="CI771" s="61"/>
      <c r="CJ771" s="61"/>
      <c r="CK771" s="61"/>
      <c r="CL771" s="61"/>
      <c r="CM771" s="61"/>
    </row>
    <row r="772">
      <c r="A772" s="184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  <c r="CD772" s="61"/>
      <c r="CE772" s="61"/>
      <c r="CF772" s="61"/>
      <c r="CG772" s="61"/>
      <c r="CH772" s="61"/>
      <c r="CI772" s="61"/>
      <c r="CJ772" s="61"/>
      <c r="CK772" s="61"/>
      <c r="CL772" s="61"/>
      <c r="CM772" s="61"/>
    </row>
    <row r="773">
      <c r="A773" s="184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  <c r="CD773" s="61"/>
      <c r="CE773" s="61"/>
      <c r="CF773" s="61"/>
      <c r="CG773" s="61"/>
      <c r="CH773" s="61"/>
      <c r="CI773" s="61"/>
      <c r="CJ773" s="61"/>
      <c r="CK773" s="61"/>
      <c r="CL773" s="61"/>
      <c r="CM773" s="61"/>
    </row>
    <row r="774">
      <c r="A774" s="184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  <c r="CD774" s="61"/>
      <c r="CE774" s="61"/>
      <c r="CF774" s="61"/>
      <c r="CG774" s="61"/>
      <c r="CH774" s="61"/>
      <c r="CI774" s="61"/>
      <c r="CJ774" s="61"/>
      <c r="CK774" s="61"/>
      <c r="CL774" s="61"/>
      <c r="CM774" s="61"/>
    </row>
    <row r="775">
      <c r="A775" s="184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  <c r="CD775" s="61"/>
      <c r="CE775" s="61"/>
      <c r="CF775" s="61"/>
      <c r="CG775" s="61"/>
      <c r="CH775" s="61"/>
      <c r="CI775" s="61"/>
      <c r="CJ775" s="61"/>
      <c r="CK775" s="61"/>
      <c r="CL775" s="61"/>
      <c r="CM775" s="61"/>
    </row>
    <row r="776">
      <c r="A776" s="184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  <c r="CD776" s="61"/>
      <c r="CE776" s="61"/>
      <c r="CF776" s="61"/>
      <c r="CG776" s="61"/>
      <c r="CH776" s="61"/>
      <c r="CI776" s="61"/>
      <c r="CJ776" s="61"/>
      <c r="CK776" s="61"/>
      <c r="CL776" s="61"/>
      <c r="CM776" s="61"/>
    </row>
    <row r="777">
      <c r="A777" s="184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  <c r="CD777" s="61"/>
      <c r="CE777" s="61"/>
      <c r="CF777" s="61"/>
      <c r="CG777" s="61"/>
      <c r="CH777" s="61"/>
      <c r="CI777" s="61"/>
      <c r="CJ777" s="61"/>
      <c r="CK777" s="61"/>
      <c r="CL777" s="61"/>
      <c r="CM777" s="61"/>
    </row>
    <row r="778">
      <c r="A778" s="184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  <c r="CD778" s="61"/>
      <c r="CE778" s="61"/>
      <c r="CF778" s="61"/>
      <c r="CG778" s="61"/>
      <c r="CH778" s="61"/>
      <c r="CI778" s="61"/>
      <c r="CJ778" s="61"/>
      <c r="CK778" s="61"/>
      <c r="CL778" s="61"/>
      <c r="CM778" s="61"/>
    </row>
    <row r="779">
      <c r="A779" s="184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  <c r="CD779" s="61"/>
      <c r="CE779" s="61"/>
      <c r="CF779" s="61"/>
      <c r="CG779" s="61"/>
      <c r="CH779" s="61"/>
      <c r="CI779" s="61"/>
      <c r="CJ779" s="61"/>
      <c r="CK779" s="61"/>
      <c r="CL779" s="61"/>
      <c r="CM779" s="61"/>
    </row>
    <row r="780">
      <c r="A780" s="184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  <c r="CM780" s="61"/>
    </row>
    <row r="781">
      <c r="A781" s="184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  <c r="CD781" s="61"/>
      <c r="CE781" s="61"/>
      <c r="CF781" s="61"/>
      <c r="CG781" s="61"/>
      <c r="CH781" s="61"/>
      <c r="CI781" s="61"/>
      <c r="CJ781" s="61"/>
      <c r="CK781" s="61"/>
      <c r="CL781" s="61"/>
      <c r="CM781" s="61"/>
    </row>
    <row r="782">
      <c r="A782" s="184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  <c r="CD782" s="61"/>
      <c r="CE782" s="61"/>
      <c r="CF782" s="61"/>
      <c r="CG782" s="61"/>
      <c r="CH782" s="61"/>
      <c r="CI782" s="61"/>
      <c r="CJ782" s="61"/>
      <c r="CK782" s="61"/>
      <c r="CL782" s="61"/>
      <c r="CM782" s="61"/>
    </row>
    <row r="783">
      <c r="A783" s="184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  <c r="CD783" s="61"/>
      <c r="CE783" s="61"/>
      <c r="CF783" s="61"/>
      <c r="CG783" s="61"/>
      <c r="CH783" s="61"/>
      <c r="CI783" s="61"/>
      <c r="CJ783" s="61"/>
      <c r="CK783" s="61"/>
      <c r="CL783" s="61"/>
      <c r="CM783" s="61"/>
    </row>
    <row r="784">
      <c r="A784" s="184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  <c r="CD784" s="61"/>
      <c r="CE784" s="61"/>
      <c r="CF784" s="61"/>
      <c r="CG784" s="61"/>
      <c r="CH784" s="61"/>
      <c r="CI784" s="61"/>
      <c r="CJ784" s="61"/>
      <c r="CK784" s="61"/>
      <c r="CL784" s="61"/>
      <c r="CM784" s="61"/>
    </row>
    <row r="785">
      <c r="A785" s="184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  <c r="CD785" s="61"/>
      <c r="CE785" s="61"/>
      <c r="CF785" s="61"/>
      <c r="CG785" s="61"/>
      <c r="CH785" s="61"/>
      <c r="CI785" s="61"/>
      <c r="CJ785" s="61"/>
      <c r="CK785" s="61"/>
      <c r="CL785" s="61"/>
      <c r="CM785" s="61"/>
    </row>
    <row r="786">
      <c r="A786" s="184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  <c r="CD786" s="61"/>
      <c r="CE786" s="61"/>
      <c r="CF786" s="61"/>
      <c r="CG786" s="61"/>
      <c r="CH786" s="61"/>
      <c r="CI786" s="61"/>
      <c r="CJ786" s="61"/>
      <c r="CK786" s="61"/>
      <c r="CL786" s="61"/>
      <c r="CM786" s="61"/>
    </row>
    <row r="787">
      <c r="A787" s="184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  <c r="CD787" s="61"/>
      <c r="CE787" s="61"/>
      <c r="CF787" s="61"/>
      <c r="CG787" s="61"/>
      <c r="CH787" s="61"/>
      <c r="CI787" s="61"/>
      <c r="CJ787" s="61"/>
      <c r="CK787" s="61"/>
      <c r="CL787" s="61"/>
      <c r="CM787" s="61"/>
    </row>
    <row r="788">
      <c r="A788" s="184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</row>
    <row r="789">
      <c r="A789" s="184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</row>
    <row r="790">
      <c r="A790" s="184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</row>
    <row r="791">
      <c r="A791" s="184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  <c r="CD791" s="61"/>
      <c r="CE791" s="61"/>
      <c r="CF791" s="61"/>
      <c r="CG791" s="61"/>
      <c r="CH791" s="61"/>
      <c r="CI791" s="61"/>
      <c r="CJ791" s="61"/>
      <c r="CK791" s="61"/>
      <c r="CL791" s="61"/>
      <c r="CM791" s="61"/>
    </row>
    <row r="792">
      <c r="A792" s="184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  <c r="CD792" s="61"/>
      <c r="CE792" s="61"/>
      <c r="CF792" s="61"/>
      <c r="CG792" s="61"/>
      <c r="CH792" s="61"/>
      <c r="CI792" s="61"/>
      <c r="CJ792" s="61"/>
      <c r="CK792" s="61"/>
      <c r="CL792" s="61"/>
      <c r="CM792" s="61"/>
    </row>
    <row r="793">
      <c r="A793" s="184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  <c r="CD793" s="61"/>
      <c r="CE793" s="61"/>
      <c r="CF793" s="61"/>
      <c r="CG793" s="61"/>
      <c r="CH793" s="61"/>
      <c r="CI793" s="61"/>
      <c r="CJ793" s="61"/>
      <c r="CK793" s="61"/>
      <c r="CL793" s="61"/>
      <c r="CM793" s="61"/>
    </row>
    <row r="794">
      <c r="A794" s="184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  <c r="CD794" s="61"/>
      <c r="CE794" s="61"/>
      <c r="CF794" s="61"/>
      <c r="CG794" s="61"/>
      <c r="CH794" s="61"/>
      <c r="CI794" s="61"/>
      <c r="CJ794" s="61"/>
      <c r="CK794" s="61"/>
      <c r="CL794" s="61"/>
      <c r="CM794" s="61"/>
    </row>
    <row r="795">
      <c r="A795" s="184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  <c r="CD795" s="61"/>
      <c r="CE795" s="61"/>
      <c r="CF795" s="61"/>
      <c r="CG795" s="61"/>
      <c r="CH795" s="61"/>
      <c r="CI795" s="61"/>
      <c r="CJ795" s="61"/>
      <c r="CK795" s="61"/>
      <c r="CL795" s="61"/>
      <c r="CM795" s="61"/>
    </row>
    <row r="796">
      <c r="A796" s="184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  <c r="CD796" s="61"/>
      <c r="CE796" s="61"/>
      <c r="CF796" s="61"/>
      <c r="CG796" s="61"/>
      <c r="CH796" s="61"/>
      <c r="CI796" s="61"/>
      <c r="CJ796" s="61"/>
      <c r="CK796" s="61"/>
      <c r="CL796" s="61"/>
      <c r="CM796" s="61"/>
    </row>
    <row r="797">
      <c r="A797" s="184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  <c r="CD797" s="61"/>
      <c r="CE797" s="61"/>
      <c r="CF797" s="61"/>
      <c r="CG797" s="61"/>
      <c r="CH797" s="61"/>
      <c r="CI797" s="61"/>
      <c r="CJ797" s="61"/>
      <c r="CK797" s="61"/>
      <c r="CL797" s="61"/>
      <c r="CM797" s="61"/>
    </row>
    <row r="798">
      <c r="A798" s="184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  <c r="CD798" s="61"/>
      <c r="CE798" s="61"/>
      <c r="CF798" s="61"/>
      <c r="CG798" s="61"/>
      <c r="CH798" s="61"/>
      <c r="CI798" s="61"/>
      <c r="CJ798" s="61"/>
      <c r="CK798" s="61"/>
      <c r="CL798" s="61"/>
      <c r="CM798" s="61"/>
    </row>
    <row r="799">
      <c r="A799" s="184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  <c r="CD799" s="61"/>
      <c r="CE799" s="61"/>
      <c r="CF799" s="61"/>
      <c r="CG799" s="61"/>
      <c r="CH799" s="61"/>
      <c r="CI799" s="61"/>
      <c r="CJ799" s="61"/>
      <c r="CK799" s="61"/>
      <c r="CL799" s="61"/>
      <c r="CM799" s="61"/>
    </row>
    <row r="800">
      <c r="A800" s="184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  <c r="CD800" s="61"/>
      <c r="CE800" s="61"/>
      <c r="CF800" s="61"/>
      <c r="CG800" s="61"/>
      <c r="CH800" s="61"/>
      <c r="CI800" s="61"/>
      <c r="CJ800" s="61"/>
      <c r="CK800" s="61"/>
      <c r="CL800" s="61"/>
      <c r="CM800" s="61"/>
    </row>
    <row r="801">
      <c r="A801" s="184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</row>
    <row r="802">
      <c r="A802" s="184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  <c r="CD802" s="61"/>
      <c r="CE802" s="61"/>
      <c r="CF802" s="61"/>
      <c r="CG802" s="61"/>
      <c r="CH802" s="61"/>
      <c r="CI802" s="61"/>
      <c r="CJ802" s="61"/>
      <c r="CK802" s="61"/>
      <c r="CL802" s="61"/>
      <c r="CM802" s="61"/>
    </row>
    <row r="803">
      <c r="A803" s="184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  <c r="CD803" s="61"/>
      <c r="CE803" s="61"/>
      <c r="CF803" s="61"/>
      <c r="CG803" s="61"/>
      <c r="CH803" s="61"/>
      <c r="CI803" s="61"/>
      <c r="CJ803" s="61"/>
      <c r="CK803" s="61"/>
      <c r="CL803" s="61"/>
      <c r="CM803" s="61"/>
    </row>
    <row r="804">
      <c r="A804" s="184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  <c r="CD804" s="61"/>
      <c r="CE804" s="61"/>
      <c r="CF804" s="61"/>
      <c r="CG804" s="61"/>
      <c r="CH804" s="61"/>
      <c r="CI804" s="61"/>
      <c r="CJ804" s="61"/>
      <c r="CK804" s="61"/>
      <c r="CL804" s="61"/>
      <c r="CM804" s="61"/>
    </row>
    <row r="805">
      <c r="A805" s="184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  <c r="CD805" s="61"/>
      <c r="CE805" s="61"/>
      <c r="CF805" s="61"/>
      <c r="CG805" s="61"/>
      <c r="CH805" s="61"/>
      <c r="CI805" s="61"/>
      <c r="CJ805" s="61"/>
      <c r="CK805" s="61"/>
      <c r="CL805" s="61"/>
      <c r="CM805" s="61"/>
    </row>
    <row r="806">
      <c r="A806" s="184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  <c r="CD806" s="61"/>
      <c r="CE806" s="61"/>
      <c r="CF806" s="61"/>
      <c r="CG806" s="61"/>
      <c r="CH806" s="61"/>
      <c r="CI806" s="61"/>
      <c r="CJ806" s="61"/>
      <c r="CK806" s="61"/>
      <c r="CL806" s="61"/>
      <c r="CM806" s="61"/>
    </row>
    <row r="807">
      <c r="A807" s="184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  <c r="CD807" s="61"/>
      <c r="CE807" s="61"/>
      <c r="CF807" s="61"/>
      <c r="CG807" s="61"/>
      <c r="CH807" s="61"/>
      <c r="CI807" s="61"/>
      <c r="CJ807" s="61"/>
      <c r="CK807" s="61"/>
      <c r="CL807" s="61"/>
      <c r="CM807" s="61"/>
    </row>
    <row r="808">
      <c r="A808" s="184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  <c r="CD808" s="61"/>
      <c r="CE808" s="61"/>
      <c r="CF808" s="61"/>
      <c r="CG808" s="61"/>
      <c r="CH808" s="61"/>
      <c r="CI808" s="61"/>
      <c r="CJ808" s="61"/>
      <c r="CK808" s="61"/>
      <c r="CL808" s="61"/>
      <c r="CM808" s="61"/>
    </row>
    <row r="809">
      <c r="A809" s="184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  <c r="CD809" s="61"/>
      <c r="CE809" s="61"/>
      <c r="CF809" s="61"/>
      <c r="CG809" s="61"/>
      <c r="CH809" s="61"/>
      <c r="CI809" s="61"/>
      <c r="CJ809" s="61"/>
      <c r="CK809" s="61"/>
      <c r="CL809" s="61"/>
      <c r="CM809" s="61"/>
    </row>
    <row r="810">
      <c r="A810" s="184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  <c r="CD810" s="61"/>
      <c r="CE810" s="61"/>
      <c r="CF810" s="61"/>
      <c r="CG810" s="61"/>
      <c r="CH810" s="61"/>
      <c r="CI810" s="61"/>
      <c r="CJ810" s="61"/>
      <c r="CK810" s="61"/>
      <c r="CL810" s="61"/>
      <c r="CM810" s="61"/>
    </row>
    <row r="811">
      <c r="A811" s="184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  <c r="CM811" s="61"/>
    </row>
    <row r="812">
      <c r="A812" s="184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  <c r="CD812" s="61"/>
      <c r="CE812" s="61"/>
      <c r="CF812" s="61"/>
      <c r="CG812" s="61"/>
      <c r="CH812" s="61"/>
      <c r="CI812" s="61"/>
      <c r="CJ812" s="61"/>
      <c r="CK812" s="61"/>
      <c r="CL812" s="61"/>
      <c r="CM812" s="61"/>
    </row>
    <row r="813">
      <c r="A813" s="184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  <c r="CD813" s="61"/>
      <c r="CE813" s="61"/>
      <c r="CF813" s="61"/>
      <c r="CG813" s="61"/>
      <c r="CH813" s="61"/>
      <c r="CI813" s="61"/>
      <c r="CJ813" s="61"/>
      <c r="CK813" s="61"/>
      <c r="CL813" s="61"/>
      <c r="CM813" s="61"/>
    </row>
    <row r="814">
      <c r="A814" s="184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  <c r="CD814" s="61"/>
      <c r="CE814" s="61"/>
      <c r="CF814" s="61"/>
      <c r="CG814" s="61"/>
      <c r="CH814" s="61"/>
      <c r="CI814" s="61"/>
      <c r="CJ814" s="61"/>
      <c r="CK814" s="61"/>
      <c r="CL814" s="61"/>
      <c r="CM814" s="61"/>
    </row>
    <row r="815">
      <c r="A815" s="184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  <c r="CD815" s="61"/>
      <c r="CE815" s="61"/>
      <c r="CF815" s="61"/>
      <c r="CG815" s="61"/>
      <c r="CH815" s="61"/>
      <c r="CI815" s="61"/>
      <c r="CJ815" s="61"/>
      <c r="CK815" s="61"/>
      <c r="CL815" s="61"/>
      <c r="CM815" s="61"/>
    </row>
    <row r="816">
      <c r="A816" s="184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  <c r="CD816" s="61"/>
      <c r="CE816" s="61"/>
      <c r="CF816" s="61"/>
      <c r="CG816" s="61"/>
      <c r="CH816" s="61"/>
      <c r="CI816" s="61"/>
      <c r="CJ816" s="61"/>
      <c r="CK816" s="61"/>
      <c r="CL816" s="61"/>
      <c r="CM816" s="61"/>
    </row>
    <row r="817">
      <c r="A817" s="184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  <c r="CD817" s="61"/>
      <c r="CE817" s="61"/>
      <c r="CF817" s="61"/>
      <c r="CG817" s="61"/>
      <c r="CH817" s="61"/>
      <c r="CI817" s="61"/>
      <c r="CJ817" s="61"/>
      <c r="CK817" s="61"/>
      <c r="CL817" s="61"/>
      <c r="CM817" s="61"/>
    </row>
    <row r="818">
      <c r="A818" s="184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  <c r="CD818" s="61"/>
      <c r="CE818" s="61"/>
      <c r="CF818" s="61"/>
      <c r="CG818" s="61"/>
      <c r="CH818" s="61"/>
      <c r="CI818" s="61"/>
      <c r="CJ818" s="61"/>
      <c r="CK818" s="61"/>
      <c r="CL818" s="61"/>
      <c r="CM818" s="61"/>
    </row>
    <row r="819">
      <c r="A819" s="184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  <c r="CD819" s="61"/>
      <c r="CE819" s="61"/>
      <c r="CF819" s="61"/>
      <c r="CG819" s="61"/>
      <c r="CH819" s="61"/>
      <c r="CI819" s="61"/>
      <c r="CJ819" s="61"/>
      <c r="CK819" s="61"/>
      <c r="CL819" s="61"/>
      <c r="CM819" s="61"/>
    </row>
    <row r="820">
      <c r="A820" s="184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  <c r="CD820" s="61"/>
      <c r="CE820" s="61"/>
      <c r="CF820" s="61"/>
      <c r="CG820" s="61"/>
      <c r="CH820" s="61"/>
      <c r="CI820" s="61"/>
      <c r="CJ820" s="61"/>
      <c r="CK820" s="61"/>
      <c r="CL820" s="61"/>
      <c r="CM820" s="61"/>
    </row>
    <row r="821">
      <c r="A821" s="184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  <c r="CD821" s="61"/>
      <c r="CE821" s="61"/>
      <c r="CF821" s="61"/>
      <c r="CG821" s="61"/>
      <c r="CH821" s="61"/>
      <c r="CI821" s="61"/>
      <c r="CJ821" s="61"/>
      <c r="CK821" s="61"/>
      <c r="CL821" s="61"/>
      <c r="CM821" s="61"/>
    </row>
    <row r="822">
      <c r="A822" s="184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  <c r="CD822" s="61"/>
      <c r="CE822" s="61"/>
      <c r="CF822" s="61"/>
      <c r="CG822" s="61"/>
      <c r="CH822" s="61"/>
      <c r="CI822" s="61"/>
      <c r="CJ822" s="61"/>
      <c r="CK822" s="61"/>
      <c r="CL822" s="61"/>
      <c r="CM822" s="61"/>
    </row>
    <row r="823">
      <c r="A823" s="184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  <c r="CD823" s="61"/>
      <c r="CE823" s="61"/>
      <c r="CF823" s="61"/>
      <c r="CG823" s="61"/>
      <c r="CH823" s="61"/>
      <c r="CI823" s="61"/>
      <c r="CJ823" s="61"/>
      <c r="CK823" s="61"/>
      <c r="CL823" s="61"/>
      <c r="CM823" s="61"/>
    </row>
    <row r="824">
      <c r="A824" s="184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  <c r="CD824" s="61"/>
      <c r="CE824" s="61"/>
      <c r="CF824" s="61"/>
      <c r="CG824" s="61"/>
      <c r="CH824" s="61"/>
      <c r="CI824" s="61"/>
      <c r="CJ824" s="61"/>
      <c r="CK824" s="61"/>
      <c r="CL824" s="61"/>
      <c r="CM824" s="61"/>
    </row>
    <row r="825">
      <c r="A825" s="184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  <c r="CD825" s="61"/>
      <c r="CE825" s="61"/>
      <c r="CF825" s="61"/>
      <c r="CG825" s="61"/>
      <c r="CH825" s="61"/>
      <c r="CI825" s="61"/>
      <c r="CJ825" s="61"/>
      <c r="CK825" s="61"/>
      <c r="CL825" s="61"/>
      <c r="CM825" s="61"/>
    </row>
    <row r="826">
      <c r="A826" s="184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  <c r="CD826" s="61"/>
      <c r="CE826" s="61"/>
      <c r="CF826" s="61"/>
      <c r="CG826" s="61"/>
      <c r="CH826" s="61"/>
      <c r="CI826" s="61"/>
      <c r="CJ826" s="61"/>
      <c r="CK826" s="61"/>
      <c r="CL826" s="61"/>
      <c r="CM826" s="61"/>
    </row>
    <row r="827">
      <c r="A827" s="184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  <c r="CD827" s="61"/>
      <c r="CE827" s="61"/>
      <c r="CF827" s="61"/>
      <c r="CG827" s="61"/>
      <c r="CH827" s="61"/>
      <c r="CI827" s="61"/>
      <c r="CJ827" s="61"/>
      <c r="CK827" s="61"/>
      <c r="CL827" s="61"/>
      <c r="CM827" s="61"/>
    </row>
    <row r="828">
      <c r="A828" s="184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  <c r="CD828" s="61"/>
      <c r="CE828" s="61"/>
      <c r="CF828" s="61"/>
      <c r="CG828" s="61"/>
      <c r="CH828" s="61"/>
      <c r="CI828" s="61"/>
      <c r="CJ828" s="61"/>
      <c r="CK828" s="61"/>
      <c r="CL828" s="61"/>
      <c r="CM828" s="61"/>
    </row>
    <row r="829">
      <c r="A829" s="184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  <c r="CD829" s="61"/>
      <c r="CE829" s="61"/>
      <c r="CF829" s="61"/>
      <c r="CG829" s="61"/>
      <c r="CH829" s="61"/>
      <c r="CI829" s="61"/>
      <c r="CJ829" s="61"/>
      <c r="CK829" s="61"/>
      <c r="CL829" s="61"/>
      <c r="CM829" s="61"/>
    </row>
    <row r="830">
      <c r="A830" s="184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  <c r="CD830" s="61"/>
      <c r="CE830" s="61"/>
      <c r="CF830" s="61"/>
      <c r="CG830" s="61"/>
      <c r="CH830" s="61"/>
      <c r="CI830" s="61"/>
      <c r="CJ830" s="61"/>
      <c r="CK830" s="61"/>
      <c r="CL830" s="61"/>
      <c r="CM830" s="61"/>
    </row>
    <row r="831">
      <c r="A831" s="184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  <c r="CD831" s="61"/>
      <c r="CE831" s="61"/>
      <c r="CF831" s="61"/>
      <c r="CG831" s="61"/>
      <c r="CH831" s="61"/>
      <c r="CI831" s="61"/>
      <c r="CJ831" s="61"/>
      <c r="CK831" s="61"/>
      <c r="CL831" s="61"/>
      <c r="CM831" s="61"/>
    </row>
    <row r="832">
      <c r="A832" s="184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  <c r="CD832" s="61"/>
      <c r="CE832" s="61"/>
      <c r="CF832" s="61"/>
      <c r="CG832" s="61"/>
      <c r="CH832" s="61"/>
      <c r="CI832" s="61"/>
      <c r="CJ832" s="61"/>
      <c r="CK832" s="61"/>
      <c r="CL832" s="61"/>
      <c r="CM832" s="61"/>
    </row>
    <row r="833">
      <c r="A833" s="184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  <c r="CD833" s="61"/>
      <c r="CE833" s="61"/>
      <c r="CF833" s="61"/>
      <c r="CG833" s="61"/>
      <c r="CH833" s="61"/>
      <c r="CI833" s="61"/>
      <c r="CJ833" s="61"/>
      <c r="CK833" s="61"/>
      <c r="CL833" s="61"/>
      <c r="CM833" s="61"/>
    </row>
    <row r="834">
      <c r="A834" s="184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  <c r="CD834" s="61"/>
      <c r="CE834" s="61"/>
      <c r="CF834" s="61"/>
      <c r="CG834" s="61"/>
      <c r="CH834" s="61"/>
      <c r="CI834" s="61"/>
      <c r="CJ834" s="61"/>
      <c r="CK834" s="61"/>
      <c r="CL834" s="61"/>
      <c r="CM834" s="61"/>
    </row>
    <row r="835">
      <c r="A835" s="184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  <c r="CD835" s="61"/>
      <c r="CE835" s="61"/>
      <c r="CF835" s="61"/>
      <c r="CG835" s="61"/>
      <c r="CH835" s="61"/>
      <c r="CI835" s="61"/>
      <c r="CJ835" s="61"/>
      <c r="CK835" s="61"/>
      <c r="CL835" s="61"/>
      <c r="CM835" s="61"/>
    </row>
    <row r="836">
      <c r="A836" s="184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  <c r="CD836" s="61"/>
      <c r="CE836" s="61"/>
      <c r="CF836" s="61"/>
      <c r="CG836" s="61"/>
      <c r="CH836" s="61"/>
      <c r="CI836" s="61"/>
      <c r="CJ836" s="61"/>
      <c r="CK836" s="61"/>
      <c r="CL836" s="61"/>
      <c r="CM836" s="61"/>
    </row>
    <row r="837">
      <c r="A837" s="184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  <c r="CD837" s="61"/>
      <c r="CE837" s="61"/>
      <c r="CF837" s="61"/>
      <c r="CG837" s="61"/>
      <c r="CH837" s="61"/>
      <c r="CI837" s="61"/>
      <c r="CJ837" s="61"/>
      <c r="CK837" s="61"/>
      <c r="CL837" s="61"/>
      <c r="CM837" s="61"/>
    </row>
    <row r="838">
      <c r="A838" s="184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  <c r="CD838" s="61"/>
      <c r="CE838" s="61"/>
      <c r="CF838" s="61"/>
      <c r="CG838" s="61"/>
      <c r="CH838" s="61"/>
      <c r="CI838" s="61"/>
      <c r="CJ838" s="61"/>
      <c r="CK838" s="61"/>
      <c r="CL838" s="61"/>
      <c r="CM838" s="61"/>
    </row>
    <row r="839">
      <c r="A839" s="184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  <c r="CD839" s="61"/>
      <c r="CE839" s="61"/>
      <c r="CF839" s="61"/>
      <c r="CG839" s="61"/>
      <c r="CH839" s="61"/>
      <c r="CI839" s="61"/>
      <c r="CJ839" s="61"/>
      <c r="CK839" s="61"/>
      <c r="CL839" s="61"/>
      <c r="CM839" s="61"/>
    </row>
    <row r="840">
      <c r="A840" s="184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  <c r="CD840" s="61"/>
      <c r="CE840" s="61"/>
      <c r="CF840" s="61"/>
      <c r="CG840" s="61"/>
      <c r="CH840" s="61"/>
      <c r="CI840" s="61"/>
      <c r="CJ840" s="61"/>
      <c r="CK840" s="61"/>
      <c r="CL840" s="61"/>
      <c r="CM840" s="61"/>
    </row>
    <row r="841">
      <c r="A841" s="184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  <c r="CD841" s="61"/>
      <c r="CE841" s="61"/>
      <c r="CF841" s="61"/>
      <c r="CG841" s="61"/>
      <c r="CH841" s="61"/>
      <c r="CI841" s="61"/>
      <c r="CJ841" s="61"/>
      <c r="CK841" s="61"/>
      <c r="CL841" s="61"/>
      <c r="CM841" s="61"/>
    </row>
    <row r="842">
      <c r="A842" s="184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</row>
    <row r="843">
      <c r="A843" s="184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  <c r="CD843" s="61"/>
      <c r="CE843" s="61"/>
      <c r="CF843" s="61"/>
      <c r="CG843" s="61"/>
      <c r="CH843" s="61"/>
      <c r="CI843" s="61"/>
      <c r="CJ843" s="61"/>
      <c r="CK843" s="61"/>
      <c r="CL843" s="61"/>
      <c r="CM843" s="61"/>
    </row>
    <row r="844">
      <c r="A844" s="184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  <c r="CD844" s="61"/>
      <c r="CE844" s="61"/>
      <c r="CF844" s="61"/>
      <c r="CG844" s="61"/>
      <c r="CH844" s="61"/>
      <c r="CI844" s="61"/>
      <c r="CJ844" s="61"/>
      <c r="CK844" s="61"/>
      <c r="CL844" s="61"/>
      <c r="CM844" s="61"/>
    </row>
    <row r="845">
      <c r="A845" s="184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  <c r="CD845" s="61"/>
      <c r="CE845" s="61"/>
      <c r="CF845" s="61"/>
      <c r="CG845" s="61"/>
      <c r="CH845" s="61"/>
      <c r="CI845" s="61"/>
      <c r="CJ845" s="61"/>
      <c r="CK845" s="61"/>
      <c r="CL845" s="61"/>
      <c r="CM845" s="61"/>
    </row>
    <row r="846">
      <c r="A846" s="184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  <c r="CD846" s="61"/>
      <c r="CE846" s="61"/>
      <c r="CF846" s="61"/>
      <c r="CG846" s="61"/>
      <c r="CH846" s="61"/>
      <c r="CI846" s="61"/>
      <c r="CJ846" s="61"/>
      <c r="CK846" s="61"/>
      <c r="CL846" s="61"/>
      <c r="CM846" s="61"/>
    </row>
    <row r="847">
      <c r="A847" s="184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  <c r="CD847" s="61"/>
      <c r="CE847" s="61"/>
      <c r="CF847" s="61"/>
      <c r="CG847" s="61"/>
      <c r="CH847" s="61"/>
      <c r="CI847" s="61"/>
      <c r="CJ847" s="61"/>
      <c r="CK847" s="61"/>
      <c r="CL847" s="61"/>
      <c r="CM847" s="61"/>
    </row>
    <row r="848">
      <c r="A848" s="184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  <c r="CD848" s="61"/>
      <c r="CE848" s="61"/>
      <c r="CF848" s="61"/>
      <c r="CG848" s="61"/>
      <c r="CH848" s="61"/>
      <c r="CI848" s="61"/>
      <c r="CJ848" s="61"/>
      <c r="CK848" s="61"/>
      <c r="CL848" s="61"/>
      <c r="CM848" s="61"/>
    </row>
    <row r="849">
      <c r="A849" s="184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  <c r="CD849" s="61"/>
      <c r="CE849" s="61"/>
      <c r="CF849" s="61"/>
      <c r="CG849" s="61"/>
      <c r="CH849" s="61"/>
      <c r="CI849" s="61"/>
      <c r="CJ849" s="61"/>
      <c r="CK849" s="61"/>
      <c r="CL849" s="61"/>
      <c r="CM849" s="61"/>
    </row>
    <row r="850">
      <c r="A850" s="184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  <c r="CD850" s="61"/>
      <c r="CE850" s="61"/>
      <c r="CF850" s="61"/>
      <c r="CG850" s="61"/>
      <c r="CH850" s="61"/>
      <c r="CI850" s="61"/>
      <c r="CJ850" s="61"/>
      <c r="CK850" s="61"/>
      <c r="CL850" s="61"/>
      <c r="CM850" s="61"/>
    </row>
    <row r="851">
      <c r="A851" s="184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  <c r="CD851" s="61"/>
      <c r="CE851" s="61"/>
      <c r="CF851" s="61"/>
      <c r="CG851" s="61"/>
      <c r="CH851" s="61"/>
      <c r="CI851" s="61"/>
      <c r="CJ851" s="61"/>
      <c r="CK851" s="61"/>
      <c r="CL851" s="61"/>
      <c r="CM851" s="61"/>
    </row>
    <row r="852">
      <c r="A852" s="184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  <c r="CD852" s="61"/>
      <c r="CE852" s="61"/>
      <c r="CF852" s="61"/>
      <c r="CG852" s="61"/>
      <c r="CH852" s="61"/>
      <c r="CI852" s="61"/>
      <c r="CJ852" s="61"/>
      <c r="CK852" s="61"/>
      <c r="CL852" s="61"/>
      <c r="CM852" s="61"/>
    </row>
    <row r="853">
      <c r="A853" s="184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  <c r="CD853" s="61"/>
      <c r="CE853" s="61"/>
      <c r="CF853" s="61"/>
      <c r="CG853" s="61"/>
      <c r="CH853" s="61"/>
      <c r="CI853" s="61"/>
      <c r="CJ853" s="61"/>
      <c r="CK853" s="61"/>
      <c r="CL853" s="61"/>
      <c r="CM853" s="61"/>
    </row>
    <row r="854">
      <c r="A854" s="184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  <c r="CD854" s="61"/>
      <c r="CE854" s="61"/>
      <c r="CF854" s="61"/>
      <c r="CG854" s="61"/>
      <c r="CH854" s="61"/>
      <c r="CI854" s="61"/>
      <c r="CJ854" s="61"/>
      <c r="CK854" s="61"/>
      <c r="CL854" s="61"/>
      <c r="CM854" s="61"/>
    </row>
    <row r="855">
      <c r="A855" s="184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  <c r="CD855" s="61"/>
      <c r="CE855" s="61"/>
      <c r="CF855" s="61"/>
      <c r="CG855" s="61"/>
      <c r="CH855" s="61"/>
      <c r="CI855" s="61"/>
      <c r="CJ855" s="61"/>
      <c r="CK855" s="61"/>
      <c r="CL855" s="61"/>
      <c r="CM855" s="61"/>
    </row>
    <row r="856">
      <c r="A856" s="184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</row>
    <row r="857">
      <c r="A857" s="184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  <c r="CD857" s="61"/>
      <c r="CE857" s="61"/>
      <c r="CF857" s="61"/>
      <c r="CG857" s="61"/>
      <c r="CH857" s="61"/>
      <c r="CI857" s="61"/>
      <c r="CJ857" s="61"/>
      <c r="CK857" s="61"/>
      <c r="CL857" s="61"/>
      <c r="CM857" s="61"/>
    </row>
    <row r="858">
      <c r="A858" s="184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</row>
    <row r="859">
      <c r="A859" s="184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</row>
    <row r="860">
      <c r="A860" s="184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</row>
    <row r="861">
      <c r="A861" s="184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  <c r="CD861" s="61"/>
      <c r="CE861" s="61"/>
      <c r="CF861" s="61"/>
      <c r="CG861" s="61"/>
      <c r="CH861" s="61"/>
      <c r="CI861" s="61"/>
      <c r="CJ861" s="61"/>
      <c r="CK861" s="61"/>
      <c r="CL861" s="61"/>
      <c r="CM861" s="61"/>
    </row>
    <row r="862">
      <c r="A862" s="184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/>
      <c r="CI862" s="61"/>
      <c r="CJ862" s="61"/>
      <c r="CK862" s="61"/>
      <c r="CL862" s="61"/>
      <c r="CM862" s="61"/>
    </row>
    <row r="863">
      <c r="A863" s="184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  <c r="CD863" s="61"/>
      <c r="CE863" s="61"/>
      <c r="CF863" s="61"/>
      <c r="CG863" s="61"/>
      <c r="CH863" s="61"/>
      <c r="CI863" s="61"/>
      <c r="CJ863" s="61"/>
      <c r="CK863" s="61"/>
      <c r="CL863" s="61"/>
      <c r="CM863" s="61"/>
    </row>
    <row r="864">
      <c r="A864" s="184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  <c r="CD864" s="61"/>
      <c r="CE864" s="61"/>
      <c r="CF864" s="61"/>
      <c r="CG864" s="61"/>
      <c r="CH864" s="61"/>
      <c r="CI864" s="61"/>
      <c r="CJ864" s="61"/>
      <c r="CK864" s="61"/>
      <c r="CL864" s="61"/>
      <c r="CM864" s="61"/>
    </row>
    <row r="865">
      <c r="A865" s="184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  <c r="CD865" s="61"/>
      <c r="CE865" s="61"/>
      <c r="CF865" s="61"/>
      <c r="CG865" s="61"/>
      <c r="CH865" s="61"/>
      <c r="CI865" s="61"/>
      <c r="CJ865" s="61"/>
      <c r="CK865" s="61"/>
      <c r="CL865" s="61"/>
      <c r="CM865" s="61"/>
    </row>
    <row r="866">
      <c r="A866" s="184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  <c r="CD866" s="61"/>
      <c r="CE866" s="61"/>
      <c r="CF866" s="61"/>
      <c r="CG866" s="61"/>
      <c r="CH866" s="61"/>
      <c r="CI866" s="61"/>
      <c r="CJ866" s="61"/>
      <c r="CK866" s="61"/>
      <c r="CL866" s="61"/>
      <c r="CM866" s="61"/>
    </row>
    <row r="867">
      <c r="A867" s="184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  <c r="CD867" s="61"/>
      <c r="CE867" s="61"/>
      <c r="CF867" s="61"/>
      <c r="CG867" s="61"/>
      <c r="CH867" s="61"/>
      <c r="CI867" s="61"/>
      <c r="CJ867" s="61"/>
      <c r="CK867" s="61"/>
      <c r="CL867" s="61"/>
      <c r="CM867" s="61"/>
    </row>
    <row r="868">
      <c r="A868" s="184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  <c r="CD868" s="61"/>
      <c r="CE868" s="61"/>
      <c r="CF868" s="61"/>
      <c r="CG868" s="61"/>
      <c r="CH868" s="61"/>
      <c r="CI868" s="61"/>
      <c r="CJ868" s="61"/>
      <c r="CK868" s="61"/>
      <c r="CL868" s="61"/>
      <c r="CM868" s="61"/>
    </row>
    <row r="869">
      <c r="A869" s="184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</row>
    <row r="870">
      <c r="A870" s="184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  <c r="CD870" s="61"/>
      <c r="CE870" s="61"/>
      <c r="CF870" s="61"/>
      <c r="CG870" s="61"/>
      <c r="CH870" s="61"/>
      <c r="CI870" s="61"/>
      <c r="CJ870" s="61"/>
      <c r="CK870" s="61"/>
      <c r="CL870" s="61"/>
      <c r="CM870" s="61"/>
    </row>
    <row r="871">
      <c r="A871" s="184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  <c r="CD871" s="61"/>
      <c r="CE871" s="61"/>
      <c r="CF871" s="61"/>
      <c r="CG871" s="61"/>
      <c r="CH871" s="61"/>
      <c r="CI871" s="61"/>
      <c r="CJ871" s="61"/>
      <c r="CK871" s="61"/>
      <c r="CL871" s="61"/>
      <c r="CM871" s="61"/>
    </row>
    <row r="872">
      <c r="A872" s="184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  <c r="CD872" s="61"/>
      <c r="CE872" s="61"/>
      <c r="CF872" s="61"/>
      <c r="CG872" s="61"/>
      <c r="CH872" s="61"/>
      <c r="CI872" s="61"/>
      <c r="CJ872" s="61"/>
      <c r="CK872" s="61"/>
      <c r="CL872" s="61"/>
      <c r="CM872" s="61"/>
    </row>
    <row r="873">
      <c r="A873" s="184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  <c r="CM873" s="61"/>
    </row>
    <row r="874">
      <c r="A874" s="184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  <c r="CD874" s="61"/>
      <c r="CE874" s="61"/>
      <c r="CF874" s="61"/>
      <c r="CG874" s="61"/>
      <c r="CH874" s="61"/>
      <c r="CI874" s="61"/>
      <c r="CJ874" s="61"/>
      <c r="CK874" s="61"/>
      <c r="CL874" s="61"/>
      <c r="CM874" s="61"/>
    </row>
    <row r="875">
      <c r="A875" s="184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  <c r="CD875" s="61"/>
      <c r="CE875" s="61"/>
      <c r="CF875" s="61"/>
      <c r="CG875" s="61"/>
      <c r="CH875" s="61"/>
      <c r="CI875" s="61"/>
      <c r="CJ875" s="61"/>
      <c r="CK875" s="61"/>
      <c r="CL875" s="61"/>
      <c r="CM875" s="61"/>
    </row>
    <row r="876">
      <c r="A876" s="184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</row>
    <row r="877">
      <c r="A877" s="184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  <c r="CD877" s="61"/>
      <c r="CE877" s="61"/>
      <c r="CF877" s="61"/>
      <c r="CG877" s="61"/>
      <c r="CH877" s="61"/>
      <c r="CI877" s="61"/>
      <c r="CJ877" s="61"/>
      <c r="CK877" s="61"/>
      <c r="CL877" s="61"/>
      <c r="CM877" s="61"/>
    </row>
    <row r="878">
      <c r="A878" s="184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</row>
    <row r="879">
      <c r="A879" s="184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  <c r="CD879" s="61"/>
      <c r="CE879" s="61"/>
      <c r="CF879" s="61"/>
      <c r="CG879" s="61"/>
      <c r="CH879" s="61"/>
      <c r="CI879" s="61"/>
      <c r="CJ879" s="61"/>
      <c r="CK879" s="61"/>
      <c r="CL879" s="61"/>
      <c r="CM879" s="61"/>
    </row>
    <row r="880">
      <c r="A880" s="184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  <c r="CD880" s="61"/>
      <c r="CE880" s="61"/>
      <c r="CF880" s="61"/>
      <c r="CG880" s="61"/>
      <c r="CH880" s="61"/>
      <c r="CI880" s="61"/>
      <c r="CJ880" s="61"/>
      <c r="CK880" s="61"/>
      <c r="CL880" s="61"/>
      <c r="CM880" s="61"/>
    </row>
    <row r="881">
      <c r="A881" s="184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  <c r="CD881" s="61"/>
      <c r="CE881" s="61"/>
      <c r="CF881" s="61"/>
      <c r="CG881" s="61"/>
      <c r="CH881" s="61"/>
      <c r="CI881" s="61"/>
      <c r="CJ881" s="61"/>
      <c r="CK881" s="61"/>
      <c r="CL881" s="61"/>
      <c r="CM881" s="61"/>
    </row>
    <row r="882">
      <c r="A882" s="184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  <c r="CD882" s="61"/>
      <c r="CE882" s="61"/>
      <c r="CF882" s="61"/>
      <c r="CG882" s="61"/>
      <c r="CH882" s="61"/>
      <c r="CI882" s="61"/>
      <c r="CJ882" s="61"/>
      <c r="CK882" s="61"/>
      <c r="CL882" s="61"/>
      <c r="CM882" s="61"/>
    </row>
    <row r="883">
      <c r="A883" s="184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  <c r="CD883" s="61"/>
      <c r="CE883" s="61"/>
      <c r="CF883" s="61"/>
      <c r="CG883" s="61"/>
      <c r="CH883" s="61"/>
      <c r="CI883" s="61"/>
      <c r="CJ883" s="61"/>
      <c r="CK883" s="61"/>
      <c r="CL883" s="61"/>
      <c r="CM883" s="61"/>
    </row>
    <row r="884">
      <c r="A884" s="184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/>
      <c r="CK884" s="61"/>
      <c r="CL884" s="61"/>
      <c r="CM884" s="61"/>
    </row>
    <row r="885">
      <c r="A885" s="184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  <c r="CD885" s="61"/>
      <c r="CE885" s="61"/>
      <c r="CF885" s="61"/>
      <c r="CG885" s="61"/>
      <c r="CH885" s="61"/>
      <c r="CI885" s="61"/>
      <c r="CJ885" s="61"/>
      <c r="CK885" s="61"/>
      <c r="CL885" s="61"/>
      <c r="CM885" s="61"/>
    </row>
    <row r="886">
      <c r="A886" s="184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  <c r="CD886" s="61"/>
      <c r="CE886" s="61"/>
      <c r="CF886" s="61"/>
      <c r="CG886" s="61"/>
      <c r="CH886" s="61"/>
      <c r="CI886" s="61"/>
      <c r="CJ886" s="61"/>
      <c r="CK886" s="61"/>
      <c r="CL886" s="61"/>
      <c r="CM886" s="61"/>
    </row>
    <row r="887">
      <c r="A887" s="184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  <c r="CD887" s="61"/>
      <c r="CE887" s="61"/>
      <c r="CF887" s="61"/>
      <c r="CG887" s="61"/>
      <c r="CH887" s="61"/>
      <c r="CI887" s="61"/>
      <c r="CJ887" s="61"/>
      <c r="CK887" s="61"/>
      <c r="CL887" s="61"/>
      <c r="CM887" s="61"/>
    </row>
    <row r="888">
      <c r="A888" s="184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  <c r="CD888" s="61"/>
      <c r="CE888" s="61"/>
      <c r="CF888" s="61"/>
      <c r="CG888" s="61"/>
      <c r="CH888" s="61"/>
      <c r="CI888" s="61"/>
      <c r="CJ888" s="61"/>
      <c r="CK888" s="61"/>
      <c r="CL888" s="61"/>
      <c r="CM888" s="61"/>
    </row>
    <row r="889">
      <c r="A889" s="184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  <c r="CD889" s="61"/>
      <c r="CE889" s="61"/>
      <c r="CF889" s="61"/>
      <c r="CG889" s="61"/>
      <c r="CH889" s="61"/>
      <c r="CI889" s="61"/>
      <c r="CJ889" s="61"/>
      <c r="CK889" s="61"/>
      <c r="CL889" s="61"/>
      <c r="CM889" s="61"/>
    </row>
    <row r="890">
      <c r="A890" s="184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  <c r="CD890" s="61"/>
      <c r="CE890" s="61"/>
      <c r="CF890" s="61"/>
      <c r="CG890" s="61"/>
      <c r="CH890" s="61"/>
      <c r="CI890" s="61"/>
      <c r="CJ890" s="61"/>
      <c r="CK890" s="61"/>
      <c r="CL890" s="61"/>
      <c r="CM890" s="61"/>
    </row>
    <row r="891">
      <c r="A891" s="184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  <c r="CD891" s="61"/>
      <c r="CE891" s="61"/>
      <c r="CF891" s="61"/>
      <c r="CG891" s="61"/>
      <c r="CH891" s="61"/>
      <c r="CI891" s="61"/>
      <c r="CJ891" s="61"/>
      <c r="CK891" s="61"/>
      <c r="CL891" s="61"/>
      <c r="CM891" s="61"/>
    </row>
    <row r="892">
      <c r="A892" s="184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  <c r="CD892" s="61"/>
      <c r="CE892" s="61"/>
      <c r="CF892" s="61"/>
      <c r="CG892" s="61"/>
      <c r="CH892" s="61"/>
      <c r="CI892" s="61"/>
      <c r="CJ892" s="61"/>
      <c r="CK892" s="61"/>
      <c r="CL892" s="61"/>
      <c r="CM892" s="61"/>
    </row>
    <row r="893">
      <c r="A893" s="184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  <c r="CD893" s="61"/>
      <c r="CE893" s="61"/>
      <c r="CF893" s="61"/>
      <c r="CG893" s="61"/>
      <c r="CH893" s="61"/>
      <c r="CI893" s="61"/>
      <c r="CJ893" s="61"/>
      <c r="CK893" s="61"/>
      <c r="CL893" s="61"/>
      <c r="CM893" s="61"/>
    </row>
    <row r="894">
      <c r="A894" s="184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/>
      <c r="CL894" s="61"/>
      <c r="CM894" s="61"/>
    </row>
    <row r="895">
      <c r="A895" s="184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  <c r="CD895" s="61"/>
      <c r="CE895" s="61"/>
      <c r="CF895" s="61"/>
      <c r="CG895" s="61"/>
      <c r="CH895" s="61"/>
      <c r="CI895" s="61"/>
      <c r="CJ895" s="61"/>
      <c r="CK895" s="61"/>
      <c r="CL895" s="61"/>
      <c r="CM895" s="61"/>
    </row>
    <row r="896">
      <c r="A896" s="184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  <c r="CD896" s="61"/>
      <c r="CE896" s="61"/>
      <c r="CF896" s="61"/>
      <c r="CG896" s="61"/>
      <c r="CH896" s="61"/>
      <c r="CI896" s="61"/>
      <c r="CJ896" s="61"/>
      <c r="CK896" s="61"/>
      <c r="CL896" s="61"/>
      <c r="CM896" s="61"/>
    </row>
    <row r="897">
      <c r="A897" s="184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  <c r="CD897" s="61"/>
      <c r="CE897" s="61"/>
      <c r="CF897" s="61"/>
      <c r="CG897" s="61"/>
      <c r="CH897" s="61"/>
      <c r="CI897" s="61"/>
      <c r="CJ897" s="61"/>
      <c r="CK897" s="61"/>
      <c r="CL897" s="61"/>
      <c r="CM897" s="61"/>
    </row>
    <row r="898">
      <c r="A898" s="184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  <c r="CD898" s="61"/>
      <c r="CE898" s="61"/>
      <c r="CF898" s="61"/>
      <c r="CG898" s="61"/>
      <c r="CH898" s="61"/>
      <c r="CI898" s="61"/>
      <c r="CJ898" s="61"/>
      <c r="CK898" s="61"/>
      <c r="CL898" s="61"/>
      <c r="CM898" s="61"/>
    </row>
    <row r="899">
      <c r="A899" s="184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  <c r="CD899" s="61"/>
      <c r="CE899" s="61"/>
      <c r="CF899" s="61"/>
      <c r="CG899" s="61"/>
      <c r="CH899" s="61"/>
      <c r="CI899" s="61"/>
      <c r="CJ899" s="61"/>
      <c r="CK899" s="61"/>
      <c r="CL899" s="61"/>
      <c r="CM899" s="61"/>
    </row>
    <row r="900">
      <c r="A900" s="184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  <c r="CD900" s="61"/>
      <c r="CE900" s="61"/>
      <c r="CF900" s="61"/>
      <c r="CG900" s="61"/>
      <c r="CH900" s="61"/>
      <c r="CI900" s="61"/>
      <c r="CJ900" s="61"/>
      <c r="CK900" s="61"/>
      <c r="CL900" s="61"/>
      <c r="CM900" s="61"/>
    </row>
    <row r="901">
      <c r="A901" s="184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  <c r="CD901" s="61"/>
      <c r="CE901" s="61"/>
      <c r="CF901" s="61"/>
      <c r="CG901" s="61"/>
      <c r="CH901" s="61"/>
      <c r="CI901" s="61"/>
      <c r="CJ901" s="61"/>
      <c r="CK901" s="61"/>
      <c r="CL901" s="61"/>
      <c r="CM901" s="61"/>
    </row>
    <row r="902">
      <c r="A902" s="184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  <c r="CD902" s="61"/>
      <c r="CE902" s="61"/>
      <c r="CF902" s="61"/>
      <c r="CG902" s="61"/>
      <c r="CH902" s="61"/>
      <c r="CI902" s="61"/>
      <c r="CJ902" s="61"/>
      <c r="CK902" s="61"/>
      <c r="CL902" s="61"/>
      <c r="CM902" s="61"/>
    </row>
    <row r="903">
      <c r="A903" s="184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  <c r="CD903" s="61"/>
      <c r="CE903" s="61"/>
      <c r="CF903" s="61"/>
      <c r="CG903" s="61"/>
      <c r="CH903" s="61"/>
      <c r="CI903" s="61"/>
      <c r="CJ903" s="61"/>
      <c r="CK903" s="61"/>
      <c r="CL903" s="61"/>
      <c r="CM903" s="61"/>
    </row>
    <row r="904">
      <c r="A904" s="184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/>
      <c r="CL904" s="61"/>
      <c r="CM904" s="61"/>
    </row>
    <row r="905">
      <c r="A905" s="184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  <c r="CD905" s="61"/>
      <c r="CE905" s="61"/>
      <c r="CF905" s="61"/>
      <c r="CG905" s="61"/>
      <c r="CH905" s="61"/>
      <c r="CI905" s="61"/>
      <c r="CJ905" s="61"/>
      <c r="CK905" s="61"/>
      <c r="CL905" s="61"/>
      <c r="CM905" s="61"/>
    </row>
    <row r="906">
      <c r="A906" s="184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  <c r="CD906" s="61"/>
      <c r="CE906" s="61"/>
      <c r="CF906" s="61"/>
      <c r="CG906" s="61"/>
      <c r="CH906" s="61"/>
      <c r="CI906" s="61"/>
      <c r="CJ906" s="61"/>
      <c r="CK906" s="61"/>
      <c r="CL906" s="61"/>
      <c r="CM906" s="61"/>
    </row>
    <row r="907">
      <c r="A907" s="184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  <c r="CD907" s="61"/>
      <c r="CE907" s="61"/>
      <c r="CF907" s="61"/>
      <c r="CG907" s="61"/>
      <c r="CH907" s="61"/>
      <c r="CI907" s="61"/>
      <c r="CJ907" s="61"/>
      <c r="CK907" s="61"/>
      <c r="CL907" s="61"/>
      <c r="CM907" s="61"/>
    </row>
    <row r="908">
      <c r="A908" s="184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  <c r="CD908" s="61"/>
      <c r="CE908" s="61"/>
      <c r="CF908" s="61"/>
      <c r="CG908" s="61"/>
      <c r="CH908" s="61"/>
      <c r="CI908" s="61"/>
      <c r="CJ908" s="61"/>
      <c r="CK908" s="61"/>
      <c r="CL908" s="61"/>
      <c r="CM908" s="61"/>
    </row>
    <row r="909">
      <c r="A909" s="184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  <c r="CD909" s="61"/>
      <c r="CE909" s="61"/>
      <c r="CF909" s="61"/>
      <c r="CG909" s="61"/>
      <c r="CH909" s="61"/>
      <c r="CI909" s="61"/>
      <c r="CJ909" s="61"/>
      <c r="CK909" s="61"/>
      <c r="CL909" s="61"/>
      <c r="CM909" s="61"/>
    </row>
    <row r="910">
      <c r="A910" s="184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/>
      <c r="CK910" s="61"/>
      <c r="CL910" s="61"/>
      <c r="CM910" s="61"/>
    </row>
    <row r="911">
      <c r="A911" s="184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/>
      <c r="CG911" s="61"/>
      <c r="CH911" s="61"/>
      <c r="CI911" s="61"/>
      <c r="CJ911" s="61"/>
      <c r="CK911" s="61"/>
      <c r="CL911" s="61"/>
      <c r="CM911" s="61"/>
    </row>
    <row r="912">
      <c r="A912" s="184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  <c r="CD912" s="61"/>
      <c r="CE912" s="61"/>
      <c r="CF912" s="61"/>
      <c r="CG912" s="61"/>
      <c r="CH912" s="61"/>
      <c r="CI912" s="61"/>
      <c r="CJ912" s="61"/>
      <c r="CK912" s="61"/>
      <c r="CL912" s="61"/>
      <c r="CM912" s="61"/>
    </row>
    <row r="913">
      <c r="A913" s="184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/>
      <c r="CL913" s="61"/>
      <c r="CM913" s="61"/>
    </row>
    <row r="914">
      <c r="A914" s="184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  <c r="CD914" s="61"/>
      <c r="CE914" s="61"/>
      <c r="CF914" s="61"/>
      <c r="CG914" s="61"/>
      <c r="CH914" s="61"/>
      <c r="CI914" s="61"/>
      <c r="CJ914" s="61"/>
      <c r="CK914" s="61"/>
      <c r="CL914" s="61"/>
      <c r="CM914" s="61"/>
    </row>
    <row r="915">
      <c r="A915" s="184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  <c r="CD915" s="61"/>
      <c r="CE915" s="61"/>
      <c r="CF915" s="61"/>
      <c r="CG915" s="61"/>
      <c r="CH915" s="61"/>
      <c r="CI915" s="61"/>
      <c r="CJ915" s="61"/>
      <c r="CK915" s="61"/>
      <c r="CL915" s="61"/>
      <c r="CM915" s="61"/>
    </row>
    <row r="916">
      <c r="A916" s="184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  <c r="CD916" s="61"/>
      <c r="CE916" s="61"/>
      <c r="CF916" s="61"/>
      <c r="CG916" s="61"/>
      <c r="CH916" s="61"/>
      <c r="CI916" s="61"/>
      <c r="CJ916" s="61"/>
      <c r="CK916" s="61"/>
      <c r="CL916" s="61"/>
      <c r="CM916" s="61"/>
    </row>
    <row r="917">
      <c r="A917" s="184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  <c r="CD917" s="61"/>
      <c r="CE917" s="61"/>
      <c r="CF917" s="61"/>
      <c r="CG917" s="61"/>
      <c r="CH917" s="61"/>
      <c r="CI917" s="61"/>
      <c r="CJ917" s="61"/>
      <c r="CK917" s="61"/>
      <c r="CL917" s="61"/>
      <c r="CM917" s="61"/>
    </row>
    <row r="918">
      <c r="A918" s="184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  <c r="CD918" s="61"/>
      <c r="CE918" s="61"/>
      <c r="CF918" s="61"/>
      <c r="CG918" s="61"/>
      <c r="CH918" s="61"/>
      <c r="CI918" s="61"/>
      <c r="CJ918" s="61"/>
      <c r="CK918" s="61"/>
      <c r="CL918" s="61"/>
      <c r="CM918" s="61"/>
    </row>
    <row r="919">
      <c r="A919" s="184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  <c r="CD919" s="61"/>
      <c r="CE919" s="61"/>
      <c r="CF919" s="61"/>
      <c r="CG919" s="61"/>
      <c r="CH919" s="61"/>
      <c r="CI919" s="61"/>
      <c r="CJ919" s="61"/>
      <c r="CK919" s="61"/>
      <c r="CL919" s="61"/>
      <c r="CM919" s="61"/>
    </row>
    <row r="920">
      <c r="A920" s="184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  <c r="CD920" s="61"/>
      <c r="CE920" s="61"/>
      <c r="CF920" s="61"/>
      <c r="CG920" s="61"/>
      <c r="CH920" s="61"/>
      <c r="CI920" s="61"/>
      <c r="CJ920" s="61"/>
      <c r="CK920" s="61"/>
      <c r="CL920" s="61"/>
      <c r="CM920" s="61"/>
    </row>
    <row r="921">
      <c r="A921" s="184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  <c r="CD921" s="61"/>
      <c r="CE921" s="61"/>
      <c r="CF921" s="61"/>
      <c r="CG921" s="61"/>
      <c r="CH921" s="61"/>
      <c r="CI921" s="61"/>
      <c r="CJ921" s="61"/>
      <c r="CK921" s="61"/>
      <c r="CL921" s="61"/>
      <c r="CM921" s="61"/>
    </row>
    <row r="922">
      <c r="A922" s="184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/>
      <c r="CL922" s="61"/>
      <c r="CM922" s="61"/>
    </row>
    <row r="923">
      <c r="A923" s="184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  <c r="CD923" s="61"/>
      <c r="CE923" s="61"/>
      <c r="CF923" s="61"/>
      <c r="CG923" s="61"/>
      <c r="CH923" s="61"/>
      <c r="CI923" s="61"/>
      <c r="CJ923" s="61"/>
      <c r="CK923" s="61"/>
      <c r="CL923" s="61"/>
      <c r="CM923" s="61"/>
    </row>
    <row r="924">
      <c r="A924" s="184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  <c r="CD924" s="61"/>
      <c r="CE924" s="61"/>
      <c r="CF924" s="61"/>
      <c r="CG924" s="61"/>
      <c r="CH924" s="61"/>
      <c r="CI924" s="61"/>
      <c r="CJ924" s="61"/>
      <c r="CK924" s="61"/>
      <c r="CL924" s="61"/>
      <c r="CM924" s="61"/>
    </row>
    <row r="925">
      <c r="A925" s="184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  <c r="CD925" s="61"/>
      <c r="CE925" s="61"/>
      <c r="CF925" s="61"/>
      <c r="CG925" s="61"/>
      <c r="CH925" s="61"/>
      <c r="CI925" s="61"/>
      <c r="CJ925" s="61"/>
      <c r="CK925" s="61"/>
      <c r="CL925" s="61"/>
      <c r="CM925" s="61"/>
    </row>
    <row r="926">
      <c r="A926" s="184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  <c r="CD926" s="61"/>
      <c r="CE926" s="61"/>
      <c r="CF926" s="61"/>
      <c r="CG926" s="61"/>
      <c r="CH926" s="61"/>
      <c r="CI926" s="61"/>
      <c r="CJ926" s="61"/>
      <c r="CK926" s="61"/>
      <c r="CL926" s="61"/>
      <c r="CM926" s="61"/>
    </row>
    <row r="927">
      <c r="A927" s="184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  <c r="CD927" s="61"/>
      <c r="CE927" s="61"/>
      <c r="CF927" s="61"/>
      <c r="CG927" s="61"/>
      <c r="CH927" s="61"/>
      <c r="CI927" s="61"/>
      <c r="CJ927" s="61"/>
      <c r="CK927" s="61"/>
      <c r="CL927" s="61"/>
      <c r="CM927" s="61"/>
    </row>
    <row r="928">
      <c r="A928" s="184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  <c r="CD928" s="61"/>
      <c r="CE928" s="61"/>
      <c r="CF928" s="61"/>
      <c r="CG928" s="61"/>
      <c r="CH928" s="61"/>
      <c r="CI928" s="61"/>
      <c r="CJ928" s="61"/>
      <c r="CK928" s="61"/>
      <c r="CL928" s="61"/>
      <c r="CM928" s="61"/>
    </row>
    <row r="929">
      <c r="A929" s="184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  <c r="CD929" s="61"/>
      <c r="CE929" s="61"/>
      <c r="CF929" s="61"/>
      <c r="CG929" s="61"/>
      <c r="CH929" s="61"/>
      <c r="CI929" s="61"/>
      <c r="CJ929" s="61"/>
      <c r="CK929" s="61"/>
      <c r="CL929" s="61"/>
      <c r="CM929" s="61"/>
    </row>
    <row r="930">
      <c r="A930" s="184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/>
      <c r="CL930" s="61"/>
      <c r="CM930" s="61"/>
    </row>
    <row r="931">
      <c r="A931" s="184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  <c r="CG931" s="61"/>
      <c r="CH931" s="61"/>
      <c r="CI931" s="61"/>
      <c r="CJ931" s="61"/>
      <c r="CK931" s="61"/>
      <c r="CL931" s="61"/>
      <c r="CM931" s="61"/>
    </row>
    <row r="932">
      <c r="A932" s="184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  <c r="CD932" s="61"/>
      <c r="CE932" s="61"/>
      <c r="CF932" s="61"/>
      <c r="CG932" s="61"/>
      <c r="CH932" s="61"/>
      <c r="CI932" s="61"/>
      <c r="CJ932" s="61"/>
      <c r="CK932" s="61"/>
      <c r="CL932" s="61"/>
      <c r="CM932" s="61"/>
    </row>
    <row r="933">
      <c r="A933" s="184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  <c r="CD933" s="61"/>
      <c r="CE933" s="61"/>
      <c r="CF933" s="61"/>
      <c r="CG933" s="61"/>
      <c r="CH933" s="61"/>
      <c r="CI933" s="61"/>
      <c r="CJ933" s="61"/>
      <c r="CK933" s="61"/>
      <c r="CL933" s="61"/>
      <c r="CM933" s="61"/>
    </row>
    <row r="934">
      <c r="A934" s="184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  <c r="CD934" s="61"/>
      <c r="CE934" s="61"/>
      <c r="CF934" s="61"/>
      <c r="CG934" s="61"/>
      <c r="CH934" s="61"/>
      <c r="CI934" s="61"/>
      <c r="CJ934" s="61"/>
      <c r="CK934" s="61"/>
      <c r="CL934" s="61"/>
      <c r="CM934" s="61"/>
    </row>
    <row r="935">
      <c r="A935" s="184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  <c r="CM935" s="61"/>
    </row>
    <row r="936">
      <c r="A936" s="184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  <c r="CD936" s="61"/>
      <c r="CE936" s="61"/>
      <c r="CF936" s="61"/>
      <c r="CG936" s="61"/>
      <c r="CH936" s="61"/>
      <c r="CI936" s="61"/>
      <c r="CJ936" s="61"/>
      <c r="CK936" s="61"/>
      <c r="CL936" s="61"/>
      <c r="CM936" s="61"/>
    </row>
    <row r="937">
      <c r="A937" s="184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  <c r="CD937" s="61"/>
      <c r="CE937" s="61"/>
      <c r="CF937" s="61"/>
      <c r="CG937" s="61"/>
      <c r="CH937" s="61"/>
      <c r="CI937" s="61"/>
      <c r="CJ937" s="61"/>
      <c r="CK937" s="61"/>
      <c r="CL937" s="61"/>
      <c r="CM937" s="61"/>
    </row>
    <row r="938">
      <c r="A938" s="184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</row>
    <row r="939">
      <c r="A939" s="184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</row>
    <row r="940">
      <c r="A940" s="184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/>
      <c r="CK940" s="61"/>
      <c r="CL940" s="61"/>
      <c r="CM940" s="61"/>
    </row>
    <row r="941">
      <c r="A941" s="184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  <c r="CD941" s="61"/>
      <c r="CE941" s="61"/>
      <c r="CF941" s="61"/>
      <c r="CG941" s="61"/>
      <c r="CH941" s="61"/>
      <c r="CI941" s="61"/>
      <c r="CJ941" s="61"/>
      <c r="CK941" s="61"/>
      <c r="CL941" s="61"/>
      <c r="CM941" s="61"/>
    </row>
    <row r="942">
      <c r="A942" s="184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/>
      <c r="CL942" s="61"/>
      <c r="CM942" s="61"/>
    </row>
    <row r="943">
      <c r="A943" s="184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/>
      <c r="CL943" s="61"/>
      <c r="CM943" s="61"/>
    </row>
    <row r="944">
      <c r="A944" s="184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/>
      <c r="BX944" s="61"/>
      <c r="BY944" s="61"/>
      <c r="BZ944" s="61"/>
      <c r="CA944" s="61"/>
      <c r="CB944" s="61"/>
      <c r="CC944" s="61"/>
      <c r="CD944" s="61"/>
      <c r="CE944" s="61"/>
      <c r="CF944" s="61"/>
      <c r="CG944" s="61"/>
      <c r="CH944" s="61"/>
      <c r="CI944" s="61"/>
      <c r="CJ944" s="61"/>
      <c r="CK944" s="61"/>
      <c r="CL944" s="61"/>
      <c r="CM944" s="61"/>
    </row>
    <row r="945">
      <c r="A945" s="184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/>
      <c r="CL945" s="61"/>
      <c r="CM945" s="61"/>
    </row>
    <row r="946">
      <c r="A946" s="184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</row>
    <row r="947">
      <c r="A947" s="184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/>
      <c r="CK947" s="61"/>
      <c r="CL947" s="61"/>
      <c r="CM947" s="61"/>
    </row>
    <row r="948">
      <c r="A948" s="184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</row>
    <row r="949">
      <c r="A949" s="184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/>
      <c r="CK949" s="61"/>
      <c r="CL949" s="61"/>
      <c r="CM949" s="61"/>
    </row>
    <row r="950">
      <c r="A950" s="184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</row>
    <row r="951">
      <c r="A951" s="184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  <c r="CD951" s="61"/>
      <c r="CE951" s="61"/>
      <c r="CF951" s="61"/>
      <c r="CG951" s="61"/>
      <c r="CH951" s="61"/>
      <c r="CI951" s="61"/>
      <c r="CJ951" s="61"/>
      <c r="CK951" s="61"/>
      <c r="CL951" s="61"/>
      <c r="CM951" s="61"/>
    </row>
    <row r="952">
      <c r="A952" s="184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</row>
    <row r="953">
      <c r="A953" s="184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</row>
    <row r="954">
      <c r="A954" s="184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</row>
    <row r="955">
      <c r="A955" s="184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</row>
    <row r="956">
      <c r="A956" s="184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</row>
    <row r="957">
      <c r="A957" s="184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/>
      <c r="CG957" s="61"/>
      <c r="CH957" s="61"/>
      <c r="CI957" s="61"/>
      <c r="CJ957" s="61"/>
      <c r="CK957" s="61"/>
      <c r="CL957" s="61"/>
      <c r="CM957" s="61"/>
    </row>
    <row r="958">
      <c r="A958" s="184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</row>
    <row r="959">
      <c r="A959" s="184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/>
      <c r="CM959" s="61"/>
    </row>
    <row r="960">
      <c r="A960" s="184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</row>
    <row r="961">
      <c r="A961" s="184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</row>
    <row r="962">
      <c r="A962" s="184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/>
      <c r="CG962" s="61"/>
      <c r="CH962" s="61"/>
      <c r="CI962" s="61"/>
      <c r="CJ962" s="61"/>
      <c r="CK962" s="61"/>
      <c r="CL962" s="61"/>
      <c r="CM962" s="61"/>
    </row>
    <row r="963">
      <c r="A963" s="184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</row>
    <row r="964">
      <c r="A964" s="184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</row>
    <row r="965">
      <c r="A965" s="184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  <c r="CD965" s="61"/>
      <c r="CE965" s="61"/>
      <c r="CF965" s="61"/>
      <c r="CG965" s="61"/>
      <c r="CH965" s="61"/>
      <c r="CI965" s="61"/>
      <c r="CJ965" s="61"/>
      <c r="CK965" s="61"/>
      <c r="CL965" s="61"/>
      <c r="CM965" s="61"/>
    </row>
    <row r="966">
      <c r="A966" s="184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</row>
    <row r="967">
      <c r="A967" s="184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/>
      <c r="CG967" s="61"/>
      <c r="CH967" s="61"/>
      <c r="CI967" s="61"/>
      <c r="CJ967" s="61"/>
      <c r="CK967" s="61"/>
      <c r="CL967" s="61"/>
      <c r="CM967" s="61"/>
    </row>
    <row r="968">
      <c r="A968" s="184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</row>
    <row r="969">
      <c r="A969" s="184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</row>
    <row r="970">
      <c r="A970" s="184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/>
      <c r="CE970" s="61"/>
      <c r="CF970" s="61"/>
      <c r="CG970" s="61"/>
      <c r="CH970" s="61"/>
      <c r="CI970" s="61"/>
      <c r="CJ970" s="61"/>
      <c r="CK970" s="61"/>
      <c r="CL970" s="61"/>
      <c r="CM970" s="61"/>
    </row>
    <row r="971">
      <c r="A971" s="184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/>
      <c r="CI971" s="61"/>
      <c r="CJ971" s="61"/>
      <c r="CK971" s="61"/>
      <c r="CL971" s="61"/>
      <c r="CM971" s="61"/>
    </row>
    <row r="972">
      <c r="A972" s="184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</row>
    <row r="973">
      <c r="A973" s="184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</row>
    <row r="974">
      <c r="A974" s="184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/>
      <c r="CE974" s="61"/>
      <c r="CF974" s="61"/>
      <c r="CG974" s="61"/>
      <c r="CH974" s="61"/>
      <c r="CI974" s="61"/>
      <c r="CJ974" s="61"/>
      <c r="CK974" s="61"/>
      <c r="CL974" s="61"/>
      <c r="CM974" s="61"/>
    </row>
    <row r="975">
      <c r="A975" s="184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/>
      <c r="CM975" s="61"/>
    </row>
    <row r="976">
      <c r="A976" s="184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/>
      <c r="CK976" s="61"/>
      <c r="CL976" s="61"/>
      <c r="CM976" s="61"/>
    </row>
    <row r="977">
      <c r="A977" s="184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</row>
    <row r="978">
      <c r="A978" s="184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/>
      <c r="CI978" s="61"/>
      <c r="CJ978" s="61"/>
      <c r="CK978" s="61"/>
      <c r="CL978" s="61"/>
      <c r="CM978" s="61"/>
    </row>
    <row r="979">
      <c r="A979" s="184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/>
      <c r="CI979" s="61"/>
      <c r="CJ979" s="61"/>
      <c r="CK979" s="61"/>
      <c r="CL979" s="61"/>
      <c r="CM979" s="61"/>
    </row>
    <row r="980">
      <c r="A980" s="184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/>
      <c r="CI980" s="61"/>
      <c r="CJ980" s="61"/>
      <c r="CK980" s="61"/>
      <c r="CL980" s="61"/>
      <c r="CM980" s="61"/>
    </row>
    <row r="981">
      <c r="A981" s="184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/>
      <c r="CL981" s="61"/>
      <c r="CM981" s="61"/>
    </row>
    <row r="982">
      <c r="A982" s="184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/>
      <c r="CL982" s="61"/>
      <c r="CM982" s="61"/>
    </row>
    <row r="983">
      <c r="A983" s="184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</row>
    <row r="984">
      <c r="A984" s="184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/>
      <c r="CL984" s="61"/>
      <c r="CM984" s="61"/>
    </row>
    <row r="985">
      <c r="A985" s="184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/>
      <c r="CM985" s="61"/>
    </row>
    <row r="986">
      <c r="A986" s="184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</row>
    <row r="987">
      <c r="A987" s="184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/>
      <c r="CK987" s="61"/>
      <c r="CL987" s="61"/>
      <c r="CM987" s="61"/>
    </row>
    <row r="988">
      <c r="A988" s="184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  <c r="CD988" s="61"/>
      <c r="CE988" s="61"/>
      <c r="CF988" s="61"/>
      <c r="CG988" s="61"/>
      <c r="CH988" s="61"/>
      <c r="CI988" s="61"/>
      <c r="CJ988" s="61"/>
      <c r="CK988" s="61"/>
      <c r="CL988" s="61"/>
      <c r="CM988" s="61"/>
    </row>
    <row r="989">
      <c r="A989" s="184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</row>
    <row r="990">
      <c r="A990" s="184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</row>
    <row r="991">
      <c r="A991" s="184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</row>
    <row r="992">
      <c r="A992" s="184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</row>
    <row r="993">
      <c r="A993" s="184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</row>
    <row r="994">
      <c r="A994" s="184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</row>
    <row r="995">
      <c r="A995" s="184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/>
      <c r="CL995" s="61"/>
      <c r="CM995" s="61"/>
    </row>
    <row r="996">
      <c r="A996" s="184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/>
      <c r="CG996" s="61"/>
      <c r="CH996" s="61"/>
      <c r="CI996" s="61"/>
      <c r="CJ996" s="61"/>
      <c r="CK996" s="61"/>
      <c r="CL996" s="61"/>
      <c r="CM996" s="61"/>
    </row>
    <row r="997">
      <c r="A997" s="184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</row>
    <row r="998">
      <c r="A998" s="184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/>
      <c r="CE998" s="61"/>
      <c r="CF998" s="61"/>
      <c r="CG998" s="61"/>
      <c r="CH998" s="61"/>
      <c r="CI998" s="61"/>
      <c r="CJ998" s="61"/>
      <c r="CK998" s="61"/>
      <c r="CL998" s="61"/>
      <c r="CM998" s="61"/>
    </row>
    <row r="999">
      <c r="A999" s="184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</row>
    <row r="1000">
      <c r="A1000" s="184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  <c r="CD1000" s="61"/>
      <c r="CE1000" s="61"/>
      <c r="CF1000" s="61"/>
      <c r="CG1000" s="61"/>
      <c r="CH1000" s="61"/>
      <c r="CI1000" s="61"/>
      <c r="CJ1000" s="61"/>
      <c r="CK1000" s="61"/>
      <c r="CL1000" s="61"/>
      <c r="CM1000" s="61"/>
    </row>
    <row r="1001">
      <c r="A1001" s="184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  <c r="BV1001" s="61"/>
      <c r="BW1001" s="61"/>
      <c r="BX1001" s="61"/>
      <c r="BY1001" s="61"/>
      <c r="BZ1001" s="61"/>
      <c r="CA1001" s="61"/>
      <c r="CB1001" s="61"/>
      <c r="CC1001" s="61"/>
      <c r="CD1001" s="61"/>
      <c r="CE1001" s="61"/>
      <c r="CF1001" s="61"/>
      <c r="CG1001" s="61"/>
      <c r="CH1001" s="61"/>
      <c r="CI1001" s="61"/>
      <c r="CJ1001" s="61"/>
      <c r="CK1001" s="61"/>
      <c r="CL1001" s="61"/>
      <c r="CM1001" s="61"/>
    </row>
    <row r="1002">
      <c r="A1002" s="184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  <c r="BV1002" s="61"/>
      <c r="BW1002" s="61"/>
      <c r="BX1002" s="61"/>
      <c r="BY1002" s="61"/>
      <c r="BZ1002" s="61"/>
      <c r="CA1002" s="61"/>
      <c r="CB1002" s="61"/>
      <c r="CC1002" s="61"/>
      <c r="CD1002" s="61"/>
      <c r="CE1002" s="61"/>
      <c r="CF1002" s="61"/>
      <c r="CG1002" s="61"/>
      <c r="CH1002" s="61"/>
      <c r="CI1002" s="61"/>
      <c r="CJ1002" s="61"/>
      <c r="CK1002" s="61"/>
      <c r="CL1002" s="61"/>
      <c r="CM1002" s="61"/>
    </row>
    <row r="1003">
      <c r="A1003" s="186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  <c r="BV1003" s="61"/>
      <c r="BW1003" s="61"/>
      <c r="BX1003" s="61"/>
      <c r="BY1003" s="61"/>
      <c r="BZ1003" s="61"/>
      <c r="CA1003" s="61"/>
      <c r="CB1003" s="61"/>
      <c r="CC1003" s="61"/>
      <c r="CD1003" s="61"/>
      <c r="CE1003" s="61"/>
      <c r="CF1003" s="61"/>
      <c r="CG1003" s="61"/>
      <c r="CH1003" s="61"/>
      <c r="CI1003" s="61"/>
      <c r="CJ1003" s="61"/>
      <c r="CK1003" s="61"/>
      <c r="CL1003" s="61"/>
      <c r="CM1003" s="61"/>
    </row>
  </sheetData>
  <mergeCells count="4">
    <mergeCell ref="F3:M3"/>
    <mergeCell ref="F4:G4"/>
    <mergeCell ref="J4:L4"/>
    <mergeCell ref="J5:L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9.63"/>
    <col customWidth="1" min="3" max="3" width="14.75"/>
    <col customWidth="1" min="4" max="5" width="15.0"/>
    <col customWidth="1" min="6" max="6" width="14.25"/>
    <col customWidth="1" min="7" max="7" width="14.88"/>
  </cols>
  <sheetData>
    <row r="1">
      <c r="A1" s="200" t="s">
        <v>1</v>
      </c>
      <c r="B1" s="200" t="s">
        <v>145</v>
      </c>
      <c r="C1" s="201" t="s">
        <v>146</v>
      </c>
      <c r="D1" s="202" t="s">
        <v>147</v>
      </c>
      <c r="E1" s="202" t="s">
        <v>148</v>
      </c>
      <c r="F1" s="202" t="s">
        <v>149</v>
      </c>
      <c r="G1" s="202" t="s">
        <v>150</v>
      </c>
    </row>
    <row r="2">
      <c r="A2" s="203">
        <v>1.0</v>
      </c>
      <c r="B2" s="204" t="s">
        <v>151</v>
      </c>
      <c r="C2" s="62"/>
      <c r="D2" s="62"/>
      <c r="E2" s="62"/>
      <c r="F2" s="62"/>
      <c r="G2" s="62"/>
    </row>
    <row r="3">
      <c r="A3" s="203">
        <v>2.0</v>
      </c>
      <c r="B3" s="204" t="s">
        <v>152</v>
      </c>
      <c r="C3" s="62"/>
      <c r="D3" s="62"/>
      <c r="E3" s="62"/>
      <c r="F3" s="62"/>
      <c r="G3" s="62"/>
    </row>
    <row r="4">
      <c r="A4" s="203">
        <v>3.0</v>
      </c>
      <c r="B4" s="204" t="s">
        <v>115</v>
      </c>
      <c r="C4" s="62"/>
      <c r="D4" s="62"/>
      <c r="E4" s="62"/>
      <c r="F4" s="62"/>
      <c r="G4" s="62"/>
    </row>
    <row r="5">
      <c r="A5" s="203">
        <v>4.0</v>
      </c>
      <c r="B5" s="204" t="s">
        <v>113</v>
      </c>
      <c r="C5" s="62"/>
      <c r="D5" s="62"/>
      <c r="E5" s="62"/>
      <c r="F5" s="62"/>
      <c r="G5" s="62"/>
    </row>
    <row r="6">
      <c r="A6" s="203">
        <v>5.0</v>
      </c>
      <c r="B6" s="204" t="s">
        <v>153</v>
      </c>
      <c r="C6" s="62"/>
      <c r="D6" s="62"/>
      <c r="E6" s="62"/>
      <c r="F6" s="62"/>
      <c r="G6" s="62"/>
    </row>
    <row r="7">
      <c r="A7" s="203">
        <v>6.0</v>
      </c>
      <c r="B7" s="204" t="s">
        <v>95</v>
      </c>
      <c r="C7" s="62"/>
      <c r="D7" s="62"/>
      <c r="E7" s="62"/>
      <c r="F7" s="62"/>
      <c r="G7" s="62"/>
    </row>
    <row r="8">
      <c r="A8" s="203">
        <v>7.0</v>
      </c>
      <c r="B8" s="204" t="s">
        <v>135</v>
      </c>
      <c r="C8" s="62"/>
      <c r="D8" s="62"/>
      <c r="E8" s="62"/>
      <c r="F8" s="62"/>
      <c r="G8" s="62"/>
    </row>
    <row r="9">
      <c r="A9" s="205">
        <v>8.0</v>
      </c>
      <c r="B9" s="206" t="s">
        <v>154</v>
      </c>
      <c r="C9" s="62"/>
      <c r="D9" s="62"/>
      <c r="E9" s="62"/>
      <c r="F9" s="62"/>
      <c r="G9" s="62"/>
    </row>
    <row r="10">
      <c r="A10" s="205">
        <v>9.0</v>
      </c>
      <c r="B10" s="206" t="s">
        <v>155</v>
      </c>
      <c r="C10" s="62"/>
      <c r="D10" s="62"/>
      <c r="E10" s="62"/>
      <c r="F10" s="62"/>
      <c r="G10" s="62"/>
    </row>
    <row r="11">
      <c r="A11" s="207">
        <v>10.0</v>
      </c>
      <c r="B11" s="208" t="s">
        <v>156</v>
      </c>
      <c r="C11" s="209"/>
      <c r="D11" s="209"/>
      <c r="E11" s="209"/>
      <c r="F11" s="209"/>
      <c r="G11" s="209"/>
    </row>
    <row r="12">
      <c r="A12" s="207">
        <v>11.0</v>
      </c>
      <c r="B12" s="208" t="s">
        <v>157</v>
      </c>
      <c r="C12" s="209"/>
      <c r="D12" s="209"/>
      <c r="E12" s="209"/>
      <c r="F12" s="209"/>
      <c r="G12" s="209"/>
    </row>
    <row r="13">
      <c r="A13" s="207">
        <v>12.0</v>
      </c>
      <c r="B13" s="208" t="s">
        <v>117</v>
      </c>
      <c r="C13" s="209"/>
      <c r="D13" s="209"/>
      <c r="E13" s="209"/>
      <c r="F13" s="209"/>
      <c r="G13" s="209"/>
    </row>
    <row r="14">
      <c r="A14" s="207">
        <v>13.0</v>
      </c>
      <c r="B14" s="208" t="s">
        <v>130</v>
      </c>
      <c r="C14" s="209"/>
      <c r="D14" s="209"/>
      <c r="E14" s="209"/>
      <c r="F14" s="209"/>
      <c r="G14" s="209"/>
    </row>
    <row r="15">
      <c r="A15" s="207">
        <v>14.0</v>
      </c>
      <c r="B15" s="208" t="s">
        <v>101</v>
      </c>
      <c r="C15" s="209"/>
      <c r="D15" s="209"/>
      <c r="E15" s="209"/>
      <c r="F15" s="209"/>
      <c r="G15" s="209"/>
    </row>
    <row r="16">
      <c r="A16" s="207">
        <v>15.0</v>
      </c>
      <c r="B16" s="208" t="s">
        <v>158</v>
      </c>
      <c r="C16" s="209"/>
      <c r="D16" s="209"/>
      <c r="E16" s="209"/>
      <c r="F16" s="209"/>
      <c r="G16" s="209"/>
    </row>
    <row r="17">
      <c r="A17" s="207">
        <v>16.0</v>
      </c>
      <c r="B17" s="208" t="s">
        <v>159</v>
      </c>
      <c r="C17" s="209"/>
      <c r="D17" s="209"/>
      <c r="E17" s="209"/>
      <c r="F17" s="209"/>
      <c r="G17" s="209"/>
    </row>
    <row r="18">
      <c r="A18" s="207">
        <v>17.0</v>
      </c>
      <c r="B18" s="208" t="s">
        <v>160</v>
      </c>
      <c r="C18" s="209"/>
      <c r="D18" s="209"/>
      <c r="E18" s="209"/>
      <c r="F18" s="209"/>
      <c r="G18" s="209"/>
    </row>
    <row r="19">
      <c r="A19" s="210">
        <v>18.0</v>
      </c>
      <c r="B19" s="208" t="s">
        <v>161</v>
      </c>
      <c r="C19" s="209"/>
      <c r="D19" s="209"/>
      <c r="E19" s="209"/>
      <c r="F19" s="209"/>
      <c r="G19" s="209"/>
    </row>
    <row r="20">
      <c r="A20" s="210">
        <v>19.0</v>
      </c>
      <c r="B20" s="208" t="s">
        <v>138</v>
      </c>
      <c r="C20" s="209"/>
      <c r="D20" s="209"/>
      <c r="E20" s="209"/>
      <c r="F20" s="209"/>
      <c r="G20" s="209"/>
    </row>
    <row r="21">
      <c r="A21" s="211">
        <v>20.0</v>
      </c>
      <c r="B21" s="212" t="s">
        <v>106</v>
      </c>
      <c r="C21" s="62"/>
      <c r="D21" s="213"/>
      <c r="E21" s="213"/>
      <c r="F21" s="213"/>
      <c r="G21" s="213"/>
    </row>
    <row r="22">
      <c r="A22" s="211">
        <v>21.0</v>
      </c>
      <c r="B22" s="212" t="s">
        <v>162</v>
      </c>
      <c r="C22" s="62"/>
      <c r="D22" s="213"/>
      <c r="E22" s="213"/>
      <c r="F22" s="213"/>
      <c r="G22" s="213"/>
    </row>
    <row r="23">
      <c r="A23" s="211">
        <v>22.0</v>
      </c>
      <c r="B23" s="212" t="s">
        <v>163</v>
      </c>
      <c r="C23" s="62"/>
      <c r="D23" s="213"/>
      <c r="E23" s="213"/>
      <c r="F23" s="213"/>
      <c r="G23" s="213"/>
    </row>
    <row r="24">
      <c r="A24" s="211">
        <v>23.0</v>
      </c>
      <c r="B24" s="212" t="s">
        <v>164</v>
      </c>
      <c r="C24" s="62"/>
      <c r="D24" s="213"/>
      <c r="E24" s="213"/>
      <c r="F24" s="213"/>
      <c r="G24" s="213"/>
    </row>
    <row r="25">
      <c r="A25" s="211">
        <v>24.0</v>
      </c>
      <c r="B25" s="212" t="s">
        <v>85</v>
      </c>
      <c r="C25" s="62"/>
      <c r="D25" s="213"/>
      <c r="E25" s="213"/>
      <c r="F25" s="213"/>
      <c r="G25" s="213"/>
    </row>
    <row r="26">
      <c r="A26" s="211">
        <v>25.0</v>
      </c>
      <c r="B26" s="212" t="s">
        <v>165</v>
      </c>
      <c r="C26" s="62"/>
      <c r="D26" s="213"/>
      <c r="E26" s="213"/>
      <c r="F26" s="213"/>
      <c r="G26" s="213"/>
    </row>
    <row r="27">
      <c r="A27" s="211">
        <v>26.0</v>
      </c>
      <c r="B27" s="212" t="s">
        <v>112</v>
      </c>
      <c r="C27" s="62"/>
      <c r="D27" s="213"/>
      <c r="E27" s="213"/>
      <c r="F27" s="213"/>
      <c r="G27" s="213"/>
    </row>
    <row r="28">
      <c r="A28" s="211">
        <v>27.0</v>
      </c>
      <c r="B28" s="212" t="s">
        <v>166</v>
      </c>
      <c r="C28" s="62"/>
      <c r="D28" s="213"/>
      <c r="E28" s="213"/>
      <c r="F28" s="213"/>
      <c r="G28" s="213"/>
    </row>
    <row r="29">
      <c r="A29" s="211">
        <v>28.0</v>
      </c>
      <c r="B29" s="212" t="s">
        <v>123</v>
      </c>
      <c r="C29" s="62"/>
      <c r="D29" s="213"/>
      <c r="E29" s="213"/>
      <c r="F29" s="213"/>
      <c r="G29" s="213"/>
    </row>
    <row r="30">
      <c r="A30" s="211">
        <v>29.0</v>
      </c>
      <c r="B30" s="212" t="s">
        <v>99</v>
      </c>
      <c r="C30" s="62"/>
      <c r="D30" s="213"/>
      <c r="E30" s="213"/>
      <c r="F30" s="213"/>
      <c r="G30" s="213"/>
    </row>
    <row r="31">
      <c r="A31" s="214">
        <v>30.0</v>
      </c>
      <c r="B31" s="215" t="s">
        <v>167</v>
      </c>
      <c r="C31" s="62"/>
      <c r="D31" s="62"/>
      <c r="E31" s="216"/>
      <c r="F31" s="216"/>
      <c r="G31" s="216"/>
    </row>
    <row r="32">
      <c r="A32" s="214">
        <v>31.0</v>
      </c>
      <c r="B32" s="215" t="s">
        <v>168</v>
      </c>
      <c r="C32" s="62"/>
      <c r="D32" s="62"/>
      <c r="E32" s="216"/>
      <c r="F32" s="216"/>
      <c r="G32" s="216"/>
    </row>
    <row r="33">
      <c r="A33" s="214">
        <v>32.0</v>
      </c>
      <c r="B33" s="215" t="s">
        <v>169</v>
      </c>
      <c r="C33" s="62"/>
      <c r="D33" s="62"/>
      <c r="E33" s="216"/>
      <c r="F33" s="216"/>
      <c r="G33" s="216"/>
    </row>
    <row r="34">
      <c r="A34" s="214">
        <v>33.0</v>
      </c>
      <c r="B34" s="215" t="s">
        <v>170</v>
      </c>
      <c r="C34" s="62"/>
      <c r="D34" s="62"/>
      <c r="E34" s="216"/>
      <c r="F34" s="216"/>
      <c r="G34" s="216"/>
    </row>
    <row r="35">
      <c r="A35" s="214">
        <v>34.0</v>
      </c>
      <c r="B35" s="215" t="s">
        <v>171</v>
      </c>
      <c r="C35" s="62"/>
      <c r="D35" s="62"/>
      <c r="E35" s="216"/>
      <c r="F35" s="216"/>
      <c r="G35" s="216"/>
    </row>
    <row r="36">
      <c r="A36" s="214">
        <v>35.0</v>
      </c>
      <c r="B36" s="215" t="s">
        <v>98</v>
      </c>
      <c r="C36" s="62"/>
      <c r="D36" s="62"/>
      <c r="E36" s="216"/>
      <c r="F36" s="216"/>
      <c r="G36" s="216"/>
    </row>
    <row r="37">
      <c r="A37" s="214">
        <v>36.0</v>
      </c>
      <c r="B37" s="215" t="s">
        <v>81</v>
      </c>
      <c r="C37" s="62"/>
      <c r="D37" s="62"/>
      <c r="E37" s="216"/>
      <c r="F37" s="216"/>
      <c r="G37" s="216"/>
    </row>
    <row r="38">
      <c r="A38" s="214">
        <v>37.0</v>
      </c>
      <c r="B38" s="215" t="s">
        <v>120</v>
      </c>
      <c r="C38" s="62"/>
      <c r="D38" s="62"/>
      <c r="E38" s="216"/>
      <c r="F38" s="216"/>
      <c r="G38" s="216"/>
    </row>
    <row r="39">
      <c r="A39" s="214">
        <v>38.0</v>
      </c>
      <c r="B39" s="215" t="s">
        <v>124</v>
      </c>
      <c r="C39" s="62"/>
      <c r="D39" s="62"/>
      <c r="E39" s="216"/>
      <c r="F39" s="216"/>
      <c r="G39" s="216"/>
    </row>
    <row r="40">
      <c r="A40" s="214">
        <v>39.0</v>
      </c>
      <c r="B40" s="215" t="s">
        <v>172</v>
      </c>
      <c r="C40" s="62"/>
      <c r="D40" s="62"/>
      <c r="E40" s="216"/>
      <c r="F40" s="216"/>
      <c r="G40" s="216"/>
    </row>
    <row r="41">
      <c r="A41" s="217">
        <v>40.0</v>
      </c>
      <c r="B41" s="218" t="s">
        <v>104</v>
      </c>
      <c r="C41" s="62"/>
      <c r="D41" s="62"/>
      <c r="E41" s="62"/>
      <c r="F41" s="219"/>
      <c r="G41" s="219"/>
    </row>
    <row r="42">
      <c r="A42" s="217">
        <v>41.0</v>
      </c>
      <c r="B42" s="218" t="s">
        <v>173</v>
      </c>
      <c r="C42" s="62"/>
      <c r="D42" s="62"/>
      <c r="E42" s="62"/>
      <c r="F42" s="219"/>
      <c r="G42" s="219"/>
    </row>
    <row r="43">
      <c r="A43" s="217">
        <v>42.0</v>
      </c>
      <c r="B43" s="218" t="s">
        <v>174</v>
      </c>
      <c r="C43" s="62"/>
      <c r="D43" s="62"/>
      <c r="E43" s="62"/>
      <c r="F43" s="219"/>
      <c r="G43" s="219"/>
    </row>
    <row r="44">
      <c r="A44" s="217">
        <v>43.0</v>
      </c>
      <c r="B44" s="218" t="s">
        <v>175</v>
      </c>
      <c r="C44" s="62"/>
      <c r="D44" s="62"/>
      <c r="E44" s="62"/>
      <c r="F44" s="219"/>
      <c r="G44" s="219"/>
    </row>
    <row r="45">
      <c r="A45" s="217">
        <v>44.0</v>
      </c>
      <c r="B45" s="218" t="s">
        <v>176</v>
      </c>
      <c r="C45" s="62"/>
      <c r="D45" s="62"/>
      <c r="E45" s="62"/>
      <c r="F45" s="219"/>
      <c r="G45" s="219"/>
    </row>
    <row r="46">
      <c r="A46" s="217">
        <v>45.0</v>
      </c>
      <c r="B46" s="218" t="s">
        <v>177</v>
      </c>
      <c r="C46" s="62"/>
      <c r="D46" s="62"/>
      <c r="E46" s="62"/>
      <c r="F46" s="219"/>
      <c r="G46" s="219"/>
    </row>
    <row r="47">
      <c r="A47" s="217">
        <v>46.0</v>
      </c>
      <c r="B47" s="218" t="s">
        <v>178</v>
      </c>
      <c r="C47" s="62"/>
      <c r="D47" s="62"/>
      <c r="E47" s="62"/>
      <c r="F47" s="219"/>
      <c r="G47" s="219"/>
    </row>
    <row r="48">
      <c r="A48" s="217">
        <v>47.0</v>
      </c>
      <c r="B48" s="218" t="s">
        <v>179</v>
      </c>
      <c r="C48" s="62"/>
      <c r="D48" s="62"/>
      <c r="E48" s="62"/>
      <c r="F48" s="219"/>
      <c r="G48" s="219"/>
    </row>
    <row r="49">
      <c r="A49" s="217">
        <v>48.0</v>
      </c>
      <c r="B49" s="218" t="s">
        <v>102</v>
      </c>
      <c r="C49" s="62"/>
      <c r="D49" s="62"/>
      <c r="E49" s="62"/>
      <c r="F49" s="219"/>
      <c r="G49" s="219"/>
    </row>
    <row r="50">
      <c r="A50" s="217">
        <v>49.0</v>
      </c>
      <c r="B50" s="218" t="s">
        <v>180</v>
      </c>
      <c r="C50" s="62"/>
      <c r="D50" s="62"/>
      <c r="E50" s="62"/>
      <c r="F50" s="219"/>
      <c r="G50" s="219"/>
    </row>
    <row r="51">
      <c r="A51" s="220">
        <v>50.0</v>
      </c>
      <c r="B51" s="221" t="s">
        <v>181</v>
      </c>
      <c r="C51" s="62"/>
      <c r="D51" s="62"/>
      <c r="E51" s="62"/>
      <c r="F51" s="62"/>
      <c r="G51" s="222"/>
    </row>
    <row r="52">
      <c r="A52" s="220">
        <v>51.0</v>
      </c>
      <c r="B52" s="221" t="s">
        <v>182</v>
      </c>
      <c r="C52" s="62"/>
      <c r="D52" s="62"/>
      <c r="E52" s="62"/>
      <c r="F52" s="62"/>
      <c r="G52" s="222"/>
    </row>
    <row r="53">
      <c r="A53" s="220">
        <v>52.0</v>
      </c>
      <c r="B53" s="221" t="s">
        <v>89</v>
      </c>
      <c r="C53" s="62"/>
      <c r="D53" s="62"/>
      <c r="E53" s="62"/>
      <c r="F53" s="62"/>
      <c r="G53" s="222"/>
    </row>
    <row r="54">
      <c r="A54" s="220">
        <v>53.0</v>
      </c>
      <c r="B54" s="221" t="s">
        <v>183</v>
      </c>
      <c r="C54" s="62"/>
      <c r="D54" s="62"/>
      <c r="E54" s="62"/>
      <c r="F54" s="62"/>
      <c r="G54" s="222"/>
    </row>
    <row r="55">
      <c r="A55" s="220">
        <v>54.0</v>
      </c>
      <c r="B55" s="221" t="s">
        <v>184</v>
      </c>
      <c r="C55" s="62"/>
      <c r="D55" s="62"/>
      <c r="E55" s="62"/>
      <c r="F55" s="62"/>
      <c r="G55" s="222"/>
    </row>
    <row r="58">
      <c r="A58" s="62"/>
      <c r="B58" s="62"/>
    </row>
    <row r="59">
      <c r="A59" s="204" t="s">
        <v>185</v>
      </c>
    </row>
    <row r="60">
      <c r="A60" s="208" t="s">
        <v>186</v>
      </c>
    </row>
    <row r="61">
      <c r="A61" s="223" t="s">
        <v>187</v>
      </c>
    </row>
    <row r="62">
      <c r="A62" s="224" t="s">
        <v>188</v>
      </c>
    </row>
    <row r="63">
      <c r="A63" s="212" t="s">
        <v>189</v>
      </c>
    </row>
    <row r="64">
      <c r="A64" s="215" t="s">
        <v>190</v>
      </c>
    </row>
    <row r="65">
      <c r="A65" s="218" t="s">
        <v>191</v>
      </c>
    </row>
    <row r="66">
      <c r="A66" s="221" t="s">
        <v>192</v>
      </c>
    </row>
    <row r="67">
      <c r="A67" s="62"/>
      <c r="B67" s="62"/>
    </row>
    <row r="68">
      <c r="A68" s="62"/>
      <c r="B68" s="62"/>
    </row>
    <row r="69">
      <c r="A69" s="225" t="s">
        <v>193</v>
      </c>
    </row>
    <row r="70">
      <c r="A70" s="223" t="s">
        <v>194</v>
      </c>
      <c r="B70" s="62"/>
    </row>
    <row r="71">
      <c r="A71" s="226" t="s">
        <v>195</v>
      </c>
      <c r="B71" s="62"/>
    </row>
    <row r="72">
      <c r="A72" s="223" t="s">
        <v>196</v>
      </c>
      <c r="B72" s="62"/>
    </row>
    <row r="73">
      <c r="A73" s="223" t="s">
        <v>197</v>
      </c>
      <c r="B73" s="62"/>
    </row>
    <row r="74">
      <c r="A74" s="223" t="s">
        <v>128</v>
      </c>
      <c r="B74" s="62"/>
    </row>
    <row r="75">
      <c r="A75" s="226" t="s">
        <v>198</v>
      </c>
      <c r="B75" s="62"/>
    </row>
  </sheetData>
  <mergeCells count="9">
    <mergeCell ref="A66:B66"/>
    <mergeCell ref="A69:B69"/>
    <mergeCell ref="A59:B59"/>
    <mergeCell ref="A60:B60"/>
    <mergeCell ref="A61:B61"/>
    <mergeCell ref="A62:B62"/>
    <mergeCell ref="A63:B63"/>
    <mergeCell ref="A64:B64"/>
    <mergeCell ref="A65:B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6.75"/>
    <col customWidth="1" min="3" max="3" width="10.75"/>
    <col customWidth="1" min="4" max="4" width="10.63"/>
    <col customWidth="1" min="5" max="5" width="10.5"/>
    <col customWidth="1" min="6" max="6" width="12.38"/>
    <col customWidth="1" min="7" max="7" width="14.38"/>
    <col customWidth="1" min="8" max="8" width="10.88"/>
    <col customWidth="1" min="9" max="9" width="12.63"/>
    <col customWidth="1" min="10" max="10" width="11.38"/>
    <col customWidth="1" min="11" max="11" width="12.38"/>
    <col customWidth="1" min="12" max="12" width="7.38"/>
    <col customWidth="1" min="13" max="16" width="11.88"/>
    <col customWidth="1" min="17" max="17" width="5.0"/>
    <col customWidth="1" min="18" max="21" width="11.88"/>
    <col customWidth="1" min="22" max="22" width="5.38"/>
    <col customWidth="1" min="24" max="24" width="8.88"/>
    <col customWidth="1" min="25" max="25" width="9.75"/>
    <col customWidth="1" min="26" max="26" width="10.88"/>
    <col customWidth="1" min="27" max="27" width="8.88"/>
  </cols>
  <sheetData>
    <row r="1">
      <c r="A1" s="227" t="s">
        <v>0</v>
      </c>
      <c r="B1" s="68"/>
      <c r="C1" s="68"/>
      <c r="D1" s="68"/>
      <c r="E1" s="68"/>
      <c r="F1" s="68"/>
      <c r="G1" s="68"/>
      <c r="H1" s="228"/>
      <c r="I1" s="22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7"/>
      <c r="AA1" s="67"/>
      <c r="AB1" s="67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</row>
    <row r="3" ht="24.75" customHeight="1">
      <c r="A3" s="68"/>
      <c r="B3" s="229" t="s">
        <v>140</v>
      </c>
      <c r="C3" s="187"/>
      <c r="D3" s="187"/>
      <c r="E3" s="187"/>
      <c r="F3" s="187"/>
      <c r="G3" s="187"/>
      <c r="H3" s="187"/>
      <c r="I3" s="188"/>
      <c r="J3" s="68"/>
      <c r="K3" s="68"/>
      <c r="L3" s="68"/>
      <c r="M3" s="79"/>
      <c r="N3" s="79"/>
      <c r="O3" s="79"/>
      <c r="P3" s="79"/>
      <c r="Q3" s="79"/>
      <c r="R3" s="79"/>
      <c r="S3" s="79"/>
      <c r="T3" s="79"/>
      <c r="U3" s="79"/>
      <c r="V3" s="79"/>
      <c r="W3" s="65"/>
      <c r="X3" s="65"/>
      <c r="Y3" s="65"/>
      <c r="Z3" s="67"/>
      <c r="AA3" s="67"/>
      <c r="AB3" s="67"/>
    </row>
    <row r="4">
      <c r="A4" s="68"/>
      <c r="B4" s="230" t="s">
        <v>141</v>
      </c>
      <c r="C4" s="188"/>
      <c r="D4" s="231">
        <f>E15</f>
        <v>22.3</v>
      </c>
      <c r="E4" s="232"/>
      <c r="F4" s="233" t="s">
        <v>142</v>
      </c>
      <c r="G4" s="187"/>
      <c r="H4" s="188"/>
      <c r="I4" s="234">
        <f>E25</f>
        <v>20.85</v>
      </c>
      <c r="J4" s="68"/>
      <c r="K4" s="68"/>
      <c r="L4" s="68"/>
      <c r="M4" s="79"/>
      <c r="N4" s="79"/>
      <c r="O4" s="79"/>
      <c r="P4" s="79"/>
      <c r="Q4" s="79"/>
      <c r="R4" s="79"/>
      <c r="S4" s="79"/>
      <c r="T4" s="79"/>
      <c r="U4" s="79"/>
      <c r="V4" s="79"/>
      <c r="W4" s="65"/>
      <c r="X4" s="65"/>
      <c r="Y4" s="65"/>
      <c r="Z4" s="74"/>
      <c r="AA4" s="74"/>
      <c r="AB4" s="74"/>
    </row>
    <row r="5">
      <c r="A5" s="68"/>
      <c r="B5" s="235" t="s">
        <v>143</v>
      </c>
      <c r="C5" s="236"/>
      <c r="D5" s="231">
        <f>(E15*10)</f>
        <v>223</v>
      </c>
      <c r="E5" s="232"/>
      <c r="F5" s="229" t="s">
        <v>144</v>
      </c>
      <c r="G5" s="187"/>
      <c r="H5" s="188"/>
      <c r="I5" s="234">
        <f>(E25*10)</f>
        <v>208.5</v>
      </c>
      <c r="J5" s="68"/>
      <c r="K5" s="68"/>
      <c r="L5" s="68"/>
      <c r="M5" s="79"/>
      <c r="N5" s="79"/>
      <c r="O5" s="79"/>
      <c r="P5" s="79"/>
      <c r="Q5" s="79"/>
      <c r="R5" s="79"/>
      <c r="S5" s="79"/>
      <c r="T5" s="79"/>
      <c r="U5" s="79"/>
      <c r="V5" s="79"/>
      <c r="W5" s="65"/>
      <c r="X5" s="65"/>
      <c r="Y5" s="65"/>
      <c r="Z5" s="74"/>
      <c r="AA5" s="74"/>
      <c r="AB5" s="74"/>
    </row>
    <row r="6" ht="30.0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79"/>
      <c r="M6" s="237" t="s">
        <v>199</v>
      </c>
      <c r="N6" s="79"/>
      <c r="O6" s="79"/>
      <c r="P6" s="79"/>
      <c r="Q6" s="238"/>
      <c r="R6" s="239" t="s">
        <v>200</v>
      </c>
      <c r="S6" s="79"/>
      <c r="T6" s="79"/>
      <c r="U6" s="79"/>
      <c r="V6" s="79"/>
      <c r="W6" s="74"/>
      <c r="X6" s="74"/>
      <c r="Y6" s="74"/>
      <c r="Z6" s="74"/>
      <c r="AA6" s="74"/>
      <c r="AB6" s="74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79"/>
      <c r="M7" s="79"/>
      <c r="N7" s="69"/>
      <c r="O7" s="69"/>
      <c r="P7" s="69"/>
      <c r="Q7" s="238"/>
      <c r="R7" s="69"/>
      <c r="S7" s="69"/>
      <c r="T7" s="69"/>
      <c r="U7" s="69"/>
      <c r="V7" s="238"/>
      <c r="W7" s="88"/>
      <c r="X7" s="88"/>
      <c r="Y7" s="88"/>
      <c r="Z7" s="74"/>
      <c r="AA7" s="74"/>
      <c r="AB7" s="74"/>
    </row>
    <row r="8">
      <c r="A8" s="11" t="s">
        <v>1</v>
      </c>
      <c r="B8" s="12" t="s">
        <v>2</v>
      </c>
      <c r="C8" s="240" t="s">
        <v>3</v>
      </c>
      <c r="D8" s="241" t="s">
        <v>4</v>
      </c>
      <c r="E8" s="242" t="s">
        <v>5</v>
      </c>
      <c r="F8" s="243" t="s">
        <v>201</v>
      </c>
      <c r="G8" s="244" t="s">
        <v>202</v>
      </c>
      <c r="H8" s="245" t="s">
        <v>203</v>
      </c>
      <c r="I8" s="246" t="s">
        <v>204</v>
      </c>
      <c r="J8" s="247" t="s">
        <v>205</v>
      </c>
      <c r="K8" s="248" t="s">
        <v>206</v>
      </c>
      <c r="L8" s="79"/>
      <c r="M8" s="249" t="s">
        <v>2</v>
      </c>
      <c r="N8" s="250" t="s">
        <v>207</v>
      </c>
      <c r="O8" s="250" t="s">
        <v>4</v>
      </c>
      <c r="P8" s="251" t="s">
        <v>208</v>
      </c>
      <c r="Q8" s="238"/>
      <c r="R8" s="249" t="s">
        <v>2</v>
      </c>
      <c r="S8" s="250" t="s">
        <v>207</v>
      </c>
      <c r="T8" s="250" t="s">
        <v>4</v>
      </c>
      <c r="U8" s="251" t="s">
        <v>209</v>
      </c>
      <c r="V8" s="238"/>
      <c r="W8" s="87"/>
      <c r="X8" s="87"/>
      <c r="Y8" s="87"/>
      <c r="Z8" s="87"/>
      <c r="AA8" s="74"/>
      <c r="AB8" s="74"/>
    </row>
    <row r="9">
      <c r="A9" s="99">
        <v>1.0</v>
      </c>
      <c r="B9" s="100" t="str">
        <f t="array" ref="B9:E68">SORT('Турнирная таблица по среднему б'!C9:F68,4,FALSE, 5, FALSE, 11, FALSE, 12, FALSE, 10, FALSE, 13, TRUE)</f>
        <v>Артик</v>
      </c>
      <c r="C9" s="252">
        <v>50.0</v>
      </c>
      <c r="D9" s="105">
        <v>244.5</v>
      </c>
      <c r="E9" s="105">
        <v>24.45</v>
      </c>
      <c r="F9" s="253">
        <f t="shared" ref="F9:F68" si="1">(50-C9)/5</f>
        <v>0</v>
      </c>
      <c r="G9" s="254">
        <f t="shared" ref="G9:G68" si="2">$D$5-D9</f>
        <v>-21.5</v>
      </c>
      <c r="H9" s="255" t="str">
        <f t="shared" ref="H9:H68" si="3">IFERROR(G9/F9,"-")</f>
        <v>-</v>
      </c>
      <c r="I9" s="103">
        <f t="shared" ref="I9:I68" si="4">$I$5-D9</f>
        <v>-36</v>
      </c>
      <c r="J9" s="256" t="str">
        <f t="shared" ref="J9:J68" si="5">IFERROR(I9/F9,"-")</f>
        <v>-</v>
      </c>
      <c r="K9" s="255">
        <f>MAX('Турнирная таблица по среднему б'!T9:BO9)</f>
        <v>29.25</v>
      </c>
      <c r="L9" s="238"/>
      <c r="M9" s="257"/>
      <c r="N9" s="258"/>
      <c r="O9" s="259"/>
      <c r="P9" s="260"/>
      <c r="Q9" s="238"/>
      <c r="R9" s="261"/>
      <c r="S9" s="262"/>
      <c r="T9" s="263"/>
      <c r="U9" s="264"/>
      <c r="V9" s="238"/>
      <c r="W9" s="87"/>
      <c r="X9" s="87"/>
      <c r="Y9" s="87"/>
      <c r="Z9" s="87"/>
      <c r="AA9" s="74"/>
      <c r="AB9" s="74"/>
    </row>
    <row r="10">
      <c r="A10" s="121">
        <v>2.0</v>
      </c>
      <c r="B10" s="122" t="s">
        <v>121</v>
      </c>
      <c r="C10" s="265">
        <v>50.0</v>
      </c>
      <c r="D10" s="127">
        <v>227.75</v>
      </c>
      <c r="E10" s="127">
        <v>22.775</v>
      </c>
      <c r="F10" s="253">
        <f t="shared" si="1"/>
        <v>0</v>
      </c>
      <c r="G10" s="266">
        <f t="shared" si="2"/>
        <v>-4.75</v>
      </c>
      <c r="H10" s="267" t="str">
        <f t="shared" si="3"/>
        <v>-</v>
      </c>
      <c r="I10" s="268">
        <f t="shared" si="4"/>
        <v>-19.25</v>
      </c>
      <c r="J10" s="267" t="str">
        <f t="shared" si="5"/>
        <v>-</v>
      </c>
      <c r="K10" s="269">
        <f>MAX('Турнирная таблица по среднему б'!T10:BO10)</f>
        <v>31.5</v>
      </c>
      <c r="L10" s="238"/>
      <c r="M10" s="270"/>
      <c r="N10" s="271"/>
      <c r="O10" s="272"/>
      <c r="P10" s="260"/>
      <c r="Q10" s="238"/>
      <c r="R10" s="273"/>
      <c r="S10" s="274"/>
      <c r="T10" s="275"/>
      <c r="U10" s="276"/>
      <c r="V10" s="238"/>
      <c r="W10" s="87"/>
      <c r="X10" s="87"/>
      <c r="Y10" s="87"/>
      <c r="Z10" s="87"/>
      <c r="AA10" s="74"/>
      <c r="AB10" s="74"/>
    </row>
    <row r="11">
      <c r="A11" s="121">
        <v>3.0</v>
      </c>
      <c r="B11" s="140" t="s">
        <v>87</v>
      </c>
      <c r="C11" s="277">
        <v>50.0</v>
      </c>
      <c r="D11" s="145">
        <v>225.25</v>
      </c>
      <c r="E11" s="145">
        <v>22.525</v>
      </c>
      <c r="F11" s="253">
        <f t="shared" si="1"/>
        <v>0</v>
      </c>
      <c r="G11" s="254">
        <f t="shared" si="2"/>
        <v>-2.25</v>
      </c>
      <c r="H11" s="104" t="str">
        <f t="shared" si="3"/>
        <v>-</v>
      </c>
      <c r="I11" s="103">
        <f t="shared" si="4"/>
        <v>-16.75</v>
      </c>
      <c r="J11" s="104" t="str">
        <f t="shared" si="5"/>
        <v>-</v>
      </c>
      <c r="K11" s="255">
        <f>MAX('Турнирная таблица по среднему б'!T11:BO11)</f>
        <v>28.5</v>
      </c>
      <c r="L11" s="238"/>
      <c r="M11" s="278"/>
      <c r="N11" s="279"/>
      <c r="O11" s="280"/>
      <c r="P11" s="281"/>
      <c r="Q11" s="238"/>
      <c r="R11" s="273"/>
      <c r="S11" s="274"/>
      <c r="T11" s="275"/>
      <c r="U11" s="276"/>
      <c r="V11" s="238"/>
      <c r="W11" s="87"/>
      <c r="X11" s="87"/>
      <c r="Y11" s="87"/>
      <c r="Z11" s="87"/>
      <c r="AA11" s="74"/>
      <c r="AB11" s="74"/>
    </row>
    <row r="12">
      <c r="A12" s="121">
        <v>4.0</v>
      </c>
      <c r="B12" s="122" t="s">
        <v>123</v>
      </c>
      <c r="C12" s="265">
        <v>50.0</v>
      </c>
      <c r="D12" s="127">
        <v>224.75</v>
      </c>
      <c r="E12" s="127">
        <v>22.475</v>
      </c>
      <c r="F12" s="253">
        <f t="shared" si="1"/>
        <v>0</v>
      </c>
      <c r="G12" s="266">
        <f t="shared" si="2"/>
        <v>-1.75</v>
      </c>
      <c r="H12" s="267" t="str">
        <f t="shared" si="3"/>
        <v>-</v>
      </c>
      <c r="I12" s="268">
        <f t="shared" si="4"/>
        <v>-16.25</v>
      </c>
      <c r="J12" s="267" t="str">
        <f t="shared" si="5"/>
        <v>-</v>
      </c>
      <c r="K12" s="269">
        <f>MAX('Турнирная таблица по среднему б'!T12:BO12)</f>
        <v>28.5</v>
      </c>
      <c r="L12" s="238"/>
      <c r="M12" s="282"/>
      <c r="N12" s="283"/>
      <c r="O12" s="284"/>
      <c r="P12" s="285"/>
      <c r="Q12" s="238"/>
      <c r="R12" s="273"/>
      <c r="S12" s="274"/>
      <c r="T12" s="275"/>
      <c r="U12" s="276"/>
      <c r="V12" s="238"/>
      <c r="W12" s="87"/>
      <c r="X12" s="87"/>
      <c r="Y12" s="87"/>
      <c r="Z12" s="87"/>
      <c r="AA12" s="74"/>
      <c r="AB12" s="74"/>
    </row>
    <row r="13">
      <c r="A13" s="121">
        <v>5.0</v>
      </c>
      <c r="B13" s="140" t="s">
        <v>93</v>
      </c>
      <c r="C13" s="277">
        <v>50.0</v>
      </c>
      <c r="D13" s="145">
        <v>224.5</v>
      </c>
      <c r="E13" s="145">
        <v>22.450000000000003</v>
      </c>
      <c r="F13" s="253">
        <f t="shared" si="1"/>
        <v>0</v>
      </c>
      <c r="G13" s="254">
        <f t="shared" si="2"/>
        <v>-1.5</v>
      </c>
      <c r="H13" s="104" t="str">
        <f t="shared" si="3"/>
        <v>-</v>
      </c>
      <c r="I13" s="103">
        <f t="shared" si="4"/>
        <v>-16</v>
      </c>
      <c r="J13" s="104" t="str">
        <f t="shared" si="5"/>
        <v>-</v>
      </c>
      <c r="K13" s="255">
        <f>MAX('Турнирная таблица по среднему б'!T13:BO13)</f>
        <v>30.5</v>
      </c>
      <c r="L13" s="238"/>
      <c r="M13" s="238"/>
      <c r="N13" s="238"/>
      <c r="O13" s="238"/>
      <c r="P13" s="238"/>
      <c r="Q13" s="238"/>
      <c r="R13" s="286"/>
      <c r="S13" s="287"/>
      <c r="T13" s="288"/>
      <c r="U13" s="289"/>
      <c r="V13" s="238"/>
      <c r="W13" s="87"/>
      <c r="X13" s="87"/>
      <c r="Y13" s="87"/>
      <c r="Z13" s="87"/>
      <c r="AA13" s="74"/>
      <c r="AB13" s="74"/>
    </row>
    <row r="14">
      <c r="A14" s="121">
        <v>6.0</v>
      </c>
      <c r="B14" s="122" t="s">
        <v>114</v>
      </c>
      <c r="C14" s="265">
        <v>50.0</v>
      </c>
      <c r="D14" s="127">
        <v>224.25</v>
      </c>
      <c r="E14" s="127">
        <v>22.425</v>
      </c>
      <c r="F14" s="253">
        <f t="shared" si="1"/>
        <v>0</v>
      </c>
      <c r="G14" s="266">
        <f t="shared" si="2"/>
        <v>-1.25</v>
      </c>
      <c r="H14" s="267" t="str">
        <f t="shared" si="3"/>
        <v>-</v>
      </c>
      <c r="I14" s="268">
        <f t="shared" si="4"/>
        <v>-15.75</v>
      </c>
      <c r="J14" s="267" t="str">
        <f t="shared" si="5"/>
        <v>-</v>
      </c>
      <c r="K14" s="269">
        <f>MAX('Турнирная таблица по среднему б'!T14:BO14)</f>
        <v>29</v>
      </c>
      <c r="L14" s="238"/>
      <c r="M14" s="238"/>
      <c r="N14" s="238"/>
      <c r="O14" s="238"/>
      <c r="P14" s="238"/>
      <c r="Q14" s="238"/>
      <c r="R14" s="278"/>
      <c r="S14" s="279"/>
      <c r="T14" s="280"/>
      <c r="U14" s="290"/>
      <c r="V14" s="238"/>
      <c r="W14" s="87"/>
      <c r="X14" s="87"/>
      <c r="Y14" s="87"/>
      <c r="Z14" s="87"/>
      <c r="AA14" s="74"/>
      <c r="AB14" s="74"/>
    </row>
    <row r="15">
      <c r="A15" s="291">
        <v>7.0</v>
      </c>
      <c r="B15" s="292" t="s">
        <v>107</v>
      </c>
      <c r="C15" s="293">
        <v>50.0</v>
      </c>
      <c r="D15" s="179">
        <v>223.0</v>
      </c>
      <c r="E15" s="179">
        <v>22.3</v>
      </c>
      <c r="F15" s="294">
        <f t="shared" si="1"/>
        <v>0</v>
      </c>
      <c r="G15" s="295">
        <f t="shared" si="2"/>
        <v>0</v>
      </c>
      <c r="H15" s="296" t="str">
        <f t="shared" si="3"/>
        <v>-</v>
      </c>
      <c r="I15" s="297">
        <f t="shared" si="4"/>
        <v>-14.5</v>
      </c>
      <c r="J15" s="296" t="str">
        <f t="shared" si="5"/>
        <v>-</v>
      </c>
      <c r="K15" s="298">
        <f>MAX('Турнирная таблица по среднему б'!T15:BO15)</f>
        <v>30.75</v>
      </c>
      <c r="L15" s="238"/>
      <c r="M15" s="238"/>
      <c r="N15" s="238"/>
      <c r="O15" s="238"/>
      <c r="P15" s="238"/>
      <c r="Q15" s="238"/>
      <c r="R15" s="278"/>
      <c r="S15" s="279"/>
      <c r="T15" s="280"/>
      <c r="U15" s="290"/>
      <c r="V15" s="238"/>
      <c r="W15" s="87"/>
      <c r="X15" s="87"/>
      <c r="Y15" s="87"/>
      <c r="Z15" s="87"/>
      <c r="AA15" s="74"/>
      <c r="AB15" s="74"/>
    </row>
    <row r="16">
      <c r="A16" s="299">
        <v>8.0</v>
      </c>
      <c r="B16" s="300" t="s">
        <v>80</v>
      </c>
      <c r="C16" s="301">
        <v>50.0</v>
      </c>
      <c r="D16" s="302">
        <v>217.75</v>
      </c>
      <c r="E16" s="302">
        <v>21.775000000000002</v>
      </c>
      <c r="F16" s="253">
        <f t="shared" si="1"/>
        <v>0</v>
      </c>
      <c r="G16" s="266">
        <f t="shared" si="2"/>
        <v>5.25</v>
      </c>
      <c r="H16" s="267" t="str">
        <f t="shared" si="3"/>
        <v>-</v>
      </c>
      <c r="I16" s="268">
        <f t="shared" si="4"/>
        <v>-9.25</v>
      </c>
      <c r="J16" s="267" t="str">
        <f t="shared" si="5"/>
        <v>-</v>
      </c>
      <c r="K16" s="269">
        <f>MAX('Турнирная таблица по среднему б'!T16:BO16)</f>
        <v>27</v>
      </c>
      <c r="L16" s="238"/>
      <c r="M16" s="238"/>
      <c r="N16" s="238"/>
      <c r="O16" s="238"/>
      <c r="P16" s="238"/>
      <c r="Q16" s="238"/>
      <c r="R16" s="278"/>
      <c r="S16" s="279"/>
      <c r="T16" s="280"/>
      <c r="U16" s="290"/>
      <c r="V16" s="238"/>
      <c r="W16" s="87"/>
      <c r="X16" s="87"/>
      <c r="Y16" s="87"/>
      <c r="Z16" s="87"/>
      <c r="AA16" s="74"/>
      <c r="AB16" s="74"/>
    </row>
    <row r="17" ht="16.5" customHeight="1">
      <c r="A17" s="158">
        <v>9.0</v>
      </c>
      <c r="B17" s="140" t="s">
        <v>90</v>
      </c>
      <c r="C17" s="277">
        <v>50.0</v>
      </c>
      <c r="D17" s="145">
        <v>217.75</v>
      </c>
      <c r="E17" s="145">
        <v>21.775000000000002</v>
      </c>
      <c r="F17" s="253">
        <f t="shared" si="1"/>
        <v>0</v>
      </c>
      <c r="G17" s="254">
        <f t="shared" si="2"/>
        <v>5.25</v>
      </c>
      <c r="H17" s="104" t="str">
        <f t="shared" si="3"/>
        <v>-</v>
      </c>
      <c r="I17" s="103">
        <f t="shared" si="4"/>
        <v>-9.25</v>
      </c>
      <c r="J17" s="104" t="str">
        <f t="shared" si="5"/>
        <v>-</v>
      </c>
      <c r="K17" s="255">
        <f>MAX('Турнирная таблица по среднему б'!T17:BO17)</f>
        <v>25</v>
      </c>
      <c r="L17" s="238"/>
      <c r="M17" s="238"/>
      <c r="N17" s="238"/>
      <c r="O17" s="238"/>
      <c r="P17" s="238"/>
      <c r="Q17" s="238"/>
      <c r="R17" s="278"/>
      <c r="S17" s="279"/>
      <c r="T17" s="280"/>
      <c r="U17" s="290"/>
      <c r="V17" s="238"/>
      <c r="W17" s="87"/>
      <c r="X17" s="87"/>
      <c r="Y17" s="87"/>
      <c r="Z17" s="87"/>
      <c r="AA17" s="74"/>
      <c r="AB17" s="74"/>
    </row>
    <row r="18" ht="18.75" customHeight="1">
      <c r="A18" s="158">
        <v>10.0</v>
      </c>
      <c r="B18" s="122" t="s">
        <v>89</v>
      </c>
      <c r="C18" s="265">
        <v>50.0</v>
      </c>
      <c r="D18" s="127">
        <v>215.75</v>
      </c>
      <c r="E18" s="127">
        <v>21.575000000000003</v>
      </c>
      <c r="F18" s="253">
        <f t="shared" si="1"/>
        <v>0</v>
      </c>
      <c r="G18" s="266">
        <f t="shared" si="2"/>
        <v>7.25</v>
      </c>
      <c r="H18" s="267" t="str">
        <f t="shared" si="3"/>
        <v>-</v>
      </c>
      <c r="I18" s="268">
        <f t="shared" si="4"/>
        <v>-7.25</v>
      </c>
      <c r="J18" s="267" t="str">
        <f t="shared" si="5"/>
        <v>-</v>
      </c>
      <c r="K18" s="269">
        <f>MAX('Турнирная таблица по среднему б'!T18:BO18)</f>
        <v>26.25</v>
      </c>
      <c r="L18" s="238"/>
      <c r="M18" s="238"/>
      <c r="N18" s="238"/>
      <c r="O18" s="238"/>
      <c r="P18" s="238"/>
      <c r="Q18" s="238"/>
      <c r="R18" s="282"/>
      <c r="S18" s="283"/>
      <c r="T18" s="284"/>
      <c r="U18" s="285"/>
      <c r="V18" s="238"/>
      <c r="W18" s="87"/>
      <c r="X18" s="87"/>
      <c r="Y18" s="87"/>
      <c r="Z18" s="87"/>
      <c r="AA18" s="74"/>
      <c r="AB18" s="74"/>
    </row>
    <row r="19">
      <c r="A19" s="158">
        <v>11.0</v>
      </c>
      <c r="B19" s="140" t="s">
        <v>116</v>
      </c>
      <c r="C19" s="277">
        <v>50.0</v>
      </c>
      <c r="D19" s="145">
        <v>213.25</v>
      </c>
      <c r="E19" s="145">
        <v>21.325</v>
      </c>
      <c r="F19" s="253">
        <f t="shared" si="1"/>
        <v>0</v>
      </c>
      <c r="G19" s="254">
        <f t="shared" si="2"/>
        <v>9.75</v>
      </c>
      <c r="H19" s="104" t="str">
        <f t="shared" si="3"/>
        <v>-</v>
      </c>
      <c r="I19" s="103">
        <f t="shared" si="4"/>
        <v>-4.75</v>
      </c>
      <c r="J19" s="104" t="str">
        <f t="shared" si="5"/>
        <v>-</v>
      </c>
      <c r="K19" s="255">
        <f>MAX('Турнирная таблица по среднему б'!T19:BO19)</f>
        <v>29</v>
      </c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87"/>
      <c r="X19" s="87"/>
      <c r="Y19" s="87"/>
      <c r="Z19" s="87"/>
      <c r="AA19" s="74"/>
      <c r="AB19" s="74"/>
    </row>
    <row r="20">
      <c r="A20" s="158">
        <v>12.0</v>
      </c>
      <c r="B20" s="122" t="s">
        <v>92</v>
      </c>
      <c r="C20" s="265">
        <v>50.0</v>
      </c>
      <c r="D20" s="127">
        <v>213.25</v>
      </c>
      <c r="E20" s="127">
        <v>21.325</v>
      </c>
      <c r="F20" s="253">
        <f t="shared" si="1"/>
        <v>0</v>
      </c>
      <c r="G20" s="254">
        <f t="shared" si="2"/>
        <v>9.75</v>
      </c>
      <c r="H20" s="267" t="str">
        <f t="shared" si="3"/>
        <v>-</v>
      </c>
      <c r="I20" s="268">
        <f t="shared" si="4"/>
        <v>-4.75</v>
      </c>
      <c r="J20" s="267" t="str">
        <f t="shared" si="5"/>
        <v>-</v>
      </c>
      <c r="K20" s="269">
        <f>MAX('Турнирная таблица по среднему б'!T20:BO20)</f>
        <v>25.25</v>
      </c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87"/>
      <c r="X20" s="87"/>
      <c r="Y20" s="87"/>
      <c r="Z20" s="87"/>
      <c r="AA20" s="74"/>
      <c r="AB20" s="74"/>
    </row>
    <row r="21">
      <c r="A21" s="158">
        <v>13.0</v>
      </c>
      <c r="B21" s="140" t="s">
        <v>110</v>
      </c>
      <c r="C21" s="277">
        <v>50.0</v>
      </c>
      <c r="D21" s="145">
        <v>212.75</v>
      </c>
      <c r="E21" s="145">
        <v>21.275</v>
      </c>
      <c r="F21" s="253">
        <f t="shared" si="1"/>
        <v>0</v>
      </c>
      <c r="G21" s="254">
        <f t="shared" si="2"/>
        <v>10.25</v>
      </c>
      <c r="H21" s="104" t="str">
        <f t="shared" si="3"/>
        <v>-</v>
      </c>
      <c r="I21" s="103">
        <f t="shared" si="4"/>
        <v>-4.25</v>
      </c>
      <c r="J21" s="104" t="str">
        <f t="shared" si="5"/>
        <v>-</v>
      </c>
      <c r="K21" s="255">
        <f>MAX('Турнирная таблица по среднему б'!T21:BO21)</f>
        <v>25.25</v>
      </c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87"/>
      <c r="X21" s="87"/>
      <c r="Y21" s="87"/>
      <c r="Z21" s="87"/>
      <c r="AA21" s="74"/>
      <c r="AB21" s="74"/>
    </row>
    <row r="22">
      <c r="A22" s="158">
        <v>14.0</v>
      </c>
      <c r="B22" s="122" t="s">
        <v>111</v>
      </c>
      <c r="C22" s="265">
        <v>50.0</v>
      </c>
      <c r="D22" s="127">
        <v>211.0</v>
      </c>
      <c r="E22" s="127">
        <v>21.099999999999998</v>
      </c>
      <c r="F22" s="253">
        <f t="shared" si="1"/>
        <v>0</v>
      </c>
      <c r="G22" s="266">
        <f t="shared" si="2"/>
        <v>12</v>
      </c>
      <c r="H22" s="267" t="str">
        <f t="shared" si="3"/>
        <v>-</v>
      </c>
      <c r="I22" s="268">
        <f t="shared" si="4"/>
        <v>-2.5</v>
      </c>
      <c r="J22" s="267" t="str">
        <f t="shared" si="5"/>
        <v>-</v>
      </c>
      <c r="K22" s="269">
        <f>MAX('Турнирная таблица по среднему б'!T22:BO22)</f>
        <v>26</v>
      </c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87"/>
      <c r="X22" s="87"/>
      <c r="Y22" s="87"/>
      <c r="Z22" s="87"/>
      <c r="AA22" s="74"/>
      <c r="AB22" s="74"/>
    </row>
    <row r="23">
      <c r="A23" s="158">
        <v>15.0</v>
      </c>
      <c r="B23" s="140" t="s">
        <v>113</v>
      </c>
      <c r="C23" s="277">
        <v>50.0</v>
      </c>
      <c r="D23" s="145">
        <v>209.75</v>
      </c>
      <c r="E23" s="145">
        <v>20.975</v>
      </c>
      <c r="F23" s="253">
        <f t="shared" si="1"/>
        <v>0</v>
      </c>
      <c r="G23" s="254">
        <f t="shared" si="2"/>
        <v>13.25</v>
      </c>
      <c r="H23" s="104" t="str">
        <f t="shared" si="3"/>
        <v>-</v>
      </c>
      <c r="I23" s="103">
        <f t="shared" si="4"/>
        <v>-1.25</v>
      </c>
      <c r="J23" s="104" t="str">
        <f t="shared" si="5"/>
        <v>-</v>
      </c>
      <c r="K23" s="255">
        <f>MAX('Турнирная таблица по среднему б'!T23:BO23)</f>
        <v>25.75</v>
      </c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87"/>
      <c r="X23" s="87"/>
      <c r="Y23" s="87"/>
      <c r="Z23" s="87"/>
      <c r="AA23" s="74"/>
      <c r="AB23" s="74"/>
    </row>
    <row r="24" ht="18.75" customHeight="1">
      <c r="A24" s="158">
        <v>16.0</v>
      </c>
      <c r="B24" s="122" t="s">
        <v>132</v>
      </c>
      <c r="C24" s="265">
        <v>50.0</v>
      </c>
      <c r="D24" s="127">
        <v>209.5</v>
      </c>
      <c r="E24" s="127">
        <v>20.950000000000003</v>
      </c>
      <c r="F24" s="253">
        <f t="shared" si="1"/>
        <v>0</v>
      </c>
      <c r="G24" s="266">
        <f t="shared" si="2"/>
        <v>13.5</v>
      </c>
      <c r="H24" s="267" t="str">
        <f t="shared" si="3"/>
        <v>-</v>
      </c>
      <c r="I24" s="268">
        <f t="shared" si="4"/>
        <v>-1</v>
      </c>
      <c r="J24" s="267" t="str">
        <f t="shared" si="5"/>
        <v>-</v>
      </c>
      <c r="K24" s="269">
        <f>MAX('Турнирная таблица по среднему б'!T24:BO24)</f>
        <v>22.75</v>
      </c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87"/>
      <c r="X24" s="87"/>
      <c r="Y24" s="87"/>
      <c r="Z24" s="87"/>
      <c r="AA24" s="74"/>
      <c r="AB24" s="74"/>
    </row>
    <row r="25">
      <c r="A25" s="303">
        <v>17.0</v>
      </c>
      <c r="B25" s="292" t="s">
        <v>108</v>
      </c>
      <c r="C25" s="293">
        <v>50.0</v>
      </c>
      <c r="D25" s="179">
        <v>208.5</v>
      </c>
      <c r="E25" s="179">
        <v>20.85</v>
      </c>
      <c r="F25" s="294">
        <f t="shared" si="1"/>
        <v>0</v>
      </c>
      <c r="G25" s="304">
        <f t="shared" si="2"/>
        <v>14.5</v>
      </c>
      <c r="H25" s="296" t="str">
        <f t="shared" si="3"/>
        <v>-</v>
      </c>
      <c r="I25" s="305">
        <f t="shared" si="4"/>
        <v>0</v>
      </c>
      <c r="J25" s="296" t="str">
        <f t="shared" si="5"/>
        <v>-</v>
      </c>
      <c r="K25" s="298">
        <f>MAX('Турнирная таблица по среднему б'!T25:BO25)</f>
        <v>26.5</v>
      </c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87"/>
      <c r="X25" s="87"/>
      <c r="Y25" s="87"/>
      <c r="Z25" s="87"/>
      <c r="AA25" s="74"/>
      <c r="AB25" s="74"/>
    </row>
    <row r="26">
      <c r="A26" s="306">
        <v>18.0</v>
      </c>
      <c r="B26" s="300" t="s">
        <v>112</v>
      </c>
      <c r="C26" s="301">
        <v>50.0</v>
      </c>
      <c r="D26" s="302">
        <v>208.25</v>
      </c>
      <c r="E26" s="302">
        <v>20.825</v>
      </c>
      <c r="F26" s="253">
        <f t="shared" si="1"/>
        <v>0</v>
      </c>
      <c r="G26" s="254">
        <f t="shared" si="2"/>
        <v>14.75</v>
      </c>
      <c r="H26" s="267" t="str">
        <f t="shared" si="3"/>
        <v>-</v>
      </c>
      <c r="I26" s="103">
        <f t="shared" si="4"/>
        <v>0.25</v>
      </c>
      <c r="J26" s="267" t="str">
        <f t="shared" si="5"/>
        <v>-</v>
      </c>
      <c r="K26" s="269">
        <f>MAX('Турнирная таблица по среднему б'!T26:BO26)</f>
        <v>26.5</v>
      </c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307"/>
      <c r="Y26" s="307"/>
      <c r="Z26" s="74"/>
      <c r="AA26" s="74"/>
      <c r="AB26" s="74"/>
    </row>
    <row r="27">
      <c r="A27" s="159">
        <v>19.0</v>
      </c>
      <c r="B27" s="140" t="s">
        <v>138</v>
      </c>
      <c r="C27" s="277">
        <v>50.0</v>
      </c>
      <c r="D27" s="145">
        <v>207.25</v>
      </c>
      <c r="E27" s="145">
        <v>20.724999999999998</v>
      </c>
      <c r="F27" s="253">
        <f t="shared" si="1"/>
        <v>0</v>
      </c>
      <c r="G27" s="254">
        <f t="shared" si="2"/>
        <v>15.75</v>
      </c>
      <c r="H27" s="104" t="str">
        <f t="shared" si="3"/>
        <v>-</v>
      </c>
      <c r="I27" s="103">
        <f t="shared" si="4"/>
        <v>1.25</v>
      </c>
      <c r="J27" s="104" t="str">
        <f t="shared" si="5"/>
        <v>-</v>
      </c>
      <c r="K27" s="255">
        <f>MAX('Турнирная таблица по среднему б'!T27:BO27)</f>
        <v>27.75</v>
      </c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307"/>
      <c r="Y27" s="307"/>
      <c r="Z27" s="74"/>
      <c r="AA27" s="74"/>
      <c r="AB27" s="74"/>
    </row>
    <row r="28" ht="18.0" customHeight="1">
      <c r="A28" s="159">
        <v>20.0</v>
      </c>
      <c r="B28" s="122" t="s">
        <v>106</v>
      </c>
      <c r="C28" s="265">
        <v>50.0</v>
      </c>
      <c r="D28" s="127">
        <v>207.0</v>
      </c>
      <c r="E28" s="127">
        <v>20.7</v>
      </c>
      <c r="F28" s="253">
        <f t="shared" si="1"/>
        <v>0</v>
      </c>
      <c r="G28" s="266">
        <f t="shared" si="2"/>
        <v>16</v>
      </c>
      <c r="H28" s="267" t="str">
        <f t="shared" si="3"/>
        <v>-</v>
      </c>
      <c r="I28" s="268">
        <f t="shared" si="4"/>
        <v>1.5</v>
      </c>
      <c r="J28" s="267" t="str">
        <f t="shared" si="5"/>
        <v>-</v>
      </c>
      <c r="K28" s="269">
        <f>MAX('Турнирная таблица по среднему б'!T28:BO28)</f>
        <v>28.5</v>
      </c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307"/>
      <c r="Y28" s="307"/>
      <c r="Z28" s="74"/>
      <c r="AA28" s="74"/>
      <c r="AB28" s="74"/>
    </row>
    <row r="29">
      <c r="A29" s="159">
        <v>21.0</v>
      </c>
      <c r="B29" s="140" t="s">
        <v>83</v>
      </c>
      <c r="C29" s="277">
        <v>50.0</v>
      </c>
      <c r="D29" s="145">
        <v>206.0</v>
      </c>
      <c r="E29" s="145">
        <v>20.6</v>
      </c>
      <c r="F29" s="253">
        <f t="shared" si="1"/>
        <v>0</v>
      </c>
      <c r="G29" s="254">
        <f t="shared" si="2"/>
        <v>17</v>
      </c>
      <c r="H29" s="104" t="str">
        <f t="shared" si="3"/>
        <v>-</v>
      </c>
      <c r="I29" s="103">
        <f t="shared" si="4"/>
        <v>2.5</v>
      </c>
      <c r="J29" s="104" t="str">
        <f t="shared" si="5"/>
        <v>-</v>
      </c>
      <c r="K29" s="255">
        <f>MAX('Турнирная таблица по среднему б'!T29:BO29)</f>
        <v>25</v>
      </c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307"/>
      <c r="Y29" s="307"/>
      <c r="Z29" s="74"/>
      <c r="AA29" s="74"/>
      <c r="AB29" s="74"/>
    </row>
    <row r="30">
      <c r="A30" s="159">
        <v>22.0</v>
      </c>
      <c r="B30" s="122" t="s">
        <v>100</v>
      </c>
      <c r="C30" s="265">
        <v>50.0</v>
      </c>
      <c r="D30" s="127">
        <v>205.75</v>
      </c>
      <c r="E30" s="127">
        <v>20.575000000000003</v>
      </c>
      <c r="F30" s="253">
        <f t="shared" si="1"/>
        <v>0</v>
      </c>
      <c r="G30" s="266">
        <f t="shared" si="2"/>
        <v>17.25</v>
      </c>
      <c r="H30" s="267" t="str">
        <f t="shared" si="3"/>
        <v>-</v>
      </c>
      <c r="I30" s="268">
        <f t="shared" si="4"/>
        <v>2.75</v>
      </c>
      <c r="J30" s="267" t="str">
        <f t="shared" si="5"/>
        <v>-</v>
      </c>
      <c r="K30" s="269">
        <f>MAX('Турнирная таблица по среднему б'!T30:BO30)</f>
        <v>28</v>
      </c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307"/>
      <c r="Y30" s="307"/>
      <c r="Z30" s="74"/>
      <c r="AA30" s="74"/>
      <c r="AB30" s="74"/>
    </row>
    <row r="31">
      <c r="A31" s="159">
        <v>23.0</v>
      </c>
      <c r="B31" s="140" t="s">
        <v>136</v>
      </c>
      <c r="C31" s="277">
        <v>50.0</v>
      </c>
      <c r="D31" s="145">
        <v>202.5</v>
      </c>
      <c r="E31" s="145">
        <v>20.25</v>
      </c>
      <c r="F31" s="253">
        <f t="shared" si="1"/>
        <v>0</v>
      </c>
      <c r="G31" s="254">
        <f t="shared" si="2"/>
        <v>20.5</v>
      </c>
      <c r="H31" s="104" t="str">
        <f t="shared" si="3"/>
        <v>-</v>
      </c>
      <c r="I31" s="103">
        <f t="shared" si="4"/>
        <v>6</v>
      </c>
      <c r="J31" s="104" t="str">
        <f t="shared" si="5"/>
        <v>-</v>
      </c>
      <c r="K31" s="255">
        <f>MAX('Турнирная таблица по среднему б'!T31:BO31)</f>
        <v>27.75</v>
      </c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307"/>
      <c r="Y31" s="307"/>
      <c r="Z31" s="74"/>
      <c r="AA31" s="74"/>
      <c r="AB31" s="74"/>
    </row>
    <row r="32">
      <c r="A32" s="159">
        <v>24.0</v>
      </c>
      <c r="B32" s="122" t="s">
        <v>99</v>
      </c>
      <c r="C32" s="265">
        <v>50.0</v>
      </c>
      <c r="D32" s="127">
        <v>201.25</v>
      </c>
      <c r="E32" s="127">
        <v>20.125</v>
      </c>
      <c r="F32" s="253">
        <f t="shared" si="1"/>
        <v>0</v>
      </c>
      <c r="G32" s="266">
        <f t="shared" si="2"/>
        <v>21.75</v>
      </c>
      <c r="H32" s="267" t="str">
        <f t="shared" si="3"/>
        <v>-</v>
      </c>
      <c r="I32" s="268">
        <f t="shared" si="4"/>
        <v>7.25</v>
      </c>
      <c r="J32" s="267" t="str">
        <f t="shared" si="5"/>
        <v>-</v>
      </c>
      <c r="K32" s="269">
        <f>MAX('Турнирная таблица по среднему б'!T32:BO32)</f>
        <v>27.25</v>
      </c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307"/>
      <c r="Y32" s="307"/>
      <c r="Z32" s="74"/>
      <c r="AA32" s="74"/>
      <c r="AB32" s="74"/>
    </row>
    <row r="33">
      <c r="A33" s="159">
        <v>25.0</v>
      </c>
      <c r="B33" s="140" t="s">
        <v>104</v>
      </c>
      <c r="C33" s="277">
        <v>50.0</v>
      </c>
      <c r="D33" s="145">
        <v>200.5</v>
      </c>
      <c r="E33" s="145">
        <v>20.049999999999997</v>
      </c>
      <c r="F33" s="253">
        <f t="shared" si="1"/>
        <v>0</v>
      </c>
      <c r="G33" s="254">
        <f t="shared" si="2"/>
        <v>22.5</v>
      </c>
      <c r="H33" s="104" t="str">
        <f t="shared" si="3"/>
        <v>-</v>
      </c>
      <c r="I33" s="103">
        <f t="shared" si="4"/>
        <v>8</v>
      </c>
      <c r="J33" s="104" t="str">
        <f t="shared" si="5"/>
        <v>-</v>
      </c>
      <c r="K33" s="255">
        <f>MAX('Турнирная таблица по среднему б'!T33:BO33)</f>
        <v>25.5</v>
      </c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307"/>
      <c r="Y33" s="307"/>
      <c r="Z33" s="74"/>
      <c r="AA33" s="74"/>
      <c r="AB33" s="74"/>
    </row>
    <row r="34">
      <c r="A34" s="159">
        <v>26.0</v>
      </c>
      <c r="B34" s="122" t="s">
        <v>131</v>
      </c>
      <c r="C34" s="265">
        <v>50.0</v>
      </c>
      <c r="D34" s="127">
        <v>199.75</v>
      </c>
      <c r="E34" s="127">
        <v>19.975</v>
      </c>
      <c r="F34" s="253">
        <f t="shared" si="1"/>
        <v>0</v>
      </c>
      <c r="G34" s="266">
        <f t="shared" si="2"/>
        <v>23.25</v>
      </c>
      <c r="H34" s="267" t="str">
        <f t="shared" si="3"/>
        <v>-</v>
      </c>
      <c r="I34" s="268">
        <f t="shared" si="4"/>
        <v>8.75</v>
      </c>
      <c r="J34" s="267" t="str">
        <f t="shared" si="5"/>
        <v>-</v>
      </c>
      <c r="K34" s="269">
        <f>MAX('Турнирная таблица по среднему б'!T34:BO34)</f>
        <v>28</v>
      </c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307"/>
      <c r="Y34" s="307"/>
      <c r="Z34" s="74"/>
      <c r="AA34" s="74"/>
      <c r="AB34" s="74"/>
    </row>
    <row r="35">
      <c r="A35" s="159">
        <v>27.0</v>
      </c>
      <c r="B35" s="140" t="s">
        <v>97</v>
      </c>
      <c r="C35" s="277">
        <v>50.0</v>
      </c>
      <c r="D35" s="145">
        <v>199.75</v>
      </c>
      <c r="E35" s="145">
        <v>19.975</v>
      </c>
      <c r="F35" s="253">
        <f t="shared" si="1"/>
        <v>0</v>
      </c>
      <c r="G35" s="254">
        <f t="shared" si="2"/>
        <v>23.25</v>
      </c>
      <c r="H35" s="104" t="str">
        <f t="shared" si="3"/>
        <v>-</v>
      </c>
      <c r="I35" s="103">
        <f t="shared" si="4"/>
        <v>8.75</v>
      </c>
      <c r="J35" s="104" t="str">
        <f t="shared" si="5"/>
        <v>-</v>
      </c>
      <c r="K35" s="255">
        <f>MAX('Турнирная таблица по среднему б'!T35:BO35)</f>
        <v>26.75</v>
      </c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307"/>
      <c r="Y35" s="307"/>
      <c r="Z35" s="74"/>
      <c r="AA35" s="74"/>
      <c r="AB35" s="74"/>
    </row>
    <row r="36">
      <c r="A36" s="159">
        <v>28.0</v>
      </c>
      <c r="B36" s="122" t="s">
        <v>122</v>
      </c>
      <c r="C36" s="265">
        <v>50.0</v>
      </c>
      <c r="D36" s="127">
        <v>199.25</v>
      </c>
      <c r="E36" s="127">
        <v>19.925</v>
      </c>
      <c r="F36" s="253">
        <f t="shared" si="1"/>
        <v>0</v>
      </c>
      <c r="G36" s="266">
        <f t="shared" si="2"/>
        <v>23.75</v>
      </c>
      <c r="H36" s="267" t="str">
        <f t="shared" si="3"/>
        <v>-</v>
      </c>
      <c r="I36" s="268">
        <f t="shared" si="4"/>
        <v>9.25</v>
      </c>
      <c r="J36" s="267" t="str">
        <f t="shared" si="5"/>
        <v>-</v>
      </c>
      <c r="K36" s="269">
        <f>MAX('Турнирная таблица по среднему б'!T36:BO36)</f>
        <v>28</v>
      </c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307"/>
      <c r="Y36" s="307"/>
      <c r="Z36" s="74"/>
      <c r="AA36" s="74"/>
      <c r="AB36" s="74"/>
    </row>
    <row r="37">
      <c r="A37" s="159">
        <v>29.0</v>
      </c>
      <c r="B37" s="140" t="s">
        <v>120</v>
      </c>
      <c r="C37" s="277">
        <v>50.0</v>
      </c>
      <c r="D37" s="145">
        <v>196.75</v>
      </c>
      <c r="E37" s="145">
        <v>19.675</v>
      </c>
      <c r="F37" s="253">
        <f t="shared" si="1"/>
        <v>0</v>
      </c>
      <c r="G37" s="254">
        <f t="shared" si="2"/>
        <v>26.25</v>
      </c>
      <c r="H37" s="104" t="str">
        <f t="shared" si="3"/>
        <v>-</v>
      </c>
      <c r="I37" s="103">
        <f t="shared" si="4"/>
        <v>11.75</v>
      </c>
      <c r="J37" s="104" t="str">
        <f t="shared" si="5"/>
        <v>-</v>
      </c>
      <c r="K37" s="255">
        <f>MAX('Турнирная таблица по среднему б'!T37:BO37)</f>
        <v>26</v>
      </c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307"/>
      <c r="Y37" s="307"/>
      <c r="Z37" s="74"/>
      <c r="AA37" s="74"/>
      <c r="AB37" s="74"/>
    </row>
    <row r="38">
      <c r="A38" s="159">
        <v>30.0</v>
      </c>
      <c r="B38" s="122" t="s">
        <v>81</v>
      </c>
      <c r="C38" s="265">
        <v>50.0</v>
      </c>
      <c r="D38" s="127">
        <v>196.5</v>
      </c>
      <c r="E38" s="127">
        <v>19.650000000000002</v>
      </c>
      <c r="F38" s="253">
        <f t="shared" si="1"/>
        <v>0</v>
      </c>
      <c r="G38" s="266">
        <f t="shared" si="2"/>
        <v>26.5</v>
      </c>
      <c r="H38" s="267" t="str">
        <f t="shared" si="3"/>
        <v>-</v>
      </c>
      <c r="I38" s="268">
        <f t="shared" si="4"/>
        <v>12</v>
      </c>
      <c r="J38" s="267" t="str">
        <f t="shared" si="5"/>
        <v>-</v>
      </c>
      <c r="K38" s="269">
        <f>MAX('Турнирная таблица по среднему б'!T38:BO38)</f>
        <v>25</v>
      </c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307"/>
      <c r="Y38" s="307"/>
      <c r="Z38" s="74"/>
      <c r="AA38" s="74"/>
      <c r="AB38" s="74"/>
    </row>
    <row r="39">
      <c r="A39" s="159">
        <v>31.0</v>
      </c>
      <c r="B39" s="140" t="s">
        <v>115</v>
      </c>
      <c r="C39" s="277">
        <v>50.0</v>
      </c>
      <c r="D39" s="145">
        <v>195.5</v>
      </c>
      <c r="E39" s="145">
        <v>19.55</v>
      </c>
      <c r="F39" s="253">
        <f t="shared" si="1"/>
        <v>0</v>
      </c>
      <c r="G39" s="254">
        <f t="shared" si="2"/>
        <v>27.5</v>
      </c>
      <c r="H39" s="104" t="str">
        <f t="shared" si="3"/>
        <v>-</v>
      </c>
      <c r="I39" s="103">
        <f t="shared" si="4"/>
        <v>13</v>
      </c>
      <c r="J39" s="104" t="str">
        <f t="shared" si="5"/>
        <v>-</v>
      </c>
      <c r="K39" s="255">
        <f>MAX('Турнирная таблица по среднему б'!T39:BO39)</f>
        <v>24.75</v>
      </c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307"/>
      <c r="Y39" s="307"/>
      <c r="Z39" s="74"/>
      <c r="AA39" s="74"/>
      <c r="AB39" s="74"/>
    </row>
    <row r="40">
      <c r="A40" s="159">
        <v>32.0</v>
      </c>
      <c r="B40" s="122" t="s">
        <v>84</v>
      </c>
      <c r="C40" s="265">
        <v>50.0</v>
      </c>
      <c r="D40" s="127">
        <v>194.75</v>
      </c>
      <c r="E40" s="127">
        <v>19.475</v>
      </c>
      <c r="F40" s="253">
        <f t="shared" si="1"/>
        <v>0</v>
      </c>
      <c r="G40" s="266">
        <f t="shared" si="2"/>
        <v>28.25</v>
      </c>
      <c r="H40" s="267" t="str">
        <f t="shared" si="3"/>
        <v>-</v>
      </c>
      <c r="I40" s="268">
        <f t="shared" si="4"/>
        <v>13.75</v>
      </c>
      <c r="J40" s="267" t="str">
        <f t="shared" si="5"/>
        <v>-</v>
      </c>
      <c r="K40" s="269">
        <f>MAX('Турнирная таблица по среднему б'!T40:BO40)</f>
        <v>27</v>
      </c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307"/>
      <c r="Y40" s="307"/>
      <c r="Z40" s="74"/>
      <c r="AA40" s="74"/>
      <c r="AB40" s="74"/>
    </row>
    <row r="41">
      <c r="A41" s="159">
        <v>33.0</v>
      </c>
      <c r="B41" s="140" t="s">
        <v>119</v>
      </c>
      <c r="C41" s="277">
        <v>50.0</v>
      </c>
      <c r="D41" s="145">
        <v>194.75</v>
      </c>
      <c r="E41" s="145">
        <v>19.475</v>
      </c>
      <c r="F41" s="253">
        <f t="shared" si="1"/>
        <v>0</v>
      </c>
      <c r="G41" s="254">
        <f t="shared" si="2"/>
        <v>28.25</v>
      </c>
      <c r="H41" s="104" t="str">
        <f t="shared" si="3"/>
        <v>-</v>
      </c>
      <c r="I41" s="103">
        <f t="shared" si="4"/>
        <v>13.75</v>
      </c>
      <c r="J41" s="104" t="str">
        <f t="shared" si="5"/>
        <v>-</v>
      </c>
      <c r="K41" s="255">
        <f>MAX('Турнирная таблица по среднему б'!T41:BO41)</f>
        <v>26.5</v>
      </c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307"/>
      <c r="Y41" s="307"/>
      <c r="Z41" s="74"/>
      <c r="AA41" s="74"/>
      <c r="AB41" s="74"/>
    </row>
    <row r="42">
      <c r="A42" s="159">
        <v>34.0</v>
      </c>
      <c r="B42" s="122" t="s">
        <v>135</v>
      </c>
      <c r="C42" s="265">
        <v>50.0</v>
      </c>
      <c r="D42" s="127">
        <v>194.25</v>
      </c>
      <c r="E42" s="127">
        <v>19.424999999999997</v>
      </c>
      <c r="F42" s="253">
        <f t="shared" si="1"/>
        <v>0</v>
      </c>
      <c r="G42" s="266">
        <f t="shared" si="2"/>
        <v>28.75</v>
      </c>
      <c r="H42" s="267" t="str">
        <f t="shared" si="3"/>
        <v>-</v>
      </c>
      <c r="I42" s="268">
        <f t="shared" si="4"/>
        <v>14.25</v>
      </c>
      <c r="J42" s="267" t="str">
        <f t="shared" si="5"/>
        <v>-</v>
      </c>
      <c r="K42" s="269">
        <f>MAX('Турнирная таблица по среднему б'!T42:BO42)</f>
        <v>23.25</v>
      </c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307"/>
      <c r="Y42" s="307"/>
      <c r="Z42" s="74"/>
      <c r="AA42" s="74"/>
      <c r="AB42" s="74"/>
    </row>
    <row r="43">
      <c r="A43" s="159">
        <v>35.0</v>
      </c>
      <c r="B43" s="140" t="s">
        <v>133</v>
      </c>
      <c r="C43" s="277">
        <v>50.0</v>
      </c>
      <c r="D43" s="145">
        <v>193.75</v>
      </c>
      <c r="E43" s="145">
        <v>19.375</v>
      </c>
      <c r="F43" s="253">
        <f t="shared" si="1"/>
        <v>0</v>
      </c>
      <c r="G43" s="254">
        <f t="shared" si="2"/>
        <v>29.25</v>
      </c>
      <c r="H43" s="104" t="str">
        <f t="shared" si="3"/>
        <v>-</v>
      </c>
      <c r="I43" s="103">
        <f t="shared" si="4"/>
        <v>14.75</v>
      </c>
      <c r="J43" s="104" t="str">
        <f t="shared" si="5"/>
        <v>-</v>
      </c>
      <c r="K43" s="255">
        <f>MAX('Турнирная таблица по среднему б'!T43:BO43)</f>
        <v>25</v>
      </c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307"/>
      <c r="Y43" s="307"/>
      <c r="Z43" s="74"/>
      <c r="AA43" s="74"/>
      <c r="AB43" s="74"/>
    </row>
    <row r="44">
      <c r="A44" s="159">
        <v>36.0</v>
      </c>
      <c r="B44" s="122" t="s">
        <v>103</v>
      </c>
      <c r="C44" s="265">
        <v>50.0</v>
      </c>
      <c r="D44" s="127">
        <v>193.25</v>
      </c>
      <c r="E44" s="127">
        <v>19.325000000000003</v>
      </c>
      <c r="F44" s="253">
        <f t="shared" si="1"/>
        <v>0</v>
      </c>
      <c r="G44" s="266">
        <f t="shared" si="2"/>
        <v>29.75</v>
      </c>
      <c r="H44" s="267" t="str">
        <f t="shared" si="3"/>
        <v>-</v>
      </c>
      <c r="I44" s="268">
        <f t="shared" si="4"/>
        <v>15.25</v>
      </c>
      <c r="J44" s="267" t="str">
        <f t="shared" si="5"/>
        <v>-</v>
      </c>
      <c r="K44" s="269">
        <f>MAX('Турнирная таблица по среднему б'!T44:BO44)</f>
        <v>24.25</v>
      </c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307"/>
      <c r="Y44" s="307"/>
      <c r="Z44" s="74"/>
      <c r="AA44" s="74"/>
      <c r="AB44" s="74"/>
    </row>
    <row r="45">
      <c r="A45" s="159">
        <v>37.0</v>
      </c>
      <c r="B45" s="140" t="s">
        <v>98</v>
      </c>
      <c r="C45" s="277">
        <v>50.0</v>
      </c>
      <c r="D45" s="145">
        <v>192.75</v>
      </c>
      <c r="E45" s="145">
        <v>19.275</v>
      </c>
      <c r="F45" s="253">
        <f t="shared" si="1"/>
        <v>0</v>
      </c>
      <c r="G45" s="254">
        <f t="shared" si="2"/>
        <v>30.25</v>
      </c>
      <c r="H45" s="104" t="str">
        <f t="shared" si="3"/>
        <v>-</v>
      </c>
      <c r="I45" s="103">
        <f t="shared" si="4"/>
        <v>15.75</v>
      </c>
      <c r="J45" s="104" t="str">
        <f t="shared" si="5"/>
        <v>-</v>
      </c>
      <c r="K45" s="255">
        <f>MAX('Турнирная таблица по среднему б'!T45:BO45)</f>
        <v>23.5</v>
      </c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307"/>
      <c r="Y45" s="307"/>
      <c r="Z45" s="74"/>
      <c r="AA45" s="74"/>
      <c r="AB45" s="74"/>
    </row>
    <row r="46">
      <c r="A46" s="159">
        <v>38.0</v>
      </c>
      <c r="B46" s="122" t="s">
        <v>128</v>
      </c>
      <c r="C46" s="265">
        <v>50.0</v>
      </c>
      <c r="D46" s="127">
        <v>191.75</v>
      </c>
      <c r="E46" s="127">
        <v>19.175</v>
      </c>
      <c r="F46" s="253">
        <f t="shared" si="1"/>
        <v>0</v>
      </c>
      <c r="G46" s="266">
        <f t="shared" si="2"/>
        <v>31.25</v>
      </c>
      <c r="H46" s="267" t="str">
        <f t="shared" si="3"/>
        <v>-</v>
      </c>
      <c r="I46" s="268">
        <f t="shared" si="4"/>
        <v>16.75</v>
      </c>
      <c r="J46" s="267" t="str">
        <f t="shared" si="5"/>
        <v>-</v>
      </c>
      <c r="K46" s="269">
        <f>MAX('Турнирная таблица по среднему б'!T46:BO46)</f>
        <v>20.75</v>
      </c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307"/>
      <c r="Y46" s="307"/>
      <c r="Z46" s="74"/>
      <c r="AA46" s="74"/>
      <c r="AB46" s="74"/>
    </row>
    <row r="47">
      <c r="A47" s="159">
        <v>39.0</v>
      </c>
      <c r="B47" s="140" t="s">
        <v>79</v>
      </c>
      <c r="C47" s="277">
        <v>50.0</v>
      </c>
      <c r="D47" s="145">
        <v>191.5</v>
      </c>
      <c r="E47" s="145">
        <v>19.15</v>
      </c>
      <c r="F47" s="253">
        <f t="shared" si="1"/>
        <v>0</v>
      </c>
      <c r="G47" s="254">
        <f t="shared" si="2"/>
        <v>31.5</v>
      </c>
      <c r="H47" s="104" t="str">
        <f t="shared" si="3"/>
        <v>-</v>
      </c>
      <c r="I47" s="103">
        <f t="shared" si="4"/>
        <v>17</v>
      </c>
      <c r="J47" s="104" t="str">
        <f t="shared" si="5"/>
        <v>-</v>
      </c>
      <c r="K47" s="255">
        <f>MAX('Турнирная таблица по среднему б'!T47:BO47)</f>
        <v>27</v>
      </c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307"/>
      <c r="Y47" s="307"/>
      <c r="Z47" s="74"/>
      <c r="AA47" s="74"/>
      <c r="AB47" s="74"/>
    </row>
    <row r="48">
      <c r="A48" s="159">
        <v>40.0</v>
      </c>
      <c r="B48" s="122" t="s">
        <v>124</v>
      </c>
      <c r="C48" s="265">
        <v>50.0</v>
      </c>
      <c r="D48" s="127">
        <v>190.75</v>
      </c>
      <c r="E48" s="127">
        <v>19.075</v>
      </c>
      <c r="F48" s="253">
        <f t="shared" si="1"/>
        <v>0</v>
      </c>
      <c r="G48" s="266">
        <f t="shared" si="2"/>
        <v>32.25</v>
      </c>
      <c r="H48" s="267" t="str">
        <f t="shared" si="3"/>
        <v>-</v>
      </c>
      <c r="I48" s="268">
        <f t="shared" si="4"/>
        <v>17.75</v>
      </c>
      <c r="J48" s="267" t="str">
        <f t="shared" si="5"/>
        <v>-</v>
      </c>
      <c r="K48" s="269">
        <f>MAX('Турнирная таблица по среднему б'!T48:BO48)</f>
        <v>28.75</v>
      </c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307"/>
      <c r="Y48" s="307"/>
      <c r="Z48" s="74"/>
      <c r="AA48" s="74"/>
      <c r="AB48" s="74"/>
    </row>
    <row r="49">
      <c r="A49" s="159">
        <v>41.0</v>
      </c>
      <c r="B49" s="140" t="s">
        <v>91</v>
      </c>
      <c r="C49" s="277">
        <v>50.0</v>
      </c>
      <c r="D49" s="145">
        <v>190.5</v>
      </c>
      <c r="E49" s="145">
        <v>19.05</v>
      </c>
      <c r="F49" s="253">
        <f t="shared" si="1"/>
        <v>0</v>
      </c>
      <c r="G49" s="254">
        <f t="shared" si="2"/>
        <v>32.5</v>
      </c>
      <c r="H49" s="104" t="str">
        <f t="shared" si="3"/>
        <v>-</v>
      </c>
      <c r="I49" s="103">
        <f t="shared" si="4"/>
        <v>18</v>
      </c>
      <c r="J49" s="104" t="str">
        <f t="shared" si="5"/>
        <v>-</v>
      </c>
      <c r="K49" s="255">
        <f>MAX('Турнирная таблица по среднему б'!T49:BO49)</f>
        <v>23.25</v>
      </c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307"/>
      <c r="Y49" s="307"/>
      <c r="Z49" s="74"/>
      <c r="AA49" s="74"/>
      <c r="AB49" s="74"/>
    </row>
    <row r="50">
      <c r="A50" s="159">
        <v>42.0</v>
      </c>
      <c r="B50" s="122" t="s">
        <v>109</v>
      </c>
      <c r="C50" s="265">
        <v>50.0</v>
      </c>
      <c r="D50" s="127">
        <v>189.75</v>
      </c>
      <c r="E50" s="127">
        <v>18.975</v>
      </c>
      <c r="F50" s="253">
        <f t="shared" si="1"/>
        <v>0</v>
      </c>
      <c r="G50" s="266">
        <f t="shared" si="2"/>
        <v>33.25</v>
      </c>
      <c r="H50" s="267" t="str">
        <f t="shared" si="3"/>
        <v>-</v>
      </c>
      <c r="I50" s="268">
        <f t="shared" si="4"/>
        <v>18.75</v>
      </c>
      <c r="J50" s="267" t="str">
        <f t="shared" si="5"/>
        <v>-</v>
      </c>
      <c r="K50" s="269">
        <f>MAX('Турнирная таблица по среднему б'!T50:BO50)</f>
        <v>29</v>
      </c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307"/>
      <c r="Y50" s="307"/>
      <c r="Z50" s="74"/>
      <c r="AA50" s="74"/>
      <c r="AB50" s="74"/>
    </row>
    <row r="51">
      <c r="A51" s="159">
        <v>43.0</v>
      </c>
      <c r="B51" s="140" t="s">
        <v>86</v>
      </c>
      <c r="C51" s="277">
        <v>50.0</v>
      </c>
      <c r="D51" s="145">
        <v>189.25</v>
      </c>
      <c r="E51" s="145">
        <v>18.925</v>
      </c>
      <c r="F51" s="253">
        <f t="shared" si="1"/>
        <v>0</v>
      </c>
      <c r="G51" s="254">
        <f t="shared" si="2"/>
        <v>33.75</v>
      </c>
      <c r="H51" s="104" t="str">
        <f t="shared" si="3"/>
        <v>-</v>
      </c>
      <c r="I51" s="103">
        <f t="shared" si="4"/>
        <v>19.25</v>
      </c>
      <c r="J51" s="104" t="str">
        <f t="shared" si="5"/>
        <v>-</v>
      </c>
      <c r="K51" s="255">
        <f>MAX('Турнирная таблица по среднему б'!T51:BO51)</f>
        <v>24.25</v>
      </c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307"/>
      <c r="Y51" s="307"/>
      <c r="Z51" s="74"/>
      <c r="AA51" s="74"/>
      <c r="AB51" s="74"/>
    </row>
    <row r="52">
      <c r="A52" s="159">
        <v>44.0</v>
      </c>
      <c r="B52" s="122" t="s">
        <v>130</v>
      </c>
      <c r="C52" s="265">
        <v>50.0</v>
      </c>
      <c r="D52" s="127">
        <v>188.25</v>
      </c>
      <c r="E52" s="127">
        <v>18.825</v>
      </c>
      <c r="F52" s="253">
        <f t="shared" si="1"/>
        <v>0</v>
      </c>
      <c r="G52" s="266">
        <f t="shared" si="2"/>
        <v>34.75</v>
      </c>
      <c r="H52" s="267" t="str">
        <f t="shared" si="3"/>
        <v>-</v>
      </c>
      <c r="I52" s="268">
        <f t="shared" si="4"/>
        <v>20.25</v>
      </c>
      <c r="J52" s="267" t="str">
        <f t="shared" si="5"/>
        <v>-</v>
      </c>
      <c r="K52" s="269">
        <f>MAX('Турнирная таблица по среднему б'!T52:BO52)</f>
        <v>24.5</v>
      </c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307"/>
      <c r="Y52" s="307"/>
      <c r="Z52" s="74"/>
      <c r="AA52" s="74"/>
      <c r="AB52" s="74"/>
    </row>
    <row r="53">
      <c r="A53" s="159">
        <v>45.0</v>
      </c>
      <c r="B53" s="140" t="s">
        <v>118</v>
      </c>
      <c r="C53" s="277">
        <v>50.0</v>
      </c>
      <c r="D53" s="145">
        <v>188.25</v>
      </c>
      <c r="E53" s="145">
        <v>18.825</v>
      </c>
      <c r="F53" s="253">
        <f t="shared" si="1"/>
        <v>0</v>
      </c>
      <c r="G53" s="254">
        <f t="shared" si="2"/>
        <v>34.75</v>
      </c>
      <c r="H53" s="104" t="str">
        <f t="shared" si="3"/>
        <v>-</v>
      </c>
      <c r="I53" s="103">
        <f t="shared" si="4"/>
        <v>20.25</v>
      </c>
      <c r="J53" s="104" t="str">
        <f t="shared" si="5"/>
        <v>-</v>
      </c>
      <c r="K53" s="255">
        <f>MAX('Турнирная таблица по среднему б'!T53:BO53)</f>
        <v>23.5</v>
      </c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307"/>
      <c r="Y53" s="307"/>
      <c r="Z53" s="74"/>
      <c r="AA53" s="74"/>
      <c r="AB53" s="74"/>
    </row>
    <row r="54">
      <c r="A54" s="159">
        <v>46.0</v>
      </c>
      <c r="B54" s="122" t="s">
        <v>95</v>
      </c>
      <c r="C54" s="265">
        <v>45.0</v>
      </c>
      <c r="D54" s="127">
        <v>168.0</v>
      </c>
      <c r="E54" s="127">
        <v>18.666666666666668</v>
      </c>
      <c r="F54" s="253">
        <f t="shared" si="1"/>
        <v>1</v>
      </c>
      <c r="G54" s="266">
        <f t="shared" si="2"/>
        <v>55</v>
      </c>
      <c r="H54" s="267">
        <f t="shared" si="3"/>
        <v>55</v>
      </c>
      <c r="I54" s="268">
        <f t="shared" si="4"/>
        <v>40.5</v>
      </c>
      <c r="J54" s="267">
        <f t="shared" si="5"/>
        <v>40.5</v>
      </c>
      <c r="K54" s="269">
        <f>MAX('Турнирная таблица по среднему б'!T54:BO54)</f>
        <v>28.25</v>
      </c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307"/>
      <c r="Y54" s="307"/>
      <c r="Z54" s="74"/>
      <c r="AA54" s="74"/>
      <c r="AB54" s="74"/>
    </row>
    <row r="55">
      <c r="A55" s="159">
        <v>47.0</v>
      </c>
      <c r="B55" s="140" t="s">
        <v>102</v>
      </c>
      <c r="C55" s="277">
        <v>50.0</v>
      </c>
      <c r="D55" s="145">
        <v>185.75</v>
      </c>
      <c r="E55" s="145">
        <v>18.575</v>
      </c>
      <c r="F55" s="253">
        <f t="shared" si="1"/>
        <v>0</v>
      </c>
      <c r="G55" s="254">
        <f t="shared" si="2"/>
        <v>37.25</v>
      </c>
      <c r="H55" s="104" t="str">
        <f t="shared" si="3"/>
        <v>-</v>
      </c>
      <c r="I55" s="103">
        <f t="shared" si="4"/>
        <v>22.75</v>
      </c>
      <c r="J55" s="104" t="str">
        <f t="shared" si="5"/>
        <v>-</v>
      </c>
      <c r="K55" s="255">
        <f>MAX('Турнирная таблица по среднему б'!T55:BO55)</f>
        <v>24.75</v>
      </c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307"/>
      <c r="Y55" s="307"/>
      <c r="Z55" s="74"/>
      <c r="AA55" s="74"/>
      <c r="AB55" s="74"/>
    </row>
    <row r="56">
      <c r="A56" s="159">
        <v>48.0</v>
      </c>
      <c r="B56" s="122" t="s">
        <v>94</v>
      </c>
      <c r="C56" s="265">
        <v>50.0</v>
      </c>
      <c r="D56" s="127">
        <v>184.25</v>
      </c>
      <c r="E56" s="127">
        <v>18.425</v>
      </c>
      <c r="F56" s="253">
        <f t="shared" si="1"/>
        <v>0</v>
      </c>
      <c r="G56" s="266">
        <f t="shared" si="2"/>
        <v>38.75</v>
      </c>
      <c r="H56" s="267" t="str">
        <f t="shared" si="3"/>
        <v>-</v>
      </c>
      <c r="I56" s="268">
        <f t="shared" si="4"/>
        <v>24.25</v>
      </c>
      <c r="J56" s="267" t="str">
        <f t="shared" si="5"/>
        <v>-</v>
      </c>
      <c r="K56" s="269">
        <f>MAX('Турнирная таблица по среднему б'!T56:BO56)</f>
        <v>22</v>
      </c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307"/>
      <c r="Y56" s="307"/>
      <c r="Z56" s="74"/>
      <c r="AA56" s="74"/>
      <c r="AB56" s="74"/>
    </row>
    <row r="57">
      <c r="A57" s="159">
        <v>49.0</v>
      </c>
      <c r="B57" s="140" t="s">
        <v>101</v>
      </c>
      <c r="C57" s="277">
        <v>50.0</v>
      </c>
      <c r="D57" s="145">
        <v>184.0</v>
      </c>
      <c r="E57" s="145">
        <v>18.400000000000002</v>
      </c>
      <c r="F57" s="253">
        <f t="shared" si="1"/>
        <v>0</v>
      </c>
      <c r="G57" s="254">
        <f t="shared" si="2"/>
        <v>39</v>
      </c>
      <c r="H57" s="104" t="str">
        <f t="shared" si="3"/>
        <v>-</v>
      </c>
      <c r="I57" s="103">
        <f t="shared" si="4"/>
        <v>24.5</v>
      </c>
      <c r="J57" s="104" t="str">
        <f t="shared" si="5"/>
        <v>-</v>
      </c>
      <c r="K57" s="255">
        <f>MAX('Турнирная таблица по среднему б'!T57:BO57)</f>
        <v>21</v>
      </c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307"/>
      <c r="Y57" s="307"/>
      <c r="Z57" s="74"/>
      <c r="AA57" s="74"/>
      <c r="AB57" s="74"/>
    </row>
    <row r="58">
      <c r="A58" s="159">
        <v>50.0</v>
      </c>
      <c r="B58" s="122" t="s">
        <v>105</v>
      </c>
      <c r="C58" s="265">
        <v>50.0</v>
      </c>
      <c r="D58" s="127">
        <v>183.5</v>
      </c>
      <c r="E58" s="127">
        <v>18.35</v>
      </c>
      <c r="F58" s="253">
        <f t="shared" si="1"/>
        <v>0</v>
      </c>
      <c r="G58" s="266">
        <f t="shared" si="2"/>
        <v>39.5</v>
      </c>
      <c r="H58" s="267" t="str">
        <f t="shared" si="3"/>
        <v>-</v>
      </c>
      <c r="I58" s="268">
        <f t="shared" si="4"/>
        <v>25</v>
      </c>
      <c r="J58" s="267" t="str">
        <f t="shared" si="5"/>
        <v>-</v>
      </c>
      <c r="K58" s="269">
        <f>MAX('Турнирная таблица по среднему б'!T58:BO58)</f>
        <v>22.5</v>
      </c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307"/>
      <c r="Y58" s="307"/>
      <c r="Z58" s="74"/>
      <c r="AA58" s="74"/>
      <c r="AB58" s="74"/>
    </row>
    <row r="59">
      <c r="A59" s="159">
        <v>51.0</v>
      </c>
      <c r="B59" s="140" t="s">
        <v>96</v>
      </c>
      <c r="C59" s="277">
        <v>50.0</v>
      </c>
      <c r="D59" s="145">
        <v>183.5</v>
      </c>
      <c r="E59" s="145">
        <v>18.35</v>
      </c>
      <c r="F59" s="253">
        <f t="shared" si="1"/>
        <v>0</v>
      </c>
      <c r="G59" s="254">
        <f t="shared" si="2"/>
        <v>39.5</v>
      </c>
      <c r="H59" s="104" t="str">
        <f t="shared" si="3"/>
        <v>-</v>
      </c>
      <c r="I59" s="103">
        <f t="shared" si="4"/>
        <v>25</v>
      </c>
      <c r="J59" s="104" t="str">
        <f t="shared" si="5"/>
        <v>-</v>
      </c>
      <c r="K59" s="255">
        <f>MAX('Турнирная таблица по среднему б'!T59:BO59)</f>
        <v>23.25</v>
      </c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307"/>
      <c r="Y59" s="307"/>
      <c r="Z59" s="74"/>
      <c r="AA59" s="74"/>
      <c r="AB59" s="74"/>
    </row>
    <row r="60">
      <c r="A60" s="159">
        <v>52.0</v>
      </c>
      <c r="B60" s="122" t="s">
        <v>88</v>
      </c>
      <c r="C60" s="265">
        <v>50.0</v>
      </c>
      <c r="D60" s="127">
        <v>182.0</v>
      </c>
      <c r="E60" s="127">
        <v>18.2</v>
      </c>
      <c r="F60" s="253">
        <f t="shared" si="1"/>
        <v>0</v>
      </c>
      <c r="G60" s="266">
        <f t="shared" si="2"/>
        <v>41</v>
      </c>
      <c r="H60" s="267" t="str">
        <f t="shared" si="3"/>
        <v>-</v>
      </c>
      <c r="I60" s="268">
        <f t="shared" si="4"/>
        <v>26.5</v>
      </c>
      <c r="J60" s="267" t="str">
        <f t="shared" si="5"/>
        <v>-</v>
      </c>
      <c r="K60" s="269">
        <f>MAX('Турнирная таблица по среднему б'!T60:BO60)</f>
        <v>27.75</v>
      </c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307"/>
      <c r="Y60" s="307"/>
      <c r="Z60" s="74"/>
      <c r="AA60" s="74"/>
      <c r="AB60" s="74"/>
    </row>
    <row r="61">
      <c r="A61" s="159">
        <v>53.0</v>
      </c>
      <c r="B61" s="140" t="s">
        <v>117</v>
      </c>
      <c r="C61" s="277">
        <v>50.0</v>
      </c>
      <c r="D61" s="145">
        <v>181.75</v>
      </c>
      <c r="E61" s="145">
        <v>18.174999999999997</v>
      </c>
      <c r="F61" s="253">
        <f t="shared" si="1"/>
        <v>0</v>
      </c>
      <c r="G61" s="254">
        <f t="shared" si="2"/>
        <v>41.25</v>
      </c>
      <c r="H61" s="104" t="str">
        <f t="shared" si="3"/>
        <v>-</v>
      </c>
      <c r="I61" s="103">
        <f t="shared" si="4"/>
        <v>26.75</v>
      </c>
      <c r="J61" s="104" t="str">
        <f t="shared" si="5"/>
        <v>-</v>
      </c>
      <c r="K61" s="255">
        <f>MAX('Турнирная таблица по среднему б'!T61:BO61)</f>
        <v>21</v>
      </c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307"/>
      <c r="Y61" s="307"/>
      <c r="Z61" s="74"/>
      <c r="AA61" s="74"/>
      <c r="AB61" s="74"/>
    </row>
    <row r="62">
      <c r="A62" s="159">
        <v>54.0</v>
      </c>
      <c r="B62" s="122" t="s">
        <v>137</v>
      </c>
      <c r="C62" s="265">
        <v>50.0</v>
      </c>
      <c r="D62" s="127">
        <v>180.75</v>
      </c>
      <c r="E62" s="127">
        <v>18.075000000000003</v>
      </c>
      <c r="F62" s="253">
        <f t="shared" si="1"/>
        <v>0</v>
      </c>
      <c r="G62" s="266">
        <f t="shared" si="2"/>
        <v>42.25</v>
      </c>
      <c r="H62" s="267" t="str">
        <f t="shared" si="3"/>
        <v>-</v>
      </c>
      <c r="I62" s="268">
        <f t="shared" si="4"/>
        <v>27.75</v>
      </c>
      <c r="J62" s="267" t="str">
        <f t="shared" si="5"/>
        <v>-</v>
      </c>
      <c r="K62" s="269">
        <f>MAX('Турнирная таблица по среднему б'!T62:BO62)</f>
        <v>25.75</v>
      </c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307"/>
      <c r="Y62" s="307"/>
      <c r="Z62" s="74"/>
      <c r="AA62" s="74"/>
      <c r="AB62" s="74"/>
    </row>
    <row r="63">
      <c r="A63" s="159">
        <v>55.0</v>
      </c>
      <c r="B63" s="140" t="s">
        <v>127</v>
      </c>
      <c r="C63" s="277">
        <v>50.0</v>
      </c>
      <c r="D63" s="145">
        <v>178.0</v>
      </c>
      <c r="E63" s="145">
        <v>17.8</v>
      </c>
      <c r="F63" s="253">
        <f t="shared" si="1"/>
        <v>0</v>
      </c>
      <c r="G63" s="254">
        <f t="shared" si="2"/>
        <v>45</v>
      </c>
      <c r="H63" s="104" t="str">
        <f t="shared" si="3"/>
        <v>-</v>
      </c>
      <c r="I63" s="103">
        <f t="shared" si="4"/>
        <v>30.5</v>
      </c>
      <c r="J63" s="104" t="str">
        <f t="shared" si="5"/>
        <v>-</v>
      </c>
      <c r="K63" s="255">
        <f>MAX('Турнирная таблица по среднему б'!T63:BO63)</f>
        <v>22.5</v>
      </c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307"/>
      <c r="Y63" s="307"/>
      <c r="Z63" s="74"/>
      <c r="AA63" s="74"/>
      <c r="AB63" s="74"/>
    </row>
    <row r="64">
      <c r="A64" s="159">
        <v>56.0</v>
      </c>
      <c r="B64" s="122" t="s">
        <v>134</v>
      </c>
      <c r="C64" s="265">
        <v>50.0</v>
      </c>
      <c r="D64" s="127">
        <v>174.75</v>
      </c>
      <c r="E64" s="127">
        <v>17.475</v>
      </c>
      <c r="F64" s="253">
        <f t="shared" si="1"/>
        <v>0</v>
      </c>
      <c r="G64" s="266">
        <f t="shared" si="2"/>
        <v>48.25</v>
      </c>
      <c r="H64" s="267" t="str">
        <f t="shared" si="3"/>
        <v>-</v>
      </c>
      <c r="I64" s="268">
        <f t="shared" si="4"/>
        <v>33.75</v>
      </c>
      <c r="J64" s="267" t="str">
        <f t="shared" si="5"/>
        <v>-</v>
      </c>
      <c r="K64" s="269">
        <f>MAX('Турнирная таблица по среднему б'!T64:BO64)</f>
        <v>24</v>
      </c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307"/>
      <c r="Y64" s="307"/>
      <c r="Z64" s="74"/>
      <c r="AA64" s="74"/>
      <c r="AB64" s="74"/>
    </row>
    <row r="65">
      <c r="A65" s="159">
        <v>57.0</v>
      </c>
      <c r="B65" s="140" t="s">
        <v>125</v>
      </c>
      <c r="C65" s="277">
        <v>50.0</v>
      </c>
      <c r="D65" s="145">
        <v>174.0</v>
      </c>
      <c r="E65" s="145">
        <v>17.4</v>
      </c>
      <c r="F65" s="253">
        <f t="shared" si="1"/>
        <v>0</v>
      </c>
      <c r="G65" s="254">
        <f t="shared" si="2"/>
        <v>49</v>
      </c>
      <c r="H65" s="104" t="str">
        <f t="shared" si="3"/>
        <v>-</v>
      </c>
      <c r="I65" s="103">
        <f t="shared" si="4"/>
        <v>34.5</v>
      </c>
      <c r="J65" s="104" t="str">
        <f t="shared" si="5"/>
        <v>-</v>
      </c>
      <c r="K65" s="255">
        <f>MAX('Турнирная таблица по среднему б'!T65:BO65)</f>
        <v>23.5</v>
      </c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307"/>
      <c r="Y65" s="307"/>
      <c r="Z65" s="74"/>
      <c r="AA65" s="74"/>
      <c r="AB65" s="74"/>
    </row>
    <row r="66">
      <c r="A66" s="159">
        <v>58.0</v>
      </c>
      <c r="B66" s="122" t="s">
        <v>126</v>
      </c>
      <c r="C66" s="265">
        <v>50.0</v>
      </c>
      <c r="D66" s="127">
        <v>173.75</v>
      </c>
      <c r="E66" s="127">
        <v>17.375</v>
      </c>
      <c r="F66" s="253">
        <f t="shared" si="1"/>
        <v>0</v>
      </c>
      <c r="G66" s="266">
        <f t="shared" si="2"/>
        <v>49.25</v>
      </c>
      <c r="H66" s="267" t="str">
        <f t="shared" si="3"/>
        <v>-</v>
      </c>
      <c r="I66" s="268">
        <f t="shared" si="4"/>
        <v>34.75</v>
      </c>
      <c r="J66" s="267" t="str">
        <f t="shared" si="5"/>
        <v>-</v>
      </c>
      <c r="K66" s="269">
        <f>MAX('Турнирная таблица по среднему б'!T66:BO66)</f>
        <v>20.5</v>
      </c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307"/>
      <c r="Y66" s="307"/>
      <c r="Z66" s="74"/>
      <c r="AA66" s="74"/>
      <c r="AB66" s="74"/>
    </row>
    <row r="67">
      <c r="A67" s="159">
        <v>59.0</v>
      </c>
      <c r="B67" s="140" t="s">
        <v>129</v>
      </c>
      <c r="C67" s="277">
        <v>50.0</v>
      </c>
      <c r="D67" s="145">
        <v>173.5</v>
      </c>
      <c r="E67" s="145">
        <v>17.35</v>
      </c>
      <c r="F67" s="253">
        <f t="shared" si="1"/>
        <v>0</v>
      </c>
      <c r="G67" s="254">
        <f t="shared" si="2"/>
        <v>49.5</v>
      </c>
      <c r="H67" s="104" t="str">
        <f t="shared" si="3"/>
        <v>-</v>
      </c>
      <c r="I67" s="103">
        <f t="shared" si="4"/>
        <v>35</v>
      </c>
      <c r="J67" s="104" t="str">
        <f t="shared" si="5"/>
        <v>-</v>
      </c>
      <c r="K67" s="255">
        <f>MAX('Турнирная таблица по среднему б'!T67:BO67)</f>
        <v>25.25</v>
      </c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307"/>
      <c r="Y67" s="307"/>
      <c r="Z67" s="74"/>
      <c r="AA67" s="74"/>
      <c r="AB67" s="74"/>
    </row>
    <row r="68">
      <c r="A68" s="160">
        <v>60.0</v>
      </c>
      <c r="B68" s="161" t="s">
        <v>85</v>
      </c>
      <c r="C68" s="308">
        <v>50.0</v>
      </c>
      <c r="D68" s="166">
        <v>162.5</v>
      </c>
      <c r="E68" s="166">
        <v>16.25</v>
      </c>
      <c r="F68" s="253">
        <f t="shared" si="1"/>
        <v>0</v>
      </c>
      <c r="G68" s="295">
        <f t="shared" si="2"/>
        <v>60.5</v>
      </c>
      <c r="H68" s="296" t="str">
        <f t="shared" si="3"/>
        <v>-</v>
      </c>
      <c r="I68" s="297">
        <f t="shared" si="4"/>
        <v>46</v>
      </c>
      <c r="J68" s="309" t="str">
        <f t="shared" si="5"/>
        <v>-</v>
      </c>
      <c r="K68" s="310">
        <f>MAX('Турнирная таблица по среднему б'!T68:BO68)</f>
        <v>23.25</v>
      </c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307"/>
      <c r="Y68" s="307"/>
      <c r="Z68" s="74"/>
      <c r="AA68" s="74"/>
      <c r="AB68" s="74"/>
    </row>
    <row r="69">
      <c r="A69" s="66"/>
      <c r="B69" s="66"/>
      <c r="C69" s="66"/>
      <c r="D69" s="66"/>
      <c r="E69" s="66"/>
      <c r="F69" s="311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74"/>
      <c r="AA69" s="74"/>
      <c r="AB69" s="74"/>
    </row>
    <row r="70">
      <c r="A70" s="74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>
      <c r="A72" s="70"/>
      <c r="B72" s="312" t="s">
        <v>210</v>
      </c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>
      <c r="A73" s="70"/>
      <c r="B73" s="313" t="s">
        <v>211</v>
      </c>
      <c r="C73" s="314"/>
      <c r="D73" s="314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  <row r="74">
      <c r="A74" s="70"/>
      <c r="B74" s="315" t="s">
        <v>212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</row>
    <row r="75">
      <c r="A75" s="70"/>
      <c r="B75" s="316" t="s">
        <v>213</v>
      </c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66"/>
      <c r="AB76" s="66"/>
    </row>
    <row r="77">
      <c r="A77" s="74"/>
      <c r="B77" s="317"/>
      <c r="C77" s="318"/>
      <c r="D77" s="318"/>
      <c r="E77" s="318"/>
      <c r="F77" s="318"/>
      <c r="G77" s="318"/>
      <c r="H77" s="318"/>
      <c r="I77" s="318"/>
      <c r="J77" s="318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66"/>
      <c r="AB77" s="66"/>
    </row>
    <row r="78">
      <c r="A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</row>
    <row r="79">
      <c r="A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</row>
    <row r="80">
      <c r="A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</row>
  </sheetData>
  <mergeCells count="7">
    <mergeCell ref="B3:I3"/>
    <mergeCell ref="B4:C4"/>
    <mergeCell ref="F4:H4"/>
    <mergeCell ref="F5:H5"/>
    <mergeCell ref="B72:D72"/>
    <mergeCell ref="B74:D74"/>
    <mergeCell ref="B75:D75"/>
  </mergeCells>
  <conditionalFormatting sqref="B9:K68">
    <cfRule type="expression" dxfId="0" priority="1">
      <formula>if($F9=0,true)</formula>
    </cfRule>
  </conditionalFormatting>
  <conditionalFormatting sqref="C9:C68">
    <cfRule type="cellIs" dxfId="1" priority="2" operator="greaterThanOrEqual">
      <formula>40</formula>
    </cfRule>
  </conditionalFormatting>
  <conditionalFormatting sqref="H9:H68">
    <cfRule type="cellIs" dxfId="2" priority="3" operator="lessThanOrEqual">
      <formula>20</formula>
    </cfRule>
  </conditionalFormatting>
  <conditionalFormatting sqref="J9:J68">
    <cfRule type="cellIs" dxfId="2" priority="4" operator="lessThanOrEqual">
      <formula>20</formula>
    </cfRule>
  </conditionalFormatting>
  <conditionalFormatting sqref="H9:H68">
    <cfRule type="cellIs" dxfId="3" priority="5" operator="greaterThanOrEqual">
      <formula>27</formula>
    </cfRule>
  </conditionalFormatting>
  <conditionalFormatting sqref="J9:J68">
    <cfRule type="cellIs" dxfId="3" priority="6" operator="greaterThanOrEqual">
      <formula>27</formula>
    </cfRule>
  </conditionalFormatting>
  <conditionalFormatting sqref="J9:J68">
    <cfRule type="expression" dxfId="4" priority="7">
      <formula>IF(J9&lt;K9,true)</formula>
    </cfRule>
  </conditionalFormatting>
  <conditionalFormatting sqref="H9:H68">
    <cfRule type="expression" dxfId="4" priority="8">
      <formula>IF(H9&lt;K9,true)</formula>
    </cfRule>
  </conditionalFormatting>
  <conditionalFormatting sqref="B2">
    <cfRule type="notContainsBlanks" dxfId="2" priority="9">
      <formula>LEN(TRIM(B2))&gt;0</formula>
    </cfRule>
  </conditionalFormatting>
  <conditionalFormatting sqref="C7">
    <cfRule type="notContainsBlanks" dxfId="2" priority="10">
      <formula>LEN(TRIM(C7))&gt;0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0"/>
    <col customWidth="1" min="2" max="2" width="11.5"/>
    <col customWidth="1" min="5" max="5" width="9.88"/>
    <col customWidth="1" min="6" max="6" width="9.38"/>
    <col customWidth="1" min="7" max="7" width="9.0"/>
    <col customWidth="1" min="8" max="8" width="10.5"/>
    <col customWidth="1" min="9" max="9" width="11.88"/>
    <col customWidth="1" min="10" max="10" width="13.25"/>
  </cols>
  <sheetData>
    <row r="1">
      <c r="A1" s="319"/>
      <c r="B1" s="320"/>
      <c r="C1" s="321"/>
      <c r="D1" s="321"/>
      <c r="E1" s="322"/>
      <c r="F1" s="322"/>
      <c r="G1" s="322"/>
      <c r="H1" s="322"/>
      <c r="I1" s="322"/>
      <c r="J1" s="322"/>
      <c r="K1" s="323" t="s">
        <v>3</v>
      </c>
      <c r="U1" s="324" t="s">
        <v>214</v>
      </c>
      <c r="AB1" s="325" t="s">
        <v>215</v>
      </c>
      <c r="AG1" s="326" t="s">
        <v>216</v>
      </c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</row>
    <row r="2">
      <c r="A2" s="328"/>
      <c r="E2" s="322"/>
      <c r="F2" s="322"/>
      <c r="G2" s="322"/>
      <c r="H2" s="322"/>
      <c r="I2" s="322"/>
      <c r="J2" s="322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327"/>
    </row>
    <row r="3">
      <c r="A3" s="328"/>
      <c r="B3" s="189"/>
      <c r="C3" s="189"/>
      <c r="D3" s="189"/>
      <c r="E3" s="322"/>
      <c r="F3" s="322"/>
      <c r="G3" s="322"/>
      <c r="H3" s="322"/>
      <c r="I3" s="322"/>
      <c r="J3" s="322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</row>
    <row r="4">
      <c r="A4" s="329" t="s">
        <v>2</v>
      </c>
      <c r="B4" s="330" t="s">
        <v>3</v>
      </c>
      <c r="C4" s="330" t="s">
        <v>4</v>
      </c>
      <c r="D4" s="331" t="s">
        <v>5</v>
      </c>
      <c r="E4" s="332" t="s">
        <v>217</v>
      </c>
      <c r="F4" s="332" t="s">
        <v>218</v>
      </c>
      <c r="G4" s="332" t="s">
        <v>11</v>
      </c>
      <c r="H4" s="332" t="s">
        <v>219</v>
      </c>
      <c r="I4" s="333" t="s">
        <v>220</v>
      </c>
      <c r="J4" s="333" t="s">
        <v>221</v>
      </c>
      <c r="K4" s="334" t="s">
        <v>222</v>
      </c>
      <c r="L4" s="335" t="s">
        <v>223</v>
      </c>
      <c r="M4" s="336" t="s">
        <v>224</v>
      </c>
      <c r="N4" s="336" t="s">
        <v>225</v>
      </c>
      <c r="O4" s="337" t="s">
        <v>226</v>
      </c>
      <c r="P4" s="337" t="s">
        <v>227</v>
      </c>
      <c r="Q4" s="335" t="s">
        <v>228</v>
      </c>
      <c r="R4" s="335" t="s">
        <v>229</v>
      </c>
      <c r="S4" s="338" t="s">
        <v>230</v>
      </c>
      <c r="T4" s="338" t="s">
        <v>231</v>
      </c>
      <c r="U4" s="339" t="s">
        <v>232</v>
      </c>
      <c r="V4" s="339" t="s">
        <v>233</v>
      </c>
      <c r="W4" s="339" t="s">
        <v>234</v>
      </c>
      <c r="X4" s="336" t="s">
        <v>235</v>
      </c>
      <c r="Y4" s="337" t="s">
        <v>236</v>
      </c>
      <c r="Z4" s="335" t="s">
        <v>237</v>
      </c>
      <c r="AA4" s="338" t="s">
        <v>238</v>
      </c>
      <c r="AB4" s="339" t="s">
        <v>239</v>
      </c>
      <c r="AC4" s="340" t="s">
        <v>240</v>
      </c>
      <c r="AD4" s="341" t="s">
        <v>241</v>
      </c>
      <c r="AE4" s="342" t="s">
        <v>242</v>
      </c>
      <c r="AF4" s="343" t="s">
        <v>243</v>
      </c>
      <c r="AG4" s="339" t="s">
        <v>244</v>
      </c>
      <c r="AH4" s="340" t="s">
        <v>245</v>
      </c>
      <c r="AI4" s="337" t="s">
        <v>246</v>
      </c>
      <c r="AJ4" s="342" t="s">
        <v>247</v>
      </c>
      <c r="AK4" s="343" t="s">
        <v>248</v>
      </c>
      <c r="AL4" s="344" t="s">
        <v>249</v>
      </c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345"/>
      <c r="BJ4" s="345"/>
      <c r="BK4" s="345"/>
      <c r="BL4" s="345"/>
      <c r="BM4" s="345"/>
    </row>
    <row r="5">
      <c r="A5" s="346" t="s">
        <v>79</v>
      </c>
      <c r="B5" s="347">
        <f t="shared" ref="B5:B64" si="1">SUM(K5:L5)</f>
        <v>50</v>
      </c>
      <c r="C5" s="348">
        <f>'Турнирная таблица по Алфавиту'!E7</f>
        <v>191.5</v>
      </c>
      <c r="D5" s="349">
        <f>'Турнирная таблица по Алфавиту'!F7</f>
        <v>19.15</v>
      </c>
      <c r="E5" s="350">
        <f>COUNTIFS('Все игры'!A$3:A1000,A5,'Все игры'!F$3:F1000,"=1")</f>
        <v>0</v>
      </c>
      <c r="F5" s="350">
        <f>COUNTIFS('Все игры'!A$3:A1000,A5,'Все игры'!F$3:F1000,"=0,50")</f>
        <v>2</v>
      </c>
      <c r="G5" s="350">
        <f>COUNTIFS('Все игры'!A$3:A1000,A5,'Все игры'!G$3:G1000,"&gt;0")</f>
        <v>4</v>
      </c>
      <c r="H5" s="351">
        <f t="shared" ref="H5:H64" si="2">IFERROR(G5/K5,0)</f>
        <v>0.1081081081</v>
      </c>
      <c r="I5" s="352">
        <f>COUNTIFS('Все игры'!A$3:A1000,A5,'Все игры'!E$3:E1000,"У/Победа")</f>
        <v>2</v>
      </c>
      <c r="J5" s="352">
        <f>COUNTIFS('Все игры'!A$3:A1000,A5,'Все игры'!E$3:E1000,"У/Проигрыш")</f>
        <v>5</v>
      </c>
      <c r="K5" s="353">
        <f t="shared" ref="K5:K64" si="3">O5+P5+S5+T5</f>
        <v>37</v>
      </c>
      <c r="L5" s="347">
        <f t="shared" ref="L5:L64" si="4">M5+N5+Q5+R5</f>
        <v>13</v>
      </c>
      <c r="M5" s="347">
        <f>COUNTIFS('Все игры'!A$3:A1000,A5,'Все игры'!C$3:C1000,"&gt;0",'Все игры'!B$3:B1000,"Мафия")</f>
        <v>3</v>
      </c>
      <c r="N5" s="347">
        <f>IFERROR(__xludf.DUMMYFUNCTION("COUNTBLANK(FILTER('Все игры'!A$3:C1000,'Все игры'!A$3:A1000=A5,'Все игры'!C$3:C1000 &lt; 1,'Все игры'!B$3:B1000=""Мафия""))"),3.0)</f>
        <v>3</v>
      </c>
      <c r="O5" s="347">
        <f>COUNTIFS('Все игры'!A$3:A1000,A5,'Все игры'!C$3:C1000,"&gt;0",'Все игры'!B$3:B1000,"Шериф")</f>
        <v>1</v>
      </c>
      <c r="P5" s="354">
        <f>IFERROR(__xludf.DUMMYFUNCTION("COUNTBLANK(FILTER('Все игры'!A$3:C1000,'Все игры'!A$3:A1000=A5,'Все игры'!C$3:C1000 &lt; 1,'Все игры'!B$3:B1000=""Шериф""))"),1.0)</f>
        <v>1</v>
      </c>
      <c r="Q5" s="347">
        <f>COUNTIFS('Все игры'!A$3:A1000,A5,'Все игры'!C$3:C1000,"&gt;0",'Все игры'!B$3:B1000,"Дон")</f>
        <v>4</v>
      </c>
      <c r="R5" s="347">
        <f>IFERROR(__xludf.DUMMYFUNCTION("COUNTBLANK(FILTER('Все игры'!A$3:C1000,'Все игры'!A$3:A1000=A5,'Все игры'!C$3:C1000 &lt; 1,'Все игры'!B$3:B1000=""Дон""))"),3.0)</f>
        <v>3</v>
      </c>
      <c r="S5" s="347">
        <f>COUNTIFS('Все игры'!A$3:A1000,A5,'Все игры'!C$3:C1000,"&gt;0",'Все игры'!B$3:B1000,"Мирный")</f>
        <v>16</v>
      </c>
      <c r="T5" s="355">
        <f>IFERROR(__xludf.DUMMYFUNCTION("COUNTBLANK(FILTER('Все игры'!A$3:C1000,'Все игры'!A$3:A1000=A5,'Все игры'!C$3:C1000 &lt; 1,'Все игры'!B$3:B1000=""Мирный""))"),19.0)</f>
        <v>19</v>
      </c>
      <c r="U5" s="356">
        <f>IFERROR((M5+O5+Q5+S5)/B5, )</f>
        <v>0.48</v>
      </c>
      <c r="V5" s="357">
        <f t="shared" ref="V5:V64" si="5">IFERROR(((O5+S5)/K5),0)</f>
        <v>0.4594594595</v>
      </c>
      <c r="W5" s="357">
        <f t="shared" ref="W5:W64" si="6">IFERROR(((M5+Q5)/L5),0)</f>
        <v>0.5384615385</v>
      </c>
      <c r="X5" s="357">
        <f t="shared" ref="X5:X64" si="7">IFERROR((M5/(M5+N5)),0)</f>
        <v>0.5</v>
      </c>
      <c r="Y5" s="357">
        <f t="shared" ref="Y5:Y64" si="8">IFERROR((O5/(O5+P5)),0)</f>
        <v>0.5</v>
      </c>
      <c r="Z5" s="357">
        <f t="shared" ref="Z5:Z64" si="9">IFERROR((Q5/(Q5+R5)),0)</f>
        <v>0.5714285714</v>
      </c>
      <c r="AA5" s="358">
        <f t="shared" ref="AA5:AA64" si="10">IFERROR((S5/(S5+T5)),0)</f>
        <v>0.4571428571</v>
      </c>
      <c r="AB5" s="348">
        <f>SUMIFS('Все игры'!D$3:D1000,'Все игры'!A$3:A1000,A5)</f>
        <v>128.5</v>
      </c>
      <c r="AC5" s="348">
        <f>SUMIFS('Все игры'!D$3:D1000,'Все игры'!A$3:A1000,A5,'Все игры'!B$3:B1000,"Мафия")</f>
        <v>16.75</v>
      </c>
      <c r="AD5" s="359">
        <f>SUMIFS('Все игры'!D$3:D1000,'Все игры'!A$3:A1000,A5,'Все игры'!B$3:B1000,"Шериф")</f>
        <v>5.5</v>
      </c>
      <c r="AE5" s="348">
        <f>SUMIFS('Все игры'!D$3:D1000,'Все игры'!A$3:A1000,A5,'Все игры'!B$3:B1000,"Дон")</f>
        <v>19</v>
      </c>
      <c r="AF5" s="349">
        <f>SUMIFS('Все игры'!D$3:D1000,'Все игры'!A$3:A1000,A5,'Все игры'!B$3:B1000,"Мирный")</f>
        <v>87.25</v>
      </c>
      <c r="AG5" s="348">
        <f t="shared" ref="AG5:AG64" si="11">IFERROR(AB5/B5,0)</f>
        <v>2.57</v>
      </c>
      <c r="AH5" s="348">
        <f t="shared" ref="AH5:AH64" si="12">IFERROR(AC5/(M5+N5),0)</f>
        <v>2.791666667</v>
      </c>
      <c r="AI5" s="348">
        <f t="shared" ref="AI5:AI64" si="13">IFERROR(AD5/(O5+P5),0)</f>
        <v>2.75</v>
      </c>
      <c r="AJ5" s="348">
        <f t="shared" ref="AJ5:AJ64" si="14">IFERROR(AE5/(Q5+R5),0)</f>
        <v>2.714285714</v>
      </c>
      <c r="AK5" s="348">
        <f t="shared" ref="AK5:AK64" si="15">IFERROR(AF5/(S5+T5),0)</f>
        <v>2.492857143</v>
      </c>
      <c r="AL5" s="348">
        <f>MAX('Турнирная таблица по Алфавиту'!T7:CA7)</f>
        <v>27</v>
      </c>
      <c r="AM5" s="348"/>
      <c r="AN5" s="348"/>
      <c r="AO5" s="348"/>
      <c r="AP5" s="348"/>
      <c r="AQ5" s="348"/>
      <c r="AR5" s="348"/>
      <c r="AS5" s="348"/>
      <c r="AT5" s="348"/>
      <c r="AU5" s="348"/>
      <c r="AV5" s="348"/>
      <c r="AW5" s="348"/>
      <c r="AX5" s="348"/>
      <c r="AY5" s="348"/>
      <c r="AZ5" s="348"/>
      <c r="BA5" s="348"/>
      <c r="BB5" s="348"/>
      <c r="BC5" s="348"/>
      <c r="BD5" s="348"/>
      <c r="BE5" s="348"/>
      <c r="BF5" s="348"/>
      <c r="BG5" s="348"/>
      <c r="BH5" s="348"/>
      <c r="BI5" s="348"/>
      <c r="BJ5" s="348"/>
      <c r="BK5" s="348"/>
      <c r="BL5" s="348"/>
      <c r="BM5" s="348"/>
    </row>
    <row r="6">
      <c r="A6" s="360" t="s">
        <v>80</v>
      </c>
      <c r="B6" s="361">
        <f t="shared" si="1"/>
        <v>50</v>
      </c>
      <c r="C6" s="362">
        <f>'Турнирная таблица по Алфавиту'!E8</f>
        <v>217.75</v>
      </c>
      <c r="D6" s="363">
        <f>'Турнирная таблица по Алфавиту'!F8</f>
        <v>21.775</v>
      </c>
      <c r="E6" s="364">
        <f>COUNTIFS('Все игры'!A$3:A1000,A6,'Все игры'!F$3:F1000,"=1")</f>
        <v>1</v>
      </c>
      <c r="F6" s="364">
        <f>COUNTIFS('Все игры'!A$3:A1000,A6,'Все игры'!F$3:F1000,"=0,50")</f>
        <v>2</v>
      </c>
      <c r="G6" s="364">
        <f>COUNTIFS('Все игры'!A$3:A1000,A6,'Все игры'!G$3:G1000,"&gt;0")</f>
        <v>7</v>
      </c>
      <c r="H6" s="365">
        <f t="shared" si="2"/>
        <v>0.2058823529</v>
      </c>
      <c r="I6" s="366">
        <f>COUNTIFS('Все игры'!A$3:A1000,A6,'Все игры'!E$3:E1000,"У/Победа")</f>
        <v>1</v>
      </c>
      <c r="J6" s="366">
        <f>COUNTIFS('Все игры'!A$3:A1000,A6,'Все игры'!E$3:E1000,"У/Проигрыш")</f>
        <v>0</v>
      </c>
      <c r="K6" s="367">
        <f t="shared" si="3"/>
        <v>34</v>
      </c>
      <c r="L6" s="361">
        <f t="shared" si="4"/>
        <v>16</v>
      </c>
      <c r="M6" s="361">
        <f>COUNTIFS('Все игры'!A$3:A1000,A6,'Все игры'!C$3:C1000,"&gt;0",'Все игры'!B$3:B1000,"Мафия")</f>
        <v>8</v>
      </c>
      <c r="N6" s="361">
        <f>IFERROR(__xludf.DUMMYFUNCTION("COUNTBLANK(FILTER('Все игры'!A$3:C1000,'Все игры'!A$3:A1000=A6,'Все игры'!C$3:C1000 &lt; 1,'Все игры'!B$3:B1000=""Мафия""))"),3.0)</f>
        <v>3</v>
      </c>
      <c r="O6" s="361">
        <f>COUNTIFS('Все игры'!A$3:A1000,A6,'Все игры'!C$3:C1000,"&gt;0",'Все игры'!B$3:B1000,"Шериф")</f>
        <v>2</v>
      </c>
      <c r="P6" s="368">
        <f>IFERROR(__xludf.DUMMYFUNCTION("COUNTBLANK(FILTER('Все игры'!A$3:C1000,'Все игры'!A$3:A1000=A6,'Все игры'!C$3:C1000 &lt; 1,'Все игры'!B$3:B1000=""Шериф""))"),5.0)</f>
        <v>5</v>
      </c>
      <c r="Q6" s="361">
        <f>COUNTIFS('Все игры'!A$3:A1000,A6,'Все игры'!C$3:C1000,"&gt;0",'Все игры'!B$3:B1000,"Дон")</f>
        <v>4</v>
      </c>
      <c r="R6" s="361">
        <f>IFERROR(__xludf.DUMMYFUNCTION("COUNTBLANK(FILTER('Все игры'!A$3:C1000,'Все игры'!A$3:A1000=A6,'Все игры'!C$3:C1000 &lt; 1,'Все игры'!B$3:B1000=""Дон""))"),1.0)</f>
        <v>1</v>
      </c>
      <c r="S6" s="361">
        <f>COUNTIFS('Все игры'!A$3:A1000,A6,'Все игры'!C$3:C1000,"&gt;0",'Все игры'!B$3:B1000,"Мирный")</f>
        <v>13</v>
      </c>
      <c r="T6" s="369">
        <f>IFERROR(__xludf.DUMMYFUNCTION("COUNTBLANK(FILTER('Все игры'!A$3:C1000,'Все игры'!A$3:A1000=A6,'Все игры'!C$3:C1000 &lt; 1,'Все игры'!B$3:B1000=""Мирный""))"),14.0)</f>
        <v>14</v>
      </c>
      <c r="U6" s="370">
        <f t="shared" ref="U6:U64" si="16">IFERROR((M6+O6+Q6+S6)/B6,0)</f>
        <v>0.54</v>
      </c>
      <c r="V6" s="371">
        <f t="shared" si="5"/>
        <v>0.4411764706</v>
      </c>
      <c r="W6" s="371">
        <f t="shared" si="6"/>
        <v>0.75</v>
      </c>
      <c r="X6" s="371">
        <f t="shared" si="7"/>
        <v>0.7272727273</v>
      </c>
      <c r="Y6" s="371">
        <f t="shared" si="8"/>
        <v>0.2857142857</v>
      </c>
      <c r="Z6" s="371">
        <f t="shared" si="9"/>
        <v>0.8</v>
      </c>
      <c r="AA6" s="372">
        <f t="shared" si="10"/>
        <v>0.4814814815</v>
      </c>
      <c r="AB6" s="362">
        <f>SUMIFS('Все игры'!D$3:D1000,'Все игры'!A$3:A1000,A6)</f>
        <v>144.25</v>
      </c>
      <c r="AC6" s="362">
        <f>SUMIFS('Все игры'!D$3:D1000,'Все игры'!A$3:A1000,A6,'Все игры'!B$3:B1000,"Мафия")</f>
        <v>35.25</v>
      </c>
      <c r="AD6" s="373">
        <f>SUMIFS('Все игры'!D$3:D1000,'Все игры'!A$3:A1000,A6,'Все игры'!B$3:B1000,"Шериф")</f>
        <v>18.5</v>
      </c>
      <c r="AE6" s="362">
        <f>SUMIFS('Все игры'!D$3:D1000,'Все игры'!A$3:A1000,A6,'Все игры'!B$3:B1000,"Дон")</f>
        <v>17.75</v>
      </c>
      <c r="AF6" s="363">
        <f>SUMIFS('Все игры'!D$3:D1000,'Все игры'!A$3:A1000,A6,'Все игры'!B$3:B1000,"Мирный")</f>
        <v>72.75</v>
      </c>
      <c r="AG6" s="362">
        <f t="shared" si="11"/>
        <v>2.885</v>
      </c>
      <c r="AH6" s="362">
        <f t="shared" si="12"/>
        <v>3.204545455</v>
      </c>
      <c r="AI6" s="362">
        <f t="shared" si="13"/>
        <v>2.642857143</v>
      </c>
      <c r="AJ6" s="362">
        <f t="shared" si="14"/>
        <v>3.55</v>
      </c>
      <c r="AK6" s="362">
        <f t="shared" si="15"/>
        <v>2.694444444</v>
      </c>
      <c r="AL6" s="348">
        <f>MAX('Турнирная таблица по Алфавиту'!T8:CA8)</f>
        <v>27</v>
      </c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348"/>
      <c r="AY6" s="348"/>
      <c r="AZ6" s="348"/>
      <c r="BA6" s="348"/>
      <c r="BB6" s="348"/>
      <c r="BC6" s="348"/>
      <c r="BD6" s="348"/>
      <c r="BE6" s="348"/>
      <c r="BF6" s="348"/>
      <c r="BG6" s="348"/>
      <c r="BH6" s="348"/>
      <c r="BI6" s="348"/>
      <c r="BJ6" s="348"/>
      <c r="BK6" s="348"/>
      <c r="BL6" s="348"/>
      <c r="BM6" s="348"/>
    </row>
    <row r="7">
      <c r="A7" s="360" t="s">
        <v>81</v>
      </c>
      <c r="B7" s="347">
        <f t="shared" si="1"/>
        <v>50</v>
      </c>
      <c r="C7" s="348">
        <f>'Турнирная таблица по Алфавиту'!E9</f>
        <v>196.5</v>
      </c>
      <c r="D7" s="349">
        <f>'Турнирная таблица по Алфавиту'!F9</f>
        <v>19.65</v>
      </c>
      <c r="E7" s="350">
        <f>COUNTIFS('Все игры'!A$3:A1000,A7,'Все игры'!F$3:F1000,"=1")</f>
        <v>0</v>
      </c>
      <c r="F7" s="350">
        <f>COUNTIFS('Все игры'!A$3:A1000,A7,'Все игры'!F$3:F1000,"=0,50")</f>
        <v>3</v>
      </c>
      <c r="G7" s="350">
        <f>COUNTIFS('Все игры'!A$3:A1000,A7,'Все игры'!G$3:G1000,"&gt;0")</f>
        <v>5</v>
      </c>
      <c r="H7" s="351">
        <f t="shared" si="2"/>
        <v>0.1515151515</v>
      </c>
      <c r="I7" s="352">
        <f>COUNTIFS('Все игры'!A$3:A1000,A7,'Все игры'!E$3:E1000,"У/Победа")</f>
        <v>1</v>
      </c>
      <c r="J7" s="352">
        <f>COUNTIFS('Все игры'!A$3:A1000,A7,'Все игры'!E$3:E1000,"У/Проигрыш")</f>
        <v>6</v>
      </c>
      <c r="K7" s="353">
        <f t="shared" si="3"/>
        <v>33</v>
      </c>
      <c r="L7" s="347">
        <f t="shared" si="4"/>
        <v>17</v>
      </c>
      <c r="M7" s="347">
        <f>COUNTIFS('Все игры'!A$3:A1000,A7,'Все игры'!C$3:C1000,"&gt;0",'Все игры'!B$3:B1000,"Мафия")</f>
        <v>5</v>
      </c>
      <c r="N7" s="347">
        <f>IFERROR(__xludf.DUMMYFUNCTION("COUNTBLANK(FILTER('Все игры'!A$3:C1000,'Все игры'!A$3:A1000=A7,'Все игры'!C$3:C1000 &lt; 1,'Все игры'!B$3:B1000=""Мафия""))"),6.0)</f>
        <v>6</v>
      </c>
      <c r="O7" s="347">
        <f>COUNTIFS('Все игры'!A$3:A1000,A7,'Все игры'!C$3:C1000,"&gt;0",'Все игры'!B$3:B1000,"Шериф")</f>
        <v>1</v>
      </c>
      <c r="P7" s="354">
        <f>IFERROR(__xludf.DUMMYFUNCTION("COUNTBLANK(FILTER('Все игры'!A$3:C1000,'Все игры'!A$3:A1000=A7,'Все игры'!C$3:C1000 &lt; 1,'Все игры'!B$3:B1000=""Шериф""))"),3.0)</f>
        <v>3</v>
      </c>
      <c r="Q7" s="347">
        <f>COUNTIFS('Все игры'!A$3:A1000,A7,'Все игры'!C$3:C1000,"&gt;0",'Все игры'!B$3:B1000,"Дон")</f>
        <v>3</v>
      </c>
      <c r="R7" s="347">
        <f>IFERROR(__xludf.DUMMYFUNCTION("COUNTBLANK(FILTER('Все игры'!A$3:C1000,'Все игры'!A$3:A1000=A7,'Все игры'!C$3:C1000 &lt; 1,'Все игры'!B$3:B1000=""Дон""))"),3.0)</f>
        <v>3</v>
      </c>
      <c r="S7" s="347">
        <f>COUNTIFS('Все игры'!A$3:A1000,A7,'Все игры'!C$3:C1000,"&gt;0",'Все игры'!B$3:B1000,"Мирный")</f>
        <v>15</v>
      </c>
      <c r="T7" s="355">
        <f>IFERROR(__xludf.DUMMYFUNCTION("COUNTBLANK(FILTER('Все игры'!A$3:C1000,'Все игры'!A$3:A1000=A7,'Все игры'!C$3:C1000 &lt; 1,'Все игры'!B$3:B1000=""Мирный""))"),14.0)</f>
        <v>14</v>
      </c>
      <c r="U7" s="356">
        <f t="shared" si="16"/>
        <v>0.48</v>
      </c>
      <c r="V7" s="357">
        <f t="shared" si="5"/>
        <v>0.4848484848</v>
      </c>
      <c r="W7" s="357">
        <f t="shared" si="6"/>
        <v>0.4705882353</v>
      </c>
      <c r="X7" s="357">
        <f t="shared" si="7"/>
        <v>0.4545454545</v>
      </c>
      <c r="Y7" s="357">
        <f t="shared" si="8"/>
        <v>0.25</v>
      </c>
      <c r="Z7" s="357">
        <f t="shared" si="9"/>
        <v>0.5</v>
      </c>
      <c r="AA7" s="358">
        <f t="shared" si="10"/>
        <v>0.5172413793</v>
      </c>
      <c r="AB7" s="348">
        <f>SUMIFS('Все игры'!D$3:D1000,'Все игры'!A$3:A1000,A7)</f>
        <v>132</v>
      </c>
      <c r="AC7" s="348">
        <f>SUMIFS('Все игры'!D$3:D1000,'Все игры'!A$3:A1000,A7,'Все игры'!B$3:B1000,"Мафия")</f>
        <v>28.5</v>
      </c>
      <c r="AD7" s="359">
        <f>SUMIFS('Все игры'!D$3:D1000,'Все игры'!A$3:A1000,A7,'Все игры'!B$3:B1000,"Шериф")</f>
        <v>12</v>
      </c>
      <c r="AE7" s="348">
        <f>SUMIFS('Все игры'!D$3:D1000,'Все игры'!A$3:A1000,A7,'Все игры'!B$3:B1000,"Дон")</f>
        <v>17</v>
      </c>
      <c r="AF7" s="349">
        <f>SUMIFS('Все игры'!D$3:D1000,'Все игры'!A$3:A1000,A7,'Все игры'!B$3:B1000,"Мирный")</f>
        <v>74.5</v>
      </c>
      <c r="AG7" s="348">
        <f t="shared" si="11"/>
        <v>2.64</v>
      </c>
      <c r="AH7" s="348">
        <f t="shared" si="12"/>
        <v>2.590909091</v>
      </c>
      <c r="AI7" s="348">
        <f t="shared" si="13"/>
        <v>3</v>
      </c>
      <c r="AJ7" s="348">
        <f t="shared" si="14"/>
        <v>2.833333333</v>
      </c>
      <c r="AK7" s="348">
        <f t="shared" si="15"/>
        <v>2.568965517</v>
      </c>
      <c r="AL7" s="348">
        <f>MAX('Турнирная таблица по Алфавиту'!T9:CA9)</f>
        <v>25</v>
      </c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348"/>
      <c r="BD7" s="348"/>
      <c r="BE7" s="348"/>
      <c r="BF7" s="348"/>
      <c r="BG7" s="348"/>
      <c r="BH7" s="348"/>
      <c r="BI7" s="348"/>
      <c r="BJ7" s="348"/>
      <c r="BK7" s="348"/>
      <c r="BL7" s="348"/>
      <c r="BM7" s="348"/>
    </row>
    <row r="8">
      <c r="A8" s="360" t="s">
        <v>82</v>
      </c>
      <c r="B8" s="361">
        <f t="shared" si="1"/>
        <v>50</v>
      </c>
      <c r="C8" s="362">
        <f>'Турнирная таблица по Алфавиту'!E10</f>
        <v>244.5</v>
      </c>
      <c r="D8" s="363">
        <f>'Турнирная таблица по Алфавиту'!F10</f>
        <v>24.45</v>
      </c>
      <c r="E8" s="364">
        <f>COUNTIFS('Все игры'!A$3:A1000,A8,'Все игры'!F$3:F1000,"=1")</f>
        <v>0</v>
      </c>
      <c r="F8" s="364">
        <f>COUNTIFS('Все игры'!A$3:A1000,A8,'Все игры'!F$3:F1000,"=0,50")</f>
        <v>3</v>
      </c>
      <c r="G8" s="364">
        <f>COUNTIFS('Все игры'!A$3:A1000,A8,'Все игры'!G$3:G1000,"&gt;0")</f>
        <v>14</v>
      </c>
      <c r="H8" s="365">
        <f t="shared" si="2"/>
        <v>0.3888888889</v>
      </c>
      <c r="I8" s="366">
        <f>COUNTIFS('Все игры'!A$3:A1000,A8,'Все игры'!E$3:E1000,"У/Победа")</f>
        <v>2</v>
      </c>
      <c r="J8" s="366">
        <f>COUNTIFS('Все игры'!A$3:A1000,A8,'Все игры'!E$3:E1000,"У/Проигрыш")</f>
        <v>1</v>
      </c>
      <c r="K8" s="367">
        <f t="shared" si="3"/>
        <v>36</v>
      </c>
      <c r="L8" s="361">
        <f t="shared" si="4"/>
        <v>14</v>
      </c>
      <c r="M8" s="361">
        <f>COUNTIFS('Все игры'!A$3:A1000,A8,'Все игры'!C$3:C1000,"&gt;0",'Все игры'!B$3:B1000,"Мафия")</f>
        <v>8</v>
      </c>
      <c r="N8" s="361">
        <f>IFERROR(__xludf.DUMMYFUNCTION("COUNTBLANK(FILTER('Все игры'!A$3:C1000,'Все игры'!A$3:A1000=A8,'Все игры'!C$3:C1000 &lt; 1,'Все игры'!B$3:B1000=""Мафия""))"),1.0)</f>
        <v>1</v>
      </c>
      <c r="O8" s="361">
        <f>COUNTIFS('Все игры'!A$3:A1000,A8,'Все игры'!C$3:C1000,"&gt;0",'Все игры'!B$3:B1000,"Шериф")</f>
        <v>5</v>
      </c>
      <c r="P8" s="368">
        <f>IFERROR(__xludf.DUMMYFUNCTION("COUNTBLANK(FILTER('Все игры'!A$3:C1000,'Все игры'!A$3:A1000=A8,'Все игры'!C$3:C1000 &lt; 1,'Все игры'!B$3:B1000=""Шериф""))"),1.0)</f>
        <v>1</v>
      </c>
      <c r="Q8" s="361">
        <f>COUNTIFS('Все игры'!A$3:A1000,A8,'Все игры'!C$3:C1000,"&gt;0",'Все игры'!B$3:B1000,"Дон")</f>
        <v>2</v>
      </c>
      <c r="R8" s="361">
        <f>IFERROR(__xludf.DUMMYFUNCTION("COUNTBLANK(FILTER('Все игры'!A$3:C1000,'Все игры'!A$3:A1000=A8,'Все игры'!C$3:C1000 &lt; 1,'Все игры'!B$3:B1000=""Дон""))"),3.0)</f>
        <v>3</v>
      </c>
      <c r="S8" s="361">
        <f>COUNTIFS('Все игры'!A$3:A1000,A8,'Все игры'!C$3:C1000,"&gt;0",'Все игры'!B$3:B1000,"Мирный")</f>
        <v>17</v>
      </c>
      <c r="T8" s="369">
        <f>IFERROR(__xludf.DUMMYFUNCTION("COUNTBLANK(FILTER('Все игры'!A$3:C1000,'Все игры'!A$3:A1000=A8,'Все игры'!C$3:C1000 &lt; 1,'Все игры'!B$3:B1000=""Мирный""))"),13.0)</f>
        <v>13</v>
      </c>
      <c r="U8" s="370">
        <f t="shared" si="16"/>
        <v>0.64</v>
      </c>
      <c r="V8" s="371">
        <f t="shared" si="5"/>
        <v>0.6111111111</v>
      </c>
      <c r="W8" s="371">
        <f t="shared" si="6"/>
        <v>0.7142857143</v>
      </c>
      <c r="X8" s="371">
        <f t="shared" si="7"/>
        <v>0.8888888889</v>
      </c>
      <c r="Y8" s="371">
        <f t="shared" si="8"/>
        <v>0.8333333333</v>
      </c>
      <c r="Z8" s="371">
        <f t="shared" si="9"/>
        <v>0.4</v>
      </c>
      <c r="AA8" s="372">
        <f t="shared" si="10"/>
        <v>0.5666666667</v>
      </c>
      <c r="AB8" s="362">
        <f>SUMIFS('Все игры'!D$3:D1000,'Все игры'!A$3:A1000,A8)</f>
        <v>153.5</v>
      </c>
      <c r="AC8" s="362">
        <f>SUMIFS('Все игры'!D$3:D1000,'Все игры'!A$3:A1000,A8,'Все игры'!B$3:B1000,"Мафия")</f>
        <v>32.25</v>
      </c>
      <c r="AD8" s="373">
        <f>SUMIFS('Все игры'!D$3:D1000,'Все игры'!A$3:A1000,A8,'Все игры'!B$3:B1000,"Шериф")</f>
        <v>22</v>
      </c>
      <c r="AE8" s="362">
        <f>SUMIFS('Все игры'!D$3:D1000,'Все игры'!A$3:A1000,A8,'Все игры'!B$3:B1000,"Дон")</f>
        <v>16.5</v>
      </c>
      <c r="AF8" s="363">
        <f>SUMIFS('Все игры'!D$3:D1000,'Все игры'!A$3:A1000,A8,'Все игры'!B$3:B1000,"Мирный")</f>
        <v>82.75</v>
      </c>
      <c r="AG8" s="362">
        <f t="shared" si="11"/>
        <v>3.07</v>
      </c>
      <c r="AH8" s="362">
        <f t="shared" si="12"/>
        <v>3.583333333</v>
      </c>
      <c r="AI8" s="362">
        <f t="shared" si="13"/>
        <v>3.666666667</v>
      </c>
      <c r="AJ8" s="362">
        <f t="shared" si="14"/>
        <v>3.3</v>
      </c>
      <c r="AK8" s="362">
        <f t="shared" si="15"/>
        <v>2.758333333</v>
      </c>
      <c r="AL8" s="348">
        <f>MAX('Турнирная таблица по Алфавиту'!T10:CA10)</f>
        <v>29.25</v>
      </c>
      <c r="AM8" s="348"/>
      <c r="AN8" s="348"/>
      <c r="AO8" s="348"/>
      <c r="AP8" s="348"/>
      <c r="AQ8" s="348"/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348"/>
      <c r="BD8" s="348"/>
      <c r="BE8" s="348"/>
      <c r="BF8" s="348"/>
      <c r="BG8" s="348"/>
      <c r="BH8" s="348"/>
      <c r="BI8" s="348"/>
      <c r="BJ8" s="348"/>
      <c r="BK8" s="348"/>
      <c r="BL8" s="348"/>
      <c r="BM8" s="348"/>
    </row>
    <row r="9">
      <c r="A9" s="360" t="s">
        <v>83</v>
      </c>
      <c r="B9" s="347">
        <f t="shared" si="1"/>
        <v>50</v>
      </c>
      <c r="C9" s="348">
        <f>'Турнирная таблица по Алфавиту'!E11</f>
        <v>206</v>
      </c>
      <c r="D9" s="349">
        <f>'Турнирная таблица по Алфавиту'!F11</f>
        <v>20.6</v>
      </c>
      <c r="E9" s="350">
        <f>COUNTIFS('Все игры'!A$3:A1000,A9,'Все игры'!F$3:F1000,"=1")</f>
        <v>0</v>
      </c>
      <c r="F9" s="350">
        <f>COUNTIFS('Все игры'!A$3:A1000,A9,'Все игры'!F$3:F1000,"=0,50")</f>
        <v>1</v>
      </c>
      <c r="G9" s="350">
        <f>COUNTIFS('Все игры'!A$3:A1000,A9,'Все игры'!G$3:G1000,"&gt;0")</f>
        <v>3</v>
      </c>
      <c r="H9" s="351">
        <f t="shared" si="2"/>
        <v>0.08333333333</v>
      </c>
      <c r="I9" s="352">
        <f>COUNTIFS('Все игры'!A$3:A1000,A9,'Все игры'!E$3:E1000,"У/Победа")</f>
        <v>3</v>
      </c>
      <c r="J9" s="352">
        <f>COUNTIFS('Все игры'!A$3:A1000,A9,'Все игры'!E$3:E1000,"У/Проигрыш")</f>
        <v>4</v>
      </c>
      <c r="K9" s="353">
        <f t="shared" si="3"/>
        <v>36</v>
      </c>
      <c r="L9" s="347">
        <f t="shared" si="4"/>
        <v>14</v>
      </c>
      <c r="M9" s="347">
        <f>COUNTIFS('Все игры'!A$3:A1000,A9,'Все игры'!C$3:C1000,"&gt;0",'Все игры'!B$3:B1000,"Мафия")</f>
        <v>5</v>
      </c>
      <c r="N9" s="347">
        <f>IFERROR(__xludf.DUMMYFUNCTION("COUNTBLANK(FILTER('Все игры'!A$3:C1000,'Все игры'!A$3:A1000=A9,'Все игры'!C$3:C1000 &lt; 1,'Все игры'!B$3:B1000=""Мафия""))"),3.0)</f>
        <v>3</v>
      </c>
      <c r="O9" s="347">
        <f>COUNTIFS('Все игры'!A$3:A1000,A9,'Все игры'!C$3:C1000,"&gt;0",'Все игры'!B$3:B1000,"Шериф")</f>
        <v>1</v>
      </c>
      <c r="P9" s="354">
        <f>IFERROR(__xludf.DUMMYFUNCTION("COUNTBLANK(FILTER('Все игры'!A$3:C1000,'Все игры'!A$3:A1000=A9,'Все игры'!C$3:C1000 &lt; 1,'Все игры'!B$3:B1000=""Шериф""))"),2.0)</f>
        <v>2</v>
      </c>
      <c r="Q9" s="347">
        <f>COUNTIFS('Все игры'!A$3:A1000,A9,'Все игры'!C$3:C1000,"&gt;0",'Все игры'!B$3:B1000,"Дон")</f>
        <v>3</v>
      </c>
      <c r="R9" s="347">
        <f>IFERROR(__xludf.DUMMYFUNCTION("COUNTBLANK(FILTER('Все игры'!A$3:C1000,'Все игры'!A$3:A1000=A9,'Все игры'!C$3:C1000 &lt; 1,'Все игры'!B$3:B1000=""Дон""))"),3.0)</f>
        <v>3</v>
      </c>
      <c r="S9" s="347">
        <f>COUNTIFS('Все игры'!A$3:A1000,A9,'Все игры'!C$3:C1000,"&gt;0",'Все игры'!B$3:B1000,"Мирный")</f>
        <v>17</v>
      </c>
      <c r="T9" s="355">
        <f>IFERROR(__xludf.DUMMYFUNCTION("COUNTBLANK(FILTER('Все игры'!A$3:C1000,'Все игры'!A$3:A1000=A9,'Все игры'!C$3:C1000 &lt; 1,'Все игры'!B$3:B1000=""Мирный""))"),16.0)</f>
        <v>16</v>
      </c>
      <c r="U9" s="356">
        <f t="shared" si="16"/>
        <v>0.52</v>
      </c>
      <c r="V9" s="357">
        <f t="shared" si="5"/>
        <v>0.5</v>
      </c>
      <c r="W9" s="357">
        <f t="shared" si="6"/>
        <v>0.5714285714</v>
      </c>
      <c r="X9" s="357">
        <f t="shared" si="7"/>
        <v>0.625</v>
      </c>
      <c r="Y9" s="357">
        <f t="shared" si="8"/>
        <v>0.3333333333</v>
      </c>
      <c r="Z9" s="357">
        <f t="shared" si="9"/>
        <v>0.5</v>
      </c>
      <c r="AA9" s="358">
        <f t="shared" si="10"/>
        <v>0.5151515152</v>
      </c>
      <c r="AB9" s="348">
        <f>SUMIFS('Все игры'!D$3:D1000,'Все игры'!A$3:A1000,A9)</f>
        <v>139</v>
      </c>
      <c r="AC9" s="348">
        <f>SUMIFS('Все игры'!D$3:D1000,'Все игры'!A$3:A1000,A9,'Все игры'!B$3:B1000,"Мафия")</f>
        <v>22.5</v>
      </c>
      <c r="AD9" s="359">
        <f>SUMIFS('Все игры'!D$3:D1000,'Все игры'!A$3:A1000,A9,'Все игры'!B$3:B1000,"Шериф")</f>
        <v>7.75</v>
      </c>
      <c r="AE9" s="348">
        <f>SUMIFS('Все игры'!D$3:D1000,'Все игры'!A$3:A1000,A9,'Все игры'!B$3:B1000,"Дон")</f>
        <v>19.5</v>
      </c>
      <c r="AF9" s="349">
        <f>SUMIFS('Все игры'!D$3:D1000,'Все игры'!A$3:A1000,A9,'Все игры'!B$3:B1000,"Мирный")</f>
        <v>89.25</v>
      </c>
      <c r="AG9" s="348">
        <f t="shared" si="11"/>
        <v>2.78</v>
      </c>
      <c r="AH9" s="348">
        <f t="shared" si="12"/>
        <v>2.8125</v>
      </c>
      <c r="AI9" s="348">
        <f t="shared" si="13"/>
        <v>2.583333333</v>
      </c>
      <c r="AJ9" s="348">
        <f t="shared" si="14"/>
        <v>3.25</v>
      </c>
      <c r="AK9" s="348">
        <f t="shared" si="15"/>
        <v>2.704545455</v>
      </c>
      <c r="AL9" s="348">
        <f>MAX('Турнирная таблица по Алфавиту'!T11:CA11)</f>
        <v>26.25</v>
      </c>
      <c r="AM9" s="348"/>
      <c r="AN9" s="348"/>
      <c r="AO9" s="348"/>
      <c r="AP9" s="348"/>
      <c r="AQ9" s="348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  <c r="BL9" s="348"/>
      <c r="BM9" s="348"/>
    </row>
    <row r="10">
      <c r="A10" s="360" t="s">
        <v>84</v>
      </c>
      <c r="B10" s="361">
        <f t="shared" si="1"/>
        <v>50</v>
      </c>
      <c r="C10" s="362">
        <f>'Турнирная таблица по Алфавиту'!E12</f>
        <v>194.75</v>
      </c>
      <c r="D10" s="363">
        <f>'Турнирная таблица по Алфавиту'!F12</f>
        <v>19.475</v>
      </c>
      <c r="E10" s="364">
        <f>COUNTIFS('Все игры'!A$3:A1000,A10,'Все игры'!F$3:F1000,"=1")</f>
        <v>0</v>
      </c>
      <c r="F10" s="364">
        <f>COUNTIFS('Все игры'!A$3:A1000,A10,'Все игры'!F$3:F1000,"=0,50")</f>
        <v>1</v>
      </c>
      <c r="G10" s="364">
        <f>COUNTIFS('Все игры'!A$3:A1000,A10,'Все игры'!G$3:G1000,"&gt;0")</f>
        <v>2</v>
      </c>
      <c r="H10" s="365">
        <f t="shared" si="2"/>
        <v>0.06666666667</v>
      </c>
      <c r="I10" s="366">
        <f>COUNTIFS('Все игры'!A$3:A1000,A10,'Все игры'!E$3:E1000,"У/Победа")</f>
        <v>5</v>
      </c>
      <c r="J10" s="366">
        <f>COUNTIFS('Все игры'!A$3:A1000,A10,'Все игры'!E$3:E1000,"У/Проигрыш")</f>
        <v>3</v>
      </c>
      <c r="K10" s="367">
        <f t="shared" si="3"/>
        <v>30</v>
      </c>
      <c r="L10" s="361">
        <f t="shared" si="4"/>
        <v>20</v>
      </c>
      <c r="M10" s="361">
        <f>COUNTIFS('Все игры'!A$3:A1000,A10,'Все игры'!C$3:C1000,"&gt;0",'Все игры'!B$3:B1000,"Мафия")</f>
        <v>7</v>
      </c>
      <c r="N10" s="361">
        <f>IFERROR(__xludf.DUMMYFUNCTION("COUNTBLANK(FILTER('Все игры'!A$3:C1000,'Все игры'!A$3:A1000=A10,'Все игры'!C$3:C1000 &lt; 1,'Все игры'!B$3:B1000=""Мафия""))"),6.0)</f>
        <v>6</v>
      </c>
      <c r="O10" s="361">
        <f>COUNTIFS('Все игры'!A$3:A1000,A10,'Все игры'!C$3:C1000,"&gt;0",'Все игры'!B$3:B1000,"Шериф")</f>
        <v>1</v>
      </c>
      <c r="P10" s="368">
        <f>IFERROR(__xludf.DUMMYFUNCTION("COUNTBLANK(FILTER('Все игры'!A$3:C1000,'Все игры'!A$3:A1000=A10,'Все игры'!C$3:C1000 &lt; 1,'Все игры'!B$3:B1000=""Шериф""))"),1.0)</f>
        <v>1</v>
      </c>
      <c r="Q10" s="361">
        <f>COUNTIFS('Все игры'!A$3:A1000,A10,'Все игры'!C$3:C1000,"&gt;0",'Все игры'!B$3:B1000,"Дон")</f>
        <v>4</v>
      </c>
      <c r="R10" s="361">
        <f>IFERROR(__xludf.DUMMYFUNCTION("COUNTBLANK(FILTER('Все игры'!A$3:C1000,'Все игры'!A$3:A1000=A10,'Все игры'!C$3:C1000 &lt; 1,'Все игры'!B$3:B1000=""Дон""))"),3.0)</f>
        <v>3</v>
      </c>
      <c r="S10" s="361">
        <f>COUNTIFS('Все игры'!A$3:A1000,A10,'Все игры'!C$3:C1000,"&gt;0",'Все игры'!B$3:B1000,"Мирный")</f>
        <v>11</v>
      </c>
      <c r="T10" s="369">
        <f>IFERROR(__xludf.DUMMYFUNCTION("COUNTBLANK(FILTER('Все игры'!A$3:C1000,'Все игры'!A$3:A1000=A10,'Все игры'!C$3:C1000 &lt; 1,'Все игры'!B$3:B1000=""Мирный""))"),17.0)</f>
        <v>17</v>
      </c>
      <c r="U10" s="370">
        <f t="shared" si="16"/>
        <v>0.46</v>
      </c>
      <c r="V10" s="371">
        <f t="shared" si="5"/>
        <v>0.4</v>
      </c>
      <c r="W10" s="371">
        <f t="shared" si="6"/>
        <v>0.55</v>
      </c>
      <c r="X10" s="371">
        <f t="shared" si="7"/>
        <v>0.5384615385</v>
      </c>
      <c r="Y10" s="371">
        <f t="shared" si="8"/>
        <v>0.5</v>
      </c>
      <c r="Z10" s="371">
        <f t="shared" si="9"/>
        <v>0.5714285714</v>
      </c>
      <c r="AA10" s="372">
        <f t="shared" si="10"/>
        <v>0.3928571429</v>
      </c>
      <c r="AB10" s="362">
        <f>SUMIFS('Все игры'!D$3:D1000,'Все игры'!A$3:A1000,A10)</f>
        <v>135.75</v>
      </c>
      <c r="AC10" s="362">
        <f>SUMIFS('Все игры'!D$3:D1000,'Все игры'!A$3:A1000,A10,'Все игры'!B$3:B1000,"Мафия")</f>
        <v>39</v>
      </c>
      <c r="AD10" s="373">
        <f>SUMIFS('Все игры'!D$3:D1000,'Все игры'!A$3:A1000,A10,'Все игры'!B$3:B1000,"Шериф")</f>
        <v>4.25</v>
      </c>
      <c r="AE10" s="362">
        <f>SUMIFS('Все игры'!D$3:D1000,'Все игры'!A$3:A1000,A10,'Все игры'!B$3:B1000,"Дон")</f>
        <v>21</v>
      </c>
      <c r="AF10" s="363">
        <f>SUMIFS('Все игры'!D$3:D1000,'Все игры'!A$3:A1000,A10,'Все игры'!B$3:B1000,"Мирный")</f>
        <v>71.5</v>
      </c>
      <c r="AG10" s="362">
        <f t="shared" si="11"/>
        <v>2.715</v>
      </c>
      <c r="AH10" s="362">
        <f t="shared" si="12"/>
        <v>3</v>
      </c>
      <c r="AI10" s="362">
        <f t="shared" si="13"/>
        <v>2.125</v>
      </c>
      <c r="AJ10" s="362">
        <f t="shared" si="14"/>
        <v>3</v>
      </c>
      <c r="AK10" s="362">
        <f t="shared" si="15"/>
        <v>2.553571429</v>
      </c>
      <c r="AL10" s="348">
        <f>MAX('Турнирная таблица по Алфавиту'!T12:CA12)</f>
        <v>27</v>
      </c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8"/>
      <c r="AZ10" s="348"/>
      <c r="BA10" s="348"/>
      <c r="BB10" s="348"/>
      <c r="BC10" s="348"/>
      <c r="BD10" s="348"/>
      <c r="BE10" s="348"/>
      <c r="BF10" s="348"/>
      <c r="BG10" s="348"/>
      <c r="BH10" s="348"/>
      <c r="BI10" s="348"/>
      <c r="BJ10" s="348"/>
      <c r="BK10" s="348"/>
      <c r="BL10" s="348"/>
      <c r="BM10" s="348"/>
    </row>
    <row r="11">
      <c r="A11" s="360" t="s">
        <v>85</v>
      </c>
      <c r="B11" s="361">
        <f t="shared" si="1"/>
        <v>50</v>
      </c>
      <c r="C11" s="362">
        <f>'Турнирная таблица по Алфавиту'!E13</f>
        <v>162.5</v>
      </c>
      <c r="D11" s="363">
        <f>'Турнирная таблица по Алфавиту'!F13</f>
        <v>16.25</v>
      </c>
      <c r="E11" s="364">
        <f>COUNTIFS('Все игры'!A$3:A1000,A11,'Все игры'!F$3:F1000,"=1")</f>
        <v>0</v>
      </c>
      <c r="F11" s="364">
        <f>COUNTIFS('Все игры'!A$3:A1000,A11,'Все игры'!F$3:F1000,"=0,50")</f>
        <v>2</v>
      </c>
      <c r="G11" s="364">
        <f>COUNTIFS('Все игры'!A$3:A1000,A11,'Все игры'!G$3:G1000,"&gt;0")</f>
        <v>3</v>
      </c>
      <c r="H11" s="365">
        <f t="shared" si="2"/>
        <v>0.08571428571</v>
      </c>
      <c r="I11" s="366">
        <f>COUNTIFS('Все игры'!A$3:A1000,A11,'Все игры'!E$3:E1000,"У/Победа")</f>
        <v>0</v>
      </c>
      <c r="J11" s="366">
        <f>COUNTIFS('Все игры'!A$3:A1000,A11,'Все игры'!E$3:E1000,"У/Проигрыш")</f>
        <v>2</v>
      </c>
      <c r="K11" s="367">
        <f t="shared" si="3"/>
        <v>35</v>
      </c>
      <c r="L11" s="361">
        <f t="shared" si="4"/>
        <v>15</v>
      </c>
      <c r="M11" s="361">
        <f>COUNTIFS('Все игры'!A$3:A1000,A11,'Все игры'!C$3:C1000,"&gt;0",'Все игры'!B$3:B1000,"Мафия")</f>
        <v>2</v>
      </c>
      <c r="N11" s="361">
        <f>IFERROR(__xludf.DUMMYFUNCTION("COUNTBLANK(FILTER('Все игры'!A$3:C1000,'Все игры'!A$3:A1000=A11,'Все игры'!C$3:C1000 &lt; 1,'Все игры'!B$3:B1000=""Мафия""))"),9.0)</f>
        <v>9</v>
      </c>
      <c r="O11" s="361">
        <f>COUNTIFS('Все игры'!A$3:A1000,A11,'Все игры'!C$3:C1000,"&gt;0",'Все игры'!B$3:B1000,"Шериф")</f>
        <v>2</v>
      </c>
      <c r="P11" s="368">
        <f>IFERROR(__xludf.DUMMYFUNCTION("COUNTBLANK(FILTER('Все игры'!A$3:C1000,'Все игры'!A$3:A1000=A11,'Все игры'!C$3:C1000 &lt; 1,'Все игры'!B$3:B1000=""Шериф""))"),4.0)</f>
        <v>4</v>
      </c>
      <c r="Q11" s="361">
        <f>COUNTIFS('Все игры'!A$3:A1000,A11,'Все игры'!C$3:C1000,"&gt;0",'Все игры'!B$3:B1000,"Дон")</f>
        <v>2</v>
      </c>
      <c r="R11" s="361">
        <f>IFERROR(__xludf.DUMMYFUNCTION("COUNTBLANK(FILTER('Все игры'!A$3:C1000,'Все игры'!A$3:A1000=A11,'Все игры'!C$3:C1000 &lt; 1,'Все игры'!B$3:B1000=""Дон""))"),2.0)</f>
        <v>2</v>
      </c>
      <c r="S11" s="361">
        <f>COUNTIFS('Все игры'!A$3:A1000,A11,'Все игры'!C$3:C1000,"&gt;0",'Все игры'!B$3:B1000,"Мирный")</f>
        <v>9</v>
      </c>
      <c r="T11" s="369">
        <f>IFERROR(__xludf.DUMMYFUNCTION("COUNTBLANK(FILTER('Все игры'!A$3:C1000,'Все игры'!A$3:A1000=A11,'Все игры'!C$3:C1000 &lt; 1,'Все игры'!B$3:B1000=""Мирный""))"),20.0)</f>
        <v>20</v>
      </c>
      <c r="U11" s="370">
        <f t="shared" si="16"/>
        <v>0.3</v>
      </c>
      <c r="V11" s="371">
        <f t="shared" si="5"/>
        <v>0.3142857143</v>
      </c>
      <c r="W11" s="371">
        <f t="shared" si="6"/>
        <v>0.2666666667</v>
      </c>
      <c r="X11" s="371">
        <f t="shared" si="7"/>
        <v>0.1818181818</v>
      </c>
      <c r="Y11" s="371">
        <f t="shared" si="8"/>
        <v>0.3333333333</v>
      </c>
      <c r="Z11" s="371">
        <f t="shared" si="9"/>
        <v>0.5</v>
      </c>
      <c r="AA11" s="372">
        <f t="shared" si="10"/>
        <v>0.3103448276</v>
      </c>
      <c r="AB11" s="362">
        <f>SUMIFS('Все игры'!D$3:D1000,'Все игры'!A$3:A1000,A11)</f>
        <v>122.5</v>
      </c>
      <c r="AC11" s="362">
        <f>SUMIFS('Все игры'!D$3:D1000,'Все игры'!A$3:A1000,A11,'Все игры'!B$3:B1000,"Мафия")</f>
        <v>28.75</v>
      </c>
      <c r="AD11" s="373">
        <f>SUMIFS('Все игры'!D$3:D1000,'Все игры'!A$3:A1000,A11,'Все игры'!B$3:B1000,"Шериф")</f>
        <v>16</v>
      </c>
      <c r="AE11" s="362">
        <f>SUMIFS('Все игры'!D$3:D1000,'Все игры'!A$3:A1000,A11,'Все игры'!B$3:B1000,"Дон")</f>
        <v>9</v>
      </c>
      <c r="AF11" s="363">
        <f>SUMIFS('Все игры'!D$3:D1000,'Все игры'!A$3:A1000,A11,'Все игры'!B$3:B1000,"Мирный")</f>
        <v>68.75</v>
      </c>
      <c r="AG11" s="362">
        <f t="shared" si="11"/>
        <v>2.45</v>
      </c>
      <c r="AH11" s="362">
        <f t="shared" si="12"/>
        <v>2.613636364</v>
      </c>
      <c r="AI11" s="362">
        <f t="shared" si="13"/>
        <v>2.666666667</v>
      </c>
      <c r="AJ11" s="362">
        <f t="shared" si="14"/>
        <v>2.25</v>
      </c>
      <c r="AK11" s="362">
        <f t="shared" si="15"/>
        <v>2.370689655</v>
      </c>
      <c r="AL11" s="348">
        <f>MAX('Турнирная таблица по Алфавиту'!T13:CA13)</f>
        <v>23.25</v>
      </c>
      <c r="AM11" s="348"/>
      <c r="AN11" s="348"/>
      <c r="AO11" s="348"/>
      <c r="AP11" s="348"/>
      <c r="AQ11" s="348"/>
      <c r="AR11" s="348"/>
      <c r="AS11" s="348"/>
      <c r="AT11" s="348"/>
      <c r="AU11" s="348"/>
      <c r="AV11" s="348"/>
      <c r="AW11" s="348"/>
      <c r="AX11" s="348"/>
      <c r="AY11" s="348"/>
      <c r="AZ11" s="348"/>
      <c r="BA11" s="348"/>
      <c r="BB11" s="348"/>
      <c r="BC11" s="348"/>
      <c r="BD11" s="348"/>
      <c r="BE11" s="348"/>
      <c r="BF11" s="348"/>
      <c r="BG11" s="348"/>
      <c r="BH11" s="348"/>
      <c r="BI11" s="348"/>
      <c r="BJ11" s="348"/>
      <c r="BK11" s="348"/>
      <c r="BL11" s="348"/>
      <c r="BM11" s="348"/>
    </row>
    <row r="12">
      <c r="A12" s="360" t="s">
        <v>86</v>
      </c>
      <c r="B12" s="347">
        <f t="shared" si="1"/>
        <v>50</v>
      </c>
      <c r="C12" s="348">
        <f>'Турнирная таблица по Алфавиту'!E14</f>
        <v>189.25</v>
      </c>
      <c r="D12" s="349">
        <f>'Турнирная таблица по Алфавиту'!F14</f>
        <v>18.925</v>
      </c>
      <c r="E12" s="350">
        <f>COUNTIFS('Все игры'!A$3:A1000,A12,'Все игры'!F$3:F1000,"=1")</f>
        <v>0</v>
      </c>
      <c r="F12" s="350">
        <f>COUNTIFS('Все игры'!A$3:A1000,A12,'Все игры'!F$3:F1000,"=0,50")</f>
        <v>0</v>
      </c>
      <c r="G12" s="350">
        <f>COUNTIFS('Все игры'!A$3:A1000,A12,'Все игры'!G$3:G1000,"&gt;0")</f>
        <v>3</v>
      </c>
      <c r="H12" s="351">
        <f t="shared" si="2"/>
        <v>0.07894736842</v>
      </c>
      <c r="I12" s="352">
        <f>COUNTIFS('Все игры'!A$3:A1000,A12,'Все игры'!E$3:E1000,"У/Победа")</f>
        <v>7</v>
      </c>
      <c r="J12" s="352">
        <f>COUNTIFS('Все игры'!A$3:A1000,A12,'Все игры'!E$3:E1000,"У/Проигрыш")</f>
        <v>3</v>
      </c>
      <c r="K12" s="353">
        <f t="shared" si="3"/>
        <v>38</v>
      </c>
      <c r="L12" s="347">
        <f t="shared" si="4"/>
        <v>12</v>
      </c>
      <c r="M12" s="347">
        <f>COUNTIFS('Все игры'!A$3:A1000,A12,'Все игры'!C$3:C1000,"&gt;0",'Все игры'!B$3:B1000,"Мафия")</f>
        <v>2</v>
      </c>
      <c r="N12" s="347">
        <f>IFERROR(__xludf.DUMMYFUNCTION("COUNTBLANK(FILTER('Все игры'!A$3:C1000,'Все игры'!A$3:A1000=A12,'Все игры'!C$3:C1000 &lt; 1,'Все игры'!B$3:B1000=""Мафия""))"),3.0)</f>
        <v>3</v>
      </c>
      <c r="O12" s="347">
        <f>COUNTIFS('Все игры'!A$3:A1000,A12,'Все игры'!C$3:C1000,"&gt;0",'Все игры'!B$3:B1000,"Шериф")</f>
        <v>3</v>
      </c>
      <c r="P12" s="354">
        <f>IFERROR(__xludf.DUMMYFUNCTION("COUNTBLANK(FILTER('Все игры'!A$3:C1000,'Все игры'!A$3:A1000=A12,'Все игры'!C$3:C1000 &lt; 1,'Все игры'!B$3:B1000=""Шериф""))"),4.0)</f>
        <v>4</v>
      </c>
      <c r="Q12" s="347">
        <f>COUNTIFS('Все игры'!A$3:A1000,A12,'Все игры'!C$3:C1000,"&gt;0",'Все игры'!B$3:B1000,"Дон")</f>
        <v>5</v>
      </c>
      <c r="R12" s="347">
        <f>IFERROR(__xludf.DUMMYFUNCTION("COUNTBLANK(FILTER('Все игры'!A$3:C1000,'Все игры'!A$3:A1000=A12,'Все игры'!C$3:C1000 &lt; 1,'Все игры'!B$3:B1000=""Дон""))"),2.0)</f>
        <v>2</v>
      </c>
      <c r="S12" s="347">
        <f>COUNTIFS('Все игры'!A$3:A1000,A12,'Все игры'!C$3:C1000,"&gt;0",'Все игры'!B$3:B1000,"Мирный")</f>
        <v>15</v>
      </c>
      <c r="T12" s="355">
        <f>IFERROR(__xludf.DUMMYFUNCTION("COUNTBLANK(FILTER('Все игры'!A$3:C1000,'Все игры'!A$3:A1000=A12,'Все игры'!C$3:C1000 &lt; 1,'Все игры'!B$3:B1000=""Мирный""))"),16.0)</f>
        <v>16</v>
      </c>
      <c r="U12" s="356">
        <f t="shared" si="16"/>
        <v>0.5</v>
      </c>
      <c r="V12" s="357">
        <f t="shared" si="5"/>
        <v>0.4736842105</v>
      </c>
      <c r="W12" s="357">
        <f t="shared" si="6"/>
        <v>0.5833333333</v>
      </c>
      <c r="X12" s="357">
        <f t="shared" si="7"/>
        <v>0.4</v>
      </c>
      <c r="Y12" s="357">
        <f t="shared" si="8"/>
        <v>0.4285714286</v>
      </c>
      <c r="Z12" s="357">
        <f t="shared" si="9"/>
        <v>0.7142857143</v>
      </c>
      <c r="AA12" s="358">
        <f t="shared" si="10"/>
        <v>0.4838709677</v>
      </c>
      <c r="AB12" s="348">
        <f>SUMIFS('Все игры'!D$3:D1000,'Все игры'!A$3:A1000,A12)</f>
        <v>125.25</v>
      </c>
      <c r="AC12" s="348">
        <f>SUMIFS('Все игры'!D$3:D1000,'Все игры'!A$3:A1000,A12,'Все игры'!B$3:B1000,"Мафия")</f>
        <v>12.5</v>
      </c>
      <c r="AD12" s="359">
        <f>SUMIFS('Все игры'!D$3:D1000,'Все игры'!A$3:A1000,A12,'Все игры'!B$3:B1000,"Шериф")</f>
        <v>16.25</v>
      </c>
      <c r="AE12" s="348">
        <f>SUMIFS('Все игры'!D$3:D1000,'Все игры'!A$3:A1000,A12,'Все игры'!B$3:B1000,"Дон")</f>
        <v>21.5</v>
      </c>
      <c r="AF12" s="349">
        <f>SUMIFS('Все игры'!D$3:D1000,'Все игры'!A$3:A1000,A12,'Все игры'!B$3:B1000,"Мирный")</f>
        <v>75</v>
      </c>
      <c r="AG12" s="348">
        <f t="shared" si="11"/>
        <v>2.505</v>
      </c>
      <c r="AH12" s="348">
        <f t="shared" si="12"/>
        <v>2.5</v>
      </c>
      <c r="AI12" s="348">
        <f t="shared" si="13"/>
        <v>2.321428571</v>
      </c>
      <c r="AJ12" s="348">
        <f t="shared" si="14"/>
        <v>3.071428571</v>
      </c>
      <c r="AK12" s="348">
        <f t="shared" si="15"/>
        <v>2.419354839</v>
      </c>
      <c r="AL12" s="348">
        <f>MAX('Турнирная таблица по Алфавиту'!T14:CA14)</f>
        <v>24.25</v>
      </c>
      <c r="AM12" s="348"/>
      <c r="AN12" s="348"/>
      <c r="AO12" s="348"/>
      <c r="AP12" s="348"/>
      <c r="AQ12" s="348"/>
      <c r="AR12" s="348"/>
      <c r="AS12" s="348"/>
      <c r="AT12" s="348"/>
      <c r="AU12" s="348"/>
      <c r="AV12" s="348"/>
      <c r="AW12" s="348"/>
      <c r="AX12" s="348"/>
      <c r="AY12" s="348"/>
      <c r="AZ12" s="348"/>
      <c r="BA12" s="348"/>
      <c r="BB12" s="348"/>
      <c r="BC12" s="348"/>
      <c r="BD12" s="348"/>
      <c r="BE12" s="348"/>
      <c r="BF12" s="348"/>
      <c r="BG12" s="348"/>
      <c r="BH12" s="348"/>
      <c r="BI12" s="348"/>
      <c r="BJ12" s="348"/>
      <c r="BK12" s="348"/>
      <c r="BL12" s="348"/>
      <c r="BM12" s="348"/>
    </row>
    <row r="13">
      <c r="A13" s="360" t="s">
        <v>87</v>
      </c>
      <c r="B13" s="361">
        <f t="shared" si="1"/>
        <v>50</v>
      </c>
      <c r="C13" s="362">
        <f>'Турнирная таблица по Алфавиту'!E15</f>
        <v>225.25</v>
      </c>
      <c r="D13" s="363">
        <f>'Турнирная таблица по Алфавиту'!F15</f>
        <v>22.525</v>
      </c>
      <c r="E13" s="364">
        <f>COUNTIFS('Все игры'!A$3:A1000,A13,'Все игры'!F$3:F1000,"=1")</f>
        <v>0</v>
      </c>
      <c r="F13" s="364">
        <f>COUNTIFS('Все игры'!A$3:A1000,A13,'Все игры'!F$3:F1000,"=0,50")</f>
        <v>0</v>
      </c>
      <c r="G13" s="364">
        <f>COUNTIFS('Все игры'!A$3:A1000,A13,'Все игры'!G$3:G1000,"&gt;0")</f>
        <v>12</v>
      </c>
      <c r="H13" s="365">
        <f t="shared" si="2"/>
        <v>0.3076923077</v>
      </c>
      <c r="I13" s="366">
        <f>COUNTIFS('Все игры'!A$3:A1000,A13,'Все игры'!E$3:E1000,"У/Победа")</f>
        <v>1</v>
      </c>
      <c r="J13" s="366">
        <f>COUNTIFS('Все игры'!A$3:A1000,A13,'Все игры'!E$3:E1000,"У/Проигрыш")</f>
        <v>4</v>
      </c>
      <c r="K13" s="367">
        <f t="shared" si="3"/>
        <v>39</v>
      </c>
      <c r="L13" s="361">
        <f t="shared" si="4"/>
        <v>11</v>
      </c>
      <c r="M13" s="361">
        <f>COUNTIFS('Все игры'!A$3:A1000,A13,'Все игры'!C$3:C1000,"&gt;0",'Все игры'!B$3:B1000,"Мафия")</f>
        <v>4</v>
      </c>
      <c r="N13" s="361">
        <f>IFERROR(__xludf.DUMMYFUNCTION("COUNTBLANK(FILTER('Все игры'!A$3:C1000,'Все игры'!A$3:A1000=A13,'Все игры'!C$3:C1000 &lt; 1,'Все игры'!B$3:B1000=""Мафия""))"),3.0)</f>
        <v>3</v>
      </c>
      <c r="O13" s="361">
        <f>COUNTIFS('Все игры'!A$3:A1000,A13,'Все игры'!C$3:C1000,"&gt;0",'Все игры'!B$3:B1000,"Шериф")</f>
        <v>1</v>
      </c>
      <c r="P13" s="368">
        <f>IFERROR(__xludf.DUMMYFUNCTION("COUNTBLANK(FILTER('Все игры'!A$3:C1000,'Все игры'!A$3:A1000=A13,'Все игры'!C$3:C1000 &lt; 1,'Все игры'!B$3:B1000=""Шериф""))"),1.0)</f>
        <v>1</v>
      </c>
      <c r="Q13" s="361">
        <f>COUNTIFS('Все игры'!A$3:A1000,A13,'Все игры'!C$3:C1000,"&gt;0",'Все игры'!B$3:B1000,"Дон")</f>
        <v>4</v>
      </c>
      <c r="R13" s="361">
        <f>IFERROR(__xludf.DUMMYFUNCTION("COUNTBLANK(FILTER('Все игры'!A$3:C1000,'Все игры'!A$3:A1000=A13,'Все игры'!C$3:C1000 &lt; 1,'Все игры'!B$3:B1000=""Дон""))"),0.0)</f>
        <v>0</v>
      </c>
      <c r="S13" s="361">
        <f>COUNTIFS('Все игры'!A$3:A1000,A13,'Все игры'!C$3:C1000,"&gt;0",'Все игры'!B$3:B1000,"Мирный")</f>
        <v>17</v>
      </c>
      <c r="T13" s="369">
        <f>IFERROR(__xludf.DUMMYFUNCTION("COUNTBLANK(FILTER('Все игры'!A$3:C1000,'Все игры'!A$3:A1000=A13,'Все игры'!C$3:C1000 &lt; 1,'Все игры'!B$3:B1000=""Мирный""))"),20.0)</f>
        <v>20</v>
      </c>
      <c r="U13" s="370">
        <f t="shared" si="16"/>
        <v>0.52</v>
      </c>
      <c r="V13" s="371">
        <f t="shared" si="5"/>
        <v>0.4615384615</v>
      </c>
      <c r="W13" s="371">
        <f t="shared" si="6"/>
        <v>0.7272727273</v>
      </c>
      <c r="X13" s="371">
        <f t="shared" si="7"/>
        <v>0.5714285714</v>
      </c>
      <c r="Y13" s="371">
        <f t="shared" si="8"/>
        <v>0.5</v>
      </c>
      <c r="Z13" s="371">
        <f t="shared" si="9"/>
        <v>1</v>
      </c>
      <c r="AA13" s="372">
        <f t="shared" si="10"/>
        <v>0.4594594595</v>
      </c>
      <c r="AB13" s="362">
        <f>SUMIFS('Все игры'!D$3:D1000,'Все игры'!A$3:A1000,A13)</f>
        <v>153.75</v>
      </c>
      <c r="AC13" s="362">
        <f>SUMIFS('Все игры'!D$3:D1000,'Все игры'!A$3:A1000,A13,'Все игры'!B$3:B1000,"Мафия")</f>
        <v>22.25</v>
      </c>
      <c r="AD13" s="373">
        <f>SUMIFS('Все игры'!D$3:D1000,'Все игры'!A$3:A1000,A13,'Все игры'!B$3:B1000,"Шериф")</f>
        <v>6.5</v>
      </c>
      <c r="AE13" s="362">
        <f>SUMIFS('Все игры'!D$3:D1000,'Все игры'!A$3:A1000,A13,'Все игры'!B$3:B1000,"Дон")</f>
        <v>14.75</v>
      </c>
      <c r="AF13" s="363">
        <f>SUMIFS('Все игры'!D$3:D1000,'Все игры'!A$3:A1000,A13,'Все игры'!B$3:B1000,"Мирный")</f>
        <v>110.25</v>
      </c>
      <c r="AG13" s="362">
        <f t="shared" si="11"/>
        <v>3.075</v>
      </c>
      <c r="AH13" s="362">
        <f t="shared" si="12"/>
        <v>3.178571429</v>
      </c>
      <c r="AI13" s="362">
        <f t="shared" si="13"/>
        <v>3.25</v>
      </c>
      <c r="AJ13" s="362">
        <f t="shared" si="14"/>
        <v>3.6875</v>
      </c>
      <c r="AK13" s="362">
        <f t="shared" si="15"/>
        <v>2.97972973</v>
      </c>
      <c r="AL13" s="348">
        <f>MAX('Турнирная таблица по Алфавиту'!T15:CA15)</f>
        <v>28.5</v>
      </c>
      <c r="AM13" s="348"/>
      <c r="AN13" s="348"/>
      <c r="AO13" s="348"/>
      <c r="AP13" s="348"/>
      <c r="AQ13" s="348"/>
      <c r="AR13" s="348"/>
      <c r="AS13" s="348"/>
      <c r="AT13" s="348"/>
      <c r="AU13" s="348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48"/>
      <c r="BG13" s="348"/>
      <c r="BH13" s="348"/>
      <c r="BI13" s="348"/>
      <c r="BJ13" s="348"/>
      <c r="BK13" s="348"/>
      <c r="BL13" s="348"/>
      <c r="BM13" s="348"/>
    </row>
    <row r="14">
      <c r="A14" s="360" t="s">
        <v>88</v>
      </c>
      <c r="B14" s="347">
        <f t="shared" si="1"/>
        <v>50</v>
      </c>
      <c r="C14" s="348">
        <f>'Турнирная таблица по Алфавиту'!E16</f>
        <v>182</v>
      </c>
      <c r="D14" s="349">
        <f>'Турнирная таблица по Алфавиту'!F16</f>
        <v>18.2</v>
      </c>
      <c r="E14" s="350">
        <f>COUNTIFS('Все игры'!A$3:A1000,A14,'Все игры'!F$3:F1000,"=1")</f>
        <v>0</v>
      </c>
      <c r="F14" s="350">
        <f>COUNTIFS('Все игры'!A$3:A1000,A14,'Все игры'!F$3:F1000,"=0,50")</f>
        <v>0</v>
      </c>
      <c r="G14" s="350">
        <f>COUNTIFS('Все игры'!A$3:A1000,A14,'Все игры'!G$3:G1000,"&gt;0")</f>
        <v>2</v>
      </c>
      <c r="H14" s="351">
        <f t="shared" si="2"/>
        <v>0.05405405405</v>
      </c>
      <c r="I14" s="352">
        <f>COUNTIFS('Все игры'!A$3:A1000,A14,'Все игры'!E$3:E1000,"У/Победа")</f>
        <v>5</v>
      </c>
      <c r="J14" s="352">
        <f>COUNTIFS('Все игры'!A$3:A1000,A14,'Все игры'!E$3:E1000,"У/Проигрыш")</f>
        <v>2</v>
      </c>
      <c r="K14" s="353">
        <f t="shared" si="3"/>
        <v>37</v>
      </c>
      <c r="L14" s="347">
        <f t="shared" si="4"/>
        <v>13</v>
      </c>
      <c r="M14" s="347">
        <f>COUNTIFS('Все игры'!A$3:A1000,A14,'Все игры'!C$3:C1000,"&gt;0",'Все игры'!B$3:B1000,"Мафия")</f>
        <v>4</v>
      </c>
      <c r="N14" s="347">
        <f>IFERROR(__xludf.DUMMYFUNCTION("COUNTBLANK(FILTER('Все игры'!A$3:C1000,'Все игры'!A$3:A1000=A14,'Все игры'!C$3:C1000 &lt; 1,'Все игры'!B$3:B1000=""Мафия""))"),4.0)</f>
        <v>4</v>
      </c>
      <c r="O14" s="347">
        <f>COUNTIFS('Все игры'!A$3:A1000,A14,'Все игры'!C$3:C1000,"&gt;0",'Все игры'!B$3:B1000,"Шериф")</f>
        <v>2</v>
      </c>
      <c r="P14" s="354">
        <f>IFERROR(__xludf.DUMMYFUNCTION("COUNTBLANK(FILTER('Все игры'!A$3:C1000,'Все игры'!A$3:A1000=A14,'Все игры'!C$3:C1000 &lt; 1,'Все игры'!B$3:B1000=""Шериф""))"),4.0)</f>
        <v>4</v>
      </c>
      <c r="Q14" s="347">
        <f>COUNTIFS('Все игры'!A$3:A1000,A14,'Все игры'!C$3:C1000,"&gt;0",'Все игры'!B$3:B1000,"Дон")</f>
        <v>3</v>
      </c>
      <c r="R14" s="347">
        <f>IFERROR(__xludf.DUMMYFUNCTION("COUNTBLANK(FILTER('Все игры'!A$3:C1000,'Все игры'!A$3:A1000=A14,'Все игры'!C$3:C1000 &lt; 1,'Все игры'!B$3:B1000=""Дон""))"),2.0)</f>
        <v>2</v>
      </c>
      <c r="S14" s="347">
        <f>COUNTIFS('Все игры'!A$3:A1000,A14,'Все игры'!C$3:C1000,"&gt;0",'Все игры'!B$3:B1000,"Мирный")</f>
        <v>14</v>
      </c>
      <c r="T14" s="355">
        <f>IFERROR(__xludf.DUMMYFUNCTION("COUNTBLANK(FILTER('Все игры'!A$3:C1000,'Все игры'!A$3:A1000=A14,'Все игры'!C$3:C1000 &lt; 1,'Все игры'!B$3:B1000=""Мирный""))"),17.0)</f>
        <v>17</v>
      </c>
      <c r="U14" s="356">
        <f t="shared" si="16"/>
        <v>0.46</v>
      </c>
      <c r="V14" s="357">
        <f t="shared" si="5"/>
        <v>0.4324324324</v>
      </c>
      <c r="W14" s="357">
        <f t="shared" si="6"/>
        <v>0.5384615385</v>
      </c>
      <c r="X14" s="357">
        <f t="shared" si="7"/>
        <v>0.5</v>
      </c>
      <c r="Y14" s="357">
        <f t="shared" si="8"/>
        <v>0.3333333333</v>
      </c>
      <c r="Z14" s="357">
        <f t="shared" si="9"/>
        <v>0.6</v>
      </c>
      <c r="AA14" s="358">
        <f t="shared" si="10"/>
        <v>0.4516129032</v>
      </c>
      <c r="AB14" s="348">
        <f>SUMIFS('Все игры'!D$3:D1000,'Все игры'!A$3:A1000,A14)</f>
        <v>125.5</v>
      </c>
      <c r="AC14" s="348">
        <f>SUMIFS('Все игры'!D$3:D1000,'Все игры'!A$3:A1000,A14,'Все игры'!B$3:B1000,"Мафия")</f>
        <v>19.75</v>
      </c>
      <c r="AD14" s="359">
        <f>SUMIFS('Все игры'!D$3:D1000,'Все игры'!A$3:A1000,A14,'Все игры'!B$3:B1000,"Шериф")</f>
        <v>10.75</v>
      </c>
      <c r="AE14" s="348">
        <f>SUMIFS('Все игры'!D$3:D1000,'Все игры'!A$3:A1000,A14,'Все игры'!B$3:B1000,"Дон")</f>
        <v>13</v>
      </c>
      <c r="AF14" s="349">
        <f>SUMIFS('Все игры'!D$3:D1000,'Все игры'!A$3:A1000,A14,'Все игры'!B$3:B1000,"Мирный")</f>
        <v>82</v>
      </c>
      <c r="AG14" s="348">
        <f t="shared" si="11"/>
        <v>2.51</v>
      </c>
      <c r="AH14" s="348">
        <f t="shared" si="12"/>
        <v>2.46875</v>
      </c>
      <c r="AI14" s="348">
        <f t="shared" si="13"/>
        <v>1.791666667</v>
      </c>
      <c r="AJ14" s="348">
        <f t="shared" si="14"/>
        <v>2.6</v>
      </c>
      <c r="AK14" s="348">
        <f t="shared" si="15"/>
        <v>2.64516129</v>
      </c>
      <c r="AL14" s="348">
        <f>MAX('Турнирная таблица по Алфавиту'!T16:CA16)</f>
        <v>27.75</v>
      </c>
      <c r="AM14" s="348"/>
      <c r="AN14" s="348"/>
      <c r="AO14" s="348"/>
      <c r="AP14" s="348"/>
      <c r="AQ14" s="348"/>
      <c r="AR14" s="348"/>
      <c r="AS14" s="348"/>
      <c r="AT14" s="348"/>
      <c r="AU14" s="348"/>
      <c r="AV14" s="348"/>
      <c r="AW14" s="348"/>
      <c r="AX14" s="348"/>
      <c r="AY14" s="348"/>
      <c r="AZ14" s="348"/>
      <c r="BA14" s="348"/>
      <c r="BB14" s="348"/>
      <c r="BC14" s="348"/>
      <c r="BD14" s="348"/>
      <c r="BE14" s="348"/>
      <c r="BF14" s="348"/>
      <c r="BG14" s="348"/>
      <c r="BH14" s="348"/>
      <c r="BI14" s="348"/>
      <c r="BJ14" s="348"/>
      <c r="BK14" s="348"/>
      <c r="BL14" s="348"/>
      <c r="BM14" s="348"/>
    </row>
    <row r="15">
      <c r="A15" s="360" t="s">
        <v>89</v>
      </c>
      <c r="B15" s="361">
        <f t="shared" si="1"/>
        <v>50</v>
      </c>
      <c r="C15" s="362">
        <f>'Турнирная таблица по Алфавиту'!E17</f>
        <v>215.75</v>
      </c>
      <c r="D15" s="363">
        <f>'Турнирная таблица по Алфавиту'!F17</f>
        <v>21.575</v>
      </c>
      <c r="E15" s="364">
        <f>COUNTIFS('Все игры'!A$3:A1000,A15,'Все игры'!F$3:F1000,"=1")</f>
        <v>0</v>
      </c>
      <c r="F15" s="364">
        <f>COUNTIFS('Все игры'!A$3:A1000,A15,'Все игры'!F$3:F1000,"=0,50")</f>
        <v>0</v>
      </c>
      <c r="G15" s="364">
        <f>COUNTIFS('Все игры'!A$3:A1000,A15,'Все игры'!G$3:G1000,"&gt;0")</f>
        <v>4</v>
      </c>
      <c r="H15" s="365">
        <f t="shared" si="2"/>
        <v>0.125</v>
      </c>
      <c r="I15" s="366">
        <f>COUNTIFS('Все игры'!A$3:A1000,A15,'Все игры'!E$3:E1000,"У/Победа")</f>
        <v>2</v>
      </c>
      <c r="J15" s="366">
        <f>COUNTIFS('Все игры'!A$3:A1000,A15,'Все игры'!E$3:E1000,"У/Проигрыш")</f>
        <v>1</v>
      </c>
      <c r="K15" s="367">
        <f t="shared" si="3"/>
        <v>32</v>
      </c>
      <c r="L15" s="361">
        <f t="shared" si="4"/>
        <v>18</v>
      </c>
      <c r="M15" s="361">
        <f>COUNTIFS('Все игры'!A$3:A1000,A15,'Все игры'!C$3:C1000,"&gt;0",'Все игры'!B$3:B1000,"Мафия")</f>
        <v>9</v>
      </c>
      <c r="N15" s="361">
        <f>IFERROR(__xludf.DUMMYFUNCTION("COUNTBLANK(FILTER('Все игры'!A$3:C1000,'Все игры'!A$3:A1000=A15,'Все игры'!C$3:C1000 &lt; 1,'Все игры'!B$3:B1000=""Мафия""))"),4.0)</f>
        <v>4</v>
      </c>
      <c r="O15" s="361">
        <f>COUNTIFS('Все игры'!A$3:A1000,A15,'Все игры'!C$3:C1000,"&gt;0",'Все игры'!B$3:B1000,"Шериф")</f>
        <v>2</v>
      </c>
      <c r="P15" s="368">
        <f>IFERROR(__xludf.DUMMYFUNCTION("COUNTBLANK(FILTER('Все игры'!A$3:C1000,'Все игры'!A$3:A1000=A15,'Все игры'!C$3:C1000 &lt; 1,'Все игры'!B$3:B1000=""Шериф""))"),4.0)</f>
        <v>4</v>
      </c>
      <c r="Q15" s="361">
        <f>COUNTIFS('Все игры'!A$3:A1000,A15,'Все игры'!C$3:C1000,"&gt;0",'Все игры'!B$3:B1000,"Дон")</f>
        <v>3</v>
      </c>
      <c r="R15" s="361">
        <f>IFERROR(__xludf.DUMMYFUNCTION("COUNTBLANK(FILTER('Все игры'!A$3:C1000,'Все игры'!A$3:A1000=A15,'Все игры'!C$3:C1000 &lt; 1,'Все игры'!B$3:B1000=""Дон""))"),2.0)</f>
        <v>2</v>
      </c>
      <c r="S15" s="361">
        <f>COUNTIFS('Все игры'!A$3:A1000,A15,'Все игры'!C$3:C1000,"&gt;0",'Все игры'!B$3:B1000,"Мирный")</f>
        <v>14</v>
      </c>
      <c r="T15" s="369">
        <f>IFERROR(__xludf.DUMMYFUNCTION("COUNTBLANK(FILTER('Все игры'!A$3:C1000,'Все игры'!A$3:A1000=A15,'Все игры'!C$3:C1000 &lt; 1,'Все игры'!B$3:B1000=""Мирный""))"),12.0)</f>
        <v>12</v>
      </c>
      <c r="U15" s="370">
        <f t="shared" si="16"/>
        <v>0.56</v>
      </c>
      <c r="V15" s="371">
        <f t="shared" si="5"/>
        <v>0.5</v>
      </c>
      <c r="W15" s="371">
        <f t="shared" si="6"/>
        <v>0.6666666667</v>
      </c>
      <c r="X15" s="371">
        <f t="shared" si="7"/>
        <v>0.6923076923</v>
      </c>
      <c r="Y15" s="371">
        <f t="shared" si="8"/>
        <v>0.3333333333</v>
      </c>
      <c r="Z15" s="371">
        <f t="shared" si="9"/>
        <v>0.6</v>
      </c>
      <c r="AA15" s="372">
        <f t="shared" si="10"/>
        <v>0.5384615385</v>
      </c>
      <c r="AB15" s="362">
        <f>SUMIFS('Все игры'!D$3:D1000,'Все игры'!A$3:A1000,A15)</f>
        <v>143.75</v>
      </c>
      <c r="AC15" s="362">
        <f>SUMIFS('Все игры'!D$3:D1000,'Все игры'!A$3:A1000,A15,'Все игры'!B$3:B1000,"Мафия")</f>
        <v>41.75</v>
      </c>
      <c r="AD15" s="373">
        <f>SUMIFS('Все игры'!D$3:D1000,'Все игры'!A$3:A1000,A15,'Все игры'!B$3:B1000,"Шериф")</f>
        <v>16.75</v>
      </c>
      <c r="AE15" s="362">
        <f>SUMIFS('Все игры'!D$3:D1000,'Все игры'!A$3:A1000,A15,'Все игры'!B$3:B1000,"Дон")</f>
        <v>13.75</v>
      </c>
      <c r="AF15" s="363">
        <f>SUMIFS('Все игры'!D$3:D1000,'Все игры'!A$3:A1000,A15,'Все игры'!B$3:B1000,"Мирный")</f>
        <v>71.5</v>
      </c>
      <c r="AG15" s="362">
        <f t="shared" si="11"/>
        <v>2.875</v>
      </c>
      <c r="AH15" s="362">
        <f t="shared" si="12"/>
        <v>3.211538462</v>
      </c>
      <c r="AI15" s="362">
        <f t="shared" si="13"/>
        <v>2.791666667</v>
      </c>
      <c r="AJ15" s="362">
        <f t="shared" si="14"/>
        <v>2.75</v>
      </c>
      <c r="AK15" s="362">
        <f t="shared" si="15"/>
        <v>2.75</v>
      </c>
      <c r="AL15" s="348">
        <f>MAX('Турнирная таблица по Алфавиту'!T17:CA17)</f>
        <v>26.25</v>
      </c>
      <c r="AM15" s="348"/>
      <c r="AN15" s="348"/>
      <c r="AO15" s="348"/>
      <c r="AP15" s="348"/>
      <c r="AQ15" s="348"/>
      <c r="AR15" s="348"/>
      <c r="AS15" s="348"/>
      <c r="AT15" s="348"/>
      <c r="AU15" s="348"/>
      <c r="AV15" s="348"/>
      <c r="AW15" s="348"/>
      <c r="AX15" s="348"/>
      <c r="AY15" s="348"/>
      <c r="AZ15" s="348"/>
      <c r="BA15" s="348"/>
      <c r="BB15" s="348"/>
      <c r="BC15" s="348"/>
      <c r="BD15" s="348"/>
      <c r="BE15" s="348"/>
      <c r="BF15" s="348"/>
      <c r="BG15" s="348"/>
      <c r="BH15" s="348"/>
      <c r="BI15" s="348"/>
      <c r="BJ15" s="348"/>
      <c r="BK15" s="348"/>
      <c r="BL15" s="348"/>
      <c r="BM15" s="348"/>
    </row>
    <row r="16">
      <c r="A16" s="360" t="s">
        <v>90</v>
      </c>
      <c r="B16" s="347">
        <f t="shared" si="1"/>
        <v>50</v>
      </c>
      <c r="C16" s="348">
        <f>'Турнирная таблица по Алфавиту'!E18</f>
        <v>217.75</v>
      </c>
      <c r="D16" s="349">
        <f>'Турнирная таблица по Алфавиту'!F18</f>
        <v>21.775</v>
      </c>
      <c r="E16" s="350">
        <f>COUNTIFS('Все игры'!A$3:A1000,A16,'Все игры'!F$3:F1000,"=1")</f>
        <v>0</v>
      </c>
      <c r="F16" s="350">
        <f>COUNTIFS('Все игры'!A$3:A1000,A16,'Все игры'!F$3:F1000,"=0,50")</f>
        <v>3</v>
      </c>
      <c r="G16" s="350">
        <f>COUNTIFS('Все игры'!A$3:A1000,A16,'Все игры'!G$3:G1000,"&gt;0")</f>
        <v>7</v>
      </c>
      <c r="H16" s="351">
        <f t="shared" si="2"/>
        <v>0.1944444444</v>
      </c>
      <c r="I16" s="352">
        <f>COUNTIFS('Все игры'!A$3:A1000,A16,'Все игры'!E$3:E1000,"У/Победа")</f>
        <v>1</v>
      </c>
      <c r="J16" s="352">
        <f>COUNTIFS('Все игры'!A$3:A1000,A16,'Все игры'!E$3:E1000,"У/Проигрыш")</f>
        <v>0</v>
      </c>
      <c r="K16" s="353">
        <f t="shared" si="3"/>
        <v>36</v>
      </c>
      <c r="L16" s="347">
        <f t="shared" si="4"/>
        <v>14</v>
      </c>
      <c r="M16" s="347">
        <f>COUNTIFS('Все игры'!A$3:A1000,A16,'Все игры'!C$3:C1000,"&gt;0",'Все игры'!B$3:B1000,"Мафия")</f>
        <v>6</v>
      </c>
      <c r="N16" s="347">
        <f>IFERROR(__xludf.DUMMYFUNCTION("COUNTBLANK(FILTER('Все игры'!A$3:C1000,'Все игры'!A$3:A1000=A16,'Все игры'!C$3:C1000 &lt; 1,'Все игры'!B$3:B1000=""Мафия""))"),6.0)</f>
        <v>6</v>
      </c>
      <c r="O16" s="347">
        <f>COUNTIFS('Все игры'!A$3:A1000,A16,'Все игры'!C$3:C1000,"&gt;0",'Все игры'!B$3:B1000,"Шериф")</f>
        <v>0</v>
      </c>
      <c r="P16" s="354">
        <f>IFERROR(__xludf.DUMMYFUNCTION("COUNTBLANK(FILTER('Все игры'!A$3:C1000,'Все игры'!A$3:A1000=A16,'Все игры'!C$3:C1000 &lt; 1,'Все игры'!B$3:B1000=""Шериф""))"),0.0)</f>
        <v>0</v>
      </c>
      <c r="Q16" s="347">
        <f>COUNTIFS('Все игры'!A$3:A1000,A16,'Все игры'!C$3:C1000,"&gt;0",'Все игры'!B$3:B1000,"Дон")</f>
        <v>2</v>
      </c>
      <c r="R16" s="347">
        <f>IFERROR(__xludf.DUMMYFUNCTION("COUNTBLANK(FILTER('Все игры'!A$3:C1000,'Все игры'!A$3:A1000=A16,'Все игры'!C$3:C1000 &lt; 1,'Все игры'!B$3:B1000=""Дон""))"),0.0)</f>
        <v>0</v>
      </c>
      <c r="S16" s="347">
        <f>COUNTIFS('Все игры'!A$3:A1000,A16,'Все игры'!C$3:C1000,"&gt;0",'Все игры'!B$3:B1000,"Мирный")</f>
        <v>20</v>
      </c>
      <c r="T16" s="355">
        <f>IFERROR(__xludf.DUMMYFUNCTION("COUNTBLANK(FILTER('Все игры'!A$3:C1000,'Все игры'!A$3:A1000=A16,'Все игры'!C$3:C1000 &lt; 1,'Все игры'!B$3:B1000=""Мирный""))"),16.0)</f>
        <v>16</v>
      </c>
      <c r="U16" s="356">
        <f t="shared" si="16"/>
        <v>0.56</v>
      </c>
      <c r="V16" s="357">
        <f t="shared" si="5"/>
        <v>0.5555555556</v>
      </c>
      <c r="W16" s="357">
        <f t="shared" si="6"/>
        <v>0.5714285714</v>
      </c>
      <c r="X16" s="357">
        <f t="shared" si="7"/>
        <v>0.5</v>
      </c>
      <c r="Y16" s="357">
        <f t="shared" si="8"/>
        <v>0</v>
      </c>
      <c r="Z16" s="357">
        <f t="shared" si="9"/>
        <v>1</v>
      </c>
      <c r="AA16" s="358">
        <f t="shared" si="10"/>
        <v>0.5555555556</v>
      </c>
      <c r="AB16" s="348">
        <f>SUMIFS('Все игры'!D$3:D1000,'Все игры'!A$3:A1000,A16)</f>
        <v>142.25</v>
      </c>
      <c r="AC16" s="348">
        <f>SUMIFS('Все игры'!D$3:D1000,'Все игры'!A$3:A1000,A16,'Все игры'!B$3:B1000,"Мафия")</f>
        <v>33.75</v>
      </c>
      <c r="AD16" s="359">
        <f>SUMIFS('Все игры'!D$3:D1000,'Все игры'!A$3:A1000,A16,'Все игры'!B$3:B1000,"Шериф")</f>
        <v>0</v>
      </c>
      <c r="AE16" s="348">
        <f>SUMIFS('Все игры'!D$3:D1000,'Все игры'!A$3:A1000,A16,'Все игры'!B$3:B1000,"Дон")</f>
        <v>6.25</v>
      </c>
      <c r="AF16" s="349">
        <f>SUMIFS('Все игры'!D$3:D1000,'Все игры'!A$3:A1000,A16,'Все игры'!B$3:B1000,"Мирный")</f>
        <v>102.25</v>
      </c>
      <c r="AG16" s="348">
        <f t="shared" si="11"/>
        <v>2.845</v>
      </c>
      <c r="AH16" s="348">
        <f t="shared" si="12"/>
        <v>2.8125</v>
      </c>
      <c r="AI16" s="348">
        <f t="shared" si="13"/>
        <v>0</v>
      </c>
      <c r="AJ16" s="348">
        <f t="shared" si="14"/>
        <v>3.125</v>
      </c>
      <c r="AK16" s="348">
        <f t="shared" si="15"/>
        <v>2.840277778</v>
      </c>
      <c r="AL16" s="348">
        <f>MAX('Турнирная таблица по Алфавиту'!T18:CA18)</f>
        <v>25.25</v>
      </c>
      <c r="AM16" s="348"/>
      <c r="AN16" s="348"/>
      <c r="AO16" s="348"/>
      <c r="AP16" s="348"/>
      <c r="AQ16" s="348"/>
      <c r="AR16" s="348"/>
      <c r="AS16" s="348"/>
      <c r="AT16" s="348"/>
      <c r="AU16" s="348"/>
      <c r="AV16" s="348"/>
      <c r="AW16" s="348"/>
      <c r="AX16" s="348"/>
      <c r="AY16" s="348"/>
      <c r="AZ16" s="348"/>
      <c r="BA16" s="348"/>
      <c r="BB16" s="348"/>
      <c r="BC16" s="348"/>
      <c r="BD16" s="348"/>
      <c r="BE16" s="348"/>
      <c r="BF16" s="348"/>
      <c r="BG16" s="348"/>
      <c r="BH16" s="348"/>
      <c r="BI16" s="348"/>
      <c r="BJ16" s="348"/>
      <c r="BK16" s="348"/>
      <c r="BL16" s="348"/>
      <c r="BM16" s="348"/>
    </row>
    <row r="17">
      <c r="A17" s="360" t="s">
        <v>91</v>
      </c>
      <c r="B17" s="361">
        <f t="shared" si="1"/>
        <v>50</v>
      </c>
      <c r="C17" s="362">
        <f>'Турнирная таблица по Алфавиту'!E19</f>
        <v>190.5</v>
      </c>
      <c r="D17" s="363">
        <f>'Турнирная таблица по Алфавиту'!F19</f>
        <v>19.05</v>
      </c>
      <c r="E17" s="364">
        <f>COUNTIFS('Все игры'!A$3:A1000,A17,'Все игры'!F$3:F1000,"=1")</f>
        <v>0</v>
      </c>
      <c r="F17" s="364">
        <f>COUNTIFS('Все игры'!A$3:A1000,A17,'Все игры'!F$3:F1000,"=0,50")</f>
        <v>0</v>
      </c>
      <c r="G17" s="364">
        <f>COUNTIFS('Все игры'!A$3:A1000,A17,'Все игры'!G$3:G1000,"&gt;0")</f>
        <v>3</v>
      </c>
      <c r="H17" s="365">
        <f t="shared" si="2"/>
        <v>0.08571428571</v>
      </c>
      <c r="I17" s="366">
        <f>COUNTIFS('Все игры'!A$3:A1000,A17,'Все игры'!E$3:E1000,"У/Победа")</f>
        <v>4</v>
      </c>
      <c r="J17" s="366">
        <f>COUNTIFS('Все игры'!A$3:A1000,A17,'Все игры'!E$3:E1000,"У/Проигрыш")</f>
        <v>1</v>
      </c>
      <c r="K17" s="367">
        <f t="shared" si="3"/>
        <v>35</v>
      </c>
      <c r="L17" s="361">
        <f t="shared" si="4"/>
        <v>15</v>
      </c>
      <c r="M17" s="361">
        <f>COUNTIFS('Все игры'!A$3:A1000,A17,'Все игры'!C$3:C1000,"&gt;0",'Все игры'!B$3:B1000,"Мафия")</f>
        <v>7</v>
      </c>
      <c r="N17" s="361">
        <f>IFERROR(__xludf.DUMMYFUNCTION("COUNTBLANK(FILTER('Все игры'!A$3:C1000,'Все игры'!A$3:A1000=A17,'Все игры'!C$3:C1000 &lt; 1,'Все игры'!B$3:B1000=""Мафия""))"),5.0)</f>
        <v>5</v>
      </c>
      <c r="O17" s="361">
        <f>COUNTIFS('Все игры'!A$3:A1000,A17,'Все игры'!C$3:C1000,"&gt;0",'Все игры'!B$3:B1000,"Шериф")</f>
        <v>0</v>
      </c>
      <c r="P17" s="368">
        <f>IFERROR(__xludf.DUMMYFUNCTION("COUNTBLANK(FILTER('Все игры'!A$3:C1000,'Все игры'!A$3:A1000=A17,'Все игры'!C$3:C1000 &lt; 1,'Все игры'!B$3:B1000=""Шериф""))"),3.0)</f>
        <v>3</v>
      </c>
      <c r="Q17" s="361">
        <f>COUNTIFS('Все игры'!A$3:A1000,A17,'Все игры'!C$3:C1000,"&gt;0",'Все игры'!B$3:B1000,"Дон")</f>
        <v>2</v>
      </c>
      <c r="R17" s="361">
        <f>IFERROR(__xludf.DUMMYFUNCTION("COUNTBLANK(FILTER('Все игры'!A$3:C1000,'Все игры'!A$3:A1000=A17,'Все игры'!C$3:C1000 &lt; 1,'Все игры'!B$3:B1000=""Дон""))"),1.0)</f>
        <v>1</v>
      </c>
      <c r="S17" s="361">
        <f>COUNTIFS('Все игры'!A$3:A1000,A17,'Все игры'!C$3:C1000,"&gt;0",'Все игры'!B$3:B1000,"Мирный")</f>
        <v>15</v>
      </c>
      <c r="T17" s="369">
        <f>IFERROR(__xludf.DUMMYFUNCTION("COUNTBLANK(FILTER('Все игры'!A$3:C1000,'Все игры'!A$3:A1000=A17,'Все игры'!C$3:C1000 &lt; 1,'Все игры'!B$3:B1000=""Мирный""))"),17.0)</f>
        <v>17</v>
      </c>
      <c r="U17" s="370">
        <f t="shared" si="16"/>
        <v>0.48</v>
      </c>
      <c r="V17" s="371">
        <f t="shared" si="5"/>
        <v>0.4285714286</v>
      </c>
      <c r="W17" s="371">
        <f t="shared" si="6"/>
        <v>0.6</v>
      </c>
      <c r="X17" s="371">
        <f t="shared" si="7"/>
        <v>0.5833333333</v>
      </c>
      <c r="Y17" s="371">
        <f t="shared" si="8"/>
        <v>0</v>
      </c>
      <c r="Z17" s="371">
        <f t="shared" si="9"/>
        <v>0.6666666667</v>
      </c>
      <c r="AA17" s="372">
        <f t="shared" si="10"/>
        <v>0.46875</v>
      </c>
      <c r="AB17" s="362">
        <f>SUMIFS('Все игры'!D$3:D1000,'Все игры'!A$3:A1000,A17)</f>
        <v>129</v>
      </c>
      <c r="AC17" s="362">
        <f>SUMIFS('Все игры'!D$3:D1000,'Все игры'!A$3:A1000,A17,'Все игры'!B$3:B1000,"Мафия")</f>
        <v>32.75</v>
      </c>
      <c r="AD17" s="373">
        <f>SUMIFS('Все игры'!D$3:D1000,'Все игры'!A$3:A1000,A17,'Все игры'!B$3:B1000,"Шериф")</f>
        <v>6.5</v>
      </c>
      <c r="AE17" s="362">
        <f>SUMIFS('Все игры'!D$3:D1000,'Все игры'!A$3:A1000,A17,'Все игры'!B$3:B1000,"Дон")</f>
        <v>6.25</v>
      </c>
      <c r="AF17" s="363">
        <f>SUMIFS('Все игры'!D$3:D1000,'Все игры'!A$3:A1000,A17,'Все игры'!B$3:B1000,"Мирный")</f>
        <v>83.5</v>
      </c>
      <c r="AG17" s="362">
        <f t="shared" si="11"/>
        <v>2.58</v>
      </c>
      <c r="AH17" s="362">
        <f t="shared" si="12"/>
        <v>2.729166667</v>
      </c>
      <c r="AI17" s="362">
        <f t="shared" si="13"/>
        <v>2.166666667</v>
      </c>
      <c r="AJ17" s="362">
        <f t="shared" si="14"/>
        <v>2.083333333</v>
      </c>
      <c r="AK17" s="362">
        <f t="shared" si="15"/>
        <v>2.609375</v>
      </c>
      <c r="AL17" s="348">
        <f>MAX('Турнирная таблица по Алфавиту'!T19:CA19)</f>
        <v>23.25</v>
      </c>
      <c r="AM17" s="348"/>
      <c r="AN17" s="348"/>
      <c r="AO17" s="348"/>
      <c r="AP17" s="348"/>
      <c r="AQ17" s="348"/>
      <c r="AR17" s="348"/>
      <c r="AS17" s="348"/>
      <c r="AT17" s="348"/>
      <c r="AU17" s="348"/>
      <c r="AV17" s="348"/>
      <c r="AW17" s="348"/>
      <c r="AX17" s="348"/>
      <c r="AY17" s="348"/>
      <c r="AZ17" s="348"/>
      <c r="BA17" s="348"/>
      <c r="BB17" s="348"/>
      <c r="BC17" s="348"/>
      <c r="BD17" s="348"/>
      <c r="BE17" s="348"/>
      <c r="BF17" s="348"/>
      <c r="BG17" s="348"/>
      <c r="BH17" s="348"/>
      <c r="BI17" s="348"/>
      <c r="BJ17" s="348"/>
      <c r="BK17" s="348"/>
      <c r="BL17" s="348"/>
      <c r="BM17" s="348"/>
    </row>
    <row r="18">
      <c r="A18" s="346" t="s">
        <v>92</v>
      </c>
      <c r="B18" s="347">
        <f t="shared" si="1"/>
        <v>50</v>
      </c>
      <c r="C18" s="348">
        <f>'Турнирная таблица по Алфавиту'!E20</f>
        <v>213.25</v>
      </c>
      <c r="D18" s="349">
        <f>'Турнирная таблица по Алфавиту'!F20</f>
        <v>21.325</v>
      </c>
      <c r="E18" s="350">
        <f>COUNTIFS('Все игры'!A$3:A1000,A18,'Все игры'!F$3:F1000,"=1")</f>
        <v>0</v>
      </c>
      <c r="F18" s="350">
        <f>COUNTIFS('Все игры'!A$3:A1000,A18,'Все игры'!F$3:F1000,"=0,50")</f>
        <v>0</v>
      </c>
      <c r="G18" s="350">
        <f>COUNTIFS('Все игры'!A$3:A1000,A18,'Все игры'!G$3:G1000,"&gt;0")</f>
        <v>2</v>
      </c>
      <c r="H18" s="351">
        <f t="shared" si="2"/>
        <v>0.06451612903</v>
      </c>
      <c r="I18" s="352">
        <f>COUNTIFS('Все игры'!A$3:A1000,A18,'Все игры'!E$3:E1000,"У/Победа")</f>
        <v>5</v>
      </c>
      <c r="J18" s="352">
        <f>COUNTIFS('Все игры'!A$3:A1000,A18,'Все игры'!E$3:E1000,"У/Проигрыш")</f>
        <v>2</v>
      </c>
      <c r="K18" s="353">
        <f t="shared" si="3"/>
        <v>31</v>
      </c>
      <c r="L18" s="347">
        <f t="shared" si="4"/>
        <v>19</v>
      </c>
      <c r="M18" s="347">
        <f>COUNTIFS('Все игры'!A$3:A1000,A18,'Все игры'!C$3:C1000,"&gt;0",'Все игры'!B$3:B1000,"Мафия")</f>
        <v>8</v>
      </c>
      <c r="N18" s="347">
        <f>IFERROR(__xludf.DUMMYFUNCTION("COUNTBLANK(FILTER('Все игры'!A$3:C1000,'Все игры'!A$3:A1000=A18,'Все игры'!C$3:C1000 &lt; 1,'Все игры'!B$3:B1000=""Мафия""))"),4.0)</f>
        <v>4</v>
      </c>
      <c r="O18" s="347">
        <f>COUNTIFS('Все игры'!A$3:A1000,A18,'Все игры'!C$3:C1000,"&gt;0",'Все игры'!B$3:B1000,"Шериф")</f>
        <v>0</v>
      </c>
      <c r="P18" s="354">
        <f>IFERROR(__xludf.DUMMYFUNCTION("COUNTBLANK(FILTER('Все игры'!A$3:C1000,'Все игры'!A$3:A1000=A18,'Все игры'!C$3:C1000 &lt; 1,'Все игры'!B$3:B1000=""Шериф""))"),2.0)</f>
        <v>2</v>
      </c>
      <c r="Q18" s="347">
        <f>COUNTIFS('Все игры'!A$3:A1000,A18,'Все игры'!C$3:C1000,"&gt;0",'Все игры'!B$3:B1000,"Дон")</f>
        <v>5</v>
      </c>
      <c r="R18" s="347">
        <f>IFERROR(__xludf.DUMMYFUNCTION("COUNTBLANK(FILTER('Все игры'!A$3:C1000,'Все игры'!A$3:A1000=A18,'Все игры'!C$3:C1000 &lt; 1,'Все игры'!B$3:B1000=""Дон""))"),2.0)</f>
        <v>2</v>
      </c>
      <c r="S18" s="347">
        <f>COUNTIFS('Все игры'!A$3:A1000,A18,'Все игры'!C$3:C1000,"&gt;0",'Все игры'!B$3:B1000,"Мирный")</f>
        <v>15</v>
      </c>
      <c r="T18" s="355">
        <f>IFERROR(__xludf.DUMMYFUNCTION("COUNTBLANK(FILTER('Все игры'!A$3:C1000,'Все игры'!A$3:A1000=A18,'Все игры'!C$3:C1000 &lt; 1,'Все игры'!B$3:B1000=""Мирный""))"),14.0)</f>
        <v>14</v>
      </c>
      <c r="U18" s="356">
        <f t="shared" si="16"/>
        <v>0.56</v>
      </c>
      <c r="V18" s="357">
        <f t="shared" si="5"/>
        <v>0.4838709677</v>
      </c>
      <c r="W18" s="357">
        <f t="shared" si="6"/>
        <v>0.6842105263</v>
      </c>
      <c r="X18" s="357">
        <f t="shared" si="7"/>
        <v>0.6666666667</v>
      </c>
      <c r="Y18" s="357">
        <f t="shared" si="8"/>
        <v>0</v>
      </c>
      <c r="Z18" s="357">
        <f t="shared" si="9"/>
        <v>0.7142857143</v>
      </c>
      <c r="AA18" s="358">
        <f t="shared" si="10"/>
        <v>0.5172413793</v>
      </c>
      <c r="AB18" s="348">
        <f>SUMIFS('Все игры'!D$3:D1000,'Все игры'!A$3:A1000,A18)</f>
        <v>142.25</v>
      </c>
      <c r="AC18" s="348">
        <f>SUMIFS('Все игры'!D$3:D1000,'Все игры'!A$3:A1000,A18,'Все игры'!B$3:B1000,"Мафия")</f>
        <v>37</v>
      </c>
      <c r="AD18" s="359">
        <f>SUMIFS('Все игры'!D$3:D1000,'Все игры'!A$3:A1000,A18,'Все игры'!B$3:B1000,"Шериф")</f>
        <v>5.25</v>
      </c>
      <c r="AE18" s="348">
        <f>SUMIFS('Все игры'!D$3:D1000,'Все игры'!A$3:A1000,A18,'Все игры'!B$3:B1000,"Дон")</f>
        <v>20.25</v>
      </c>
      <c r="AF18" s="349">
        <f>SUMIFS('Все игры'!D$3:D1000,'Все игры'!A$3:A1000,A18,'Все игры'!B$3:B1000,"Мирный")</f>
        <v>79.75</v>
      </c>
      <c r="AG18" s="348">
        <f t="shared" si="11"/>
        <v>2.845</v>
      </c>
      <c r="AH18" s="348">
        <f t="shared" si="12"/>
        <v>3.083333333</v>
      </c>
      <c r="AI18" s="348">
        <f t="shared" si="13"/>
        <v>2.625</v>
      </c>
      <c r="AJ18" s="348">
        <f t="shared" si="14"/>
        <v>2.892857143</v>
      </c>
      <c r="AK18" s="348">
        <f t="shared" si="15"/>
        <v>2.75</v>
      </c>
      <c r="AL18" s="348">
        <f>MAX('Турнирная таблица по Алфавиту'!T20:CA20)</f>
        <v>25.25</v>
      </c>
      <c r="AM18" s="348"/>
      <c r="AN18" s="348"/>
      <c r="AO18" s="348"/>
      <c r="AP18" s="348"/>
      <c r="AQ18" s="348"/>
      <c r="AR18" s="348"/>
      <c r="AS18" s="348"/>
      <c r="AT18" s="348"/>
      <c r="AU18" s="348"/>
      <c r="AV18" s="348"/>
      <c r="AW18" s="348"/>
      <c r="AX18" s="348"/>
      <c r="AY18" s="348"/>
      <c r="AZ18" s="348"/>
      <c r="BA18" s="348"/>
      <c r="BB18" s="348"/>
      <c r="BC18" s="348"/>
      <c r="BD18" s="348"/>
      <c r="BE18" s="348"/>
      <c r="BF18" s="348"/>
      <c r="BG18" s="348"/>
      <c r="BH18" s="348"/>
      <c r="BI18" s="348"/>
      <c r="BJ18" s="348"/>
      <c r="BK18" s="348"/>
      <c r="BL18" s="348"/>
      <c r="BM18" s="348"/>
    </row>
    <row r="19">
      <c r="A19" s="346" t="s">
        <v>93</v>
      </c>
      <c r="B19" s="361">
        <f t="shared" si="1"/>
        <v>50</v>
      </c>
      <c r="C19" s="362">
        <f>'Турнирная таблица по Алфавиту'!E21</f>
        <v>224.5</v>
      </c>
      <c r="D19" s="363">
        <f>'Турнирная таблица по Алфавиту'!F21</f>
        <v>22.45</v>
      </c>
      <c r="E19" s="364">
        <f>COUNTIFS('Все игры'!A$3:A1000,A19,'Все игры'!F$3:F1000,"=1")</f>
        <v>0</v>
      </c>
      <c r="F19" s="364">
        <f>COUNTIFS('Все игры'!A$3:A1000,A19,'Все игры'!F$3:F1000,"=0,50")</f>
        <v>5</v>
      </c>
      <c r="G19" s="364">
        <f>COUNTIFS('Все игры'!A$3:A1000,A19,'Все игры'!G$3:G1000,"&gt;0")</f>
        <v>9</v>
      </c>
      <c r="H19" s="365">
        <f t="shared" si="2"/>
        <v>0.28125</v>
      </c>
      <c r="I19" s="366">
        <f>COUNTIFS('Все игры'!A$3:A1000,A19,'Все игры'!E$3:E1000,"У/Победа")</f>
        <v>1</v>
      </c>
      <c r="J19" s="366">
        <f>COUNTIFS('Все игры'!A$3:A1000,A19,'Все игры'!E$3:E1000,"У/Проигрыш")</f>
        <v>3</v>
      </c>
      <c r="K19" s="367">
        <f t="shared" si="3"/>
        <v>32</v>
      </c>
      <c r="L19" s="361">
        <f t="shared" si="4"/>
        <v>18</v>
      </c>
      <c r="M19" s="361">
        <f>COUNTIFS('Все игры'!A$3:A1000,A19,'Все игры'!C$3:C1000,"&gt;0",'Все игры'!B$3:B1000,"Мафия")</f>
        <v>6</v>
      </c>
      <c r="N19" s="361">
        <f>IFERROR(__xludf.DUMMYFUNCTION("COUNTBLANK(FILTER('Все игры'!A$3:C1000,'Все игры'!A$3:A1000=A19,'Все игры'!C$3:C1000 &lt; 1,'Все игры'!B$3:B1000=""Мафия""))"),5.0)</f>
        <v>5</v>
      </c>
      <c r="O19" s="361">
        <f>COUNTIFS('Все игры'!A$3:A1000,A19,'Все игры'!C$3:C1000,"&gt;0",'Все игры'!B$3:B1000,"Шериф")</f>
        <v>2</v>
      </c>
      <c r="P19" s="368">
        <f>IFERROR(__xludf.DUMMYFUNCTION("COUNTBLANK(FILTER('Все игры'!A$3:C1000,'Все игры'!A$3:A1000=A19,'Все игры'!C$3:C1000 &lt; 1,'Все игры'!B$3:B1000=""Шериф""))"),2.0)</f>
        <v>2</v>
      </c>
      <c r="Q19" s="361">
        <f>COUNTIFS('Все игры'!A$3:A1000,A19,'Все игры'!C$3:C1000,"&gt;0",'Все игры'!B$3:B1000,"Дон")</f>
        <v>4</v>
      </c>
      <c r="R19" s="361">
        <f>IFERROR(__xludf.DUMMYFUNCTION("COUNTBLANK(FILTER('Все игры'!A$3:C1000,'Все игры'!A$3:A1000=A19,'Все игры'!C$3:C1000 &lt; 1,'Все игры'!B$3:B1000=""Дон""))"),3.0)</f>
        <v>3</v>
      </c>
      <c r="S19" s="361">
        <f>COUNTIFS('Все игры'!A$3:A1000,A19,'Все игры'!C$3:C1000,"&gt;0",'Все игры'!B$3:B1000,"Мирный")</f>
        <v>15</v>
      </c>
      <c r="T19" s="369">
        <f>IFERROR(__xludf.DUMMYFUNCTION("COUNTBLANK(FILTER('Все игры'!A$3:C1000,'Все игры'!A$3:A1000=A19,'Все игры'!C$3:C1000 &lt; 1,'Все игры'!B$3:B1000=""Мирный""))"),13.0)</f>
        <v>13</v>
      </c>
      <c r="U19" s="370">
        <f t="shared" si="16"/>
        <v>0.54</v>
      </c>
      <c r="V19" s="371">
        <f t="shared" si="5"/>
        <v>0.53125</v>
      </c>
      <c r="W19" s="371">
        <f t="shared" si="6"/>
        <v>0.5555555556</v>
      </c>
      <c r="X19" s="371">
        <f t="shared" si="7"/>
        <v>0.5454545455</v>
      </c>
      <c r="Y19" s="371">
        <f t="shared" si="8"/>
        <v>0.5</v>
      </c>
      <c r="Z19" s="371">
        <f t="shared" si="9"/>
        <v>0.5714285714</v>
      </c>
      <c r="AA19" s="372">
        <f t="shared" si="10"/>
        <v>0.5357142857</v>
      </c>
      <c r="AB19" s="362">
        <f>SUMIFS('Все игры'!D$3:D1000,'Все игры'!A$3:A1000,A19)</f>
        <v>150</v>
      </c>
      <c r="AC19" s="362">
        <f>SUMIFS('Все игры'!D$3:D1000,'Все игры'!A$3:A1000,A19,'Все игры'!B$3:B1000,"Мафия")</f>
        <v>34</v>
      </c>
      <c r="AD19" s="373">
        <f>SUMIFS('Все игры'!D$3:D1000,'Все игры'!A$3:A1000,A19,'Все игры'!B$3:B1000,"Шериф")</f>
        <v>12.25</v>
      </c>
      <c r="AE19" s="362">
        <f>SUMIFS('Все игры'!D$3:D1000,'Все игры'!A$3:A1000,A19,'Все игры'!B$3:B1000,"Дон")</f>
        <v>23.75</v>
      </c>
      <c r="AF19" s="363">
        <f>SUMIFS('Все игры'!D$3:D1000,'Все игры'!A$3:A1000,A19,'Все игры'!B$3:B1000,"Мирный")</f>
        <v>80</v>
      </c>
      <c r="AG19" s="362">
        <f t="shared" si="11"/>
        <v>3</v>
      </c>
      <c r="AH19" s="362">
        <f t="shared" si="12"/>
        <v>3.090909091</v>
      </c>
      <c r="AI19" s="362">
        <f t="shared" si="13"/>
        <v>3.0625</v>
      </c>
      <c r="AJ19" s="362">
        <f t="shared" si="14"/>
        <v>3.392857143</v>
      </c>
      <c r="AK19" s="362">
        <f t="shared" si="15"/>
        <v>2.857142857</v>
      </c>
      <c r="AL19" s="348">
        <f>MAX('Турнирная таблица по Алфавиту'!T21:CA21)</f>
        <v>30.5</v>
      </c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8"/>
      <c r="BK19" s="348"/>
      <c r="BL19" s="348"/>
      <c r="BM19" s="348"/>
    </row>
    <row r="20">
      <c r="A20" s="360" t="s">
        <v>94</v>
      </c>
      <c r="B20" s="347">
        <f t="shared" si="1"/>
        <v>50</v>
      </c>
      <c r="C20" s="348">
        <f>'Турнирная таблица по Алфавиту'!E22</f>
        <v>184.25</v>
      </c>
      <c r="D20" s="349">
        <f>'Турнирная таблица по Алфавиту'!F22</f>
        <v>18.425</v>
      </c>
      <c r="E20" s="350">
        <f>COUNTIFS('Все игры'!A$3:A1000,A20,'Все игры'!F$3:F1000,"=1")</f>
        <v>0</v>
      </c>
      <c r="F20" s="350">
        <f>COUNTIFS('Все игры'!A$3:A1000,A20,'Все игры'!F$3:F1000,"=0,50")</f>
        <v>0</v>
      </c>
      <c r="G20" s="350">
        <f>COUNTIFS('Все игры'!A$3:A1000,A20,'Все игры'!G$3:G1000,"&gt;0")</f>
        <v>0</v>
      </c>
      <c r="H20" s="351">
        <f t="shared" si="2"/>
        <v>0</v>
      </c>
      <c r="I20" s="352">
        <f>COUNTIFS('Все игры'!A$3:A1000,A20,'Все игры'!E$3:E1000,"У/Победа")</f>
        <v>3</v>
      </c>
      <c r="J20" s="352">
        <f>COUNTIFS('Все игры'!A$3:A1000,A20,'Все игры'!E$3:E1000,"У/Проигрыш")</f>
        <v>3</v>
      </c>
      <c r="K20" s="353">
        <f t="shared" si="3"/>
        <v>30</v>
      </c>
      <c r="L20" s="347">
        <f t="shared" si="4"/>
        <v>20</v>
      </c>
      <c r="M20" s="347">
        <f>COUNTIFS('Все игры'!A$3:A1000,A20,'Все игры'!C$3:C1000,"&gt;0",'Все игры'!B$3:B1000,"Мафия")</f>
        <v>7</v>
      </c>
      <c r="N20" s="347">
        <f>IFERROR(__xludf.DUMMYFUNCTION("COUNTBLANK(FILTER('Все игры'!A$3:C1000,'Все игры'!A$3:A1000=A20,'Все игры'!C$3:C1000 &lt; 1,'Все игры'!B$3:B1000=""Мафия""))"),8.0)</f>
        <v>8</v>
      </c>
      <c r="O20" s="347">
        <f>COUNTIFS('Все игры'!A$3:A1000,A20,'Все игры'!C$3:C1000,"&gt;0",'Все игры'!B$3:B1000,"Шериф")</f>
        <v>4</v>
      </c>
      <c r="P20" s="354">
        <f>IFERROR(__xludf.DUMMYFUNCTION("COUNTBLANK(FILTER('Все игры'!A$3:C1000,'Все игры'!A$3:A1000=A20,'Все игры'!C$3:C1000 &lt; 1,'Все игры'!B$3:B1000=""Шериф""))"),4.0)</f>
        <v>4</v>
      </c>
      <c r="Q20" s="347">
        <f>COUNTIFS('Все игры'!A$3:A1000,A20,'Все игры'!C$3:C1000,"&gt;0",'Все игры'!B$3:B1000,"Дон")</f>
        <v>2</v>
      </c>
      <c r="R20" s="347">
        <f>IFERROR(__xludf.DUMMYFUNCTION("COUNTBLANK(FILTER('Все игры'!A$3:C1000,'Все игры'!A$3:A1000=A20,'Все игры'!C$3:C1000 &lt; 1,'Все игры'!B$3:B1000=""Дон""))"),3.0)</f>
        <v>3</v>
      </c>
      <c r="S20" s="347">
        <f>COUNTIFS('Все игры'!A$3:A1000,A20,'Все игры'!C$3:C1000,"&gt;0",'Все игры'!B$3:B1000,"Мирный")</f>
        <v>12</v>
      </c>
      <c r="T20" s="355">
        <f>IFERROR(__xludf.DUMMYFUNCTION("COUNTBLANK(FILTER('Все игры'!A$3:C1000,'Все игры'!A$3:A1000=A20,'Все игры'!C$3:C1000 &lt; 1,'Все игры'!B$3:B1000=""Мирный""))"),10.0)</f>
        <v>10</v>
      </c>
      <c r="U20" s="356">
        <f t="shared" si="16"/>
        <v>0.5</v>
      </c>
      <c r="V20" s="357">
        <f t="shared" si="5"/>
        <v>0.5333333333</v>
      </c>
      <c r="W20" s="357">
        <f t="shared" si="6"/>
        <v>0.45</v>
      </c>
      <c r="X20" s="357">
        <f t="shared" si="7"/>
        <v>0.4666666667</v>
      </c>
      <c r="Y20" s="357">
        <f t="shared" si="8"/>
        <v>0.5</v>
      </c>
      <c r="Z20" s="357">
        <f t="shared" si="9"/>
        <v>0.4</v>
      </c>
      <c r="AA20" s="358">
        <f t="shared" si="10"/>
        <v>0.5454545455</v>
      </c>
      <c r="AB20" s="348">
        <f>SUMIFS('Все игры'!D$3:D1000,'Все игры'!A$3:A1000,A20)</f>
        <v>121.75</v>
      </c>
      <c r="AC20" s="348">
        <f>SUMIFS('Все игры'!D$3:D1000,'Все игры'!A$3:A1000,A20,'Все игры'!B$3:B1000,"Мафия")</f>
        <v>37.75</v>
      </c>
      <c r="AD20" s="359">
        <f>SUMIFS('Все игры'!D$3:D1000,'Все игры'!A$3:A1000,A20,'Все игры'!B$3:B1000,"Шериф")</f>
        <v>24.25</v>
      </c>
      <c r="AE20" s="348">
        <f>SUMIFS('Все игры'!D$3:D1000,'Все игры'!A$3:A1000,A20,'Все игры'!B$3:B1000,"Дон")</f>
        <v>9.75</v>
      </c>
      <c r="AF20" s="349">
        <f>SUMIFS('Все игры'!D$3:D1000,'Все игры'!A$3:A1000,A20,'Все игры'!B$3:B1000,"Мирный")</f>
        <v>50</v>
      </c>
      <c r="AG20" s="348">
        <f t="shared" si="11"/>
        <v>2.435</v>
      </c>
      <c r="AH20" s="348">
        <f t="shared" si="12"/>
        <v>2.516666667</v>
      </c>
      <c r="AI20" s="348">
        <f t="shared" si="13"/>
        <v>3.03125</v>
      </c>
      <c r="AJ20" s="348">
        <f t="shared" si="14"/>
        <v>1.95</v>
      </c>
      <c r="AK20" s="348">
        <f t="shared" si="15"/>
        <v>2.272727273</v>
      </c>
      <c r="AL20" s="348">
        <f>MAX('Турнирная таблица по Алфавиту'!T22:CA22)</f>
        <v>22</v>
      </c>
      <c r="AM20" s="348"/>
      <c r="AN20" s="348"/>
      <c r="AO20" s="348"/>
      <c r="AP20" s="348"/>
      <c r="AQ20" s="348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8"/>
      <c r="BG20" s="348"/>
      <c r="BH20" s="348"/>
      <c r="BI20" s="348"/>
      <c r="BJ20" s="348"/>
      <c r="BK20" s="348"/>
      <c r="BL20" s="348"/>
      <c r="BM20" s="348"/>
    </row>
    <row r="21">
      <c r="A21" s="360" t="s">
        <v>95</v>
      </c>
      <c r="B21" s="361">
        <f t="shared" si="1"/>
        <v>45</v>
      </c>
      <c r="C21" s="362">
        <f>'Турнирная таблица по Алфавиту'!E23</f>
        <v>168</v>
      </c>
      <c r="D21" s="363">
        <f>'Турнирная таблица по Алфавиту'!F23</f>
        <v>18.66666667</v>
      </c>
      <c r="E21" s="364">
        <f>COUNTIFS('Все игры'!A$3:A1000,A21,'Все игры'!F$3:F1000,"=1")</f>
        <v>0</v>
      </c>
      <c r="F21" s="364">
        <f>COUNTIFS('Все игры'!A$3:A1000,A21,'Все игры'!F$3:F1000,"=0,50")</f>
        <v>2</v>
      </c>
      <c r="G21" s="364">
        <f>COUNTIFS('Все игры'!A$3:A1000,A21,'Все игры'!G$3:G1000,"&gt;0")</f>
        <v>4</v>
      </c>
      <c r="H21" s="365">
        <f t="shared" si="2"/>
        <v>0.1290322581</v>
      </c>
      <c r="I21" s="366">
        <f>COUNTIFS('Все игры'!A$3:A1000,A21,'Все игры'!E$3:E1000,"У/Победа")</f>
        <v>2</v>
      </c>
      <c r="J21" s="366">
        <f>COUNTIFS('Все игры'!A$3:A1000,A21,'Все игры'!E$3:E1000,"У/Проигрыш")</f>
        <v>2</v>
      </c>
      <c r="K21" s="367">
        <f t="shared" si="3"/>
        <v>31</v>
      </c>
      <c r="L21" s="361">
        <f t="shared" si="4"/>
        <v>14</v>
      </c>
      <c r="M21" s="361">
        <f>COUNTIFS('Все игры'!A$3:A1000,A21,'Все игры'!C$3:C1000,"&gt;0",'Все игры'!B$3:B1000,"Мафия")</f>
        <v>4</v>
      </c>
      <c r="N21" s="361">
        <f>IFERROR(__xludf.DUMMYFUNCTION("COUNTBLANK(FILTER('Все игры'!A$3:C1000,'Все игры'!A$3:A1000=A21,'Все игры'!C$3:C1000 &lt; 1,'Все игры'!B$3:B1000=""Мафия""))"),5.0)</f>
        <v>5</v>
      </c>
      <c r="O21" s="361">
        <f>COUNTIFS('Все игры'!A$3:A1000,A21,'Все игры'!C$3:C1000,"&gt;0",'Все игры'!B$3:B1000,"Шериф")</f>
        <v>1</v>
      </c>
      <c r="P21" s="368">
        <f>IFERROR(__xludf.DUMMYFUNCTION("COUNTBLANK(FILTER('Все игры'!A$3:C1000,'Все игры'!A$3:A1000=A21,'Все игры'!C$3:C1000 &lt; 1,'Все игры'!B$3:B1000=""Шериф""))"),5.0)</f>
        <v>5</v>
      </c>
      <c r="Q21" s="361">
        <f>COUNTIFS('Все игры'!A$3:A1000,A21,'Все игры'!C$3:C1000,"&gt;0",'Все игры'!B$3:B1000,"Дон")</f>
        <v>1</v>
      </c>
      <c r="R21" s="361">
        <f>IFERROR(__xludf.DUMMYFUNCTION("COUNTBLANK(FILTER('Все игры'!A$3:C1000,'Все игры'!A$3:A1000=A21,'Все игры'!C$3:C1000 &lt; 1,'Все игры'!B$3:B1000=""Дон""))"),4.0)</f>
        <v>4</v>
      </c>
      <c r="S21" s="361">
        <f>COUNTIFS('Все игры'!A$3:A1000,A21,'Все игры'!C$3:C1000,"&gt;0",'Все игры'!B$3:B1000,"Мирный")</f>
        <v>11</v>
      </c>
      <c r="T21" s="369">
        <f>IFERROR(__xludf.DUMMYFUNCTION("COUNTBLANK(FILTER('Все игры'!A$3:C1000,'Все игры'!A$3:A1000=A21,'Все игры'!C$3:C1000 &lt; 1,'Все игры'!B$3:B1000=""Мирный""))"),14.0)</f>
        <v>14</v>
      </c>
      <c r="U21" s="370">
        <f t="shared" si="16"/>
        <v>0.3777777778</v>
      </c>
      <c r="V21" s="371">
        <f t="shared" si="5"/>
        <v>0.3870967742</v>
      </c>
      <c r="W21" s="371">
        <f t="shared" si="6"/>
        <v>0.3571428571</v>
      </c>
      <c r="X21" s="371">
        <f t="shared" si="7"/>
        <v>0.4444444444</v>
      </c>
      <c r="Y21" s="371">
        <f t="shared" si="8"/>
        <v>0.1666666667</v>
      </c>
      <c r="Z21" s="371">
        <f t="shared" si="9"/>
        <v>0.2</v>
      </c>
      <c r="AA21" s="372">
        <f t="shared" si="10"/>
        <v>0.44</v>
      </c>
      <c r="AB21" s="362">
        <f>SUMIFS('Все игры'!D$3:D1000,'Все игры'!A$3:A1000,A21)</f>
        <v>122.5</v>
      </c>
      <c r="AC21" s="362">
        <f>SUMIFS('Все игры'!D$3:D1000,'Все игры'!A$3:A1000,A21,'Все игры'!B$3:B1000,"Мафия")</f>
        <v>21.5</v>
      </c>
      <c r="AD21" s="373">
        <f>SUMIFS('Все игры'!D$3:D1000,'Все игры'!A$3:A1000,A21,'Все игры'!B$3:B1000,"Шериф")</f>
        <v>18.75</v>
      </c>
      <c r="AE21" s="362">
        <f>SUMIFS('Все игры'!D$3:D1000,'Все игры'!A$3:A1000,A21,'Все игры'!B$3:B1000,"Дон")</f>
        <v>13</v>
      </c>
      <c r="AF21" s="363">
        <f>SUMIFS('Все игры'!D$3:D1000,'Все игры'!A$3:A1000,A21,'Все игры'!B$3:B1000,"Мирный")</f>
        <v>69.25</v>
      </c>
      <c r="AG21" s="362">
        <f t="shared" si="11"/>
        <v>2.722222222</v>
      </c>
      <c r="AH21" s="362">
        <f t="shared" si="12"/>
        <v>2.388888889</v>
      </c>
      <c r="AI21" s="362">
        <f t="shared" si="13"/>
        <v>3.125</v>
      </c>
      <c r="AJ21" s="362">
        <f t="shared" si="14"/>
        <v>2.6</v>
      </c>
      <c r="AK21" s="362">
        <f t="shared" si="15"/>
        <v>2.77</v>
      </c>
      <c r="AL21" s="348">
        <f>MAX('Турнирная таблица по Алфавиту'!T23:CA23)</f>
        <v>28.25</v>
      </c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8"/>
      <c r="BG21" s="348"/>
      <c r="BH21" s="348"/>
      <c r="BI21" s="348"/>
      <c r="BJ21" s="348"/>
      <c r="BK21" s="348"/>
      <c r="BL21" s="348"/>
      <c r="BM21" s="348"/>
    </row>
    <row r="22">
      <c r="A22" s="360" t="s">
        <v>96</v>
      </c>
      <c r="B22" s="347">
        <f t="shared" si="1"/>
        <v>50</v>
      </c>
      <c r="C22" s="348">
        <f>'Турнирная таблица по Алфавиту'!E24</f>
        <v>183.5</v>
      </c>
      <c r="D22" s="349">
        <f>'Турнирная таблица по Алфавиту'!F24</f>
        <v>18.35</v>
      </c>
      <c r="E22" s="350">
        <f>COUNTIFS('Все игры'!A$3:A1000,A22,'Все игры'!F$3:F1000,"=1")</f>
        <v>0</v>
      </c>
      <c r="F22" s="350">
        <f>COUNTIFS('Все игры'!A$3:A1000,A22,'Все игры'!F$3:F1000,"=0,50")</f>
        <v>0</v>
      </c>
      <c r="G22" s="350">
        <f>COUNTIFS('Все игры'!A$3:A1000,A22,'Все игры'!G$3:G1000,"&gt;0")</f>
        <v>4</v>
      </c>
      <c r="H22" s="351">
        <f t="shared" si="2"/>
        <v>0.1052631579</v>
      </c>
      <c r="I22" s="352">
        <f>COUNTIFS('Все игры'!A$3:A1000,A22,'Все игры'!E$3:E1000,"У/Победа")</f>
        <v>4</v>
      </c>
      <c r="J22" s="352">
        <f>COUNTIFS('Все игры'!A$3:A1000,A22,'Все игры'!E$3:E1000,"У/Проигрыш")</f>
        <v>0</v>
      </c>
      <c r="K22" s="353">
        <f t="shared" si="3"/>
        <v>38</v>
      </c>
      <c r="L22" s="347">
        <f t="shared" si="4"/>
        <v>12</v>
      </c>
      <c r="M22" s="347">
        <f>COUNTIFS('Все игры'!A$3:A1000,A22,'Все игры'!C$3:C1000,"&gt;0",'Все игры'!B$3:B1000,"Мафия")</f>
        <v>6</v>
      </c>
      <c r="N22" s="347">
        <f>IFERROR(__xludf.DUMMYFUNCTION("COUNTBLANK(FILTER('Все игры'!A$3:C1000,'Все игры'!A$3:A1000=A22,'Все игры'!C$3:C1000 &lt; 1,'Все игры'!B$3:B1000=""Мафия""))"),3.0)</f>
        <v>3</v>
      </c>
      <c r="O22" s="347">
        <f>COUNTIFS('Все игры'!A$3:A1000,A22,'Все игры'!C$3:C1000,"&gt;0",'Все игры'!B$3:B1000,"Шериф")</f>
        <v>2</v>
      </c>
      <c r="P22" s="354">
        <f>IFERROR(__xludf.DUMMYFUNCTION("COUNTBLANK(FILTER('Все игры'!A$3:C1000,'Все игры'!A$3:A1000=A22,'Все игры'!C$3:C1000 &lt; 1,'Все игры'!B$3:B1000=""Шериф""))"),3.0)</f>
        <v>3</v>
      </c>
      <c r="Q22" s="347">
        <f>COUNTIFS('Все игры'!A$3:A1000,A22,'Все игры'!C$3:C1000,"&gt;0",'Все игры'!B$3:B1000,"Дон")</f>
        <v>2</v>
      </c>
      <c r="R22" s="347">
        <f>IFERROR(__xludf.DUMMYFUNCTION("COUNTBLANK(FILTER('Все игры'!A$3:C1000,'Все игры'!A$3:A1000=A22,'Все игры'!C$3:C1000 &lt; 1,'Все игры'!B$3:B1000=""Дон""))"),1.0)</f>
        <v>1</v>
      </c>
      <c r="S22" s="347">
        <f>COUNTIFS('Все игры'!A$3:A1000,A22,'Все игры'!C$3:C1000,"&gt;0",'Все игры'!B$3:B1000,"Мирный")</f>
        <v>13</v>
      </c>
      <c r="T22" s="355">
        <f>IFERROR(__xludf.DUMMYFUNCTION("COUNTBLANK(FILTER('Все игры'!A$3:C1000,'Все игры'!A$3:A1000=A22,'Все игры'!C$3:C1000 &lt; 1,'Все игры'!B$3:B1000=""Мирный""))"),20.0)</f>
        <v>20</v>
      </c>
      <c r="U22" s="356">
        <f t="shared" si="16"/>
        <v>0.46</v>
      </c>
      <c r="V22" s="357">
        <f t="shared" si="5"/>
        <v>0.3947368421</v>
      </c>
      <c r="W22" s="357">
        <f t="shared" si="6"/>
        <v>0.6666666667</v>
      </c>
      <c r="X22" s="357">
        <f t="shared" si="7"/>
        <v>0.6666666667</v>
      </c>
      <c r="Y22" s="357">
        <f t="shared" si="8"/>
        <v>0.4</v>
      </c>
      <c r="Z22" s="357">
        <f t="shared" si="9"/>
        <v>0.6666666667</v>
      </c>
      <c r="AA22" s="358">
        <f t="shared" si="10"/>
        <v>0.3939393939</v>
      </c>
      <c r="AB22" s="348">
        <f>SUMIFS('Все игры'!D$3:D1000,'Все игры'!A$3:A1000,A22)</f>
        <v>124</v>
      </c>
      <c r="AC22" s="348">
        <f>SUMIFS('Все игры'!D$3:D1000,'Все игры'!A$3:A1000,A22,'Все игры'!B$3:B1000,"Мафия")</f>
        <v>26</v>
      </c>
      <c r="AD22" s="359">
        <f>SUMIFS('Все игры'!D$3:D1000,'Все игры'!A$3:A1000,A22,'Все игры'!B$3:B1000,"Шериф")</f>
        <v>14.75</v>
      </c>
      <c r="AE22" s="348">
        <f>SUMIFS('Все игры'!D$3:D1000,'Все игры'!A$3:A1000,A22,'Все игры'!B$3:B1000,"Дон")</f>
        <v>8.75</v>
      </c>
      <c r="AF22" s="349">
        <f>SUMIFS('Все игры'!D$3:D1000,'Все игры'!A$3:A1000,A22,'Все игры'!B$3:B1000,"Мирный")</f>
        <v>74.5</v>
      </c>
      <c r="AG22" s="348">
        <f t="shared" si="11"/>
        <v>2.48</v>
      </c>
      <c r="AH22" s="348">
        <f t="shared" si="12"/>
        <v>2.888888889</v>
      </c>
      <c r="AI22" s="348">
        <f t="shared" si="13"/>
        <v>2.95</v>
      </c>
      <c r="AJ22" s="348">
        <f t="shared" si="14"/>
        <v>2.916666667</v>
      </c>
      <c r="AK22" s="348">
        <f t="shared" si="15"/>
        <v>2.257575758</v>
      </c>
      <c r="AL22" s="348">
        <f>MAX('Турнирная таблица по Алфавиту'!T24:CA24)</f>
        <v>23.25</v>
      </c>
      <c r="AM22" s="348"/>
      <c r="AN22" s="348"/>
      <c r="AO22" s="348"/>
      <c r="AP22" s="348"/>
      <c r="AQ22" s="348"/>
      <c r="AR22" s="348"/>
      <c r="AS22" s="348"/>
      <c r="AT22" s="348"/>
      <c r="AU22" s="348"/>
      <c r="AV22" s="348"/>
      <c r="AW22" s="348"/>
      <c r="AX22" s="348"/>
      <c r="AY22" s="348"/>
      <c r="AZ22" s="348"/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348"/>
    </row>
    <row r="23">
      <c r="A23" s="360" t="s">
        <v>97</v>
      </c>
      <c r="B23" s="361">
        <f t="shared" si="1"/>
        <v>50</v>
      </c>
      <c r="C23" s="362">
        <f>'Турнирная таблица по Алфавиту'!E25</f>
        <v>199.75</v>
      </c>
      <c r="D23" s="363">
        <f>'Турнирная таблица по Алфавиту'!F25</f>
        <v>19.975</v>
      </c>
      <c r="E23" s="364">
        <f>COUNTIFS('Все игры'!A$3:A1000,A23,'Все игры'!F$3:F1000,"=1")</f>
        <v>0</v>
      </c>
      <c r="F23" s="364">
        <f>COUNTIFS('Все игры'!A$3:A1000,A23,'Все игры'!F$3:F1000,"=0,50")</f>
        <v>0</v>
      </c>
      <c r="G23" s="364">
        <f>COUNTIFS('Все игры'!A$3:A1000,A23,'Все игры'!G$3:G1000,"&gt;0")</f>
        <v>1</v>
      </c>
      <c r="H23" s="365">
        <f t="shared" si="2"/>
        <v>0.02941176471</v>
      </c>
      <c r="I23" s="366">
        <f>COUNTIFS('Все игры'!A$3:A1000,A23,'Все игры'!E$3:E1000,"У/Победа")</f>
        <v>5</v>
      </c>
      <c r="J23" s="366">
        <f>COUNTIFS('Все игры'!A$3:A1000,A23,'Все игры'!E$3:E1000,"У/Проигрыш")</f>
        <v>4</v>
      </c>
      <c r="K23" s="367">
        <f t="shared" si="3"/>
        <v>34</v>
      </c>
      <c r="L23" s="361">
        <f t="shared" si="4"/>
        <v>16</v>
      </c>
      <c r="M23" s="361">
        <f>COUNTIFS('Все игры'!A$3:A1000,A23,'Все игры'!C$3:C1000,"&gt;0",'Все игры'!B$3:B1000,"Мафия")</f>
        <v>7</v>
      </c>
      <c r="N23" s="361">
        <f>IFERROR(__xludf.DUMMYFUNCTION("COUNTBLANK(FILTER('Все игры'!A$3:C1000,'Все игры'!A$3:A1000=A23,'Все игры'!C$3:C1000 &lt; 1,'Все игры'!B$3:B1000=""Мафия""))"),4.0)</f>
        <v>4</v>
      </c>
      <c r="O23" s="361">
        <f>COUNTIFS('Все игры'!A$3:A1000,A23,'Все игры'!C$3:C1000,"&gt;0",'Все игры'!B$3:B1000,"Шериф")</f>
        <v>2</v>
      </c>
      <c r="P23" s="368">
        <f>IFERROR(__xludf.DUMMYFUNCTION("COUNTBLANK(FILTER('Все игры'!A$3:C1000,'Все игры'!A$3:A1000=A23,'Все игры'!C$3:C1000 &lt; 1,'Все игры'!B$3:B1000=""Шериф""))"),1.0)</f>
        <v>1</v>
      </c>
      <c r="Q23" s="361">
        <f>COUNTIFS('Все игры'!A$3:A1000,A23,'Все игры'!C$3:C1000,"&gt;0",'Все игры'!B$3:B1000,"Дон")</f>
        <v>2</v>
      </c>
      <c r="R23" s="361">
        <f>IFERROR(__xludf.DUMMYFUNCTION("COUNTBLANK(FILTER('Все игры'!A$3:C1000,'Все игры'!A$3:A1000=A23,'Все игры'!C$3:C1000 &lt; 1,'Все игры'!B$3:B1000=""Дон""))"),3.0)</f>
        <v>3</v>
      </c>
      <c r="S23" s="361">
        <f>COUNTIFS('Все игры'!A$3:A1000,A23,'Все игры'!C$3:C1000,"&gt;0",'Все игры'!B$3:B1000,"Мирный")</f>
        <v>14</v>
      </c>
      <c r="T23" s="369">
        <f>IFERROR(__xludf.DUMMYFUNCTION("COUNTBLANK(FILTER('Все игры'!A$3:C1000,'Все игры'!A$3:A1000=A23,'Все игры'!C$3:C1000 &lt; 1,'Все игры'!B$3:B1000=""Мирный""))"),17.0)</f>
        <v>17</v>
      </c>
      <c r="U23" s="370">
        <f t="shared" si="16"/>
        <v>0.5</v>
      </c>
      <c r="V23" s="371">
        <f t="shared" si="5"/>
        <v>0.4705882353</v>
      </c>
      <c r="W23" s="371">
        <f t="shared" si="6"/>
        <v>0.5625</v>
      </c>
      <c r="X23" s="371">
        <f t="shared" si="7"/>
        <v>0.6363636364</v>
      </c>
      <c r="Y23" s="371">
        <f t="shared" si="8"/>
        <v>0.6666666667</v>
      </c>
      <c r="Z23" s="371">
        <f t="shared" si="9"/>
        <v>0.4</v>
      </c>
      <c r="AA23" s="372">
        <f t="shared" si="10"/>
        <v>0.4516129032</v>
      </c>
      <c r="AB23" s="362">
        <f>SUMIFS('Все игры'!D$3:D1000,'Все игры'!A$3:A1000,A23)</f>
        <v>136.75</v>
      </c>
      <c r="AC23" s="362">
        <f>SUMIFS('Все игры'!D$3:D1000,'Все игры'!A$3:A1000,A23,'Все игры'!B$3:B1000,"Мафия")</f>
        <v>31.5</v>
      </c>
      <c r="AD23" s="373">
        <f>SUMIFS('Все игры'!D$3:D1000,'Все игры'!A$3:A1000,A23,'Все игры'!B$3:B1000,"Шериф")</f>
        <v>9.25</v>
      </c>
      <c r="AE23" s="362">
        <f>SUMIFS('Все игры'!D$3:D1000,'Все игры'!A$3:A1000,A23,'Все игры'!B$3:B1000,"Дон")</f>
        <v>13.75</v>
      </c>
      <c r="AF23" s="363">
        <f>SUMIFS('Все игры'!D$3:D1000,'Все игры'!A$3:A1000,A23,'Все игры'!B$3:B1000,"Мирный")</f>
        <v>82.25</v>
      </c>
      <c r="AG23" s="362">
        <f t="shared" si="11"/>
        <v>2.735</v>
      </c>
      <c r="AH23" s="362">
        <f t="shared" si="12"/>
        <v>2.863636364</v>
      </c>
      <c r="AI23" s="362">
        <f t="shared" si="13"/>
        <v>3.083333333</v>
      </c>
      <c r="AJ23" s="362">
        <f t="shared" si="14"/>
        <v>2.75</v>
      </c>
      <c r="AK23" s="362">
        <f t="shared" si="15"/>
        <v>2.653225806</v>
      </c>
      <c r="AL23" s="348">
        <f>MAX('Турнирная таблица по Алфавиту'!T25:CA25)</f>
        <v>29.5</v>
      </c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348"/>
    </row>
    <row r="24">
      <c r="A24" s="360" t="s">
        <v>98</v>
      </c>
      <c r="B24" s="347">
        <f t="shared" si="1"/>
        <v>50</v>
      </c>
      <c r="C24" s="348">
        <f>'Турнирная таблица по Алфавиту'!E26</f>
        <v>192.75</v>
      </c>
      <c r="D24" s="349">
        <f>'Турнирная таблица по Алфавиту'!F26</f>
        <v>19.275</v>
      </c>
      <c r="E24" s="350">
        <f>COUNTIFS('Все игры'!A$3:A1000,A24,'Все игры'!F$3:F1000,"=1")</f>
        <v>0</v>
      </c>
      <c r="F24" s="350">
        <f>COUNTIFS('Все игры'!A$3:A1000,A24,'Все игры'!F$3:F1000,"=0,50")</f>
        <v>2</v>
      </c>
      <c r="G24" s="350">
        <f>COUNTIFS('Все игры'!A$3:A1000,A24,'Все игры'!G$3:G1000,"&gt;0")</f>
        <v>3</v>
      </c>
      <c r="H24" s="351">
        <f t="shared" si="2"/>
        <v>0.08108108108</v>
      </c>
      <c r="I24" s="352">
        <f>COUNTIFS('Все игры'!A$3:A1000,A24,'Все игры'!E$3:E1000,"У/Победа")</f>
        <v>1</v>
      </c>
      <c r="J24" s="352">
        <f>COUNTIFS('Все игры'!A$3:A1000,A24,'Все игры'!E$3:E1000,"У/Проигрыш")</f>
        <v>6</v>
      </c>
      <c r="K24" s="353">
        <f t="shared" si="3"/>
        <v>37</v>
      </c>
      <c r="L24" s="347">
        <f t="shared" si="4"/>
        <v>13</v>
      </c>
      <c r="M24" s="347">
        <f>COUNTIFS('Все игры'!A$3:A1000,A24,'Все игры'!C$3:C1000,"&gt;0",'Все игры'!B$3:B1000,"Мафия")</f>
        <v>3</v>
      </c>
      <c r="N24" s="347">
        <f>IFERROR(__xludf.DUMMYFUNCTION("COUNTBLANK(FILTER('Все игры'!A$3:C1000,'Все игры'!A$3:A1000=A24,'Все игры'!C$3:C1000 &lt; 1,'Все игры'!B$3:B1000=""Мафия""))"),2.0)</f>
        <v>2</v>
      </c>
      <c r="O24" s="347">
        <f>COUNTIFS('Все игры'!A$3:A1000,A24,'Все игры'!C$3:C1000,"&gt;0",'Все игры'!B$3:B1000,"Шериф")</f>
        <v>5</v>
      </c>
      <c r="P24" s="354">
        <f>IFERROR(__xludf.DUMMYFUNCTION("COUNTBLANK(FILTER('Все игры'!A$3:C1000,'Все игры'!A$3:A1000=A24,'Все игры'!C$3:C1000 &lt; 1,'Все игры'!B$3:B1000=""Шериф""))"),3.0)</f>
        <v>3</v>
      </c>
      <c r="Q24" s="347">
        <f>COUNTIFS('Все игры'!A$3:A1000,A24,'Все игры'!C$3:C1000,"&gt;0",'Все игры'!B$3:B1000,"Дон")</f>
        <v>4</v>
      </c>
      <c r="R24" s="347">
        <f>IFERROR(__xludf.DUMMYFUNCTION("COUNTBLANK(FILTER('Все игры'!A$3:C1000,'Все игры'!A$3:A1000=A24,'Все игры'!C$3:C1000 &lt; 1,'Все игры'!B$3:B1000=""Дон""))"),4.0)</f>
        <v>4</v>
      </c>
      <c r="S24" s="347">
        <f>COUNTIFS('Все игры'!A$3:A1000,A24,'Все игры'!C$3:C1000,"&gt;0",'Все игры'!B$3:B1000,"Мирный")</f>
        <v>9</v>
      </c>
      <c r="T24" s="355">
        <f>IFERROR(__xludf.DUMMYFUNCTION("COUNTBLANK(FILTER('Все игры'!A$3:C1000,'Все игры'!A$3:A1000=A24,'Все игры'!C$3:C1000 &lt; 1,'Все игры'!B$3:B1000=""Мирный""))"),20.0)</f>
        <v>20</v>
      </c>
      <c r="U24" s="356">
        <f t="shared" si="16"/>
        <v>0.42</v>
      </c>
      <c r="V24" s="357">
        <f t="shared" si="5"/>
        <v>0.3783783784</v>
      </c>
      <c r="W24" s="357">
        <f t="shared" si="6"/>
        <v>0.5384615385</v>
      </c>
      <c r="X24" s="357">
        <f t="shared" si="7"/>
        <v>0.6</v>
      </c>
      <c r="Y24" s="357">
        <f t="shared" si="8"/>
        <v>0.625</v>
      </c>
      <c r="Z24" s="357">
        <f t="shared" si="9"/>
        <v>0.5</v>
      </c>
      <c r="AA24" s="358">
        <f t="shared" si="10"/>
        <v>0.3103448276</v>
      </c>
      <c r="AB24" s="348">
        <f>SUMIFS('Все игры'!D$3:D1000,'Все игры'!A$3:A1000,A24)</f>
        <v>137.75</v>
      </c>
      <c r="AC24" s="348">
        <f>SUMIFS('Все игры'!D$3:D1000,'Все игры'!A$3:A1000,A24,'Все игры'!B$3:B1000,"Мафия")</f>
        <v>14.75</v>
      </c>
      <c r="AD24" s="359">
        <f>SUMIFS('Все игры'!D$3:D1000,'Все игры'!A$3:A1000,A24,'Все игры'!B$3:B1000,"Шериф")</f>
        <v>23.5</v>
      </c>
      <c r="AE24" s="348">
        <f>SUMIFS('Все игры'!D$3:D1000,'Все игры'!A$3:A1000,A24,'Все игры'!B$3:B1000,"Дон")</f>
        <v>23.25</v>
      </c>
      <c r="AF24" s="349">
        <f>SUMIFS('Все игры'!D$3:D1000,'Все игры'!A$3:A1000,A24,'Все игры'!B$3:B1000,"Мирный")</f>
        <v>76.25</v>
      </c>
      <c r="AG24" s="348">
        <f t="shared" si="11"/>
        <v>2.755</v>
      </c>
      <c r="AH24" s="348">
        <f t="shared" si="12"/>
        <v>2.95</v>
      </c>
      <c r="AI24" s="348">
        <f t="shared" si="13"/>
        <v>2.9375</v>
      </c>
      <c r="AJ24" s="348">
        <f t="shared" si="14"/>
        <v>2.90625</v>
      </c>
      <c r="AK24" s="348">
        <f t="shared" si="15"/>
        <v>2.629310345</v>
      </c>
      <c r="AL24" s="348">
        <f>MAX('Турнирная таблица по Алфавиту'!T26:CA26)</f>
        <v>23.5</v>
      </c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8"/>
      <c r="BG24" s="348"/>
      <c r="BH24" s="348"/>
      <c r="BI24" s="348"/>
      <c r="BJ24" s="348"/>
      <c r="BK24" s="348"/>
      <c r="BL24" s="348"/>
      <c r="BM24" s="348"/>
    </row>
    <row r="25">
      <c r="A25" s="360" t="s">
        <v>99</v>
      </c>
      <c r="B25" s="361">
        <f t="shared" si="1"/>
        <v>50</v>
      </c>
      <c r="C25" s="362">
        <f>'Турнирная таблица по Алфавиту'!E27</f>
        <v>201.25</v>
      </c>
      <c r="D25" s="363">
        <f>'Турнирная таблица по Алфавиту'!F27</f>
        <v>20.125</v>
      </c>
      <c r="E25" s="364">
        <f>COUNTIFS('Все игры'!A$3:A1000,A25,'Все игры'!F$3:F1000,"=1")</f>
        <v>0</v>
      </c>
      <c r="F25" s="364">
        <f>COUNTIFS('Все игры'!A$3:A1000,A25,'Все игры'!F$3:F1000,"=0,50")</f>
        <v>0</v>
      </c>
      <c r="G25" s="364">
        <f>COUNTIFS('Все игры'!A$3:A1000,A25,'Все игры'!G$3:G1000,"&gt;0")</f>
        <v>2</v>
      </c>
      <c r="H25" s="365">
        <f t="shared" si="2"/>
        <v>0.05128205128</v>
      </c>
      <c r="I25" s="366">
        <f>COUNTIFS('Все игры'!A$3:A1000,A25,'Все игры'!E$3:E1000,"У/Победа")</f>
        <v>4</v>
      </c>
      <c r="J25" s="366">
        <f>COUNTIFS('Все игры'!A$3:A1000,A25,'Все игры'!E$3:E1000,"У/Проигрыш")</f>
        <v>1</v>
      </c>
      <c r="K25" s="367">
        <f t="shared" si="3"/>
        <v>39</v>
      </c>
      <c r="L25" s="361">
        <f t="shared" si="4"/>
        <v>11</v>
      </c>
      <c r="M25" s="361">
        <f>COUNTIFS('Все игры'!A$3:A1000,A25,'Все игры'!C$3:C1000,"&gt;0",'Все игры'!B$3:B1000,"Мафия")</f>
        <v>6</v>
      </c>
      <c r="N25" s="361">
        <f>IFERROR(__xludf.DUMMYFUNCTION("COUNTBLANK(FILTER('Все игры'!A$3:C1000,'Все игры'!A$3:A1000=A25,'Все игры'!C$3:C1000 &lt; 1,'Все игры'!B$3:B1000=""Мафия""))"),2.0)</f>
        <v>2</v>
      </c>
      <c r="O25" s="361">
        <f>COUNTIFS('Все игры'!A$3:A1000,A25,'Все игры'!C$3:C1000,"&gt;0",'Все игры'!B$3:B1000,"Шериф")</f>
        <v>5</v>
      </c>
      <c r="P25" s="368">
        <f>IFERROR(__xludf.DUMMYFUNCTION("COUNTBLANK(FILTER('Все игры'!A$3:C1000,'Все игры'!A$3:A1000=A25,'Все игры'!C$3:C1000 &lt; 1,'Все игры'!B$3:B1000=""Шериф""))"),5.0)</f>
        <v>5</v>
      </c>
      <c r="Q25" s="361">
        <f>COUNTIFS('Все игры'!A$3:A1000,A25,'Все игры'!C$3:C1000,"&gt;0",'Все игры'!B$3:B1000,"Дон")</f>
        <v>3</v>
      </c>
      <c r="R25" s="361">
        <f>IFERROR(__xludf.DUMMYFUNCTION("COUNTBLANK(FILTER('Все игры'!A$3:C1000,'Все игры'!A$3:A1000=A25,'Все игры'!C$3:C1000 &lt; 1,'Все игры'!B$3:B1000=""Дон""))"),0.0)</f>
        <v>0</v>
      </c>
      <c r="S25" s="361">
        <f>COUNTIFS('Все игры'!A$3:A1000,A25,'Все игры'!C$3:C1000,"&gt;0",'Все игры'!B$3:B1000,"Мирный")</f>
        <v>11</v>
      </c>
      <c r="T25" s="369">
        <f>IFERROR(__xludf.DUMMYFUNCTION("COUNTBLANK(FILTER('Все игры'!A$3:C1000,'Все игры'!A$3:A1000=A25,'Все игры'!C$3:C1000 &lt; 1,'Все игры'!B$3:B1000=""Мирный""))"),18.0)</f>
        <v>18</v>
      </c>
      <c r="U25" s="370">
        <f t="shared" si="16"/>
        <v>0.5</v>
      </c>
      <c r="V25" s="371">
        <f t="shared" si="5"/>
        <v>0.4102564103</v>
      </c>
      <c r="W25" s="371">
        <f t="shared" si="6"/>
        <v>0.8181818182</v>
      </c>
      <c r="X25" s="371">
        <f t="shared" si="7"/>
        <v>0.75</v>
      </c>
      <c r="Y25" s="371">
        <f t="shared" si="8"/>
        <v>0.5</v>
      </c>
      <c r="Z25" s="371">
        <f t="shared" si="9"/>
        <v>1</v>
      </c>
      <c r="AA25" s="372">
        <f t="shared" si="10"/>
        <v>0.3793103448</v>
      </c>
      <c r="AB25" s="362">
        <f>SUMIFS('Все игры'!D$3:D1000,'Все игры'!A$3:A1000,A25)</f>
        <v>137.75</v>
      </c>
      <c r="AC25" s="362">
        <f>SUMIFS('Все игры'!D$3:D1000,'Все игры'!A$3:A1000,A25,'Все игры'!B$3:B1000,"Мафия")</f>
        <v>23.25</v>
      </c>
      <c r="AD25" s="373">
        <f>SUMIFS('Все игры'!D$3:D1000,'Все игры'!A$3:A1000,A25,'Все игры'!B$3:B1000,"Шериф")</f>
        <v>28.25</v>
      </c>
      <c r="AE25" s="362">
        <f>SUMIFS('Все игры'!D$3:D1000,'Все игры'!A$3:A1000,A25,'Все игры'!B$3:B1000,"Дон")</f>
        <v>10</v>
      </c>
      <c r="AF25" s="363">
        <f>SUMIFS('Все игры'!D$3:D1000,'Все игры'!A$3:A1000,A25,'Все игры'!B$3:B1000,"Мирный")</f>
        <v>76.25</v>
      </c>
      <c r="AG25" s="362">
        <f t="shared" si="11"/>
        <v>2.755</v>
      </c>
      <c r="AH25" s="362">
        <f t="shared" si="12"/>
        <v>2.90625</v>
      </c>
      <c r="AI25" s="362">
        <f t="shared" si="13"/>
        <v>2.825</v>
      </c>
      <c r="AJ25" s="362">
        <f t="shared" si="14"/>
        <v>3.333333333</v>
      </c>
      <c r="AK25" s="362">
        <f t="shared" si="15"/>
        <v>2.629310345</v>
      </c>
      <c r="AL25" s="348">
        <f>MAX('Турнирная таблица по Алфавиту'!T27:CA27)</f>
        <v>27.25</v>
      </c>
      <c r="AM25" s="348"/>
      <c r="AN25" s="348"/>
      <c r="AO25" s="348"/>
      <c r="AP25" s="348"/>
      <c r="AQ25" s="348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8"/>
      <c r="BG25" s="348"/>
      <c r="BH25" s="348"/>
      <c r="BI25" s="348"/>
      <c r="BJ25" s="348"/>
      <c r="BK25" s="348"/>
      <c r="BL25" s="348"/>
      <c r="BM25" s="348"/>
    </row>
    <row r="26">
      <c r="A26" s="360" t="s">
        <v>100</v>
      </c>
      <c r="B26" s="347">
        <f t="shared" si="1"/>
        <v>50</v>
      </c>
      <c r="C26" s="348">
        <f>'Турнирная таблица по Алфавиту'!E28</f>
        <v>205.75</v>
      </c>
      <c r="D26" s="349">
        <f>'Турнирная таблица по Алфавиту'!F28</f>
        <v>20.575</v>
      </c>
      <c r="E26" s="350">
        <f>COUNTIFS('Все игры'!A$3:A1000,A26,'Все игры'!F$3:F1000,"=1")</f>
        <v>0</v>
      </c>
      <c r="F26" s="350">
        <f>COUNTIFS('Все игры'!A$3:A1000,A26,'Все игры'!F$3:F1000,"=0,50")</f>
        <v>0</v>
      </c>
      <c r="G26" s="350">
        <f>COUNTIFS('Все игры'!A$3:A1000,A26,'Все игры'!G$3:G1000,"&gt;0")</f>
        <v>5</v>
      </c>
      <c r="H26" s="351">
        <f t="shared" si="2"/>
        <v>0.1666666667</v>
      </c>
      <c r="I26" s="352">
        <f>COUNTIFS('Все игры'!A$3:A1000,A26,'Все игры'!E$3:E1000,"У/Победа")</f>
        <v>4</v>
      </c>
      <c r="J26" s="352">
        <f>COUNTIFS('Все игры'!A$3:A1000,A26,'Все игры'!E$3:E1000,"У/Проигрыш")</f>
        <v>2</v>
      </c>
      <c r="K26" s="353">
        <f t="shared" si="3"/>
        <v>30</v>
      </c>
      <c r="L26" s="347">
        <f t="shared" si="4"/>
        <v>20</v>
      </c>
      <c r="M26" s="347">
        <f>COUNTIFS('Все игры'!A$3:A1000,A26,'Все игры'!C$3:C1000,"&gt;0",'Все игры'!B$3:B1000,"Мафия")</f>
        <v>6</v>
      </c>
      <c r="N26" s="347">
        <f>IFERROR(__xludf.DUMMYFUNCTION("COUNTBLANK(FILTER('Все игры'!A$3:C1000,'Все игры'!A$3:A1000=A26,'Все игры'!C$3:C1000 &lt; 1,'Все игры'!B$3:B1000=""Мафия""))"),7.0)</f>
        <v>7</v>
      </c>
      <c r="O26" s="347">
        <f>COUNTIFS('Все игры'!A$3:A1000,A26,'Все игры'!C$3:C1000,"&gt;0",'Все игры'!B$3:B1000,"Шериф")</f>
        <v>1</v>
      </c>
      <c r="P26" s="354">
        <f>IFERROR(__xludf.DUMMYFUNCTION("COUNTBLANK(FILTER('Все игры'!A$3:C1000,'Все игры'!A$3:A1000=A26,'Все игры'!C$3:C1000 &lt; 1,'Все игры'!B$3:B1000=""Шериф""))"),4.0)</f>
        <v>4</v>
      </c>
      <c r="Q26" s="347">
        <f>COUNTIFS('Все игры'!A$3:A1000,A26,'Все игры'!C$3:C1000,"&gt;0",'Все игры'!B$3:B1000,"Дон")</f>
        <v>5</v>
      </c>
      <c r="R26" s="347">
        <f>IFERROR(__xludf.DUMMYFUNCTION("COUNTBLANK(FILTER('Все игры'!A$3:C1000,'Все игры'!A$3:A1000=A26,'Все игры'!C$3:C1000 &lt; 1,'Все игры'!B$3:B1000=""Дон""))"),2.0)</f>
        <v>2</v>
      </c>
      <c r="S26" s="347">
        <f>COUNTIFS('Все игры'!A$3:A1000,A26,'Все игры'!C$3:C1000,"&gt;0",'Все игры'!B$3:B1000,"Мирный")</f>
        <v>12</v>
      </c>
      <c r="T26" s="355">
        <f>IFERROR(__xludf.DUMMYFUNCTION("COUNTBLANK(FILTER('Все игры'!A$3:C1000,'Все игры'!A$3:A1000=A26,'Все игры'!C$3:C1000 &lt; 1,'Все игры'!B$3:B1000=""Мирный""))"),13.0)</f>
        <v>13</v>
      </c>
      <c r="U26" s="356">
        <f t="shared" si="16"/>
        <v>0.48</v>
      </c>
      <c r="V26" s="357">
        <f t="shared" si="5"/>
        <v>0.4333333333</v>
      </c>
      <c r="W26" s="357">
        <f t="shared" si="6"/>
        <v>0.55</v>
      </c>
      <c r="X26" s="357">
        <f t="shared" si="7"/>
        <v>0.4615384615</v>
      </c>
      <c r="Y26" s="357">
        <f t="shared" si="8"/>
        <v>0.2</v>
      </c>
      <c r="Z26" s="357">
        <f t="shared" si="9"/>
        <v>0.7142857143</v>
      </c>
      <c r="AA26" s="358">
        <f t="shared" si="10"/>
        <v>0.48</v>
      </c>
      <c r="AB26" s="348">
        <f>SUMIFS('Все игры'!D$3:D1000,'Все игры'!A$3:A1000,A26)</f>
        <v>143.25</v>
      </c>
      <c r="AC26" s="348">
        <f>SUMIFS('Все игры'!D$3:D1000,'Все игры'!A$3:A1000,A26,'Все игры'!B$3:B1000,"Мафия")</f>
        <v>36.25</v>
      </c>
      <c r="AD26" s="359">
        <f>SUMIFS('Все игры'!D$3:D1000,'Все игры'!A$3:A1000,A26,'Все игры'!B$3:B1000,"Шериф")</f>
        <v>11.5</v>
      </c>
      <c r="AE26" s="348">
        <f>SUMIFS('Все игры'!D$3:D1000,'Все игры'!A$3:A1000,A26,'Все игры'!B$3:B1000,"Дон")</f>
        <v>23</v>
      </c>
      <c r="AF26" s="349">
        <f>SUMIFS('Все игры'!D$3:D1000,'Все игры'!A$3:A1000,A26,'Все игры'!B$3:B1000,"Мирный")</f>
        <v>72.5</v>
      </c>
      <c r="AG26" s="348">
        <f t="shared" si="11"/>
        <v>2.865</v>
      </c>
      <c r="AH26" s="348">
        <f t="shared" si="12"/>
        <v>2.788461538</v>
      </c>
      <c r="AI26" s="348">
        <f t="shared" si="13"/>
        <v>2.3</v>
      </c>
      <c r="AJ26" s="348">
        <f t="shared" si="14"/>
        <v>3.285714286</v>
      </c>
      <c r="AK26" s="348">
        <f t="shared" si="15"/>
        <v>2.9</v>
      </c>
      <c r="AL26" s="348">
        <f>MAX('Турнирная таблица по Алфавиту'!T28:CA28)</f>
        <v>28</v>
      </c>
      <c r="AM26" s="348"/>
      <c r="AN26" s="348"/>
      <c r="AO26" s="348"/>
      <c r="AP26" s="348"/>
      <c r="AQ26" s="348"/>
      <c r="AR26" s="348"/>
      <c r="AS26" s="348"/>
      <c r="AT26" s="348"/>
      <c r="AU26" s="348"/>
      <c r="AV26" s="348"/>
      <c r="AW26" s="348"/>
      <c r="AX26" s="348"/>
      <c r="AY26" s="348"/>
      <c r="AZ26" s="348"/>
      <c r="BA26" s="348"/>
      <c r="BB26" s="348"/>
      <c r="BC26" s="348"/>
      <c r="BD26" s="348"/>
      <c r="BE26" s="348"/>
      <c r="BF26" s="348"/>
      <c r="BG26" s="348"/>
      <c r="BH26" s="348"/>
      <c r="BI26" s="348"/>
      <c r="BJ26" s="348"/>
      <c r="BK26" s="348"/>
      <c r="BL26" s="348"/>
      <c r="BM26" s="348"/>
    </row>
    <row r="27">
      <c r="A27" s="360" t="s">
        <v>101</v>
      </c>
      <c r="B27" s="361">
        <f t="shared" si="1"/>
        <v>50</v>
      </c>
      <c r="C27" s="362">
        <f>'Турнирная таблица по Алфавиту'!E29</f>
        <v>184</v>
      </c>
      <c r="D27" s="363">
        <f>'Турнирная таблица по Алфавиту'!F29</f>
        <v>18.4</v>
      </c>
      <c r="E27" s="364">
        <f>COUNTIFS('Все игры'!A$3:A1000,A27,'Все игры'!F$3:F1000,"=1")</f>
        <v>0</v>
      </c>
      <c r="F27" s="364">
        <f>COUNTIFS('Все игры'!A$3:A1000,A27,'Все игры'!F$3:F1000,"=0,50")</f>
        <v>0</v>
      </c>
      <c r="G27" s="364">
        <f>COUNTIFS('Все игры'!A$3:A1000,A27,'Все игры'!G$3:G1000,"&gt;0")</f>
        <v>4</v>
      </c>
      <c r="H27" s="365">
        <f t="shared" si="2"/>
        <v>0.1052631579</v>
      </c>
      <c r="I27" s="366">
        <f>COUNTIFS('Все игры'!A$3:A1000,A27,'Все игры'!E$3:E1000,"У/Победа")</f>
        <v>2</v>
      </c>
      <c r="J27" s="366">
        <f>COUNTIFS('Все игры'!A$3:A1000,A27,'Все игры'!E$3:E1000,"У/Проигрыш")</f>
        <v>4</v>
      </c>
      <c r="K27" s="367">
        <f t="shared" si="3"/>
        <v>38</v>
      </c>
      <c r="L27" s="361">
        <f t="shared" si="4"/>
        <v>12</v>
      </c>
      <c r="M27" s="361">
        <f>COUNTIFS('Все игры'!A$3:A1000,A27,'Все игры'!C$3:C1000,"&gt;0",'Все игры'!B$3:B1000,"Мафия")</f>
        <v>5</v>
      </c>
      <c r="N27" s="361">
        <f>IFERROR(__xludf.DUMMYFUNCTION("COUNTBLANK(FILTER('Все игры'!A$3:C1000,'Все игры'!A$3:A1000=A27,'Все игры'!C$3:C1000 &lt; 1,'Все игры'!B$3:B1000=""Мафия""))"),5.0)</f>
        <v>5</v>
      </c>
      <c r="O27" s="361">
        <f>COUNTIFS('Все игры'!A$3:A1000,A27,'Все игры'!C$3:C1000,"&gt;0",'Все игры'!B$3:B1000,"Шериф")</f>
        <v>3</v>
      </c>
      <c r="P27" s="368">
        <f>IFERROR(__xludf.DUMMYFUNCTION("COUNTBLANK(FILTER('Все игры'!A$3:C1000,'Все игры'!A$3:A1000=A27,'Все игры'!C$3:C1000 &lt; 1,'Все игры'!B$3:B1000=""Шериф""))"),4.0)</f>
        <v>4</v>
      </c>
      <c r="Q27" s="361">
        <f>COUNTIFS('Все игры'!A$3:A1000,A27,'Все игры'!C$3:C1000,"&gt;0",'Все игры'!B$3:B1000,"Дон")</f>
        <v>0</v>
      </c>
      <c r="R27" s="361">
        <f>IFERROR(__xludf.DUMMYFUNCTION("COUNTBLANK(FILTER('Все игры'!A$3:C1000,'Все игры'!A$3:A1000=A27,'Все игры'!C$3:C1000 &lt; 1,'Все игры'!B$3:B1000=""Дон""))"),2.0)</f>
        <v>2</v>
      </c>
      <c r="S27" s="361">
        <f>COUNTIFS('Все игры'!A$3:A1000,A27,'Все игры'!C$3:C1000,"&gt;0",'Все игры'!B$3:B1000,"Мирный")</f>
        <v>15</v>
      </c>
      <c r="T27" s="369">
        <f>IFERROR(__xludf.DUMMYFUNCTION("COUNTBLANK(FILTER('Все игры'!A$3:C1000,'Все игры'!A$3:A1000=A27,'Все игры'!C$3:C1000 &lt; 1,'Все игры'!B$3:B1000=""Мирный""))"),16.0)</f>
        <v>16</v>
      </c>
      <c r="U27" s="370">
        <f t="shared" si="16"/>
        <v>0.46</v>
      </c>
      <c r="V27" s="371">
        <f t="shared" si="5"/>
        <v>0.4736842105</v>
      </c>
      <c r="W27" s="371">
        <f t="shared" si="6"/>
        <v>0.4166666667</v>
      </c>
      <c r="X27" s="371">
        <f t="shared" si="7"/>
        <v>0.5</v>
      </c>
      <c r="Y27" s="371">
        <f t="shared" si="8"/>
        <v>0.4285714286</v>
      </c>
      <c r="Z27" s="371">
        <f t="shared" si="9"/>
        <v>0</v>
      </c>
      <c r="AA27" s="372">
        <f t="shared" si="10"/>
        <v>0.4838709677</v>
      </c>
      <c r="AB27" s="362">
        <f>SUMIFS('Все игры'!D$3:D1000,'Все игры'!A$3:A1000,A27)</f>
        <v>124.5</v>
      </c>
      <c r="AC27" s="362">
        <f>SUMIFS('Все игры'!D$3:D1000,'Все игры'!A$3:A1000,A27,'Все игры'!B$3:B1000,"Мафия")</f>
        <v>22</v>
      </c>
      <c r="AD27" s="373">
        <f>SUMIFS('Все игры'!D$3:D1000,'Все игры'!A$3:A1000,A27,'Все игры'!B$3:B1000,"Шериф")</f>
        <v>18.75</v>
      </c>
      <c r="AE27" s="362">
        <f>SUMIFS('Все игры'!D$3:D1000,'Все игры'!A$3:A1000,A27,'Все игры'!B$3:B1000,"Дон")</f>
        <v>5</v>
      </c>
      <c r="AF27" s="363">
        <f>SUMIFS('Все игры'!D$3:D1000,'Все игры'!A$3:A1000,A27,'Все игры'!B$3:B1000,"Мирный")</f>
        <v>78.75</v>
      </c>
      <c r="AG27" s="362">
        <f t="shared" si="11"/>
        <v>2.49</v>
      </c>
      <c r="AH27" s="362">
        <f t="shared" si="12"/>
        <v>2.2</v>
      </c>
      <c r="AI27" s="362">
        <f t="shared" si="13"/>
        <v>2.678571429</v>
      </c>
      <c r="AJ27" s="362">
        <f t="shared" si="14"/>
        <v>2.5</v>
      </c>
      <c r="AK27" s="362">
        <f t="shared" si="15"/>
        <v>2.540322581</v>
      </c>
      <c r="AL27" s="348">
        <f>MAX('Турнирная таблица по Алфавиту'!T29:CA29)</f>
        <v>24.25</v>
      </c>
      <c r="AM27" s="348"/>
      <c r="AN27" s="348"/>
      <c r="AO27" s="348"/>
      <c r="AP27" s="348"/>
      <c r="AQ27" s="348"/>
      <c r="AR27" s="348"/>
      <c r="AS27" s="348"/>
      <c r="AT27" s="348"/>
      <c r="AU27" s="348"/>
      <c r="AV27" s="348"/>
      <c r="AW27" s="348"/>
      <c r="AX27" s="348"/>
      <c r="AY27" s="348"/>
      <c r="AZ27" s="348"/>
      <c r="BA27" s="348"/>
      <c r="BB27" s="348"/>
      <c r="BC27" s="348"/>
      <c r="BD27" s="348"/>
      <c r="BE27" s="348"/>
      <c r="BF27" s="348"/>
      <c r="BG27" s="348"/>
      <c r="BH27" s="348"/>
      <c r="BI27" s="348"/>
      <c r="BJ27" s="348"/>
      <c r="BK27" s="348"/>
      <c r="BL27" s="348"/>
      <c r="BM27" s="348"/>
    </row>
    <row r="28">
      <c r="A28" s="360" t="s">
        <v>102</v>
      </c>
      <c r="B28" s="347">
        <f t="shared" si="1"/>
        <v>50</v>
      </c>
      <c r="C28" s="348">
        <f>'Турнирная таблица по Алфавиту'!E30</f>
        <v>185.75</v>
      </c>
      <c r="D28" s="349">
        <f>'Турнирная таблица по Алфавиту'!F30</f>
        <v>18.575</v>
      </c>
      <c r="E28" s="350">
        <f>COUNTIFS('Все игры'!A$3:A1000,A28,'Все игры'!F$3:F1000,"=1")</f>
        <v>0</v>
      </c>
      <c r="F28" s="350">
        <f>COUNTIFS('Все игры'!A$3:A1000,A28,'Все игры'!F$3:F1000,"=0,50")</f>
        <v>1</v>
      </c>
      <c r="G28" s="350">
        <f>COUNTIFS('Все игры'!A$3:A1000,A28,'Все игры'!G$3:G1000,"&gt;0")</f>
        <v>7</v>
      </c>
      <c r="H28" s="351">
        <f t="shared" si="2"/>
        <v>0.2121212121</v>
      </c>
      <c r="I28" s="352">
        <f>COUNTIFS('Все игры'!A$3:A1000,A28,'Все игры'!E$3:E1000,"У/Победа")</f>
        <v>1</v>
      </c>
      <c r="J28" s="352">
        <f>COUNTIFS('Все игры'!A$3:A1000,A28,'Все игры'!E$3:E1000,"У/Проигрыш")</f>
        <v>4</v>
      </c>
      <c r="K28" s="353">
        <f t="shared" si="3"/>
        <v>33</v>
      </c>
      <c r="L28" s="347">
        <f t="shared" si="4"/>
        <v>17</v>
      </c>
      <c r="M28" s="347">
        <f>COUNTIFS('Все игры'!A$3:A1000,A28,'Все игры'!C$3:C1000,"&gt;0",'Все игры'!B$3:B1000,"Мафия")</f>
        <v>2</v>
      </c>
      <c r="N28" s="347">
        <f>IFERROR(__xludf.DUMMYFUNCTION("COUNTBLANK(FILTER('Все игры'!A$3:C1000,'Все игры'!A$3:A1000=A28,'Все игры'!C$3:C1000 &lt; 1,'Все игры'!B$3:B1000=""Мафия""))"),4.0)</f>
        <v>4</v>
      </c>
      <c r="O28" s="347">
        <f>COUNTIFS('Все игры'!A$3:A1000,A28,'Все игры'!C$3:C1000,"&gt;0",'Все игры'!B$3:B1000,"Шериф")</f>
        <v>0</v>
      </c>
      <c r="P28" s="354">
        <f>IFERROR(__xludf.DUMMYFUNCTION("COUNTBLANK(FILTER('Все игры'!A$3:C1000,'Все игры'!A$3:A1000=A28,'Все игры'!C$3:C1000 &lt; 1,'Все игры'!B$3:B1000=""Шериф""))"),1.0)</f>
        <v>1</v>
      </c>
      <c r="Q28" s="347">
        <f>COUNTIFS('Все игры'!A$3:A1000,A28,'Все игры'!C$3:C1000,"&gt;0",'Все игры'!B$3:B1000,"Дон")</f>
        <v>7</v>
      </c>
      <c r="R28" s="347">
        <f>IFERROR(__xludf.DUMMYFUNCTION("COUNTBLANK(FILTER('Все игры'!A$3:C1000,'Все игры'!A$3:A1000=A28,'Все игры'!C$3:C1000 &lt; 1,'Все игры'!B$3:B1000=""Дон""))"),4.0)</f>
        <v>4</v>
      </c>
      <c r="S28" s="347">
        <f>COUNTIFS('Все игры'!A$3:A1000,A28,'Все игры'!C$3:C1000,"&gt;0",'Все игры'!B$3:B1000,"Мирный")</f>
        <v>10</v>
      </c>
      <c r="T28" s="355">
        <f>IFERROR(__xludf.DUMMYFUNCTION("COUNTBLANK(FILTER('Все игры'!A$3:C1000,'Все игры'!A$3:A1000=A28,'Все игры'!C$3:C1000 &lt; 1,'Все игры'!B$3:B1000=""Мирный""))"),22.0)</f>
        <v>22</v>
      </c>
      <c r="U28" s="356">
        <f t="shared" si="16"/>
        <v>0.38</v>
      </c>
      <c r="V28" s="357">
        <f t="shared" si="5"/>
        <v>0.303030303</v>
      </c>
      <c r="W28" s="357">
        <f t="shared" si="6"/>
        <v>0.5294117647</v>
      </c>
      <c r="X28" s="357">
        <f t="shared" si="7"/>
        <v>0.3333333333</v>
      </c>
      <c r="Y28" s="357">
        <f t="shared" si="8"/>
        <v>0</v>
      </c>
      <c r="Z28" s="357">
        <f t="shared" si="9"/>
        <v>0.6363636364</v>
      </c>
      <c r="AA28" s="358">
        <f t="shared" si="10"/>
        <v>0.3125</v>
      </c>
      <c r="AB28" s="348">
        <f>SUMIFS('Все игры'!D$3:D1000,'Все игры'!A$3:A1000,A28)</f>
        <v>134.25</v>
      </c>
      <c r="AC28" s="348">
        <f>SUMIFS('Все игры'!D$3:D1000,'Все игры'!A$3:A1000,A28,'Все игры'!B$3:B1000,"Мафия")</f>
        <v>15.75</v>
      </c>
      <c r="AD28" s="359">
        <f>SUMIFS('Все игры'!D$3:D1000,'Все игры'!A$3:A1000,A28,'Все игры'!B$3:B1000,"Шериф")</f>
        <v>3</v>
      </c>
      <c r="AE28" s="348">
        <f>SUMIFS('Все игры'!D$3:D1000,'Все игры'!A$3:A1000,A28,'Все игры'!B$3:B1000,"Дон")</f>
        <v>33</v>
      </c>
      <c r="AF28" s="349">
        <f>SUMIFS('Все игры'!D$3:D1000,'Все игры'!A$3:A1000,A28,'Все игры'!B$3:B1000,"Мирный")</f>
        <v>82.5</v>
      </c>
      <c r="AG28" s="348">
        <f t="shared" si="11"/>
        <v>2.685</v>
      </c>
      <c r="AH28" s="348">
        <f t="shared" si="12"/>
        <v>2.625</v>
      </c>
      <c r="AI28" s="348">
        <f t="shared" si="13"/>
        <v>3</v>
      </c>
      <c r="AJ28" s="348">
        <f t="shared" si="14"/>
        <v>3</v>
      </c>
      <c r="AK28" s="348">
        <f t="shared" si="15"/>
        <v>2.578125</v>
      </c>
      <c r="AL28" s="348">
        <f>MAX('Турнирная таблица по Алфавиту'!T30:CA30)</f>
        <v>24.75</v>
      </c>
      <c r="AM28" s="348"/>
      <c r="AN28" s="348"/>
      <c r="AO28" s="348"/>
      <c r="AP28" s="348"/>
      <c r="AQ28" s="348"/>
      <c r="AR28" s="348"/>
      <c r="AS28" s="348"/>
      <c r="AT28" s="348"/>
      <c r="AU28" s="348"/>
      <c r="AV28" s="348"/>
      <c r="AW28" s="348"/>
      <c r="AX28" s="348"/>
      <c r="AY28" s="348"/>
      <c r="AZ28" s="348"/>
      <c r="BA28" s="348"/>
      <c r="BB28" s="348"/>
      <c r="BC28" s="348"/>
      <c r="BD28" s="348"/>
      <c r="BE28" s="348"/>
      <c r="BF28" s="348"/>
      <c r="BG28" s="348"/>
      <c r="BH28" s="348"/>
      <c r="BI28" s="348"/>
      <c r="BJ28" s="348"/>
      <c r="BK28" s="348"/>
      <c r="BL28" s="348"/>
      <c r="BM28" s="348"/>
    </row>
    <row r="29">
      <c r="A29" s="360" t="s">
        <v>103</v>
      </c>
      <c r="B29" s="361">
        <f t="shared" si="1"/>
        <v>50</v>
      </c>
      <c r="C29" s="362">
        <f>'Турнирная таблица по Алфавиту'!E31</f>
        <v>193.25</v>
      </c>
      <c r="D29" s="363">
        <f>'Турнирная таблица по Алфавиту'!F31</f>
        <v>19.325</v>
      </c>
      <c r="E29" s="364">
        <f>COUNTIFS('Все игры'!A$3:A1000,A29,'Все игры'!F$3:F1000,"=1")</f>
        <v>0</v>
      </c>
      <c r="F29" s="364">
        <f>COUNTIFS('Все игры'!A$3:A1000,A29,'Все игры'!F$3:F1000,"=0,50")</f>
        <v>0</v>
      </c>
      <c r="G29" s="364">
        <f>COUNTIFS('Все игры'!A$3:A1000,A29,'Все игры'!G$3:G1000,"&gt;0")</f>
        <v>0</v>
      </c>
      <c r="H29" s="365">
        <f t="shared" si="2"/>
        <v>0</v>
      </c>
      <c r="I29" s="366">
        <f>COUNTIFS('Все игры'!A$3:A1000,A29,'Все игры'!E$3:E1000,"У/Победа")</f>
        <v>7</v>
      </c>
      <c r="J29" s="366">
        <f>COUNTIFS('Все игры'!A$3:A1000,A29,'Все игры'!E$3:E1000,"У/Проигрыш")</f>
        <v>6</v>
      </c>
      <c r="K29" s="367">
        <f t="shared" si="3"/>
        <v>40</v>
      </c>
      <c r="L29" s="361">
        <f t="shared" si="4"/>
        <v>10</v>
      </c>
      <c r="M29" s="361">
        <f>COUNTIFS('Все игры'!A$3:A1000,A29,'Все игры'!C$3:C1000,"&gt;0",'Все игры'!B$3:B1000,"Мафия")</f>
        <v>2</v>
      </c>
      <c r="N29" s="361">
        <f>IFERROR(__xludf.DUMMYFUNCTION("COUNTBLANK(FILTER('Все игры'!A$3:C1000,'Все игры'!A$3:A1000=A29,'Все игры'!C$3:C1000 &lt; 1,'Все игры'!B$3:B1000=""Мафия""))"),3.0)</f>
        <v>3</v>
      </c>
      <c r="O29" s="361">
        <f>COUNTIFS('Все игры'!A$3:A1000,A29,'Все игры'!C$3:C1000,"&gt;0",'Все игры'!B$3:B1000,"Шериф")</f>
        <v>3</v>
      </c>
      <c r="P29" s="368">
        <f>IFERROR(__xludf.DUMMYFUNCTION("COUNTBLANK(FILTER('Все игры'!A$3:C1000,'Все игры'!A$3:A1000=A29,'Все игры'!C$3:C1000 &lt; 1,'Все игры'!B$3:B1000=""Шериф""))"),2.0)</f>
        <v>2</v>
      </c>
      <c r="Q29" s="361">
        <f>COUNTIFS('Все игры'!A$3:A1000,A29,'Все игры'!C$3:C1000,"&gt;0",'Все игры'!B$3:B1000,"Дон")</f>
        <v>2</v>
      </c>
      <c r="R29" s="361">
        <f>IFERROR(__xludf.DUMMYFUNCTION("COUNTBLANK(FILTER('Все игры'!A$3:C1000,'Все игры'!A$3:A1000=A29,'Все игры'!C$3:C1000 &lt; 1,'Все игры'!B$3:B1000=""Дон""))"),3.0)</f>
        <v>3</v>
      </c>
      <c r="S29" s="361">
        <f>COUNTIFS('Все игры'!A$3:A1000,A29,'Все игры'!C$3:C1000,"&gt;0",'Все игры'!B$3:B1000,"Мирный")</f>
        <v>20</v>
      </c>
      <c r="T29" s="369">
        <f>IFERROR(__xludf.DUMMYFUNCTION("COUNTBLANK(FILTER('Все игры'!A$3:C1000,'Все игры'!A$3:A1000=A29,'Все игры'!C$3:C1000 &lt; 1,'Все игры'!B$3:B1000=""Мирный""))"),15.0)</f>
        <v>15</v>
      </c>
      <c r="U29" s="370">
        <f t="shared" si="16"/>
        <v>0.54</v>
      </c>
      <c r="V29" s="371">
        <f t="shared" si="5"/>
        <v>0.575</v>
      </c>
      <c r="W29" s="371">
        <f t="shared" si="6"/>
        <v>0.4</v>
      </c>
      <c r="X29" s="371">
        <f t="shared" si="7"/>
        <v>0.4</v>
      </c>
      <c r="Y29" s="371">
        <f t="shared" si="8"/>
        <v>0.6</v>
      </c>
      <c r="Z29" s="371">
        <f t="shared" si="9"/>
        <v>0.4</v>
      </c>
      <c r="AA29" s="372">
        <f t="shared" si="10"/>
        <v>0.5714285714</v>
      </c>
      <c r="AB29" s="362">
        <f>SUMIFS('Все игры'!D$3:D1000,'Все игры'!A$3:A1000,A29)</f>
        <v>126.75</v>
      </c>
      <c r="AC29" s="362">
        <f>SUMIFS('Все игры'!D$3:D1000,'Все игры'!A$3:A1000,A29,'Все игры'!B$3:B1000,"Мафия")</f>
        <v>11</v>
      </c>
      <c r="AD29" s="373">
        <f>SUMIFS('Все игры'!D$3:D1000,'Все игры'!A$3:A1000,A29,'Все игры'!B$3:B1000,"Шериф")</f>
        <v>12.5</v>
      </c>
      <c r="AE29" s="362">
        <f>SUMIFS('Все игры'!D$3:D1000,'Все игры'!A$3:A1000,A29,'Все игры'!B$3:B1000,"Дон")</f>
        <v>11.5</v>
      </c>
      <c r="AF29" s="363">
        <f>SUMIFS('Все игры'!D$3:D1000,'Все игры'!A$3:A1000,A29,'Все игры'!B$3:B1000,"Мирный")</f>
        <v>91.75</v>
      </c>
      <c r="AG29" s="362">
        <f t="shared" si="11"/>
        <v>2.535</v>
      </c>
      <c r="AH29" s="362">
        <f t="shared" si="12"/>
        <v>2.2</v>
      </c>
      <c r="AI29" s="362">
        <f t="shared" si="13"/>
        <v>2.5</v>
      </c>
      <c r="AJ29" s="362">
        <f t="shared" si="14"/>
        <v>2.3</v>
      </c>
      <c r="AK29" s="362">
        <f t="shared" si="15"/>
        <v>2.621428571</v>
      </c>
      <c r="AL29" s="348">
        <f>MAX('Турнирная таблица по Алфавиту'!T31:CA31)</f>
        <v>24.25</v>
      </c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</row>
    <row r="30">
      <c r="A30" s="360" t="s">
        <v>104</v>
      </c>
      <c r="B30" s="347">
        <f t="shared" si="1"/>
        <v>50</v>
      </c>
      <c r="C30" s="348">
        <f>'Турнирная таблица по Алфавиту'!E32</f>
        <v>200.5</v>
      </c>
      <c r="D30" s="349">
        <f>'Турнирная таблица по Алфавиту'!F32</f>
        <v>20.05</v>
      </c>
      <c r="E30" s="350">
        <f>COUNTIFS('Все игры'!A$3:A1000,A30,'Все игры'!F$3:F1000,"=1")</f>
        <v>0</v>
      </c>
      <c r="F30" s="350">
        <f>COUNTIFS('Все игры'!A$3:A1000,A30,'Все игры'!F$3:F1000,"=0,50")</f>
        <v>1</v>
      </c>
      <c r="G30" s="350">
        <f>COUNTIFS('Все игры'!A$3:A1000,A30,'Все игры'!G$3:G1000,"&gt;0")</f>
        <v>4</v>
      </c>
      <c r="H30" s="351">
        <f t="shared" si="2"/>
        <v>0.1</v>
      </c>
      <c r="I30" s="352">
        <f>COUNTIFS('Все игры'!A$3:A1000,A30,'Все игры'!E$3:E1000,"У/Победа")</f>
        <v>5</v>
      </c>
      <c r="J30" s="352">
        <f>COUNTIFS('Все игры'!A$3:A1000,A30,'Все игры'!E$3:E1000,"У/Проигрыш")</f>
        <v>3</v>
      </c>
      <c r="K30" s="353">
        <f t="shared" si="3"/>
        <v>40</v>
      </c>
      <c r="L30" s="347">
        <f t="shared" si="4"/>
        <v>10</v>
      </c>
      <c r="M30" s="347">
        <f>COUNTIFS('Все игры'!A$3:A1000,A30,'Все игры'!C$3:C1000,"&gt;0",'Все игры'!B$3:B1000,"Мафия")</f>
        <v>4</v>
      </c>
      <c r="N30" s="347">
        <f>IFERROR(__xludf.DUMMYFUNCTION("COUNTBLANK(FILTER('Все игры'!A$3:C1000,'Все игры'!A$3:A1000=A30,'Все игры'!C$3:C1000 &lt; 1,'Все игры'!B$3:B1000=""Мафия""))"),3.0)</f>
        <v>3</v>
      </c>
      <c r="O30" s="347">
        <f>COUNTIFS('Все игры'!A$3:A1000,A30,'Все игры'!C$3:C1000,"&gt;0",'Все игры'!B$3:B1000,"Шериф")</f>
        <v>5</v>
      </c>
      <c r="P30" s="354">
        <f>IFERROR(__xludf.DUMMYFUNCTION("COUNTBLANK(FILTER('Все игры'!A$3:C1000,'Все игры'!A$3:A1000=A30,'Все игры'!C$3:C1000 &lt; 1,'Все игры'!B$3:B1000=""Шериф""))"),1.0)</f>
        <v>1</v>
      </c>
      <c r="Q30" s="347">
        <f>COUNTIFS('Все игры'!A$3:A1000,A30,'Все игры'!C$3:C1000,"&gt;0",'Все игры'!B$3:B1000,"Дон")</f>
        <v>1</v>
      </c>
      <c r="R30" s="347">
        <f>IFERROR(__xludf.DUMMYFUNCTION("COUNTBLANK(FILTER('Все игры'!A$3:C1000,'Все игры'!A$3:A1000=A30,'Все игры'!C$3:C1000 &lt; 1,'Все игры'!B$3:B1000=""Дон""))"),2.0)</f>
        <v>2</v>
      </c>
      <c r="S30" s="347">
        <f>COUNTIFS('Все игры'!A$3:A1000,A30,'Все игры'!C$3:C1000,"&gt;0",'Все игры'!B$3:B1000,"Мирный")</f>
        <v>16</v>
      </c>
      <c r="T30" s="355">
        <f>IFERROR(__xludf.DUMMYFUNCTION("COUNTBLANK(FILTER('Все игры'!A$3:C1000,'Все игры'!A$3:A1000=A30,'Все игры'!C$3:C1000 &lt; 1,'Все игры'!B$3:B1000=""Мирный""))"),18.0)</f>
        <v>18</v>
      </c>
      <c r="U30" s="356">
        <f t="shared" si="16"/>
        <v>0.52</v>
      </c>
      <c r="V30" s="357">
        <f t="shared" si="5"/>
        <v>0.525</v>
      </c>
      <c r="W30" s="357">
        <f t="shared" si="6"/>
        <v>0.5</v>
      </c>
      <c r="X30" s="357">
        <f t="shared" si="7"/>
        <v>0.5714285714</v>
      </c>
      <c r="Y30" s="357">
        <f t="shared" si="8"/>
        <v>0.8333333333</v>
      </c>
      <c r="Z30" s="357">
        <f t="shared" si="9"/>
        <v>0.3333333333</v>
      </c>
      <c r="AA30" s="358">
        <f t="shared" si="10"/>
        <v>0.4705882353</v>
      </c>
      <c r="AB30" s="348">
        <f>SUMIFS('Все игры'!D$3:D1000,'Все игры'!A$3:A1000,A30)</f>
        <v>133</v>
      </c>
      <c r="AC30" s="348">
        <f>SUMIFS('Все игры'!D$3:D1000,'Все игры'!A$3:A1000,A30,'Все игры'!B$3:B1000,"Мафия")</f>
        <v>18</v>
      </c>
      <c r="AD30" s="359">
        <f>SUMIFS('Все игры'!D$3:D1000,'Все игры'!A$3:A1000,A30,'Все игры'!B$3:B1000,"Шериф")</f>
        <v>18.5</v>
      </c>
      <c r="AE30" s="348">
        <f>SUMIFS('Все игры'!D$3:D1000,'Все игры'!A$3:A1000,A30,'Все игры'!B$3:B1000,"Дон")</f>
        <v>9</v>
      </c>
      <c r="AF30" s="349">
        <f>SUMIFS('Все игры'!D$3:D1000,'Все игры'!A$3:A1000,A30,'Все игры'!B$3:B1000,"Мирный")</f>
        <v>87.5</v>
      </c>
      <c r="AG30" s="348">
        <f t="shared" si="11"/>
        <v>2.66</v>
      </c>
      <c r="AH30" s="348">
        <f t="shared" si="12"/>
        <v>2.571428571</v>
      </c>
      <c r="AI30" s="348">
        <f t="shared" si="13"/>
        <v>3.083333333</v>
      </c>
      <c r="AJ30" s="348">
        <f t="shared" si="14"/>
        <v>3</v>
      </c>
      <c r="AK30" s="348">
        <f t="shared" si="15"/>
        <v>2.573529412</v>
      </c>
      <c r="AL30" s="348">
        <f>MAX('Турнирная таблица по Алфавиту'!T32:CA32)</f>
        <v>25.5</v>
      </c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</row>
    <row r="31">
      <c r="A31" s="360" t="s">
        <v>105</v>
      </c>
      <c r="B31" s="361">
        <f t="shared" si="1"/>
        <v>50</v>
      </c>
      <c r="C31" s="362">
        <f>'Турнирная таблица по Алфавиту'!E33</f>
        <v>183.5</v>
      </c>
      <c r="D31" s="363">
        <f>'Турнирная таблица по Алфавиту'!F33</f>
        <v>18.35</v>
      </c>
      <c r="E31" s="364">
        <f>COUNTIFS('Все игры'!A$3:A1000,A31,'Все игры'!F$3:F1000,"=1")</f>
        <v>0</v>
      </c>
      <c r="F31" s="364">
        <f>COUNTIFS('Все игры'!A$3:A1000,A31,'Все игры'!F$3:F1000,"=0,50")</f>
        <v>0</v>
      </c>
      <c r="G31" s="364">
        <f>COUNTIFS('Все игры'!A$3:A1000,A31,'Все игры'!G$3:G1000,"&gt;0")</f>
        <v>8</v>
      </c>
      <c r="H31" s="365">
        <f t="shared" si="2"/>
        <v>0.2222222222</v>
      </c>
      <c r="I31" s="366">
        <f>COUNTIFS('Все игры'!A$3:A1000,A31,'Все игры'!E$3:E1000,"У/Победа")</f>
        <v>1</v>
      </c>
      <c r="J31" s="366">
        <f>COUNTIFS('Все игры'!A$3:A1000,A31,'Все игры'!E$3:E1000,"У/Проигрыш")</f>
        <v>1</v>
      </c>
      <c r="K31" s="367">
        <f t="shared" si="3"/>
        <v>36</v>
      </c>
      <c r="L31" s="361">
        <f t="shared" si="4"/>
        <v>14</v>
      </c>
      <c r="M31" s="361">
        <f>COUNTIFS('Все игры'!A$3:A1000,A31,'Все игры'!C$3:C1000,"&gt;0",'Все игры'!B$3:B1000,"Мафия")</f>
        <v>4</v>
      </c>
      <c r="N31" s="361">
        <f>IFERROR(__xludf.DUMMYFUNCTION("COUNTBLANK(FILTER('Все игры'!A$3:C1000,'Все игры'!A$3:A1000=A31,'Все игры'!C$3:C1000 &lt; 1,'Все игры'!B$3:B1000=""Мафия""))"),3.0)</f>
        <v>3</v>
      </c>
      <c r="O31" s="361">
        <f>COUNTIFS('Все игры'!A$3:A1000,A31,'Все игры'!C$3:C1000,"&gt;0",'Все игры'!B$3:B1000,"Шериф")</f>
        <v>1</v>
      </c>
      <c r="P31" s="368">
        <f>IFERROR(__xludf.DUMMYFUNCTION("COUNTBLANK(FILTER('Все игры'!A$3:C1000,'Все игры'!A$3:A1000=A31,'Все игры'!C$3:C1000 &lt; 1,'Все игры'!B$3:B1000=""Шериф""))"),2.0)</f>
        <v>2</v>
      </c>
      <c r="Q31" s="361">
        <f>COUNTIFS('Все игры'!A$3:A1000,A31,'Все игры'!C$3:C1000,"&gt;0",'Все игры'!B$3:B1000,"Дон")</f>
        <v>2</v>
      </c>
      <c r="R31" s="361">
        <f>IFERROR(__xludf.DUMMYFUNCTION("COUNTBLANK(FILTER('Все игры'!A$3:C1000,'Все игры'!A$3:A1000=A31,'Все игры'!C$3:C1000 &lt; 1,'Все игры'!B$3:B1000=""Дон""))"),5.0)</f>
        <v>5</v>
      </c>
      <c r="S31" s="361">
        <f>COUNTIFS('Все игры'!A$3:A1000,A31,'Все игры'!C$3:C1000,"&gt;0",'Все игры'!B$3:B1000,"Мирный")</f>
        <v>15</v>
      </c>
      <c r="T31" s="369">
        <f>IFERROR(__xludf.DUMMYFUNCTION("COUNTBLANK(FILTER('Все игры'!A$3:C1000,'Все игры'!A$3:A1000=A31,'Все игры'!C$3:C1000 &lt; 1,'Все игры'!B$3:B1000=""Мирный""))"),18.0)</f>
        <v>18</v>
      </c>
      <c r="U31" s="370">
        <f t="shared" si="16"/>
        <v>0.44</v>
      </c>
      <c r="V31" s="371">
        <f t="shared" si="5"/>
        <v>0.4444444444</v>
      </c>
      <c r="W31" s="371">
        <f t="shared" si="6"/>
        <v>0.4285714286</v>
      </c>
      <c r="X31" s="371">
        <f t="shared" si="7"/>
        <v>0.5714285714</v>
      </c>
      <c r="Y31" s="371">
        <f t="shared" si="8"/>
        <v>0.3333333333</v>
      </c>
      <c r="Z31" s="371">
        <f t="shared" si="9"/>
        <v>0.2857142857</v>
      </c>
      <c r="AA31" s="372">
        <f t="shared" si="10"/>
        <v>0.4545454545</v>
      </c>
      <c r="AB31" s="362">
        <f>SUMIFS('Все игры'!D$3:D1000,'Все игры'!A$3:A1000,A31)</f>
        <v>123.5</v>
      </c>
      <c r="AC31" s="362">
        <f>SUMIFS('Все игры'!D$3:D1000,'Все игры'!A$3:A1000,A31,'Все игры'!B$3:B1000,"Мафия")</f>
        <v>17.75</v>
      </c>
      <c r="AD31" s="373">
        <f>SUMIFS('Все игры'!D$3:D1000,'Все игры'!A$3:A1000,A31,'Все игры'!B$3:B1000,"Шериф")</f>
        <v>7.25</v>
      </c>
      <c r="AE31" s="362">
        <f>SUMIFS('Все игры'!D$3:D1000,'Все игры'!A$3:A1000,A31,'Все игры'!B$3:B1000,"Дон")</f>
        <v>17.25</v>
      </c>
      <c r="AF31" s="363">
        <f>SUMIFS('Все игры'!D$3:D1000,'Все игры'!A$3:A1000,A31,'Все игры'!B$3:B1000,"Мирный")</f>
        <v>81.25</v>
      </c>
      <c r="AG31" s="362">
        <f t="shared" si="11"/>
        <v>2.47</v>
      </c>
      <c r="AH31" s="362">
        <f t="shared" si="12"/>
        <v>2.535714286</v>
      </c>
      <c r="AI31" s="362">
        <f t="shared" si="13"/>
        <v>2.416666667</v>
      </c>
      <c r="AJ31" s="362">
        <f t="shared" si="14"/>
        <v>2.464285714</v>
      </c>
      <c r="AK31" s="362">
        <f t="shared" si="15"/>
        <v>2.462121212</v>
      </c>
      <c r="AL31" s="348">
        <f>MAX('Турнирная таблица по Алфавиту'!T33:CA33)</f>
        <v>22.5</v>
      </c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</row>
    <row r="32">
      <c r="A32" s="360" t="s">
        <v>106</v>
      </c>
      <c r="B32" s="347">
        <f t="shared" si="1"/>
        <v>50</v>
      </c>
      <c r="C32" s="348">
        <f>'Турнирная таблица по Алфавиту'!E34</f>
        <v>207</v>
      </c>
      <c r="D32" s="349">
        <f>'Турнирная таблица по Алфавиту'!F34</f>
        <v>20.7</v>
      </c>
      <c r="E32" s="350">
        <f>COUNTIFS('Все игры'!A$3:A1000,A32,'Все игры'!F$3:F1000,"=1")</f>
        <v>1</v>
      </c>
      <c r="F32" s="350">
        <f>COUNTIFS('Все игры'!A$3:A1000,A32,'Все игры'!F$3:F1000,"=0,50")</f>
        <v>0</v>
      </c>
      <c r="G32" s="350">
        <f>COUNTIFS('Все игры'!A$3:A1000,A32,'Все игры'!G$3:G1000,"&gt;0")</f>
        <v>3</v>
      </c>
      <c r="H32" s="351">
        <f t="shared" si="2"/>
        <v>0.09375</v>
      </c>
      <c r="I32" s="352">
        <f>COUNTIFS('Все игры'!A$3:A1000,A32,'Все игры'!E$3:E1000,"У/Победа")</f>
        <v>1</v>
      </c>
      <c r="J32" s="352">
        <f>COUNTIFS('Все игры'!A$3:A1000,A32,'Все игры'!E$3:E1000,"У/Проигрыш")</f>
        <v>1</v>
      </c>
      <c r="K32" s="353">
        <f t="shared" si="3"/>
        <v>32</v>
      </c>
      <c r="L32" s="347">
        <f t="shared" si="4"/>
        <v>18</v>
      </c>
      <c r="M32" s="347">
        <f>COUNTIFS('Все игры'!A$3:A1000,A32,'Все игры'!C$3:C1000,"&gt;0",'Все игры'!B$3:B1000,"Мафия")</f>
        <v>7</v>
      </c>
      <c r="N32" s="347">
        <f>IFERROR(__xludf.DUMMYFUNCTION("COUNTBLANK(FILTER('Все игры'!A$3:C1000,'Все игры'!A$3:A1000=A32,'Все игры'!C$3:C1000 &lt; 1,'Все игры'!B$3:B1000=""Мафия""))"),8.0)</f>
        <v>8</v>
      </c>
      <c r="O32" s="347">
        <f>COUNTIFS('Все игры'!A$3:A1000,A32,'Все игры'!C$3:C1000,"&gt;0",'Все игры'!B$3:B1000,"Шериф")</f>
        <v>3</v>
      </c>
      <c r="P32" s="354">
        <f>IFERROR(__xludf.DUMMYFUNCTION("COUNTBLANK(FILTER('Все игры'!A$3:C1000,'Все игры'!A$3:A1000=A32,'Все игры'!C$3:C1000 &lt; 1,'Все игры'!B$3:B1000=""Шериф""))"),1.0)</f>
        <v>1</v>
      </c>
      <c r="Q32" s="347">
        <f>COUNTIFS('Все игры'!A$3:A1000,A32,'Все игры'!C$3:C1000,"&gt;0",'Все игры'!B$3:B1000,"Дон")</f>
        <v>1</v>
      </c>
      <c r="R32" s="347">
        <f>IFERROR(__xludf.DUMMYFUNCTION("COUNTBLANK(FILTER('Все игры'!A$3:C1000,'Все игры'!A$3:A1000=A32,'Все игры'!C$3:C1000 &lt; 1,'Все игры'!B$3:B1000=""Дон""))"),2.0)</f>
        <v>2</v>
      </c>
      <c r="S32" s="347">
        <f>COUNTIFS('Все игры'!A$3:A1000,A32,'Все игры'!C$3:C1000,"&gt;0",'Все игры'!B$3:B1000,"Мирный")</f>
        <v>14</v>
      </c>
      <c r="T32" s="355">
        <f>IFERROR(__xludf.DUMMYFUNCTION("COUNTBLANK(FILTER('Все игры'!A$3:C1000,'Все игры'!A$3:A1000=A32,'Все игры'!C$3:C1000 &lt; 1,'Все игры'!B$3:B1000=""Мирный""))"),14.0)</f>
        <v>14</v>
      </c>
      <c r="U32" s="356">
        <f t="shared" si="16"/>
        <v>0.5</v>
      </c>
      <c r="V32" s="357">
        <f t="shared" si="5"/>
        <v>0.53125</v>
      </c>
      <c r="W32" s="357">
        <f t="shared" si="6"/>
        <v>0.4444444444</v>
      </c>
      <c r="X32" s="357">
        <f t="shared" si="7"/>
        <v>0.4666666667</v>
      </c>
      <c r="Y32" s="357">
        <f t="shared" si="8"/>
        <v>0.75</v>
      </c>
      <c r="Z32" s="357">
        <f t="shared" si="9"/>
        <v>0.3333333333</v>
      </c>
      <c r="AA32" s="358">
        <f t="shared" si="10"/>
        <v>0.5</v>
      </c>
      <c r="AB32" s="348">
        <f>SUMIFS('Все игры'!D$3:D1000,'Все игры'!A$3:A1000,A32)</f>
        <v>142</v>
      </c>
      <c r="AC32" s="348">
        <f>SUMIFS('Все игры'!D$3:D1000,'Все игры'!A$3:A1000,A32,'Все игры'!B$3:B1000,"Мафия")</f>
        <v>40.5</v>
      </c>
      <c r="AD32" s="359">
        <f>SUMIFS('Все игры'!D$3:D1000,'Все игры'!A$3:A1000,A32,'Все игры'!B$3:B1000,"Шериф")</f>
        <v>12.75</v>
      </c>
      <c r="AE32" s="348">
        <f>SUMIFS('Все игры'!D$3:D1000,'Все игры'!A$3:A1000,A32,'Все игры'!B$3:B1000,"Дон")</f>
        <v>9</v>
      </c>
      <c r="AF32" s="349">
        <f>SUMIFS('Все игры'!D$3:D1000,'Все игры'!A$3:A1000,A32,'Все игры'!B$3:B1000,"Мирный")</f>
        <v>79.75</v>
      </c>
      <c r="AG32" s="348">
        <f t="shared" si="11"/>
        <v>2.84</v>
      </c>
      <c r="AH32" s="348">
        <f t="shared" si="12"/>
        <v>2.7</v>
      </c>
      <c r="AI32" s="348">
        <f t="shared" si="13"/>
        <v>3.1875</v>
      </c>
      <c r="AJ32" s="348">
        <f t="shared" si="14"/>
        <v>3</v>
      </c>
      <c r="AK32" s="348">
        <f t="shared" si="15"/>
        <v>2.848214286</v>
      </c>
      <c r="AL32" s="348">
        <f>MAX('Турнирная таблица по Алфавиту'!T34:CA34)</f>
        <v>28.5</v>
      </c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</row>
    <row r="33">
      <c r="A33" s="360" t="s">
        <v>107</v>
      </c>
      <c r="B33" s="361">
        <f t="shared" si="1"/>
        <v>50</v>
      </c>
      <c r="C33" s="362">
        <f>'Турнирная таблица по Алфавиту'!E35</f>
        <v>223</v>
      </c>
      <c r="D33" s="363">
        <f>'Турнирная таблица по Алфавиту'!F35</f>
        <v>22.3</v>
      </c>
      <c r="E33" s="364">
        <f>COUNTIFS('Все игры'!A$3:A1000,A33,'Все игры'!F$3:F1000,"=1")</f>
        <v>1</v>
      </c>
      <c r="F33" s="364">
        <f>COUNTIFS('Все игры'!A$3:A1000,A33,'Все игры'!F$3:F1000,"=0,50")</f>
        <v>3</v>
      </c>
      <c r="G33" s="364">
        <f>COUNTIFS('Все игры'!A$3:A1000,A33,'Все игры'!G$3:G1000,"&gt;0")</f>
        <v>13</v>
      </c>
      <c r="H33" s="365">
        <f t="shared" si="2"/>
        <v>0.3421052632</v>
      </c>
      <c r="I33" s="366">
        <f>COUNTIFS('Все игры'!A$3:A1000,A33,'Все игры'!E$3:E1000,"У/Победа")</f>
        <v>4</v>
      </c>
      <c r="J33" s="366">
        <f>COUNTIFS('Все игры'!A$3:A1000,A33,'Все игры'!E$3:E1000,"У/Проигрыш")</f>
        <v>2</v>
      </c>
      <c r="K33" s="367">
        <f t="shared" si="3"/>
        <v>38</v>
      </c>
      <c r="L33" s="361">
        <f t="shared" si="4"/>
        <v>12</v>
      </c>
      <c r="M33" s="361">
        <f>COUNTIFS('Все игры'!A$3:A1000,A33,'Все игры'!C$3:C1000,"&gt;0",'Все игры'!B$3:B1000,"Мафия")</f>
        <v>4</v>
      </c>
      <c r="N33" s="361">
        <f>IFERROR(__xludf.DUMMYFUNCTION("COUNTBLANK(FILTER('Все игры'!A$3:C1000,'Все игры'!A$3:A1000=A33,'Все игры'!C$3:C1000 &lt; 1,'Все игры'!B$3:B1000=""Мафия""))"),3.0)</f>
        <v>3</v>
      </c>
      <c r="O33" s="361">
        <f>COUNTIFS('Все игры'!A$3:A1000,A33,'Все игры'!C$3:C1000,"&gt;0",'Все игры'!B$3:B1000,"Шериф")</f>
        <v>3</v>
      </c>
      <c r="P33" s="368">
        <f>IFERROR(__xludf.DUMMYFUNCTION("COUNTBLANK(FILTER('Все игры'!A$3:C1000,'Все игры'!A$3:A1000=A33,'Все игры'!C$3:C1000 &lt; 1,'Все игры'!B$3:B1000=""Шериф""))"),3.0)</f>
        <v>3</v>
      </c>
      <c r="Q33" s="361">
        <f>COUNTIFS('Все игры'!A$3:A1000,A33,'Все игры'!C$3:C1000,"&gt;0",'Все игры'!B$3:B1000,"Дон")</f>
        <v>3</v>
      </c>
      <c r="R33" s="361">
        <f>IFERROR(__xludf.DUMMYFUNCTION("COUNTBLANK(FILTER('Все игры'!A$3:C1000,'Все игры'!A$3:A1000=A33,'Все игры'!C$3:C1000 &lt; 1,'Все игры'!B$3:B1000=""Дон""))"),2.0)</f>
        <v>2</v>
      </c>
      <c r="S33" s="361">
        <f>COUNTIFS('Все игры'!A$3:A1000,A33,'Все игры'!C$3:C1000,"&gt;0",'Все игры'!B$3:B1000,"Мирный")</f>
        <v>16</v>
      </c>
      <c r="T33" s="369">
        <f>IFERROR(__xludf.DUMMYFUNCTION("COUNTBLANK(FILTER('Все игры'!A$3:C1000,'Все игры'!A$3:A1000=A33,'Все игры'!C$3:C1000 &lt; 1,'Все игры'!B$3:B1000=""Мирный""))"),16.0)</f>
        <v>16</v>
      </c>
      <c r="U33" s="370">
        <f t="shared" si="16"/>
        <v>0.52</v>
      </c>
      <c r="V33" s="371">
        <f t="shared" si="5"/>
        <v>0.5</v>
      </c>
      <c r="W33" s="371">
        <f t="shared" si="6"/>
        <v>0.5833333333</v>
      </c>
      <c r="X33" s="371">
        <f t="shared" si="7"/>
        <v>0.5714285714</v>
      </c>
      <c r="Y33" s="371">
        <f t="shared" si="8"/>
        <v>0.5</v>
      </c>
      <c r="Z33" s="371">
        <f t="shared" si="9"/>
        <v>0.6</v>
      </c>
      <c r="AA33" s="372">
        <f t="shared" si="10"/>
        <v>0.5</v>
      </c>
      <c r="AB33" s="362">
        <f>SUMIFS('Все игры'!D$3:D1000,'Все игры'!A$3:A1000,A33)</f>
        <v>147</v>
      </c>
      <c r="AC33" s="362">
        <f>SUMIFS('Все игры'!D$3:D1000,'Все игры'!A$3:A1000,A33,'Все игры'!B$3:B1000,"Мафия")</f>
        <v>21.25</v>
      </c>
      <c r="AD33" s="373">
        <f>SUMIFS('Все игры'!D$3:D1000,'Все игры'!A$3:A1000,A33,'Все игры'!B$3:B1000,"Шериф")</f>
        <v>18.5</v>
      </c>
      <c r="AE33" s="362">
        <f>SUMIFS('Все игры'!D$3:D1000,'Все игры'!A$3:A1000,A33,'Все игры'!B$3:B1000,"Дон")</f>
        <v>15.25</v>
      </c>
      <c r="AF33" s="363">
        <f>SUMIFS('Все игры'!D$3:D1000,'Все игры'!A$3:A1000,A33,'Все игры'!B$3:B1000,"Мирный")</f>
        <v>92</v>
      </c>
      <c r="AG33" s="362">
        <f t="shared" si="11"/>
        <v>2.94</v>
      </c>
      <c r="AH33" s="362">
        <f t="shared" si="12"/>
        <v>3.035714286</v>
      </c>
      <c r="AI33" s="362">
        <f t="shared" si="13"/>
        <v>3.083333333</v>
      </c>
      <c r="AJ33" s="362">
        <f t="shared" si="14"/>
        <v>3.05</v>
      </c>
      <c r="AK33" s="362">
        <f t="shared" si="15"/>
        <v>2.875</v>
      </c>
      <c r="AL33" s="348">
        <f>MAX('Турнирная таблица по Алфавиту'!T35:CA35)</f>
        <v>30.75</v>
      </c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</row>
    <row r="34">
      <c r="A34" s="360" t="s">
        <v>108</v>
      </c>
      <c r="B34" s="347">
        <f t="shared" si="1"/>
        <v>50</v>
      </c>
      <c r="C34" s="348">
        <f>'Турнирная таблица по Алфавиту'!E36</f>
        <v>208.5</v>
      </c>
      <c r="D34" s="349">
        <f>'Турнирная таблица по Алфавиту'!F36</f>
        <v>20.85</v>
      </c>
      <c r="E34" s="350">
        <f>COUNTIFS('Все игры'!A$3:A1000,A34,'Все игры'!F$3:F1000,"=1")</f>
        <v>0</v>
      </c>
      <c r="F34" s="350">
        <f>COUNTIFS('Все игры'!A$3:A1000,A34,'Все игры'!F$3:F1000,"=0,50")</f>
        <v>3</v>
      </c>
      <c r="G34" s="350">
        <f>COUNTIFS('Все игры'!A$3:A1000,A34,'Все игры'!G$3:G1000,"&gt;0")</f>
        <v>7</v>
      </c>
      <c r="H34" s="351">
        <f t="shared" si="2"/>
        <v>0.2</v>
      </c>
      <c r="I34" s="352">
        <f>COUNTIFS('Все игры'!A$3:A1000,A34,'Все игры'!E$3:E1000,"У/Победа")</f>
        <v>2</v>
      </c>
      <c r="J34" s="352">
        <f>COUNTIFS('Все игры'!A$3:A1000,A34,'Все игры'!E$3:E1000,"У/Проигрыш")</f>
        <v>1</v>
      </c>
      <c r="K34" s="353">
        <f t="shared" si="3"/>
        <v>35</v>
      </c>
      <c r="L34" s="347">
        <f t="shared" si="4"/>
        <v>15</v>
      </c>
      <c r="M34" s="347">
        <f>COUNTIFS('Все игры'!A$3:A1000,A34,'Все игры'!C$3:C1000,"&gt;0",'Все игры'!B$3:B1000,"Мафия")</f>
        <v>8</v>
      </c>
      <c r="N34" s="347">
        <f>IFERROR(__xludf.DUMMYFUNCTION("COUNTBLANK(FILTER('Все игры'!A$3:C1000,'Все игры'!A$3:A1000=A34,'Все игры'!C$3:C1000 &lt; 1,'Все игры'!B$3:B1000=""Мафия""))"),1.0)</f>
        <v>1</v>
      </c>
      <c r="O34" s="347">
        <f>COUNTIFS('Все игры'!A$3:A1000,A34,'Все игры'!C$3:C1000,"&gt;0",'Все игры'!B$3:B1000,"Шериф")</f>
        <v>0</v>
      </c>
      <c r="P34" s="354">
        <f>IFERROR(__xludf.DUMMYFUNCTION("COUNTBLANK(FILTER('Все игры'!A$3:C1000,'Все игры'!A$3:A1000=A34,'Все игры'!C$3:C1000 &lt; 1,'Все игры'!B$3:B1000=""Шериф""))"),5.0)</f>
        <v>5</v>
      </c>
      <c r="Q34" s="347">
        <f>COUNTIFS('Все игры'!A$3:A1000,A34,'Все игры'!C$3:C1000,"&gt;0",'Все игры'!B$3:B1000,"Дон")</f>
        <v>4</v>
      </c>
      <c r="R34" s="347">
        <f>IFERROR(__xludf.DUMMYFUNCTION("COUNTBLANK(FILTER('Все игры'!A$3:C1000,'Все игры'!A$3:A1000=A34,'Все игры'!C$3:C1000 &lt; 1,'Все игры'!B$3:B1000=""Дон""))"),2.0)</f>
        <v>2</v>
      </c>
      <c r="S34" s="347">
        <f>COUNTIFS('Все игры'!A$3:A1000,A34,'Все игры'!C$3:C1000,"&gt;0",'Все игры'!B$3:B1000,"Мирный")</f>
        <v>13</v>
      </c>
      <c r="T34" s="355">
        <f>IFERROR(__xludf.DUMMYFUNCTION("COUNTBLANK(FILTER('Все игры'!A$3:C1000,'Все игры'!A$3:A1000=A34,'Все игры'!C$3:C1000 &lt; 1,'Все игры'!B$3:B1000=""Мирный""))"),17.0)</f>
        <v>17</v>
      </c>
      <c r="U34" s="356">
        <f t="shared" si="16"/>
        <v>0.5</v>
      </c>
      <c r="V34" s="357">
        <f t="shared" si="5"/>
        <v>0.3714285714</v>
      </c>
      <c r="W34" s="357">
        <f t="shared" si="6"/>
        <v>0.8</v>
      </c>
      <c r="X34" s="357">
        <f t="shared" si="7"/>
        <v>0.8888888889</v>
      </c>
      <c r="Y34" s="357">
        <f t="shared" si="8"/>
        <v>0</v>
      </c>
      <c r="Z34" s="357">
        <f t="shared" si="9"/>
        <v>0.6666666667</v>
      </c>
      <c r="AA34" s="358">
        <f t="shared" si="10"/>
        <v>0.4333333333</v>
      </c>
      <c r="AB34" s="348">
        <f>SUMIFS('Все игры'!D$3:D1000,'Все игры'!A$3:A1000,A34)</f>
        <v>140.5</v>
      </c>
      <c r="AC34" s="348">
        <f>SUMIFS('Все игры'!D$3:D1000,'Все игры'!A$3:A1000,A34,'Все игры'!B$3:B1000,"Мафия")</f>
        <v>30.75</v>
      </c>
      <c r="AD34" s="359">
        <f>SUMIFS('Все игры'!D$3:D1000,'Все игры'!A$3:A1000,A34,'Все игры'!B$3:B1000,"Шериф")</f>
        <v>11.75</v>
      </c>
      <c r="AE34" s="348">
        <f>SUMIFS('Все игры'!D$3:D1000,'Все игры'!A$3:A1000,A34,'Все игры'!B$3:B1000,"Дон")</f>
        <v>17.5</v>
      </c>
      <c r="AF34" s="349">
        <f>SUMIFS('Все игры'!D$3:D1000,'Все игры'!A$3:A1000,A34,'Все игры'!B$3:B1000,"Мирный")</f>
        <v>80.5</v>
      </c>
      <c r="AG34" s="348">
        <f t="shared" si="11"/>
        <v>2.81</v>
      </c>
      <c r="AH34" s="348">
        <f t="shared" si="12"/>
        <v>3.416666667</v>
      </c>
      <c r="AI34" s="348">
        <f t="shared" si="13"/>
        <v>2.35</v>
      </c>
      <c r="AJ34" s="348">
        <f t="shared" si="14"/>
        <v>2.916666667</v>
      </c>
      <c r="AK34" s="348">
        <f t="shared" si="15"/>
        <v>2.683333333</v>
      </c>
      <c r="AL34" s="348">
        <f>MAX('Турнирная таблица по Алфавиту'!T36:CA36)</f>
        <v>26.5</v>
      </c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</row>
    <row r="35">
      <c r="A35" s="360" t="s">
        <v>109</v>
      </c>
      <c r="B35" s="361">
        <f t="shared" si="1"/>
        <v>50</v>
      </c>
      <c r="C35" s="362">
        <f>'Турнирная таблица по Алфавиту'!E37</f>
        <v>189.75</v>
      </c>
      <c r="D35" s="363">
        <f>'Турнирная таблица по Алфавиту'!F37</f>
        <v>18.975</v>
      </c>
      <c r="E35" s="364">
        <f>COUNTIFS('Все игры'!A$3:A1000,A35,'Все игры'!F$3:F1000,"=1")</f>
        <v>0</v>
      </c>
      <c r="F35" s="364">
        <f>COUNTIFS('Все игры'!A$3:A1000,A35,'Все игры'!F$3:F1000,"=0,50")</f>
        <v>0</v>
      </c>
      <c r="G35" s="364">
        <f>COUNTIFS('Все игры'!A$3:A1000,A35,'Все игры'!G$3:G1000,"&gt;0")</f>
        <v>3</v>
      </c>
      <c r="H35" s="365">
        <f t="shared" si="2"/>
        <v>0.07894736842</v>
      </c>
      <c r="I35" s="366">
        <f>COUNTIFS('Все игры'!A$3:A1000,A35,'Все игры'!E$3:E1000,"У/Победа")</f>
        <v>4</v>
      </c>
      <c r="J35" s="366">
        <f>COUNTIFS('Все игры'!A$3:A1000,A35,'Все игры'!E$3:E1000,"У/Проигрыш")</f>
        <v>5</v>
      </c>
      <c r="K35" s="367">
        <f t="shared" si="3"/>
        <v>38</v>
      </c>
      <c r="L35" s="361">
        <f t="shared" si="4"/>
        <v>12</v>
      </c>
      <c r="M35" s="361">
        <f>COUNTIFS('Все игры'!A$3:A1000,A35,'Все игры'!C$3:C1000,"&gt;0",'Все игры'!B$3:B1000,"Мафия")</f>
        <v>4</v>
      </c>
      <c r="N35" s="361">
        <f>IFERROR(__xludf.DUMMYFUNCTION("COUNTBLANK(FILTER('Все игры'!A$3:C1000,'Все игры'!A$3:A1000=A35,'Все игры'!C$3:C1000 &lt; 1,'Все игры'!B$3:B1000=""Мафия""))"),6.0)</f>
        <v>6</v>
      </c>
      <c r="O35" s="361">
        <f>COUNTIFS('Все игры'!A$3:A1000,A35,'Все игры'!C$3:C1000,"&gt;0",'Все игры'!B$3:B1000,"Шериф")</f>
        <v>0</v>
      </c>
      <c r="P35" s="368">
        <f>IFERROR(__xludf.DUMMYFUNCTION("COUNTBLANK(FILTER('Все игры'!A$3:C1000,'Все игры'!A$3:A1000=A35,'Все игры'!C$3:C1000 &lt; 1,'Все игры'!B$3:B1000=""Шериф""))"),3.0)</f>
        <v>3</v>
      </c>
      <c r="Q35" s="361">
        <f>COUNTIFS('Все игры'!A$3:A1000,A35,'Все игры'!C$3:C1000,"&gt;0",'Все игры'!B$3:B1000,"Дон")</f>
        <v>0</v>
      </c>
      <c r="R35" s="361">
        <f>IFERROR(__xludf.DUMMYFUNCTION("COUNTBLANK(FILTER('Все игры'!A$3:C1000,'Все игры'!A$3:A1000=A35,'Все игры'!C$3:C1000 &lt; 1,'Все игры'!B$3:B1000=""Дон""))"),2.0)</f>
        <v>2</v>
      </c>
      <c r="S35" s="361">
        <f>COUNTIFS('Все игры'!A$3:A1000,A35,'Все игры'!C$3:C1000,"&gt;0",'Все игры'!B$3:B1000,"Мирный")</f>
        <v>17</v>
      </c>
      <c r="T35" s="369">
        <f>IFERROR(__xludf.DUMMYFUNCTION("COUNTBLANK(FILTER('Все игры'!A$3:C1000,'Все игры'!A$3:A1000=A35,'Все игры'!C$3:C1000 &lt; 1,'Все игры'!B$3:B1000=""Мирный""))"),18.0)</f>
        <v>18</v>
      </c>
      <c r="U35" s="370">
        <f t="shared" si="16"/>
        <v>0.42</v>
      </c>
      <c r="V35" s="371">
        <f t="shared" si="5"/>
        <v>0.4473684211</v>
      </c>
      <c r="W35" s="371">
        <f t="shared" si="6"/>
        <v>0.3333333333</v>
      </c>
      <c r="X35" s="371">
        <f t="shared" si="7"/>
        <v>0.4</v>
      </c>
      <c r="Y35" s="371">
        <f t="shared" si="8"/>
        <v>0</v>
      </c>
      <c r="Z35" s="371">
        <f t="shared" si="9"/>
        <v>0</v>
      </c>
      <c r="AA35" s="372">
        <f t="shared" si="10"/>
        <v>0.4857142857</v>
      </c>
      <c r="AB35" s="362">
        <f>SUMIFS('Все игры'!D$3:D1000,'Все игры'!A$3:A1000,A35)</f>
        <v>135.75</v>
      </c>
      <c r="AC35" s="362">
        <f>SUMIFS('Все игры'!D$3:D1000,'Все игры'!A$3:A1000,A35,'Все игры'!B$3:B1000,"Мафия")</f>
        <v>28</v>
      </c>
      <c r="AD35" s="373">
        <f>SUMIFS('Все игры'!D$3:D1000,'Все игры'!A$3:A1000,A35,'Все игры'!B$3:B1000,"Шериф")</f>
        <v>5.5</v>
      </c>
      <c r="AE35" s="362">
        <f>SUMIFS('Все игры'!D$3:D1000,'Все игры'!A$3:A1000,A35,'Все игры'!B$3:B1000,"Дон")</f>
        <v>4</v>
      </c>
      <c r="AF35" s="363">
        <f>SUMIFS('Все игры'!D$3:D1000,'Все игры'!A$3:A1000,A35,'Все игры'!B$3:B1000,"Мирный")</f>
        <v>98.25</v>
      </c>
      <c r="AG35" s="362">
        <f t="shared" si="11"/>
        <v>2.715</v>
      </c>
      <c r="AH35" s="362">
        <f t="shared" si="12"/>
        <v>2.8</v>
      </c>
      <c r="AI35" s="362">
        <f t="shared" si="13"/>
        <v>1.833333333</v>
      </c>
      <c r="AJ35" s="362">
        <f t="shared" si="14"/>
        <v>2</v>
      </c>
      <c r="AK35" s="362">
        <f t="shared" si="15"/>
        <v>2.807142857</v>
      </c>
      <c r="AL35" s="348">
        <f>MAX('Турнирная таблица по Алфавиту'!T37:CA37)</f>
        <v>29</v>
      </c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</row>
    <row r="36">
      <c r="A36" s="346" t="s">
        <v>110</v>
      </c>
      <c r="B36" s="347">
        <f t="shared" si="1"/>
        <v>50</v>
      </c>
      <c r="C36" s="348">
        <f>'Турнирная таблица по Алфавиту'!E38</f>
        <v>212.75</v>
      </c>
      <c r="D36" s="349">
        <f>'Турнирная таблица по Алфавиту'!F38</f>
        <v>21.275</v>
      </c>
      <c r="E36" s="350">
        <f>COUNTIFS('Все игры'!A$3:A1000,A36,'Все игры'!F$3:F1000,"=1")</f>
        <v>0</v>
      </c>
      <c r="F36" s="350">
        <f>COUNTIFS('Все игры'!A$3:A1000,A36,'Все игры'!F$3:F1000,"=0,50")</f>
        <v>1</v>
      </c>
      <c r="G36" s="350">
        <f>COUNTIFS('Все игры'!A$3:A1000,A36,'Все игры'!G$3:G1000,"&gt;0")</f>
        <v>3</v>
      </c>
      <c r="H36" s="351">
        <f t="shared" si="2"/>
        <v>0.08108108108</v>
      </c>
      <c r="I36" s="352">
        <f>COUNTIFS('Все игры'!A$3:A1000,A36,'Все игры'!E$3:E1000,"У/Победа")</f>
        <v>4</v>
      </c>
      <c r="J36" s="352">
        <f>COUNTIFS('Все игры'!A$3:A1000,A36,'Все игры'!E$3:E1000,"У/Проигрыш")</f>
        <v>0</v>
      </c>
      <c r="K36" s="353">
        <f t="shared" si="3"/>
        <v>37</v>
      </c>
      <c r="L36" s="347">
        <f t="shared" si="4"/>
        <v>13</v>
      </c>
      <c r="M36" s="347">
        <f>COUNTIFS('Все игры'!A$3:A1000,A36,'Все игры'!C$3:C1000,"&gt;0",'Все игры'!B$3:B1000,"Мафия")</f>
        <v>5</v>
      </c>
      <c r="N36" s="347">
        <f>IFERROR(__xludf.DUMMYFUNCTION("COUNTBLANK(FILTER('Все игры'!A$3:C1000,'Все игры'!A$3:A1000=A36,'Все игры'!C$3:C1000 &lt; 1,'Все игры'!B$3:B1000=""Мафия""))"),4.0)</f>
        <v>4</v>
      </c>
      <c r="O36" s="347">
        <f>COUNTIFS('Все игры'!A$3:A1000,A36,'Все игры'!C$3:C1000,"&gt;0",'Все игры'!B$3:B1000,"Шериф")</f>
        <v>3</v>
      </c>
      <c r="P36" s="354">
        <f>IFERROR(__xludf.DUMMYFUNCTION("COUNTBLANK(FILTER('Все игры'!A$3:C1000,'Все игры'!A$3:A1000=A36,'Все игры'!C$3:C1000 &lt; 1,'Все игры'!B$3:B1000=""Шериф""))"),4.0)</f>
        <v>4</v>
      </c>
      <c r="Q36" s="347">
        <f>COUNTIFS('Все игры'!A$3:A1000,A36,'Все игры'!C$3:C1000,"&gt;0",'Все игры'!B$3:B1000,"Дон")</f>
        <v>3</v>
      </c>
      <c r="R36" s="347">
        <f>IFERROR(__xludf.DUMMYFUNCTION("COUNTBLANK(FILTER('Все игры'!A$3:C1000,'Все игры'!A$3:A1000=A36,'Все игры'!C$3:C1000 &lt; 1,'Все игры'!B$3:B1000=""Дон""))"),1.0)</f>
        <v>1</v>
      </c>
      <c r="S36" s="347">
        <f>COUNTIFS('Все игры'!A$3:A1000,A36,'Все игры'!C$3:C1000,"&gt;0",'Все игры'!B$3:B1000,"Мирный")</f>
        <v>17</v>
      </c>
      <c r="T36" s="355">
        <f>IFERROR(__xludf.DUMMYFUNCTION("COUNTBLANK(FILTER('Все игры'!A$3:C1000,'Все игры'!A$3:A1000=A36,'Все игры'!C$3:C1000 &lt; 1,'Все игры'!B$3:B1000=""Мирный""))"),13.0)</f>
        <v>13</v>
      </c>
      <c r="U36" s="356">
        <f t="shared" si="16"/>
        <v>0.56</v>
      </c>
      <c r="V36" s="357">
        <f t="shared" si="5"/>
        <v>0.5405405405</v>
      </c>
      <c r="W36" s="357">
        <f t="shared" si="6"/>
        <v>0.6153846154</v>
      </c>
      <c r="X36" s="357">
        <f t="shared" si="7"/>
        <v>0.5555555556</v>
      </c>
      <c r="Y36" s="357">
        <f t="shared" si="8"/>
        <v>0.4285714286</v>
      </c>
      <c r="Z36" s="357">
        <f t="shared" si="9"/>
        <v>0.75</v>
      </c>
      <c r="AA36" s="358">
        <f t="shared" si="10"/>
        <v>0.5666666667</v>
      </c>
      <c r="AB36" s="348">
        <f>SUMIFS('Все игры'!D$3:D1000,'Все игры'!A$3:A1000,A36)</f>
        <v>140.25</v>
      </c>
      <c r="AC36" s="348">
        <f>SUMIFS('Все игры'!D$3:D1000,'Все игры'!A$3:A1000,A36,'Все игры'!B$3:B1000,"Мафия")</f>
        <v>27.75</v>
      </c>
      <c r="AD36" s="359">
        <f>SUMIFS('Все игры'!D$3:D1000,'Все игры'!A$3:A1000,A36,'Все игры'!B$3:B1000,"Шериф")</f>
        <v>20.75</v>
      </c>
      <c r="AE36" s="348">
        <f>SUMIFS('Все игры'!D$3:D1000,'Все игры'!A$3:A1000,A36,'Все игры'!B$3:B1000,"Дон")</f>
        <v>13.75</v>
      </c>
      <c r="AF36" s="349">
        <f>SUMIFS('Все игры'!D$3:D1000,'Все игры'!A$3:A1000,A36,'Все игры'!B$3:B1000,"Мирный")</f>
        <v>78</v>
      </c>
      <c r="AG36" s="348">
        <f t="shared" si="11"/>
        <v>2.805</v>
      </c>
      <c r="AH36" s="348">
        <f t="shared" si="12"/>
        <v>3.083333333</v>
      </c>
      <c r="AI36" s="348">
        <f t="shared" si="13"/>
        <v>2.964285714</v>
      </c>
      <c r="AJ36" s="348">
        <f t="shared" si="14"/>
        <v>3.4375</v>
      </c>
      <c r="AK36" s="348">
        <f t="shared" si="15"/>
        <v>2.6</v>
      </c>
      <c r="AL36" s="348">
        <f>MAX('Турнирная таблица по Алфавиту'!T38:CA38)</f>
        <v>25.25</v>
      </c>
      <c r="AM36" s="348"/>
      <c r="AN36" s="348"/>
      <c r="AO36" s="348"/>
      <c r="AP36" s="348"/>
      <c r="AQ36" s="348"/>
      <c r="AR36" s="348"/>
      <c r="AS36" s="348"/>
      <c r="AT36" s="348"/>
      <c r="AU36" s="348"/>
      <c r="AV36" s="348"/>
      <c r="AW36" s="348"/>
      <c r="AX36" s="348"/>
      <c r="AY36" s="348"/>
      <c r="AZ36" s="348"/>
      <c r="BA36" s="348"/>
      <c r="BB36" s="348"/>
      <c r="BC36" s="348"/>
      <c r="BD36" s="348"/>
      <c r="BE36" s="348"/>
      <c r="BF36" s="348"/>
      <c r="BG36" s="348"/>
      <c r="BH36" s="348"/>
      <c r="BI36" s="348"/>
      <c r="BJ36" s="348"/>
      <c r="BK36" s="348"/>
      <c r="BL36" s="348"/>
      <c r="BM36" s="348"/>
    </row>
    <row r="37">
      <c r="A37" s="360" t="s">
        <v>111</v>
      </c>
      <c r="B37" s="361">
        <f t="shared" si="1"/>
        <v>50</v>
      </c>
      <c r="C37" s="362">
        <f>'Турнирная таблица по Алфавиту'!E39</f>
        <v>211</v>
      </c>
      <c r="D37" s="363">
        <f>'Турнирная таблица по Алфавиту'!F39</f>
        <v>21.1</v>
      </c>
      <c r="E37" s="364">
        <f>COUNTIFS('Все игры'!A$3:A1000,A37,'Все игры'!F$3:F1000,"=1")</f>
        <v>0</v>
      </c>
      <c r="F37" s="364">
        <f>COUNTIFS('Все игры'!A$3:A1000,A37,'Все игры'!F$3:F1000,"=0,50")</f>
        <v>2</v>
      </c>
      <c r="G37" s="364">
        <f>COUNTIFS('Все игры'!A$3:A1000,A37,'Все игры'!G$3:G1000,"&gt;0")</f>
        <v>7</v>
      </c>
      <c r="H37" s="365">
        <f t="shared" si="2"/>
        <v>0.2121212121</v>
      </c>
      <c r="I37" s="366">
        <f>COUNTIFS('Все игры'!A$3:A1000,A37,'Все игры'!E$3:E1000,"У/Победа")</f>
        <v>3</v>
      </c>
      <c r="J37" s="366">
        <f>COUNTIFS('Все игры'!A$3:A1000,A37,'Все игры'!E$3:E1000,"У/Проигрыш")</f>
        <v>0</v>
      </c>
      <c r="K37" s="367">
        <f t="shared" si="3"/>
        <v>33</v>
      </c>
      <c r="L37" s="361">
        <f t="shared" si="4"/>
        <v>17</v>
      </c>
      <c r="M37" s="361">
        <f>COUNTIFS('Все игры'!A$3:A1000,A37,'Все игры'!C$3:C1000,"&gt;0",'Все игры'!B$3:B1000,"Мафия")</f>
        <v>5</v>
      </c>
      <c r="N37" s="361">
        <f>IFERROR(__xludf.DUMMYFUNCTION("COUNTBLANK(FILTER('Все игры'!A$3:C1000,'Все игры'!A$3:A1000=A37,'Все игры'!C$3:C1000 &lt; 1,'Все игры'!B$3:B1000=""Мафия""))"),2.0)</f>
        <v>2</v>
      </c>
      <c r="O37" s="361">
        <f>COUNTIFS('Все игры'!A$3:A1000,A37,'Все игры'!C$3:C1000,"&gt;0",'Все игры'!B$3:B1000,"Шериф")</f>
        <v>2</v>
      </c>
      <c r="P37" s="368">
        <f>IFERROR(__xludf.DUMMYFUNCTION("COUNTBLANK(FILTER('Все игры'!A$3:C1000,'Все игры'!A$3:A1000=A37,'Все игры'!C$3:C1000 &lt; 1,'Все игры'!B$3:B1000=""Шериф""))"),0.0)</f>
        <v>0</v>
      </c>
      <c r="Q37" s="361">
        <f>COUNTIFS('Все игры'!A$3:A1000,A37,'Все игры'!C$3:C1000,"&gt;0",'Все игры'!B$3:B1000,"Дон")</f>
        <v>4</v>
      </c>
      <c r="R37" s="361">
        <f>IFERROR(__xludf.DUMMYFUNCTION("COUNTBLANK(FILTER('Все игры'!A$3:C1000,'Все игры'!A$3:A1000=A37,'Все игры'!C$3:C1000 &lt; 1,'Все игры'!B$3:B1000=""Дон""))"),6.0)</f>
        <v>6</v>
      </c>
      <c r="S37" s="361">
        <f>COUNTIFS('Все игры'!A$3:A1000,A37,'Все игры'!C$3:C1000,"&gt;0",'Все игры'!B$3:B1000,"Мирный")</f>
        <v>13</v>
      </c>
      <c r="T37" s="369">
        <f>IFERROR(__xludf.DUMMYFUNCTION("COUNTBLANK(FILTER('Все игры'!A$3:C1000,'Все игры'!A$3:A1000=A37,'Все игры'!C$3:C1000 &lt; 1,'Все игры'!B$3:B1000=""Мирный""))"),18.0)</f>
        <v>18</v>
      </c>
      <c r="U37" s="370">
        <f t="shared" si="16"/>
        <v>0.48</v>
      </c>
      <c r="V37" s="371">
        <f t="shared" si="5"/>
        <v>0.4545454545</v>
      </c>
      <c r="W37" s="371">
        <f t="shared" si="6"/>
        <v>0.5294117647</v>
      </c>
      <c r="X37" s="371">
        <f t="shared" si="7"/>
        <v>0.7142857143</v>
      </c>
      <c r="Y37" s="371">
        <f t="shared" si="8"/>
        <v>1</v>
      </c>
      <c r="Z37" s="371">
        <f t="shared" si="9"/>
        <v>0.4</v>
      </c>
      <c r="AA37" s="372">
        <f t="shared" si="10"/>
        <v>0.4193548387</v>
      </c>
      <c r="AB37" s="362">
        <f>SUMIFS('Все игры'!D$3:D1000,'Все игры'!A$3:A1000,A37)</f>
        <v>146.5</v>
      </c>
      <c r="AC37" s="362">
        <f>SUMIFS('Все игры'!D$3:D1000,'Все игры'!A$3:A1000,A37,'Все игры'!B$3:B1000,"Мафия")</f>
        <v>23.25</v>
      </c>
      <c r="AD37" s="373">
        <f>SUMIFS('Все игры'!D$3:D1000,'Все игры'!A$3:A1000,A37,'Все игры'!B$3:B1000,"Шериф")</f>
        <v>6.75</v>
      </c>
      <c r="AE37" s="362">
        <f>SUMIFS('Все игры'!D$3:D1000,'Все игры'!A$3:A1000,A37,'Все игры'!B$3:B1000,"Дон")</f>
        <v>27.75</v>
      </c>
      <c r="AF37" s="363">
        <f>SUMIFS('Все игры'!D$3:D1000,'Все игры'!A$3:A1000,A37,'Все игры'!B$3:B1000,"Мирный")</f>
        <v>88.75</v>
      </c>
      <c r="AG37" s="362">
        <f t="shared" si="11"/>
        <v>2.93</v>
      </c>
      <c r="AH37" s="362">
        <f t="shared" si="12"/>
        <v>3.321428571</v>
      </c>
      <c r="AI37" s="362">
        <f t="shared" si="13"/>
        <v>3.375</v>
      </c>
      <c r="AJ37" s="362">
        <f t="shared" si="14"/>
        <v>2.775</v>
      </c>
      <c r="AK37" s="362">
        <f t="shared" si="15"/>
        <v>2.862903226</v>
      </c>
      <c r="AL37" s="348">
        <f>MAX('Турнирная таблица по Алфавиту'!T39:CA39)</f>
        <v>26</v>
      </c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</row>
    <row r="38">
      <c r="A38" s="360" t="s">
        <v>112</v>
      </c>
      <c r="B38" s="347">
        <f t="shared" si="1"/>
        <v>50</v>
      </c>
      <c r="C38" s="348">
        <f>'Турнирная таблица по Алфавиту'!E40</f>
        <v>208.25</v>
      </c>
      <c r="D38" s="349">
        <f>'Турнирная таблица по Алфавиту'!F40</f>
        <v>20.825</v>
      </c>
      <c r="E38" s="350">
        <f>COUNTIFS('Все игры'!A$3:A1000,A38,'Все игры'!F$3:F1000,"=1")</f>
        <v>0</v>
      </c>
      <c r="F38" s="350">
        <f>COUNTIFS('Все игры'!A$3:A1000,A38,'Все игры'!F$3:F1000,"=0,50")</f>
        <v>0</v>
      </c>
      <c r="G38" s="350">
        <f>COUNTIFS('Все игры'!A$3:A1000,A38,'Все игры'!G$3:G1000,"&gt;0")</f>
        <v>4</v>
      </c>
      <c r="H38" s="351">
        <f t="shared" si="2"/>
        <v>0.1176470588</v>
      </c>
      <c r="I38" s="352">
        <f>COUNTIFS('Все игры'!A$3:A1000,A38,'Все игры'!E$3:E1000,"У/Победа")</f>
        <v>1</v>
      </c>
      <c r="J38" s="352">
        <f>COUNTIFS('Все игры'!A$3:A1000,A38,'Все игры'!E$3:E1000,"У/Проигрыш")</f>
        <v>1</v>
      </c>
      <c r="K38" s="353">
        <f t="shared" si="3"/>
        <v>34</v>
      </c>
      <c r="L38" s="347">
        <f t="shared" si="4"/>
        <v>16</v>
      </c>
      <c r="M38" s="347">
        <f>COUNTIFS('Все игры'!A$3:A1000,A38,'Все игры'!C$3:C1000,"&gt;0",'Все игры'!B$3:B1000,"Мафия")</f>
        <v>6</v>
      </c>
      <c r="N38" s="347">
        <f>IFERROR(__xludf.DUMMYFUNCTION("COUNTBLANK(FILTER('Все игры'!A$3:C1000,'Все игры'!A$3:A1000=A38,'Все игры'!C$3:C1000 &lt; 1,'Все игры'!B$3:B1000=""Мафия""))"),5.0)</f>
        <v>5</v>
      </c>
      <c r="O38" s="347">
        <f>COUNTIFS('Все игры'!A$3:A1000,A38,'Все игры'!C$3:C1000,"&gt;0",'Все игры'!B$3:B1000,"Шериф")</f>
        <v>3</v>
      </c>
      <c r="P38" s="354">
        <f>IFERROR(__xludf.DUMMYFUNCTION("COUNTBLANK(FILTER('Все игры'!A$3:C1000,'Все игры'!A$3:A1000=A38,'Все игры'!C$3:C1000 &lt; 1,'Все игры'!B$3:B1000=""Шериф""))"),5.0)</f>
        <v>5</v>
      </c>
      <c r="Q38" s="347">
        <f>COUNTIFS('Все игры'!A$3:A1000,A38,'Все игры'!C$3:C1000,"&gt;0",'Все игры'!B$3:B1000,"Дон")</f>
        <v>2</v>
      </c>
      <c r="R38" s="347">
        <f>IFERROR(__xludf.DUMMYFUNCTION("COUNTBLANK(FILTER('Все игры'!A$3:C1000,'Все игры'!A$3:A1000=A38,'Все игры'!C$3:C1000 &lt; 1,'Все игры'!B$3:B1000=""Дон""))"),3.0)</f>
        <v>3</v>
      </c>
      <c r="S38" s="347">
        <f>COUNTIFS('Все игры'!A$3:A1000,A38,'Все игры'!C$3:C1000,"&gt;0",'Все игры'!B$3:B1000,"Мирный")</f>
        <v>18</v>
      </c>
      <c r="T38" s="355">
        <f>IFERROR(__xludf.DUMMYFUNCTION("COUNTBLANK(FILTER('Все игры'!A$3:C1000,'Все игры'!A$3:A1000=A38,'Все игры'!C$3:C1000 &lt; 1,'Все игры'!B$3:B1000=""Мирный""))"),8.0)</f>
        <v>8</v>
      </c>
      <c r="U38" s="356">
        <f t="shared" si="16"/>
        <v>0.58</v>
      </c>
      <c r="V38" s="357">
        <f t="shared" si="5"/>
        <v>0.6176470588</v>
      </c>
      <c r="W38" s="357">
        <f t="shared" si="6"/>
        <v>0.5</v>
      </c>
      <c r="X38" s="357">
        <f t="shared" si="7"/>
        <v>0.5454545455</v>
      </c>
      <c r="Y38" s="357">
        <f t="shared" si="8"/>
        <v>0.375</v>
      </c>
      <c r="Z38" s="357">
        <f t="shared" si="9"/>
        <v>0.4</v>
      </c>
      <c r="AA38" s="358">
        <f t="shared" si="10"/>
        <v>0.6923076923</v>
      </c>
      <c r="AB38" s="348">
        <f>SUMIFS('Все игры'!D$3:D1000,'Все игры'!A$3:A1000,A38)</f>
        <v>133.75</v>
      </c>
      <c r="AC38" s="348">
        <f>SUMIFS('Все игры'!D$3:D1000,'Все игры'!A$3:A1000,A38,'Все игры'!B$3:B1000,"Мафия")</f>
        <v>28.25</v>
      </c>
      <c r="AD38" s="359">
        <f>SUMIFS('Все игры'!D$3:D1000,'Все игры'!A$3:A1000,A38,'Все игры'!B$3:B1000,"Шериф")</f>
        <v>19.75</v>
      </c>
      <c r="AE38" s="348">
        <f>SUMIFS('Все игры'!D$3:D1000,'Все игры'!A$3:A1000,A38,'Все игры'!B$3:B1000,"Дон")</f>
        <v>14</v>
      </c>
      <c r="AF38" s="349">
        <f>SUMIFS('Все игры'!D$3:D1000,'Все игры'!A$3:A1000,A38,'Все игры'!B$3:B1000,"Мирный")</f>
        <v>71.75</v>
      </c>
      <c r="AG38" s="348">
        <f t="shared" si="11"/>
        <v>2.675</v>
      </c>
      <c r="AH38" s="348">
        <f t="shared" si="12"/>
        <v>2.568181818</v>
      </c>
      <c r="AI38" s="348">
        <f t="shared" si="13"/>
        <v>2.46875</v>
      </c>
      <c r="AJ38" s="348">
        <f t="shared" si="14"/>
        <v>2.8</v>
      </c>
      <c r="AK38" s="348">
        <f t="shared" si="15"/>
        <v>2.759615385</v>
      </c>
      <c r="AL38" s="348">
        <f>MAX('Турнирная таблица по Алфавиту'!T40:CA40)</f>
        <v>26.5</v>
      </c>
      <c r="AM38" s="348"/>
      <c r="AN38" s="348"/>
      <c r="AO38" s="348"/>
      <c r="AP38" s="348"/>
      <c r="AQ38" s="348"/>
      <c r="AR38" s="348"/>
      <c r="AS38" s="348"/>
      <c r="AT38" s="348"/>
      <c r="AU38" s="348"/>
      <c r="AV38" s="348"/>
      <c r="AW38" s="348"/>
      <c r="AX38" s="348"/>
      <c r="AY38" s="348"/>
      <c r="AZ38" s="348"/>
      <c r="BA38" s="348"/>
      <c r="BB38" s="348"/>
      <c r="BC38" s="348"/>
      <c r="BD38" s="348"/>
      <c r="BE38" s="348"/>
      <c r="BF38" s="348"/>
      <c r="BG38" s="348"/>
      <c r="BH38" s="348"/>
      <c r="BI38" s="348"/>
      <c r="BJ38" s="348"/>
      <c r="BK38" s="348"/>
      <c r="BL38" s="348"/>
      <c r="BM38" s="348"/>
    </row>
    <row r="39">
      <c r="A39" s="360" t="s">
        <v>113</v>
      </c>
      <c r="B39" s="361">
        <f t="shared" si="1"/>
        <v>50</v>
      </c>
      <c r="C39" s="362">
        <f>'Турнирная таблица по Алфавиту'!E41</f>
        <v>209.75</v>
      </c>
      <c r="D39" s="363">
        <f>'Турнирная таблица по Алфавиту'!F41</f>
        <v>20.975</v>
      </c>
      <c r="E39" s="364">
        <f>COUNTIFS('Все игры'!A$3:A1000,A39,'Все игры'!F$3:F1000,"=1")</f>
        <v>0</v>
      </c>
      <c r="F39" s="364">
        <f>COUNTIFS('Все игры'!A$3:A1000,A39,'Все игры'!F$3:F1000,"=0,50")</f>
        <v>2</v>
      </c>
      <c r="G39" s="364">
        <f>COUNTIFS('Все игры'!A$3:A1000,A39,'Все игры'!G$3:G1000,"&gt;0")</f>
        <v>11</v>
      </c>
      <c r="H39" s="365">
        <f t="shared" si="2"/>
        <v>0.3548387097</v>
      </c>
      <c r="I39" s="366">
        <f>COUNTIFS('Все игры'!A$3:A1000,A39,'Все игры'!E$3:E1000,"У/Победа")</f>
        <v>1</v>
      </c>
      <c r="J39" s="366">
        <f>COUNTIFS('Все игры'!A$3:A1000,A39,'Все игры'!E$3:E1000,"У/Проигрыш")</f>
        <v>3</v>
      </c>
      <c r="K39" s="367">
        <f t="shared" si="3"/>
        <v>31</v>
      </c>
      <c r="L39" s="361">
        <f t="shared" si="4"/>
        <v>19</v>
      </c>
      <c r="M39" s="361">
        <f>COUNTIFS('Все игры'!A$3:A1000,A39,'Все игры'!C$3:C1000,"&gt;0",'Все игры'!B$3:B1000,"Мафия")</f>
        <v>7</v>
      </c>
      <c r="N39" s="361">
        <f>IFERROR(__xludf.DUMMYFUNCTION("COUNTBLANK(FILTER('Все игры'!A$3:C1000,'Все игры'!A$3:A1000=A39,'Все игры'!C$3:C1000 &lt; 1,'Все игры'!B$3:B1000=""Мафия""))"),8.0)</f>
        <v>8</v>
      </c>
      <c r="O39" s="361">
        <f>COUNTIFS('Все игры'!A$3:A1000,A39,'Все игры'!C$3:C1000,"&gt;0",'Все игры'!B$3:B1000,"Шериф")</f>
        <v>3</v>
      </c>
      <c r="P39" s="368">
        <f>IFERROR(__xludf.DUMMYFUNCTION("COUNTBLANK(FILTER('Все игры'!A$3:C1000,'Все игры'!A$3:A1000=A39,'Все игры'!C$3:C1000 &lt; 1,'Все игры'!B$3:B1000=""Шериф""))"),4.0)</f>
        <v>4</v>
      </c>
      <c r="Q39" s="361">
        <f>COUNTIFS('Все игры'!A$3:A1000,A39,'Все игры'!C$3:C1000,"&gt;0",'Все игры'!B$3:B1000,"Дон")</f>
        <v>2</v>
      </c>
      <c r="R39" s="361">
        <f>IFERROR(__xludf.DUMMYFUNCTION("COUNTBLANK(FILTER('Все игры'!A$3:C1000,'Все игры'!A$3:A1000=A39,'Все игры'!C$3:C1000 &lt; 1,'Все игры'!B$3:B1000=""Дон""))"),2.0)</f>
        <v>2</v>
      </c>
      <c r="S39" s="361">
        <f>COUNTIFS('Все игры'!A$3:A1000,A39,'Все игры'!C$3:C1000,"&gt;0",'Все игры'!B$3:B1000,"Мирный")</f>
        <v>9</v>
      </c>
      <c r="T39" s="369">
        <f>IFERROR(__xludf.DUMMYFUNCTION("COUNTBLANK(FILTER('Все игры'!A$3:C1000,'Все игры'!A$3:A1000=A39,'Все игры'!C$3:C1000 &lt; 1,'Все игры'!B$3:B1000=""Мирный""))"),15.0)</f>
        <v>15</v>
      </c>
      <c r="U39" s="370">
        <f t="shared" si="16"/>
        <v>0.42</v>
      </c>
      <c r="V39" s="371">
        <f t="shared" si="5"/>
        <v>0.3870967742</v>
      </c>
      <c r="W39" s="371">
        <f t="shared" si="6"/>
        <v>0.4736842105</v>
      </c>
      <c r="X39" s="371">
        <f t="shared" si="7"/>
        <v>0.4666666667</v>
      </c>
      <c r="Y39" s="371">
        <f t="shared" si="8"/>
        <v>0.4285714286</v>
      </c>
      <c r="Z39" s="371">
        <f t="shared" si="9"/>
        <v>0.5</v>
      </c>
      <c r="AA39" s="372">
        <f t="shared" si="10"/>
        <v>0.375</v>
      </c>
      <c r="AB39" s="362">
        <f>SUMIFS('Все игры'!D$3:D1000,'Все игры'!A$3:A1000,A39)</f>
        <v>149.75</v>
      </c>
      <c r="AC39" s="362">
        <f>SUMIFS('Все игры'!D$3:D1000,'Все игры'!A$3:A1000,A39,'Все игры'!B$3:B1000,"Мафия")</f>
        <v>45</v>
      </c>
      <c r="AD39" s="373">
        <f>SUMIFS('Все игры'!D$3:D1000,'Все игры'!A$3:A1000,A39,'Все игры'!B$3:B1000,"Шериф")</f>
        <v>21</v>
      </c>
      <c r="AE39" s="362">
        <f>SUMIFS('Все игры'!D$3:D1000,'Все игры'!A$3:A1000,A39,'Все игры'!B$3:B1000,"Дон")</f>
        <v>12.75</v>
      </c>
      <c r="AF39" s="363">
        <f>SUMIFS('Все игры'!D$3:D1000,'Все игры'!A$3:A1000,A39,'Все игры'!B$3:B1000,"Мирный")</f>
        <v>71</v>
      </c>
      <c r="AG39" s="362">
        <f t="shared" si="11"/>
        <v>2.995</v>
      </c>
      <c r="AH39" s="362">
        <f t="shared" si="12"/>
        <v>3</v>
      </c>
      <c r="AI39" s="362">
        <f t="shared" si="13"/>
        <v>3</v>
      </c>
      <c r="AJ39" s="362">
        <f t="shared" si="14"/>
        <v>3.1875</v>
      </c>
      <c r="AK39" s="362">
        <f t="shared" si="15"/>
        <v>2.958333333</v>
      </c>
      <c r="AL39" s="348">
        <f>MAX('Турнирная таблица по Алфавиту'!T41:CA41)</f>
        <v>25.75</v>
      </c>
      <c r="AM39" s="348"/>
      <c r="AN39" s="348"/>
      <c r="AO39" s="348"/>
      <c r="AP39" s="348"/>
      <c r="AQ39" s="348"/>
      <c r="AR39" s="348"/>
      <c r="AS39" s="348"/>
      <c r="AT39" s="348"/>
      <c r="AU39" s="348"/>
      <c r="AV39" s="348"/>
      <c r="AW39" s="348"/>
      <c r="AX39" s="348"/>
      <c r="AY39" s="348"/>
      <c r="AZ39" s="348"/>
      <c r="BA39" s="348"/>
      <c r="BB39" s="348"/>
      <c r="BC39" s="348"/>
      <c r="BD39" s="348"/>
      <c r="BE39" s="348"/>
      <c r="BF39" s="348"/>
      <c r="BG39" s="348"/>
      <c r="BH39" s="348"/>
      <c r="BI39" s="348"/>
      <c r="BJ39" s="348"/>
      <c r="BK39" s="348"/>
      <c r="BL39" s="348"/>
      <c r="BM39" s="348"/>
    </row>
    <row r="40">
      <c r="A40" s="374" t="s">
        <v>114</v>
      </c>
      <c r="B40" s="347">
        <f t="shared" si="1"/>
        <v>50</v>
      </c>
      <c r="C40" s="348">
        <f>'Турнирная таблица по Алфавиту'!E42</f>
        <v>224.25</v>
      </c>
      <c r="D40" s="349">
        <f>'Турнирная таблица по Алфавиту'!F42</f>
        <v>22.425</v>
      </c>
      <c r="E40" s="350">
        <f>COUNTIFS('Все игры'!A$3:A1000,A40,'Все игры'!F$3:F1000,"=1")</f>
        <v>1</v>
      </c>
      <c r="F40" s="350">
        <f>COUNTIFS('Все игры'!A$3:A1000,A40,'Все игры'!F$3:F1000,"=0,50")</f>
        <v>2</v>
      </c>
      <c r="G40" s="350">
        <f>COUNTIFS('Все игры'!A$3:A1000,A40,'Все игры'!G$3:G1000,"&gt;0")</f>
        <v>8</v>
      </c>
      <c r="H40" s="351">
        <f t="shared" si="2"/>
        <v>0.2105263158</v>
      </c>
      <c r="I40" s="352">
        <f>COUNTIFS('Все игры'!A$3:A1000,A40,'Все игры'!E$3:E1000,"У/Победа")</f>
        <v>4</v>
      </c>
      <c r="J40" s="352">
        <f>COUNTIFS('Все игры'!A$3:A1000,A40,'Все игры'!E$3:E1000,"У/Проигрыш")</f>
        <v>2</v>
      </c>
      <c r="K40" s="353">
        <f t="shared" si="3"/>
        <v>38</v>
      </c>
      <c r="L40" s="347">
        <f t="shared" si="4"/>
        <v>12</v>
      </c>
      <c r="M40" s="347">
        <f>COUNTIFS('Все игры'!A$3:A1000,A40,'Все игры'!C$3:C1000,"&gt;0",'Все игры'!B$3:B1000,"Мафия")</f>
        <v>4</v>
      </c>
      <c r="N40" s="347">
        <f>IFERROR(__xludf.DUMMYFUNCTION("COUNTBLANK(FILTER('Все игры'!A$3:C1000,'Все игры'!A$3:A1000=A40,'Все игры'!C$3:C1000 &lt; 1,'Все игры'!B$3:B1000=""Мафия""))"),4.0)</f>
        <v>4</v>
      </c>
      <c r="O40" s="347">
        <f>COUNTIFS('Все игры'!A$3:A1000,A40,'Все игры'!C$3:C1000,"&gt;0",'Все игры'!B$3:B1000,"Шериф")</f>
        <v>1</v>
      </c>
      <c r="P40" s="354">
        <f>IFERROR(__xludf.DUMMYFUNCTION("COUNTBLANK(FILTER('Все игры'!A$3:C1000,'Все игры'!A$3:A1000=A40,'Все игры'!C$3:C1000 &lt; 1,'Все игры'!B$3:B1000=""Шериф""))"),4.0)</f>
        <v>4</v>
      </c>
      <c r="Q40" s="347">
        <f>COUNTIFS('Все игры'!A$3:A1000,A40,'Все игры'!C$3:C1000,"&gt;0",'Все игры'!B$3:B1000,"Дон")</f>
        <v>4</v>
      </c>
      <c r="R40" s="347">
        <f>IFERROR(__xludf.DUMMYFUNCTION("COUNTBLANK(FILTER('Все игры'!A$3:C1000,'Все игры'!A$3:A1000=A40,'Все игры'!C$3:C1000 &lt; 1,'Все игры'!B$3:B1000=""Дон""))"),0.0)</f>
        <v>0</v>
      </c>
      <c r="S40" s="347">
        <f>COUNTIFS('Все игры'!A$3:A1000,A40,'Все игры'!C$3:C1000,"&gt;0",'Все игры'!B$3:B1000,"Мирный")</f>
        <v>19</v>
      </c>
      <c r="T40" s="355">
        <f>IFERROR(__xludf.DUMMYFUNCTION("COUNTBLANK(FILTER('Все игры'!A$3:C1000,'Все игры'!A$3:A1000=A40,'Все игры'!C$3:C1000 &lt; 1,'Все игры'!B$3:B1000=""Мирный""))"),14.0)</f>
        <v>14</v>
      </c>
      <c r="U40" s="356">
        <f t="shared" si="16"/>
        <v>0.56</v>
      </c>
      <c r="V40" s="357">
        <f t="shared" si="5"/>
        <v>0.5263157895</v>
      </c>
      <c r="W40" s="357">
        <f t="shared" si="6"/>
        <v>0.6666666667</v>
      </c>
      <c r="X40" s="357">
        <f t="shared" si="7"/>
        <v>0.5</v>
      </c>
      <c r="Y40" s="357">
        <f t="shared" si="8"/>
        <v>0.2</v>
      </c>
      <c r="Z40" s="357">
        <f t="shared" si="9"/>
        <v>1</v>
      </c>
      <c r="AA40" s="358">
        <f t="shared" si="10"/>
        <v>0.5757575758</v>
      </c>
      <c r="AB40" s="348">
        <f>SUMIFS('Все игры'!D$3:D1000,'Все игры'!A$3:A1000,A40)</f>
        <v>148.25</v>
      </c>
      <c r="AC40" s="348">
        <f>SUMIFS('Все игры'!D$3:D1000,'Все игры'!A$3:A1000,A40,'Все игры'!B$3:B1000,"Мафия")</f>
        <v>22.5</v>
      </c>
      <c r="AD40" s="359">
        <f>SUMIFS('Все игры'!D$3:D1000,'Все игры'!A$3:A1000,A40,'Все игры'!B$3:B1000,"Шериф")</f>
        <v>14.5</v>
      </c>
      <c r="AE40" s="348">
        <f>SUMIFS('Все игры'!D$3:D1000,'Все игры'!A$3:A1000,A40,'Все игры'!B$3:B1000,"Дон")</f>
        <v>13</v>
      </c>
      <c r="AF40" s="349">
        <f>SUMIFS('Все игры'!D$3:D1000,'Все игры'!A$3:A1000,A40,'Все игры'!B$3:B1000,"Мирный")</f>
        <v>98.25</v>
      </c>
      <c r="AG40" s="348">
        <f t="shared" si="11"/>
        <v>2.965</v>
      </c>
      <c r="AH40" s="348">
        <f t="shared" si="12"/>
        <v>2.8125</v>
      </c>
      <c r="AI40" s="348">
        <f t="shared" si="13"/>
        <v>2.9</v>
      </c>
      <c r="AJ40" s="348">
        <f t="shared" si="14"/>
        <v>3.25</v>
      </c>
      <c r="AK40" s="348">
        <f t="shared" si="15"/>
        <v>2.977272727</v>
      </c>
      <c r="AL40" s="348">
        <f>MAX('Турнирная таблица по Алфавиту'!T42:CA42)</f>
        <v>29</v>
      </c>
      <c r="AM40" s="348"/>
      <c r="AN40" s="348"/>
      <c r="AO40" s="348"/>
      <c r="AP40" s="348"/>
      <c r="AQ40" s="348"/>
      <c r="AR40" s="348"/>
      <c r="AS40" s="348"/>
      <c r="AT40" s="348"/>
      <c r="AU40" s="348"/>
      <c r="AV40" s="348"/>
      <c r="AW40" s="348"/>
      <c r="AX40" s="348"/>
      <c r="AY40" s="348"/>
      <c r="AZ40" s="348"/>
      <c r="BA40" s="348"/>
      <c r="BB40" s="348"/>
      <c r="BC40" s="348"/>
      <c r="BD40" s="348"/>
      <c r="BE40" s="348"/>
      <c r="BF40" s="348"/>
      <c r="BG40" s="348"/>
      <c r="BH40" s="348"/>
      <c r="BI40" s="348"/>
      <c r="BJ40" s="348"/>
      <c r="BK40" s="348"/>
      <c r="BL40" s="348"/>
      <c r="BM40" s="348"/>
    </row>
    <row r="41">
      <c r="A41" s="360" t="s">
        <v>115</v>
      </c>
      <c r="B41" s="361">
        <f t="shared" si="1"/>
        <v>50</v>
      </c>
      <c r="C41" s="362">
        <f>'Турнирная таблица по Алфавиту'!E43</f>
        <v>195.5</v>
      </c>
      <c r="D41" s="363">
        <f>'Турнирная таблица по Алфавиту'!F43</f>
        <v>19.55</v>
      </c>
      <c r="E41" s="364">
        <f>COUNTIFS('Все игры'!A$3:A1000,A41,'Все игры'!F$3:F1000,"=1")</f>
        <v>0</v>
      </c>
      <c r="F41" s="364">
        <f>COUNTIFS('Все игры'!A$3:A1000,A41,'Все игры'!F$3:F1000,"=0,50")</f>
        <v>0</v>
      </c>
      <c r="G41" s="364">
        <f>COUNTIFS('Все игры'!A$3:A1000,A41,'Все игры'!G$3:G1000,"&gt;0")</f>
        <v>1</v>
      </c>
      <c r="H41" s="365">
        <f t="shared" si="2"/>
        <v>0.02564102564</v>
      </c>
      <c r="I41" s="366">
        <f>COUNTIFS('Все игры'!A$3:A1000,A41,'Все игры'!E$3:E1000,"У/Победа")</f>
        <v>3</v>
      </c>
      <c r="J41" s="366">
        <f>COUNTIFS('Все игры'!A$3:A1000,A41,'Все игры'!E$3:E1000,"У/Проигрыш")</f>
        <v>3</v>
      </c>
      <c r="K41" s="367">
        <f t="shared" si="3"/>
        <v>39</v>
      </c>
      <c r="L41" s="361">
        <f t="shared" si="4"/>
        <v>11</v>
      </c>
      <c r="M41" s="361">
        <f>COUNTIFS('Все игры'!A$3:A1000,A41,'Все игры'!C$3:C1000,"&gt;0",'Все игры'!B$3:B1000,"Мафия")</f>
        <v>4</v>
      </c>
      <c r="N41" s="361">
        <f>IFERROR(__xludf.DUMMYFUNCTION("COUNTBLANK(FILTER('Все игры'!A$3:C1000,'Все игры'!A$3:A1000=A41,'Все игры'!C$3:C1000 &lt; 1,'Все игры'!B$3:B1000=""Мафия""))"),5.0)</f>
        <v>5</v>
      </c>
      <c r="O41" s="361">
        <f>COUNTIFS('Все игры'!A$3:A1000,A41,'Все игры'!C$3:C1000,"&gt;0",'Все игры'!B$3:B1000,"Шериф")</f>
        <v>7</v>
      </c>
      <c r="P41" s="368">
        <f>IFERROR(__xludf.DUMMYFUNCTION("COUNTBLANK(FILTER('Все игры'!A$3:C1000,'Все игры'!A$3:A1000=A41,'Все игры'!C$3:C1000 &lt; 1,'Все игры'!B$3:B1000=""Шериф""))"),1.0)</f>
        <v>1</v>
      </c>
      <c r="Q41" s="361">
        <f>COUNTIFS('Все игры'!A$3:A1000,A41,'Все игры'!C$3:C1000,"&gt;0",'Все игры'!B$3:B1000,"Дон")</f>
        <v>2</v>
      </c>
      <c r="R41" s="361">
        <f>IFERROR(__xludf.DUMMYFUNCTION("COUNTBLANK(FILTER('Все игры'!A$3:C1000,'Все игры'!A$3:A1000=A41,'Все игры'!C$3:C1000 &lt; 1,'Все игры'!B$3:B1000=""Дон""))"),0.0)</f>
        <v>0</v>
      </c>
      <c r="S41" s="361">
        <f>COUNTIFS('Все игры'!A$3:A1000,A41,'Все игры'!C$3:C1000,"&gt;0",'Все игры'!B$3:B1000,"Мирный")</f>
        <v>12</v>
      </c>
      <c r="T41" s="369">
        <f>IFERROR(__xludf.DUMMYFUNCTION("COUNTBLANK(FILTER('Все игры'!A$3:C1000,'Все игры'!A$3:A1000=A41,'Все игры'!C$3:C1000 &lt; 1,'Все игры'!B$3:B1000=""Мирный""))"),19.0)</f>
        <v>19</v>
      </c>
      <c r="U41" s="370">
        <f t="shared" si="16"/>
        <v>0.5</v>
      </c>
      <c r="V41" s="371">
        <f t="shared" si="5"/>
        <v>0.4871794872</v>
      </c>
      <c r="W41" s="371">
        <f t="shared" si="6"/>
        <v>0.5454545455</v>
      </c>
      <c r="X41" s="371">
        <f t="shared" si="7"/>
        <v>0.4444444444</v>
      </c>
      <c r="Y41" s="371">
        <f t="shared" si="8"/>
        <v>0.875</v>
      </c>
      <c r="Z41" s="371">
        <f t="shared" si="9"/>
        <v>1</v>
      </c>
      <c r="AA41" s="372">
        <f t="shared" si="10"/>
        <v>0.3870967742</v>
      </c>
      <c r="AB41" s="362">
        <f>SUMIFS('Все игры'!D$3:D1000,'Все игры'!A$3:A1000,A41)</f>
        <v>132.5</v>
      </c>
      <c r="AC41" s="362">
        <f>SUMIFS('Все игры'!D$3:D1000,'Все игры'!A$3:A1000,A41,'Все игры'!B$3:B1000,"Мафия")</f>
        <v>18.5</v>
      </c>
      <c r="AD41" s="373">
        <f>SUMIFS('Все игры'!D$3:D1000,'Все игры'!A$3:A1000,A41,'Все игры'!B$3:B1000,"Шериф")</f>
        <v>24.5</v>
      </c>
      <c r="AE41" s="362">
        <f>SUMIFS('Все игры'!D$3:D1000,'Все игры'!A$3:A1000,A41,'Все игры'!B$3:B1000,"Дон")</f>
        <v>7.25</v>
      </c>
      <c r="AF41" s="363">
        <f>SUMIFS('Все игры'!D$3:D1000,'Все игры'!A$3:A1000,A41,'Все игры'!B$3:B1000,"Мирный")</f>
        <v>82.25</v>
      </c>
      <c r="AG41" s="362">
        <f t="shared" si="11"/>
        <v>2.65</v>
      </c>
      <c r="AH41" s="362">
        <f t="shared" si="12"/>
        <v>2.055555556</v>
      </c>
      <c r="AI41" s="362">
        <f t="shared" si="13"/>
        <v>3.0625</v>
      </c>
      <c r="AJ41" s="362">
        <f t="shared" si="14"/>
        <v>3.625</v>
      </c>
      <c r="AK41" s="362">
        <f t="shared" si="15"/>
        <v>2.653225806</v>
      </c>
      <c r="AL41" s="348">
        <f>MAX('Турнирная таблица по Алфавиту'!T43:CA43)</f>
        <v>25</v>
      </c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48"/>
      <c r="BB41" s="348"/>
      <c r="BC41" s="348"/>
      <c r="BD41" s="348"/>
      <c r="BE41" s="348"/>
      <c r="BF41" s="348"/>
      <c r="BG41" s="348"/>
      <c r="BH41" s="348"/>
      <c r="BI41" s="348"/>
      <c r="BJ41" s="348"/>
      <c r="BK41" s="348"/>
      <c r="BL41" s="348"/>
      <c r="BM41" s="348"/>
    </row>
    <row r="42">
      <c r="A42" s="360" t="s">
        <v>116</v>
      </c>
      <c r="B42" s="347">
        <f t="shared" si="1"/>
        <v>50</v>
      </c>
      <c r="C42" s="348">
        <f>'Турнирная таблица по Алфавиту'!E44</f>
        <v>213.25</v>
      </c>
      <c r="D42" s="349">
        <f>'Турнирная таблица по Алфавиту'!F44</f>
        <v>21.325</v>
      </c>
      <c r="E42" s="350">
        <f>COUNTIFS('Все игры'!A$3:A1000,A42,'Все игры'!F$3:F1000,"=1")</f>
        <v>0</v>
      </c>
      <c r="F42" s="350">
        <f>COUNTIFS('Все игры'!A$3:A1000,A42,'Все игры'!F$3:F1000,"=0,50")</f>
        <v>3</v>
      </c>
      <c r="G42" s="350">
        <f>COUNTIFS('Все игры'!A$3:A1000,A42,'Все игры'!G$3:G1000,"&gt;0")</f>
        <v>5</v>
      </c>
      <c r="H42" s="351">
        <f t="shared" si="2"/>
        <v>0.15625</v>
      </c>
      <c r="I42" s="352">
        <f>COUNTIFS('Все игры'!A$3:A1000,A42,'Все игры'!E$3:E1000,"У/Победа")</f>
        <v>3</v>
      </c>
      <c r="J42" s="352">
        <f>COUNTIFS('Все игры'!A$3:A1000,A42,'Все игры'!E$3:E1000,"У/Проигрыш")</f>
        <v>4</v>
      </c>
      <c r="K42" s="353">
        <f t="shared" si="3"/>
        <v>32</v>
      </c>
      <c r="L42" s="347">
        <f t="shared" si="4"/>
        <v>18</v>
      </c>
      <c r="M42" s="347">
        <f>COUNTIFS('Все игры'!A$3:A1000,A42,'Все игры'!C$3:C1000,"&gt;0",'Все игры'!B$3:B1000,"Мафия")</f>
        <v>8</v>
      </c>
      <c r="N42" s="347">
        <f>IFERROR(__xludf.DUMMYFUNCTION("COUNTBLANK(FILTER('Все игры'!A$3:C1000,'Все игры'!A$3:A1000=A42,'Все игры'!C$3:C1000 &lt; 1,'Все игры'!B$3:B1000=""Мафия""))"),2.0)</f>
        <v>2</v>
      </c>
      <c r="O42" s="347">
        <f>COUNTIFS('Все игры'!A$3:A1000,A42,'Все игры'!C$3:C1000,"&gt;0",'Все игры'!B$3:B1000,"Шериф")</f>
        <v>1</v>
      </c>
      <c r="P42" s="354">
        <f>IFERROR(__xludf.DUMMYFUNCTION("COUNTBLANK(FILTER('Все игры'!A$3:C1000,'Все игры'!A$3:A1000=A42,'Все игры'!C$3:C1000 &lt; 1,'Все игры'!B$3:B1000=""Шериф""))"),5.0)</f>
        <v>5</v>
      </c>
      <c r="Q42" s="347">
        <f>COUNTIFS('Все игры'!A$3:A1000,A42,'Все игры'!C$3:C1000,"&gt;0",'Все игры'!B$3:B1000,"Дон")</f>
        <v>7</v>
      </c>
      <c r="R42" s="347">
        <f>IFERROR(__xludf.DUMMYFUNCTION("COUNTBLANK(FILTER('Все игры'!A$3:C1000,'Все игры'!A$3:A1000=A42,'Все игры'!C$3:C1000 &lt; 1,'Все игры'!B$3:B1000=""Дон""))"),1.0)</f>
        <v>1</v>
      </c>
      <c r="S42" s="347">
        <f>COUNTIFS('Все игры'!A$3:A1000,A42,'Все игры'!C$3:C1000,"&gt;0",'Все игры'!B$3:B1000,"Мирный")</f>
        <v>11</v>
      </c>
      <c r="T42" s="355">
        <f>IFERROR(__xludf.DUMMYFUNCTION("COUNTBLANK(FILTER('Все игры'!A$3:C1000,'Все игры'!A$3:A1000=A42,'Все игры'!C$3:C1000 &lt; 1,'Все игры'!B$3:B1000=""Мирный""))"),15.0)</f>
        <v>15</v>
      </c>
      <c r="U42" s="356">
        <f t="shared" si="16"/>
        <v>0.54</v>
      </c>
      <c r="V42" s="357">
        <f t="shared" si="5"/>
        <v>0.375</v>
      </c>
      <c r="W42" s="357">
        <f t="shared" si="6"/>
        <v>0.8333333333</v>
      </c>
      <c r="X42" s="357">
        <f t="shared" si="7"/>
        <v>0.8</v>
      </c>
      <c r="Y42" s="357">
        <f t="shared" si="8"/>
        <v>0.1666666667</v>
      </c>
      <c r="Z42" s="357">
        <f t="shared" si="9"/>
        <v>0.875</v>
      </c>
      <c r="AA42" s="358">
        <f t="shared" si="10"/>
        <v>0.4230769231</v>
      </c>
      <c r="AB42" s="348">
        <f>SUMIFS('Все игры'!D$3:D1000,'Все игры'!A$3:A1000,A42)</f>
        <v>141.25</v>
      </c>
      <c r="AC42" s="348">
        <f>SUMIFS('Все игры'!D$3:D1000,'Все игры'!A$3:A1000,A42,'Все игры'!B$3:B1000,"Мафия")</f>
        <v>31.5</v>
      </c>
      <c r="AD42" s="359">
        <f>SUMIFS('Все игры'!D$3:D1000,'Все игры'!A$3:A1000,A42,'Все игры'!B$3:B1000,"Шериф")</f>
        <v>14.25</v>
      </c>
      <c r="AE42" s="348">
        <f>SUMIFS('Все игры'!D$3:D1000,'Все игры'!A$3:A1000,A42,'Все игры'!B$3:B1000,"Дон")</f>
        <v>20</v>
      </c>
      <c r="AF42" s="349">
        <f>SUMIFS('Все игры'!D$3:D1000,'Все игры'!A$3:A1000,A42,'Все игры'!B$3:B1000,"Мирный")</f>
        <v>75.5</v>
      </c>
      <c r="AG42" s="348">
        <f t="shared" si="11"/>
        <v>2.825</v>
      </c>
      <c r="AH42" s="348">
        <f t="shared" si="12"/>
        <v>3.15</v>
      </c>
      <c r="AI42" s="348">
        <f t="shared" si="13"/>
        <v>2.375</v>
      </c>
      <c r="AJ42" s="348">
        <f t="shared" si="14"/>
        <v>2.5</v>
      </c>
      <c r="AK42" s="348">
        <f t="shared" si="15"/>
        <v>2.903846154</v>
      </c>
      <c r="AL42" s="348">
        <f>MAX('Турнирная таблица по Алфавиту'!T44:CA44)</f>
        <v>29</v>
      </c>
      <c r="AM42" s="348"/>
      <c r="AN42" s="348"/>
      <c r="AO42" s="348"/>
      <c r="AP42" s="348"/>
      <c r="AQ42" s="348"/>
      <c r="AR42" s="348"/>
      <c r="AS42" s="348"/>
      <c r="AT42" s="348"/>
      <c r="AU42" s="348"/>
      <c r="AV42" s="348"/>
      <c r="AW42" s="348"/>
      <c r="AX42" s="348"/>
      <c r="AY42" s="348"/>
      <c r="AZ42" s="348"/>
      <c r="BA42" s="348"/>
      <c r="BB42" s="348"/>
      <c r="BC42" s="348"/>
      <c r="BD42" s="348"/>
      <c r="BE42" s="348"/>
      <c r="BF42" s="348"/>
      <c r="BG42" s="348"/>
      <c r="BH42" s="348"/>
      <c r="BI42" s="348"/>
      <c r="BJ42" s="348"/>
      <c r="BK42" s="348"/>
      <c r="BL42" s="348"/>
      <c r="BM42" s="348"/>
    </row>
    <row r="43">
      <c r="A43" s="360" t="s">
        <v>117</v>
      </c>
      <c r="B43" s="361">
        <f t="shared" si="1"/>
        <v>50</v>
      </c>
      <c r="C43" s="362">
        <f>'Турнирная таблица по Алфавиту'!E45</f>
        <v>181.75</v>
      </c>
      <c r="D43" s="363">
        <f>'Турнирная таблица по Алфавиту'!F45</f>
        <v>18.175</v>
      </c>
      <c r="E43" s="364">
        <f>COUNTIFS('Все игры'!A$3:A1000,A43,'Все игры'!F$3:F1000,"=1")</f>
        <v>0</v>
      </c>
      <c r="F43" s="364">
        <f>COUNTIFS('Все игры'!A$3:A1000,A43,'Все игры'!F$3:F1000,"=0,50")</f>
        <v>1</v>
      </c>
      <c r="G43" s="364">
        <f>COUNTIFS('Все игры'!A$3:A1000,A43,'Все игры'!G$3:G1000,"&gt;0")</f>
        <v>7</v>
      </c>
      <c r="H43" s="365">
        <f t="shared" si="2"/>
        <v>0.175</v>
      </c>
      <c r="I43" s="366">
        <f>COUNTIFS('Все игры'!A$3:A1000,A43,'Все игры'!E$3:E1000,"У/Победа")</f>
        <v>1</v>
      </c>
      <c r="J43" s="366">
        <f>COUNTIFS('Все игры'!A$3:A1000,A43,'Все игры'!E$3:E1000,"У/Проигрыш")</f>
        <v>3</v>
      </c>
      <c r="K43" s="367">
        <f t="shared" si="3"/>
        <v>40</v>
      </c>
      <c r="L43" s="361">
        <f t="shared" si="4"/>
        <v>10</v>
      </c>
      <c r="M43" s="361">
        <f>COUNTIFS('Все игры'!A$3:A1000,A43,'Все игры'!C$3:C1000,"&gt;0",'Все игры'!B$3:B1000,"Мафия")</f>
        <v>0</v>
      </c>
      <c r="N43" s="361">
        <f>IFERROR(__xludf.DUMMYFUNCTION("COUNTBLANK(FILTER('Все игры'!A$3:C1000,'Все игры'!A$3:A1000=A43,'Все игры'!C$3:C1000 &lt; 1,'Все игры'!B$3:B1000=""Мафия""))"),7.0)</f>
        <v>7</v>
      </c>
      <c r="O43" s="361">
        <f>COUNTIFS('Все игры'!A$3:A1000,A43,'Все игры'!C$3:C1000,"&gt;0",'Все игры'!B$3:B1000,"Шериф")</f>
        <v>3</v>
      </c>
      <c r="P43" s="368">
        <f>IFERROR(__xludf.DUMMYFUNCTION("COUNTBLANK(FILTER('Все игры'!A$3:C1000,'Все игры'!A$3:A1000=A43,'Все игры'!C$3:C1000 &lt; 1,'Все игры'!B$3:B1000=""Шериф""))"),1.0)</f>
        <v>1</v>
      </c>
      <c r="Q43" s="361">
        <f>COUNTIFS('Все игры'!A$3:A1000,A43,'Все игры'!C$3:C1000,"&gt;0",'Все игры'!B$3:B1000,"Дон")</f>
        <v>2</v>
      </c>
      <c r="R43" s="361">
        <f>IFERROR(__xludf.DUMMYFUNCTION("COUNTBLANK(FILTER('Все игры'!A$3:C1000,'Все игры'!A$3:A1000=A43,'Все игры'!C$3:C1000 &lt; 1,'Все игры'!B$3:B1000=""Дон""))"),1.0)</f>
        <v>1</v>
      </c>
      <c r="S43" s="361">
        <f>COUNTIFS('Все игры'!A$3:A1000,A43,'Все игры'!C$3:C1000,"&gt;0",'Все игры'!B$3:B1000,"Мирный")</f>
        <v>15</v>
      </c>
      <c r="T43" s="369">
        <f>IFERROR(__xludf.DUMMYFUNCTION("COUNTBLANK(FILTER('Все игры'!A$3:C1000,'Все игры'!A$3:A1000=A43,'Все игры'!C$3:C1000 &lt; 1,'Все игры'!B$3:B1000=""Мирный""))"),21.0)</f>
        <v>21</v>
      </c>
      <c r="U43" s="370">
        <f t="shared" si="16"/>
        <v>0.4</v>
      </c>
      <c r="V43" s="371">
        <f t="shared" si="5"/>
        <v>0.45</v>
      </c>
      <c r="W43" s="371">
        <f t="shared" si="6"/>
        <v>0.2</v>
      </c>
      <c r="X43" s="371">
        <f t="shared" si="7"/>
        <v>0</v>
      </c>
      <c r="Y43" s="371">
        <f t="shared" si="8"/>
        <v>0.75</v>
      </c>
      <c r="Z43" s="371">
        <f t="shared" si="9"/>
        <v>0.6666666667</v>
      </c>
      <c r="AA43" s="372">
        <f t="shared" si="10"/>
        <v>0.4166666667</v>
      </c>
      <c r="AB43" s="362">
        <f>SUMIFS('Все игры'!D$3:D1000,'Все игры'!A$3:A1000,A43)</f>
        <v>127.75</v>
      </c>
      <c r="AC43" s="362">
        <f>SUMIFS('Все игры'!D$3:D1000,'Все игры'!A$3:A1000,A43,'Все игры'!B$3:B1000,"Мафия")</f>
        <v>15</v>
      </c>
      <c r="AD43" s="373">
        <f>SUMIFS('Все игры'!D$3:D1000,'Все игры'!A$3:A1000,A43,'Все игры'!B$3:B1000,"Шериф")</f>
        <v>12.75</v>
      </c>
      <c r="AE43" s="362">
        <f>SUMIFS('Все игры'!D$3:D1000,'Все игры'!A$3:A1000,A43,'Все игры'!B$3:B1000,"Дон")</f>
        <v>11.25</v>
      </c>
      <c r="AF43" s="363">
        <f>SUMIFS('Все игры'!D$3:D1000,'Все игры'!A$3:A1000,A43,'Все игры'!B$3:B1000,"Мирный")</f>
        <v>88.75</v>
      </c>
      <c r="AG43" s="362">
        <f t="shared" si="11"/>
        <v>2.555</v>
      </c>
      <c r="AH43" s="362">
        <f t="shared" si="12"/>
        <v>2.142857143</v>
      </c>
      <c r="AI43" s="362">
        <f t="shared" si="13"/>
        <v>3.1875</v>
      </c>
      <c r="AJ43" s="362">
        <f t="shared" si="14"/>
        <v>3.75</v>
      </c>
      <c r="AK43" s="362">
        <f t="shared" si="15"/>
        <v>2.465277778</v>
      </c>
      <c r="AL43" s="348">
        <f>MAX('Турнирная таблица по Алфавиту'!T45:CA45)</f>
        <v>27.25</v>
      </c>
      <c r="AM43" s="348"/>
      <c r="AN43" s="348"/>
      <c r="AO43" s="348"/>
      <c r="AP43" s="348"/>
      <c r="AQ43" s="348"/>
      <c r="AR43" s="348"/>
      <c r="AS43" s="348"/>
      <c r="AT43" s="348"/>
      <c r="AU43" s="348"/>
      <c r="AV43" s="348"/>
      <c r="AW43" s="348"/>
      <c r="AX43" s="348"/>
      <c r="AY43" s="348"/>
      <c r="AZ43" s="348"/>
      <c r="BA43" s="348"/>
      <c r="BB43" s="348"/>
      <c r="BC43" s="348"/>
      <c r="BD43" s="348"/>
      <c r="BE43" s="348"/>
      <c r="BF43" s="348"/>
      <c r="BG43" s="348"/>
      <c r="BH43" s="348"/>
      <c r="BI43" s="348"/>
      <c r="BJ43" s="348"/>
      <c r="BK43" s="348"/>
      <c r="BL43" s="348"/>
      <c r="BM43" s="348"/>
    </row>
    <row r="44">
      <c r="A44" s="346" t="s">
        <v>118</v>
      </c>
      <c r="B44" s="347">
        <f t="shared" si="1"/>
        <v>50</v>
      </c>
      <c r="C44" s="348">
        <f>'Турнирная таблица по Алфавиту'!E46</f>
        <v>188.25</v>
      </c>
      <c r="D44" s="349">
        <f>'Турнирная таблица по Алфавиту'!F46</f>
        <v>18.825</v>
      </c>
      <c r="E44" s="350">
        <f>COUNTIFS('Все игры'!A$3:A1000,A44,'Все игры'!F$3:F1000,"=1")</f>
        <v>0</v>
      </c>
      <c r="F44" s="350">
        <f>COUNTIFS('Все игры'!A$3:A1000,A44,'Все игры'!F$3:F1000,"=0,50")</f>
        <v>0</v>
      </c>
      <c r="G44" s="350">
        <f>COUNTIFS('Все игры'!A$3:A1000,A44,'Все игры'!G$3:G1000,"&gt;0")</f>
        <v>2</v>
      </c>
      <c r="H44" s="351">
        <f t="shared" si="2"/>
        <v>0.06060606061</v>
      </c>
      <c r="I44" s="352">
        <f>COUNTIFS('Все игры'!A$3:A1000,A44,'Все игры'!E$3:E1000,"У/Победа")</f>
        <v>2</v>
      </c>
      <c r="J44" s="352">
        <f>COUNTIFS('Все игры'!A$3:A1000,A44,'Все игры'!E$3:E1000,"У/Проигрыш")</f>
        <v>4</v>
      </c>
      <c r="K44" s="353">
        <f t="shared" si="3"/>
        <v>33</v>
      </c>
      <c r="L44" s="347">
        <f t="shared" si="4"/>
        <v>17</v>
      </c>
      <c r="M44" s="347">
        <f>COUNTIFS('Все игры'!A$3:A1000,A44,'Все игры'!C$3:C1000,"&gt;0",'Все игры'!B$3:B1000,"Мафия")</f>
        <v>6</v>
      </c>
      <c r="N44" s="347">
        <f>IFERROR(__xludf.DUMMYFUNCTION("COUNTBLANK(FILTER('Все игры'!A$3:C1000,'Все игры'!A$3:A1000=A44,'Все игры'!C$3:C1000 &lt; 1,'Все игры'!B$3:B1000=""Мафия""))"),7.0)</f>
        <v>7</v>
      </c>
      <c r="O44" s="347">
        <f>COUNTIFS('Все игры'!A$3:A1000,A44,'Все игры'!C$3:C1000,"&gt;0",'Все игры'!B$3:B1000,"Шериф")</f>
        <v>3</v>
      </c>
      <c r="P44" s="354">
        <f>IFERROR(__xludf.DUMMYFUNCTION("COUNTBLANK(FILTER('Все игры'!A$3:C1000,'Все игры'!A$3:A1000=A44,'Все игры'!C$3:C1000 &lt; 1,'Все игры'!B$3:B1000=""Шериф""))"),2.0)</f>
        <v>2</v>
      </c>
      <c r="Q44" s="347">
        <f>COUNTIFS('Все игры'!A$3:A1000,A44,'Все игры'!C$3:C1000,"&gt;0",'Все игры'!B$3:B1000,"Дон")</f>
        <v>2</v>
      </c>
      <c r="R44" s="347">
        <f>IFERROR(__xludf.DUMMYFUNCTION("COUNTBLANK(FILTER('Все игры'!A$3:C1000,'Все игры'!A$3:A1000=A44,'Все игры'!C$3:C1000 &lt; 1,'Все игры'!B$3:B1000=""Дон""))"),2.0)</f>
        <v>2</v>
      </c>
      <c r="S44" s="347">
        <f>COUNTIFS('Все игры'!A$3:A1000,A44,'Все игры'!C$3:C1000,"&gt;0",'Все игры'!B$3:B1000,"Мирный")</f>
        <v>11</v>
      </c>
      <c r="T44" s="355">
        <f>IFERROR(__xludf.DUMMYFUNCTION("COUNTBLANK(FILTER('Все игры'!A$3:C1000,'Все игры'!A$3:A1000=A44,'Все игры'!C$3:C1000 &lt; 1,'Все игры'!B$3:B1000=""Мирный""))"),17.0)</f>
        <v>17</v>
      </c>
      <c r="U44" s="356">
        <f t="shared" si="16"/>
        <v>0.44</v>
      </c>
      <c r="V44" s="357">
        <f t="shared" si="5"/>
        <v>0.4242424242</v>
      </c>
      <c r="W44" s="357">
        <f t="shared" si="6"/>
        <v>0.4705882353</v>
      </c>
      <c r="X44" s="357">
        <f t="shared" si="7"/>
        <v>0.4615384615</v>
      </c>
      <c r="Y44" s="357">
        <f t="shared" si="8"/>
        <v>0.6</v>
      </c>
      <c r="Z44" s="357">
        <f t="shared" si="9"/>
        <v>0.5</v>
      </c>
      <c r="AA44" s="358">
        <f t="shared" si="10"/>
        <v>0.3928571429</v>
      </c>
      <c r="AB44" s="348">
        <f>SUMIFS('Все игры'!D$3:D1000,'Все игры'!A$3:A1000,A44)</f>
        <v>132.25</v>
      </c>
      <c r="AC44" s="348">
        <f>SUMIFS('Все игры'!D$3:D1000,'Все игры'!A$3:A1000,A44,'Все игры'!B$3:B1000,"Мафия")</f>
        <v>33</v>
      </c>
      <c r="AD44" s="359">
        <f>SUMIFS('Все игры'!D$3:D1000,'Все игры'!A$3:A1000,A44,'Все игры'!B$3:B1000,"Шериф")</f>
        <v>14.75</v>
      </c>
      <c r="AE44" s="348">
        <f>SUMIFS('Все игры'!D$3:D1000,'Все игры'!A$3:A1000,A44,'Все игры'!B$3:B1000,"Дон")</f>
        <v>10.25</v>
      </c>
      <c r="AF44" s="349">
        <f>SUMIFS('Все игры'!D$3:D1000,'Все игры'!A$3:A1000,A44,'Все игры'!B$3:B1000,"Мирный")</f>
        <v>74.25</v>
      </c>
      <c r="AG44" s="348">
        <f t="shared" si="11"/>
        <v>2.645</v>
      </c>
      <c r="AH44" s="348">
        <f t="shared" si="12"/>
        <v>2.538461538</v>
      </c>
      <c r="AI44" s="348">
        <f t="shared" si="13"/>
        <v>2.95</v>
      </c>
      <c r="AJ44" s="348">
        <f t="shared" si="14"/>
        <v>2.5625</v>
      </c>
      <c r="AK44" s="348">
        <f t="shared" si="15"/>
        <v>2.651785714</v>
      </c>
      <c r="AL44" s="348">
        <f>MAX('Турнирная таблица по Алфавиту'!T46:CA46)</f>
        <v>23.5</v>
      </c>
      <c r="AM44" s="348"/>
      <c r="AN44" s="348"/>
      <c r="AO44" s="348"/>
      <c r="AP44" s="348"/>
      <c r="AQ44" s="348"/>
      <c r="AR44" s="348"/>
      <c r="AS44" s="348"/>
      <c r="AT44" s="348"/>
      <c r="AU44" s="348"/>
      <c r="AV44" s="348"/>
      <c r="AW44" s="348"/>
      <c r="AX44" s="348"/>
      <c r="AY44" s="348"/>
      <c r="AZ44" s="348"/>
      <c r="BA44" s="348"/>
      <c r="BB44" s="348"/>
      <c r="BC44" s="348"/>
      <c r="BD44" s="348"/>
      <c r="BE44" s="348"/>
      <c r="BF44" s="348"/>
      <c r="BG44" s="348"/>
      <c r="BH44" s="348"/>
      <c r="BI44" s="348"/>
      <c r="BJ44" s="348"/>
      <c r="BK44" s="348"/>
      <c r="BL44" s="348"/>
      <c r="BM44" s="348"/>
    </row>
    <row r="45">
      <c r="A45" s="360" t="s">
        <v>119</v>
      </c>
      <c r="B45" s="361">
        <f t="shared" si="1"/>
        <v>50</v>
      </c>
      <c r="C45" s="362">
        <f>'Турнирная таблица по Алфавиту'!E47</f>
        <v>194.75</v>
      </c>
      <c r="D45" s="363">
        <f>'Турнирная таблица по Алфавиту'!F47</f>
        <v>19.475</v>
      </c>
      <c r="E45" s="364">
        <f>COUNTIFS('Все игры'!A$3:A1000,A45,'Все игры'!F$3:F1000,"=1")</f>
        <v>1</v>
      </c>
      <c r="F45" s="364">
        <f>COUNTIFS('Все игры'!A$3:A1000,A45,'Все игры'!F$3:F1000,"=0,50")</f>
        <v>1</v>
      </c>
      <c r="G45" s="364">
        <f>COUNTIFS('Все игры'!A$3:A1000,A45,'Все игры'!G$3:G1000,"&gt;0")</f>
        <v>2</v>
      </c>
      <c r="H45" s="365">
        <f t="shared" si="2"/>
        <v>0.0625</v>
      </c>
      <c r="I45" s="366">
        <f>COUNTIFS('Все игры'!A$3:A1000,A45,'Все игры'!E$3:E1000,"У/Победа")</f>
        <v>2</v>
      </c>
      <c r="J45" s="366">
        <f>COUNTIFS('Все игры'!A$3:A1000,A45,'Все игры'!E$3:E1000,"У/Проигрыш")</f>
        <v>1</v>
      </c>
      <c r="K45" s="367">
        <f t="shared" si="3"/>
        <v>32</v>
      </c>
      <c r="L45" s="361">
        <f t="shared" si="4"/>
        <v>18</v>
      </c>
      <c r="M45" s="361">
        <f>COUNTIFS('Все игры'!A$3:A1000,A45,'Все игры'!C$3:C1000,"&gt;0",'Все игры'!B$3:B1000,"Мафия")</f>
        <v>8</v>
      </c>
      <c r="N45" s="361">
        <f>IFERROR(__xludf.DUMMYFUNCTION("COUNTBLANK(FILTER('Все игры'!A$3:C1000,'Все игры'!A$3:A1000=A45,'Все игры'!C$3:C1000 &lt; 1,'Все игры'!B$3:B1000=""Мафия""))"),3.0)</f>
        <v>3</v>
      </c>
      <c r="O45" s="361">
        <f>COUNTIFS('Все игры'!A$3:A1000,A45,'Все игры'!C$3:C1000,"&gt;0",'Все игры'!B$3:B1000,"Шериф")</f>
        <v>2</v>
      </c>
      <c r="P45" s="368">
        <f>IFERROR(__xludf.DUMMYFUNCTION("COUNTBLANK(FILTER('Все игры'!A$3:C1000,'Все игры'!A$3:A1000=A45,'Все игры'!C$3:C1000 &lt; 1,'Все игры'!B$3:B1000=""Шериф""))"),4.0)</f>
        <v>4</v>
      </c>
      <c r="Q45" s="361">
        <f>COUNTIFS('Все игры'!A$3:A1000,A45,'Все игры'!C$3:C1000,"&gt;0",'Все игры'!B$3:B1000,"Дон")</f>
        <v>2</v>
      </c>
      <c r="R45" s="361">
        <f>IFERROR(__xludf.DUMMYFUNCTION("COUNTBLANK(FILTER('Все игры'!A$3:C1000,'Все игры'!A$3:A1000=A45,'Все игры'!C$3:C1000 &lt; 1,'Все игры'!B$3:B1000=""Дон""))"),5.0)</f>
        <v>5</v>
      </c>
      <c r="S45" s="361">
        <f>COUNTIFS('Все игры'!A$3:A1000,A45,'Все игры'!C$3:C1000,"&gt;0",'Все игры'!B$3:B1000,"Мирный")</f>
        <v>13</v>
      </c>
      <c r="T45" s="369">
        <f>IFERROR(__xludf.DUMMYFUNCTION("COUNTBLANK(FILTER('Все игры'!A$3:C1000,'Все игры'!A$3:A1000=A45,'Все игры'!C$3:C1000 &lt; 1,'Все игры'!B$3:B1000=""Мирный""))"),13.0)</f>
        <v>13</v>
      </c>
      <c r="U45" s="370">
        <f t="shared" si="16"/>
        <v>0.5</v>
      </c>
      <c r="V45" s="371">
        <f t="shared" si="5"/>
        <v>0.46875</v>
      </c>
      <c r="W45" s="371">
        <f t="shared" si="6"/>
        <v>0.5555555556</v>
      </c>
      <c r="X45" s="371">
        <f t="shared" si="7"/>
        <v>0.7272727273</v>
      </c>
      <c r="Y45" s="371">
        <f t="shared" si="8"/>
        <v>0.3333333333</v>
      </c>
      <c r="Z45" s="371">
        <f t="shared" si="9"/>
        <v>0.2857142857</v>
      </c>
      <c r="AA45" s="372">
        <f t="shared" si="10"/>
        <v>0.5</v>
      </c>
      <c r="AB45" s="362">
        <f>SUMIFS('Все игры'!D$3:D1000,'Все игры'!A$3:A1000,A45)</f>
        <v>129.75</v>
      </c>
      <c r="AC45" s="362">
        <f>SUMIFS('Все игры'!D$3:D1000,'Все игры'!A$3:A1000,A45,'Все игры'!B$3:B1000,"Мафия")</f>
        <v>28.5</v>
      </c>
      <c r="AD45" s="373">
        <f>SUMIFS('Все игры'!D$3:D1000,'Все игры'!A$3:A1000,A45,'Все игры'!B$3:B1000,"Шериф")</f>
        <v>16</v>
      </c>
      <c r="AE45" s="362">
        <f>SUMIFS('Все игры'!D$3:D1000,'Все игры'!A$3:A1000,A45,'Все игры'!B$3:B1000,"Дон")</f>
        <v>14.75</v>
      </c>
      <c r="AF45" s="363">
        <f>SUMIFS('Все игры'!D$3:D1000,'Все игры'!A$3:A1000,A45,'Все игры'!B$3:B1000,"Мирный")</f>
        <v>70.5</v>
      </c>
      <c r="AG45" s="362">
        <f t="shared" si="11"/>
        <v>2.595</v>
      </c>
      <c r="AH45" s="362">
        <f t="shared" si="12"/>
        <v>2.590909091</v>
      </c>
      <c r="AI45" s="362">
        <f t="shared" si="13"/>
        <v>2.666666667</v>
      </c>
      <c r="AJ45" s="362">
        <f t="shared" si="14"/>
        <v>2.107142857</v>
      </c>
      <c r="AK45" s="362">
        <f t="shared" si="15"/>
        <v>2.711538462</v>
      </c>
      <c r="AL45" s="348">
        <f>MAX('Турнирная таблица по Алфавиту'!T47:CA47)</f>
        <v>26.5</v>
      </c>
      <c r="AM45" s="348"/>
      <c r="AN45" s="348"/>
      <c r="AO45" s="348"/>
      <c r="AP45" s="348"/>
      <c r="AQ45" s="348"/>
      <c r="AR45" s="348"/>
      <c r="AS45" s="348"/>
      <c r="AT45" s="348"/>
      <c r="AU45" s="348"/>
      <c r="AV45" s="348"/>
      <c r="AW45" s="348"/>
      <c r="AX45" s="348"/>
      <c r="AY45" s="348"/>
      <c r="AZ45" s="348"/>
      <c r="BA45" s="348"/>
      <c r="BB45" s="348"/>
      <c r="BC45" s="348"/>
      <c r="BD45" s="348"/>
      <c r="BE45" s="348"/>
      <c r="BF45" s="348"/>
      <c r="BG45" s="348"/>
      <c r="BH45" s="348"/>
      <c r="BI45" s="348"/>
      <c r="BJ45" s="348"/>
      <c r="BK45" s="348"/>
      <c r="BL45" s="348"/>
      <c r="BM45" s="348"/>
    </row>
    <row r="46">
      <c r="A46" s="360" t="s">
        <v>120</v>
      </c>
      <c r="B46" s="347">
        <f t="shared" si="1"/>
        <v>50</v>
      </c>
      <c r="C46" s="348">
        <f>'Турнирная таблица по Алфавиту'!E48</f>
        <v>196.75</v>
      </c>
      <c r="D46" s="349">
        <f>'Турнирная таблица по Алфавиту'!F48</f>
        <v>19.675</v>
      </c>
      <c r="E46" s="350">
        <f>COUNTIFS('Все игры'!A$3:A1000,A46,'Все игры'!F$3:F1000,"=1")</f>
        <v>0</v>
      </c>
      <c r="F46" s="350">
        <f>COUNTIFS('Все игры'!A$3:A1000,A46,'Все игры'!F$3:F1000,"=0,50")</f>
        <v>0</v>
      </c>
      <c r="G46" s="350">
        <f>COUNTIFS('Все игры'!A$3:A1000,A46,'Все игры'!G$3:G1000,"&gt;0")</f>
        <v>6</v>
      </c>
      <c r="H46" s="351">
        <f t="shared" si="2"/>
        <v>0.1935483871</v>
      </c>
      <c r="I46" s="352">
        <f>COUNTIFS('Все игры'!A$3:A1000,A46,'Все игры'!E$3:E1000,"У/Победа")</f>
        <v>0</v>
      </c>
      <c r="J46" s="352">
        <f>COUNTIFS('Все игры'!A$3:A1000,A46,'Все игры'!E$3:E1000,"У/Проигрыш")</f>
        <v>1</v>
      </c>
      <c r="K46" s="353">
        <f t="shared" si="3"/>
        <v>31</v>
      </c>
      <c r="L46" s="347">
        <f t="shared" si="4"/>
        <v>19</v>
      </c>
      <c r="M46" s="347">
        <f>COUNTIFS('Все игры'!A$3:A1000,A46,'Все игры'!C$3:C1000,"&gt;0",'Все игры'!B$3:B1000,"Мафия")</f>
        <v>6</v>
      </c>
      <c r="N46" s="347">
        <f>IFERROR(__xludf.DUMMYFUNCTION("COUNTBLANK(FILTER('Все игры'!A$3:C1000,'Все игры'!A$3:A1000=A46,'Все игры'!C$3:C1000 &lt; 1,'Все игры'!B$3:B1000=""Мафия""))"),6.0)</f>
        <v>6</v>
      </c>
      <c r="O46" s="347">
        <f>COUNTIFS('Все игры'!A$3:A1000,A46,'Все игры'!C$3:C1000,"&gt;0",'Все игры'!B$3:B1000,"Шериф")</f>
        <v>4</v>
      </c>
      <c r="P46" s="354">
        <f>IFERROR(__xludf.DUMMYFUNCTION("COUNTBLANK(FILTER('Все игры'!A$3:C1000,'Все игры'!A$3:A1000=A46,'Все игры'!C$3:C1000 &lt; 1,'Все игры'!B$3:B1000=""Шериф""))"),0.0)</f>
        <v>0</v>
      </c>
      <c r="Q46" s="347">
        <f>COUNTIFS('Все игры'!A$3:A1000,A46,'Все игры'!C$3:C1000,"&gt;0",'Все игры'!B$3:B1000,"Дон")</f>
        <v>3</v>
      </c>
      <c r="R46" s="347">
        <f>IFERROR(__xludf.DUMMYFUNCTION("COUNTBLANK(FILTER('Все игры'!A$3:C1000,'Все игры'!A$3:A1000=A46,'Все игры'!C$3:C1000 &lt; 1,'Все игры'!B$3:B1000=""Дон""))"),4.0)</f>
        <v>4</v>
      </c>
      <c r="S46" s="347">
        <f>COUNTIFS('Все игры'!A$3:A1000,A46,'Все игры'!C$3:C1000,"&gt;0",'Все игры'!B$3:B1000,"Мирный")</f>
        <v>12</v>
      </c>
      <c r="T46" s="355">
        <f>IFERROR(__xludf.DUMMYFUNCTION("COUNTBLANK(FILTER('Все игры'!A$3:C1000,'Все игры'!A$3:A1000=A46,'Все игры'!C$3:C1000 &lt; 1,'Все игры'!B$3:B1000=""Мирный""))"),15.0)</f>
        <v>15</v>
      </c>
      <c r="U46" s="356">
        <f t="shared" si="16"/>
        <v>0.5</v>
      </c>
      <c r="V46" s="357">
        <f t="shared" si="5"/>
        <v>0.5161290323</v>
      </c>
      <c r="W46" s="357">
        <f t="shared" si="6"/>
        <v>0.4736842105</v>
      </c>
      <c r="X46" s="357">
        <f t="shared" si="7"/>
        <v>0.5</v>
      </c>
      <c r="Y46" s="357">
        <f t="shared" si="8"/>
        <v>1</v>
      </c>
      <c r="Z46" s="357">
        <f t="shared" si="9"/>
        <v>0.4285714286</v>
      </c>
      <c r="AA46" s="358">
        <f t="shared" si="10"/>
        <v>0.4444444444</v>
      </c>
      <c r="AB46" s="348">
        <f>SUMIFS('Все игры'!D$3:D1000,'Все игры'!A$3:A1000,A46)</f>
        <v>132.25</v>
      </c>
      <c r="AC46" s="348">
        <f>SUMIFS('Все игры'!D$3:D1000,'Все игры'!A$3:A1000,A46,'Все игры'!B$3:B1000,"Мафия")</f>
        <v>31.25</v>
      </c>
      <c r="AD46" s="359">
        <f>SUMIFS('Все игры'!D$3:D1000,'Все игры'!A$3:A1000,A46,'Все игры'!B$3:B1000,"Шериф")</f>
        <v>14.25</v>
      </c>
      <c r="AE46" s="348">
        <f>SUMIFS('Все игры'!D$3:D1000,'Все игры'!A$3:A1000,A46,'Все игры'!B$3:B1000,"Дон")</f>
        <v>16.25</v>
      </c>
      <c r="AF46" s="349">
        <f>SUMIFS('Все игры'!D$3:D1000,'Все игры'!A$3:A1000,A46,'Все игры'!B$3:B1000,"Мирный")</f>
        <v>70.5</v>
      </c>
      <c r="AG46" s="348">
        <f t="shared" si="11"/>
        <v>2.645</v>
      </c>
      <c r="AH46" s="348">
        <f t="shared" si="12"/>
        <v>2.604166667</v>
      </c>
      <c r="AI46" s="348">
        <f t="shared" si="13"/>
        <v>3.5625</v>
      </c>
      <c r="AJ46" s="348">
        <f t="shared" si="14"/>
        <v>2.321428571</v>
      </c>
      <c r="AK46" s="348">
        <f t="shared" si="15"/>
        <v>2.611111111</v>
      </c>
      <c r="AL46" s="348">
        <f>MAX('Турнирная таблица по Алфавиту'!T48:CA48)</f>
        <v>26</v>
      </c>
      <c r="AM46" s="348"/>
      <c r="AN46" s="348"/>
      <c r="AO46" s="348"/>
      <c r="AP46" s="348"/>
      <c r="AQ46" s="348"/>
      <c r="AR46" s="348"/>
      <c r="AS46" s="348"/>
      <c r="AT46" s="348"/>
      <c r="AU46" s="348"/>
      <c r="AV46" s="348"/>
      <c r="AW46" s="348"/>
      <c r="AX46" s="348"/>
      <c r="AY46" s="348"/>
      <c r="AZ46" s="348"/>
      <c r="BA46" s="348"/>
      <c r="BB46" s="348"/>
      <c r="BC46" s="348"/>
      <c r="BD46" s="348"/>
      <c r="BE46" s="348"/>
      <c r="BF46" s="348"/>
      <c r="BG46" s="348"/>
      <c r="BH46" s="348"/>
      <c r="BI46" s="348"/>
      <c r="BJ46" s="348"/>
      <c r="BK46" s="348"/>
      <c r="BL46" s="348"/>
      <c r="BM46" s="348"/>
    </row>
    <row r="47">
      <c r="A47" s="360" t="s">
        <v>121</v>
      </c>
      <c r="B47" s="361">
        <f t="shared" si="1"/>
        <v>50</v>
      </c>
      <c r="C47" s="362">
        <f>'Турнирная таблица по Алфавиту'!E49</f>
        <v>227.75</v>
      </c>
      <c r="D47" s="363">
        <f>'Турнирная таблица по Алфавиту'!F49</f>
        <v>22.775</v>
      </c>
      <c r="E47" s="364">
        <f>COUNTIFS('Все игры'!A$3:A1000,A47,'Все игры'!F$3:F1000,"=1")</f>
        <v>0</v>
      </c>
      <c r="F47" s="364">
        <f>COUNTIFS('Все игры'!A$3:A1000,A47,'Все игры'!F$3:F1000,"=0,50")</f>
        <v>7</v>
      </c>
      <c r="G47" s="364">
        <f>COUNTIFS('Все игры'!A$3:A1000,A47,'Все игры'!G$3:G1000,"&gt;0")</f>
        <v>14</v>
      </c>
      <c r="H47" s="365">
        <f t="shared" si="2"/>
        <v>0.4117647059</v>
      </c>
      <c r="I47" s="366">
        <f>COUNTIFS('Все игры'!A$3:A1000,A47,'Все игры'!E$3:E1000,"У/Победа")</f>
        <v>1</v>
      </c>
      <c r="J47" s="366">
        <f>COUNTIFS('Все игры'!A$3:A1000,A47,'Все игры'!E$3:E1000,"У/Проигрыш")</f>
        <v>3</v>
      </c>
      <c r="K47" s="367">
        <f t="shared" si="3"/>
        <v>34</v>
      </c>
      <c r="L47" s="361">
        <f t="shared" si="4"/>
        <v>16</v>
      </c>
      <c r="M47" s="361">
        <f>COUNTIFS('Все игры'!A$3:A1000,A47,'Все игры'!C$3:C1000,"&gt;0",'Все игры'!B$3:B1000,"Мафия")</f>
        <v>8</v>
      </c>
      <c r="N47" s="361">
        <f>IFERROR(__xludf.DUMMYFUNCTION("COUNTBLANK(FILTER('Все игры'!A$3:C1000,'Все игры'!A$3:A1000=A47,'Все игры'!C$3:C1000 &lt; 1,'Все игры'!B$3:B1000=""Мафия""))"),5.0)</f>
        <v>5</v>
      </c>
      <c r="O47" s="361">
        <f>COUNTIFS('Все игры'!A$3:A1000,A47,'Все игры'!C$3:C1000,"&gt;0",'Все игры'!B$3:B1000,"Шериф")</f>
        <v>3</v>
      </c>
      <c r="P47" s="368">
        <f>IFERROR(__xludf.DUMMYFUNCTION("COUNTBLANK(FILTER('Все игры'!A$3:C1000,'Все игры'!A$3:A1000=A47,'Все игры'!C$3:C1000 &lt; 1,'Все игры'!B$3:B1000=""Шериф""))"),4.0)</f>
        <v>4</v>
      </c>
      <c r="Q47" s="361">
        <f>COUNTIFS('Все игры'!A$3:A1000,A47,'Все игры'!C$3:C1000,"&gt;0",'Все игры'!B$3:B1000,"Дон")</f>
        <v>1</v>
      </c>
      <c r="R47" s="361">
        <f>IFERROR(__xludf.DUMMYFUNCTION("COUNTBLANK(FILTER('Все игры'!A$3:C1000,'Все игры'!A$3:A1000=A47,'Все игры'!C$3:C1000 &lt; 1,'Все игры'!B$3:B1000=""Дон""))"),2.0)</f>
        <v>2</v>
      </c>
      <c r="S47" s="361">
        <f>COUNTIFS('Все игры'!A$3:A1000,A47,'Все игры'!C$3:C1000,"&gt;0",'Все игры'!B$3:B1000,"Мирный")</f>
        <v>13</v>
      </c>
      <c r="T47" s="369">
        <f>IFERROR(__xludf.DUMMYFUNCTION("COUNTBLANK(FILTER('Все игры'!A$3:C1000,'Все игры'!A$3:A1000=A47,'Все игры'!C$3:C1000 &lt; 1,'Все игры'!B$3:B1000=""Мирный""))"),14.0)</f>
        <v>14</v>
      </c>
      <c r="U47" s="370">
        <f t="shared" si="16"/>
        <v>0.5</v>
      </c>
      <c r="V47" s="371">
        <f t="shared" si="5"/>
        <v>0.4705882353</v>
      </c>
      <c r="W47" s="371">
        <f t="shared" si="6"/>
        <v>0.5625</v>
      </c>
      <c r="X47" s="371">
        <f t="shared" si="7"/>
        <v>0.6153846154</v>
      </c>
      <c r="Y47" s="371">
        <f t="shared" si="8"/>
        <v>0.4285714286</v>
      </c>
      <c r="Z47" s="371">
        <f t="shared" si="9"/>
        <v>0.3333333333</v>
      </c>
      <c r="AA47" s="372">
        <f t="shared" si="10"/>
        <v>0.4814814815</v>
      </c>
      <c r="AB47" s="362">
        <f>SUMIFS('Все игры'!D$3:D1000,'Все игры'!A$3:A1000,A47)</f>
        <v>152.75</v>
      </c>
      <c r="AC47" s="362">
        <f>SUMIFS('Все игры'!D$3:D1000,'Все игры'!A$3:A1000,A47,'Все игры'!B$3:B1000,"Мафия")</f>
        <v>41.75</v>
      </c>
      <c r="AD47" s="373">
        <f>SUMIFS('Все игры'!D$3:D1000,'Все игры'!A$3:A1000,A47,'Все игры'!B$3:B1000,"Шериф")</f>
        <v>21.5</v>
      </c>
      <c r="AE47" s="362">
        <f>SUMIFS('Все игры'!D$3:D1000,'Все игры'!A$3:A1000,A47,'Все игры'!B$3:B1000,"Дон")</f>
        <v>9.5</v>
      </c>
      <c r="AF47" s="363">
        <f>SUMIFS('Все игры'!D$3:D1000,'Все игры'!A$3:A1000,A47,'Все игры'!B$3:B1000,"Мирный")</f>
        <v>80</v>
      </c>
      <c r="AG47" s="362">
        <f t="shared" si="11"/>
        <v>3.055</v>
      </c>
      <c r="AH47" s="362">
        <f t="shared" si="12"/>
        <v>3.211538462</v>
      </c>
      <c r="AI47" s="362">
        <f t="shared" si="13"/>
        <v>3.071428571</v>
      </c>
      <c r="AJ47" s="362">
        <f t="shared" si="14"/>
        <v>3.166666667</v>
      </c>
      <c r="AK47" s="362">
        <f t="shared" si="15"/>
        <v>2.962962963</v>
      </c>
      <c r="AL47" s="348">
        <f>MAX('Турнирная таблица по Алфавиту'!T49:CA49)</f>
        <v>31.5</v>
      </c>
      <c r="AM47" s="348"/>
      <c r="AN47" s="348"/>
      <c r="AO47" s="348"/>
      <c r="AP47" s="348"/>
      <c r="AQ47" s="348"/>
      <c r="AR47" s="348"/>
      <c r="AS47" s="348"/>
      <c r="AT47" s="348"/>
      <c r="AU47" s="348"/>
      <c r="AV47" s="348"/>
      <c r="AW47" s="348"/>
      <c r="AX47" s="348"/>
      <c r="AY47" s="348"/>
      <c r="AZ47" s="348"/>
      <c r="BA47" s="348"/>
      <c r="BB47" s="348"/>
      <c r="BC47" s="348"/>
      <c r="BD47" s="348"/>
      <c r="BE47" s="348"/>
      <c r="BF47" s="348"/>
      <c r="BG47" s="348"/>
      <c r="BH47" s="348"/>
      <c r="BI47" s="348"/>
      <c r="BJ47" s="348"/>
      <c r="BK47" s="348"/>
      <c r="BL47" s="348"/>
      <c r="BM47" s="348"/>
    </row>
    <row r="48">
      <c r="A48" s="360" t="s">
        <v>122</v>
      </c>
      <c r="B48" s="347">
        <f t="shared" si="1"/>
        <v>50</v>
      </c>
      <c r="C48" s="348">
        <f>'Турнирная таблица по Алфавиту'!E50</f>
        <v>199.25</v>
      </c>
      <c r="D48" s="349">
        <f>'Турнирная таблица по Алфавиту'!F50</f>
        <v>19.925</v>
      </c>
      <c r="E48" s="350">
        <f>COUNTIFS('Все игры'!A$3:A1000,A48,'Все игры'!F$3:F1000,"=1")</f>
        <v>0</v>
      </c>
      <c r="F48" s="350">
        <f>COUNTIFS('Все игры'!A$3:A1000,A48,'Все игры'!F$3:F1000,"=0,50")</f>
        <v>0</v>
      </c>
      <c r="G48" s="350">
        <f>COUNTIFS('Все игры'!A$3:A1000,A48,'Все игры'!G$3:G1000,"&gt;0")</f>
        <v>2</v>
      </c>
      <c r="H48" s="351">
        <f t="shared" si="2"/>
        <v>0.05128205128</v>
      </c>
      <c r="I48" s="352">
        <f>COUNTIFS('Все игры'!A$3:A1000,A48,'Все игры'!E$3:E1000,"У/Победа")</f>
        <v>4</v>
      </c>
      <c r="J48" s="352">
        <f>COUNTIFS('Все игры'!A$3:A1000,A48,'Все игры'!E$3:E1000,"У/Проигрыш")</f>
        <v>3</v>
      </c>
      <c r="K48" s="353">
        <f t="shared" si="3"/>
        <v>39</v>
      </c>
      <c r="L48" s="347">
        <f t="shared" si="4"/>
        <v>11</v>
      </c>
      <c r="M48" s="347">
        <f>COUNTIFS('Все игры'!A$3:A1000,A48,'Все игры'!C$3:C1000,"&gt;0",'Все игры'!B$3:B1000,"Мафия")</f>
        <v>6</v>
      </c>
      <c r="N48" s="347">
        <f>IFERROR(__xludf.DUMMYFUNCTION("COUNTBLANK(FILTER('Все игры'!A$3:C1000,'Все игры'!A$3:A1000=A48,'Все игры'!C$3:C1000 &lt; 1,'Все игры'!B$3:B1000=""Мафия""))"),4.0)</f>
        <v>4</v>
      </c>
      <c r="O48" s="347">
        <f>COUNTIFS('Все игры'!A$3:A1000,A48,'Все игры'!C$3:C1000,"&gt;0",'Все игры'!B$3:B1000,"Шериф")</f>
        <v>1</v>
      </c>
      <c r="P48" s="354">
        <f>IFERROR(__xludf.DUMMYFUNCTION("COUNTBLANK(FILTER('Все игры'!A$3:C1000,'Все игры'!A$3:A1000=A48,'Все игры'!C$3:C1000 &lt; 1,'Все игры'!B$3:B1000=""Шериф""))"),3.0)</f>
        <v>3</v>
      </c>
      <c r="Q48" s="347">
        <f>COUNTIFS('Все игры'!A$3:A1000,A48,'Все игры'!C$3:C1000,"&gt;0",'Все игры'!B$3:B1000,"Дон")</f>
        <v>0</v>
      </c>
      <c r="R48" s="347">
        <f>IFERROR(__xludf.DUMMYFUNCTION("COUNTBLANK(FILTER('Все игры'!A$3:C1000,'Все игры'!A$3:A1000=A48,'Все игры'!C$3:C1000 &lt; 1,'Все игры'!B$3:B1000=""Дон""))"),1.0)</f>
        <v>1</v>
      </c>
      <c r="S48" s="347">
        <f>COUNTIFS('Все игры'!A$3:A1000,A48,'Все игры'!C$3:C1000,"&gt;0",'Все игры'!B$3:B1000,"Мирный")</f>
        <v>18</v>
      </c>
      <c r="T48" s="355">
        <f>IFERROR(__xludf.DUMMYFUNCTION("COUNTBLANK(FILTER('Все игры'!A$3:C1000,'Все игры'!A$3:A1000=A48,'Все игры'!C$3:C1000 &lt; 1,'Все игры'!B$3:B1000=""Мирный""))"),17.0)</f>
        <v>17</v>
      </c>
      <c r="U48" s="356">
        <f t="shared" si="16"/>
        <v>0.5</v>
      </c>
      <c r="V48" s="357">
        <f t="shared" si="5"/>
        <v>0.4871794872</v>
      </c>
      <c r="W48" s="357">
        <f t="shared" si="6"/>
        <v>0.5454545455</v>
      </c>
      <c r="X48" s="357">
        <f t="shared" si="7"/>
        <v>0.6</v>
      </c>
      <c r="Y48" s="357">
        <f t="shared" si="8"/>
        <v>0.25</v>
      </c>
      <c r="Z48" s="357">
        <f t="shared" si="9"/>
        <v>0</v>
      </c>
      <c r="AA48" s="358">
        <f t="shared" si="10"/>
        <v>0.5142857143</v>
      </c>
      <c r="AB48" s="348">
        <f>SUMIFS('Все игры'!D$3:D1000,'Все игры'!A$3:A1000,A48)</f>
        <v>135.75</v>
      </c>
      <c r="AC48" s="348">
        <f>SUMIFS('Все игры'!D$3:D1000,'Все игры'!A$3:A1000,A48,'Все игры'!B$3:B1000,"Мафия")</f>
        <v>28.5</v>
      </c>
      <c r="AD48" s="359">
        <f>SUMIFS('Все игры'!D$3:D1000,'Все игры'!A$3:A1000,A48,'Все игры'!B$3:B1000,"Шериф")</f>
        <v>10.25</v>
      </c>
      <c r="AE48" s="348">
        <f>SUMIFS('Все игры'!D$3:D1000,'Все игры'!A$3:A1000,A48,'Все игры'!B$3:B1000,"Дон")</f>
        <v>1.5</v>
      </c>
      <c r="AF48" s="349">
        <f>SUMIFS('Все игры'!D$3:D1000,'Все игры'!A$3:A1000,A48,'Все игры'!B$3:B1000,"Мирный")</f>
        <v>95.5</v>
      </c>
      <c r="AG48" s="348">
        <f t="shared" si="11"/>
        <v>2.715</v>
      </c>
      <c r="AH48" s="348">
        <f t="shared" si="12"/>
        <v>2.85</v>
      </c>
      <c r="AI48" s="348">
        <f t="shared" si="13"/>
        <v>2.5625</v>
      </c>
      <c r="AJ48" s="348">
        <f t="shared" si="14"/>
        <v>1.5</v>
      </c>
      <c r="AK48" s="348">
        <f t="shared" si="15"/>
        <v>2.728571429</v>
      </c>
      <c r="AL48" s="348">
        <f>MAX('Турнирная таблица по Алфавиту'!T50:CA50)</f>
        <v>28</v>
      </c>
      <c r="AM48" s="348"/>
      <c r="AN48" s="348"/>
      <c r="AO48" s="348"/>
      <c r="AP48" s="348"/>
      <c r="AQ48" s="348"/>
      <c r="AR48" s="348"/>
      <c r="AS48" s="348"/>
      <c r="AT48" s="348"/>
      <c r="AU48" s="348"/>
      <c r="AV48" s="348"/>
      <c r="AW48" s="348"/>
      <c r="AX48" s="348"/>
      <c r="AY48" s="348"/>
      <c r="AZ48" s="348"/>
      <c r="BA48" s="348"/>
      <c r="BB48" s="348"/>
      <c r="BC48" s="348"/>
      <c r="BD48" s="348"/>
      <c r="BE48" s="348"/>
      <c r="BF48" s="348"/>
      <c r="BG48" s="348"/>
      <c r="BH48" s="348"/>
      <c r="BI48" s="348"/>
      <c r="BJ48" s="348"/>
      <c r="BK48" s="348"/>
      <c r="BL48" s="348"/>
      <c r="BM48" s="348"/>
    </row>
    <row r="49">
      <c r="A49" s="374" t="s">
        <v>123</v>
      </c>
      <c r="B49" s="361">
        <f t="shared" si="1"/>
        <v>50</v>
      </c>
      <c r="C49" s="362">
        <f>'Турнирная таблица по Алфавиту'!E51</f>
        <v>224.75</v>
      </c>
      <c r="D49" s="363">
        <f>'Турнирная таблица по Алфавиту'!F51</f>
        <v>22.475</v>
      </c>
      <c r="E49" s="364">
        <f>COUNTIFS('Все игры'!A$3:A1000,A49,'Все игры'!F$3:F1000,"=1")</f>
        <v>0</v>
      </c>
      <c r="F49" s="364">
        <f>COUNTIFS('Все игры'!A$3:A1000,A49,'Все игры'!F$3:F1000,"=0,50")</f>
        <v>1</v>
      </c>
      <c r="G49" s="364">
        <f>COUNTIFS('Все игры'!A$3:A1000,A49,'Все игры'!G$3:G1000,"&gt;0")</f>
        <v>9</v>
      </c>
      <c r="H49" s="365">
        <f t="shared" si="2"/>
        <v>0.2647058824</v>
      </c>
      <c r="I49" s="366">
        <f>COUNTIFS('Все игры'!A$3:A1000,A49,'Все игры'!E$3:E1000,"У/Победа")</f>
        <v>2</v>
      </c>
      <c r="J49" s="366">
        <f>COUNTIFS('Все игры'!A$3:A1000,A49,'Все игры'!E$3:E1000,"У/Проигрыш")</f>
        <v>2</v>
      </c>
      <c r="K49" s="367">
        <f t="shared" si="3"/>
        <v>34</v>
      </c>
      <c r="L49" s="361">
        <f t="shared" si="4"/>
        <v>16</v>
      </c>
      <c r="M49" s="361">
        <f>COUNTIFS('Все игры'!A$3:A1000,A49,'Все игры'!C$3:C1000,"&gt;0",'Все игры'!B$3:B1000,"Мафия")</f>
        <v>8</v>
      </c>
      <c r="N49" s="361">
        <f>IFERROR(__xludf.DUMMYFUNCTION("COUNTBLANK(FILTER('Все игры'!A$3:C1000,'Все игры'!A$3:A1000=A49,'Все игры'!C$3:C1000 &lt; 1,'Все игры'!B$3:B1000=""Мафия""))"),3.0)</f>
        <v>3</v>
      </c>
      <c r="O49" s="361">
        <f>COUNTIFS('Все игры'!A$3:A1000,A49,'Все игры'!C$3:C1000,"&gt;0",'Все игры'!B$3:B1000,"Шериф")</f>
        <v>5</v>
      </c>
      <c r="P49" s="368">
        <f>IFERROR(__xludf.DUMMYFUNCTION("COUNTBLANK(FILTER('Все игры'!A$3:C1000,'Все игры'!A$3:A1000=A49,'Все игры'!C$3:C1000 &lt; 1,'Все игры'!B$3:B1000=""Шериф""))"),1.0)</f>
        <v>1</v>
      </c>
      <c r="Q49" s="361">
        <f>COUNTIFS('Все игры'!A$3:A1000,A49,'Все игры'!C$3:C1000,"&gt;0",'Все игры'!B$3:B1000,"Дон")</f>
        <v>4</v>
      </c>
      <c r="R49" s="361">
        <f>IFERROR(__xludf.DUMMYFUNCTION("COUNTBLANK(FILTER('Все игры'!A$3:C1000,'Все игры'!A$3:A1000=A49,'Все игры'!C$3:C1000 &lt; 1,'Все игры'!B$3:B1000=""Дон""))"),1.0)</f>
        <v>1</v>
      </c>
      <c r="S49" s="361">
        <f>COUNTIFS('Все игры'!A$3:A1000,A49,'Все игры'!C$3:C1000,"&gt;0",'Все игры'!B$3:B1000,"Мирный")</f>
        <v>12</v>
      </c>
      <c r="T49" s="369">
        <f>IFERROR(__xludf.DUMMYFUNCTION("COUNTBLANK(FILTER('Все игры'!A$3:C1000,'Все игры'!A$3:A1000=A49,'Все игры'!C$3:C1000 &lt; 1,'Все игры'!B$3:B1000=""Мирный""))"),16.0)</f>
        <v>16</v>
      </c>
      <c r="U49" s="370">
        <f t="shared" si="16"/>
        <v>0.58</v>
      </c>
      <c r="V49" s="371">
        <f t="shared" si="5"/>
        <v>0.5</v>
      </c>
      <c r="W49" s="371">
        <f t="shared" si="6"/>
        <v>0.75</v>
      </c>
      <c r="X49" s="371">
        <f t="shared" si="7"/>
        <v>0.7272727273</v>
      </c>
      <c r="Y49" s="371">
        <f t="shared" si="8"/>
        <v>0.8333333333</v>
      </c>
      <c r="Z49" s="371">
        <f t="shared" si="9"/>
        <v>0.8</v>
      </c>
      <c r="AA49" s="372">
        <f t="shared" si="10"/>
        <v>0.4285714286</v>
      </c>
      <c r="AB49" s="362">
        <f>SUMIFS('Все игры'!D$3:D1000,'Все игры'!A$3:A1000,A49)</f>
        <v>146.25</v>
      </c>
      <c r="AC49" s="362">
        <f>SUMIFS('Все игры'!D$3:D1000,'Все игры'!A$3:A1000,A49,'Все игры'!B$3:B1000,"Мафия")</f>
        <v>35.75</v>
      </c>
      <c r="AD49" s="373">
        <f>SUMIFS('Все игры'!D$3:D1000,'Все игры'!A$3:A1000,A49,'Все игры'!B$3:B1000,"Шериф")</f>
        <v>18.25</v>
      </c>
      <c r="AE49" s="362">
        <f>SUMIFS('Все игры'!D$3:D1000,'Все игры'!A$3:A1000,A49,'Все игры'!B$3:B1000,"Дон")</f>
        <v>16.75</v>
      </c>
      <c r="AF49" s="363">
        <f>SUMIFS('Все игры'!D$3:D1000,'Все игры'!A$3:A1000,A49,'Все игры'!B$3:B1000,"Мирный")</f>
        <v>75.5</v>
      </c>
      <c r="AG49" s="362">
        <f t="shared" si="11"/>
        <v>2.925</v>
      </c>
      <c r="AH49" s="362">
        <f t="shared" si="12"/>
        <v>3.25</v>
      </c>
      <c r="AI49" s="362">
        <f t="shared" si="13"/>
        <v>3.041666667</v>
      </c>
      <c r="AJ49" s="362">
        <f t="shared" si="14"/>
        <v>3.35</v>
      </c>
      <c r="AK49" s="362">
        <f t="shared" si="15"/>
        <v>2.696428571</v>
      </c>
      <c r="AL49" s="348">
        <f>MAX('Турнирная таблица по Алфавиту'!T51:CA51)</f>
        <v>28.5</v>
      </c>
      <c r="AM49" s="348"/>
      <c r="AN49" s="348"/>
      <c r="AO49" s="348"/>
      <c r="AP49" s="348"/>
      <c r="AQ49" s="348"/>
      <c r="AR49" s="348"/>
      <c r="AS49" s="348"/>
      <c r="AT49" s="348"/>
      <c r="AU49" s="348"/>
      <c r="AV49" s="348"/>
      <c r="AW49" s="348"/>
      <c r="AX49" s="348"/>
      <c r="AY49" s="348"/>
      <c r="AZ49" s="348"/>
      <c r="BA49" s="348"/>
      <c r="BB49" s="348"/>
      <c r="BC49" s="348"/>
      <c r="BD49" s="348"/>
      <c r="BE49" s="348"/>
      <c r="BF49" s="348"/>
      <c r="BG49" s="348"/>
      <c r="BH49" s="348"/>
      <c r="BI49" s="348"/>
      <c r="BJ49" s="348"/>
      <c r="BK49" s="348"/>
      <c r="BL49" s="348"/>
      <c r="BM49" s="348"/>
    </row>
    <row r="50">
      <c r="A50" s="360" t="s">
        <v>124</v>
      </c>
      <c r="B50" s="347">
        <f t="shared" si="1"/>
        <v>50</v>
      </c>
      <c r="C50" s="348">
        <f>'Турнирная таблица по Алфавиту'!E52</f>
        <v>190.75</v>
      </c>
      <c r="D50" s="349">
        <f>'Турнирная таблица по Алфавиту'!F52</f>
        <v>19.075</v>
      </c>
      <c r="E50" s="350">
        <f>COUNTIFS('Все игры'!A$3:A1000,A50,'Все игры'!F$3:F1000,"=1")</f>
        <v>0</v>
      </c>
      <c r="F50" s="350">
        <f>COUNTIFS('Все игры'!A$3:A1000,A50,'Все игры'!F$3:F1000,"=0,50")</f>
        <v>1</v>
      </c>
      <c r="G50" s="350">
        <f>COUNTIFS('Все игры'!A$3:A1000,A50,'Все игры'!G$3:G1000,"&gt;0")</f>
        <v>1</v>
      </c>
      <c r="H50" s="351">
        <f t="shared" si="2"/>
        <v>0.02564102564</v>
      </c>
      <c r="I50" s="352">
        <f>COUNTIFS('Все игры'!A$3:A1000,A50,'Все игры'!E$3:E1000,"У/Победа")</f>
        <v>7</v>
      </c>
      <c r="J50" s="352">
        <f>COUNTIFS('Все игры'!A$3:A1000,A50,'Все игры'!E$3:E1000,"У/Проигрыш")</f>
        <v>3</v>
      </c>
      <c r="K50" s="353">
        <f t="shared" si="3"/>
        <v>39</v>
      </c>
      <c r="L50" s="347">
        <f t="shared" si="4"/>
        <v>11</v>
      </c>
      <c r="M50" s="347">
        <f>COUNTIFS('Все игры'!A$3:A1000,A50,'Все игры'!C$3:C1000,"&gt;0",'Все игры'!B$3:B1000,"Мафия")</f>
        <v>3</v>
      </c>
      <c r="N50" s="347">
        <f>IFERROR(__xludf.DUMMYFUNCTION("COUNTBLANK(FILTER('Все игры'!A$3:C1000,'Все игры'!A$3:A1000=A50,'Все игры'!C$3:C1000 &lt; 1,'Все игры'!B$3:B1000=""Мафия""))"),4.0)</f>
        <v>4</v>
      </c>
      <c r="O50" s="347">
        <f>COUNTIFS('Все игры'!A$3:A1000,A50,'Все игры'!C$3:C1000,"&gt;0",'Все игры'!B$3:B1000,"Шериф")</f>
        <v>4</v>
      </c>
      <c r="P50" s="354">
        <f>IFERROR(__xludf.DUMMYFUNCTION("COUNTBLANK(FILTER('Все игры'!A$3:C1000,'Все игры'!A$3:A1000=A50,'Все игры'!C$3:C1000 &lt; 1,'Все игры'!B$3:B1000=""Шериф""))"),5.0)</f>
        <v>5</v>
      </c>
      <c r="Q50" s="347">
        <f>COUNTIFS('Все игры'!A$3:A1000,A50,'Все игры'!C$3:C1000,"&gt;0",'Все игры'!B$3:B1000,"Дон")</f>
        <v>4</v>
      </c>
      <c r="R50" s="347">
        <f>IFERROR(__xludf.DUMMYFUNCTION("COUNTBLANK(FILTER('Все игры'!A$3:C1000,'Все игры'!A$3:A1000=A50,'Все игры'!C$3:C1000 &lt; 1,'Все игры'!B$3:B1000=""Дон""))"),0.0)</f>
        <v>0</v>
      </c>
      <c r="S50" s="347">
        <f>COUNTIFS('Все игры'!A$3:A1000,A50,'Все игры'!C$3:C1000,"&gt;0",'Все игры'!B$3:B1000,"Мирный")</f>
        <v>15</v>
      </c>
      <c r="T50" s="355">
        <f>IFERROR(__xludf.DUMMYFUNCTION("COUNTBLANK(FILTER('Все игры'!A$3:C1000,'Все игры'!A$3:A1000=A50,'Все игры'!C$3:C1000 &lt; 1,'Все игры'!B$3:B1000=""Мирный""))"),15.0)</f>
        <v>15</v>
      </c>
      <c r="U50" s="356">
        <f t="shared" si="16"/>
        <v>0.52</v>
      </c>
      <c r="V50" s="357">
        <f t="shared" si="5"/>
        <v>0.4871794872</v>
      </c>
      <c r="W50" s="357">
        <f t="shared" si="6"/>
        <v>0.6363636364</v>
      </c>
      <c r="X50" s="357">
        <f t="shared" si="7"/>
        <v>0.4285714286</v>
      </c>
      <c r="Y50" s="357">
        <f t="shared" si="8"/>
        <v>0.4444444444</v>
      </c>
      <c r="Z50" s="357">
        <f t="shared" si="9"/>
        <v>1</v>
      </c>
      <c r="AA50" s="358">
        <f t="shared" si="10"/>
        <v>0.5</v>
      </c>
      <c r="AB50" s="348">
        <f>SUMIFS('Все игры'!D$3:D1000,'Все игры'!A$3:A1000,A50)</f>
        <v>124.75</v>
      </c>
      <c r="AC50" s="348">
        <f>SUMIFS('Все игры'!D$3:D1000,'Все игры'!A$3:A1000,A50,'Все игры'!B$3:B1000,"Мафия")</f>
        <v>14.5</v>
      </c>
      <c r="AD50" s="359">
        <f>SUMIFS('Все игры'!D$3:D1000,'Все игры'!A$3:A1000,A50,'Все игры'!B$3:B1000,"Шериф")</f>
        <v>23.25</v>
      </c>
      <c r="AE50" s="348">
        <f>SUMIFS('Все игры'!D$3:D1000,'Все игры'!A$3:A1000,A50,'Все игры'!B$3:B1000,"Дон")</f>
        <v>13.25</v>
      </c>
      <c r="AF50" s="349">
        <f>SUMIFS('Все игры'!D$3:D1000,'Все игры'!A$3:A1000,A50,'Все игры'!B$3:B1000,"Мирный")</f>
        <v>73.75</v>
      </c>
      <c r="AG50" s="348">
        <f t="shared" si="11"/>
        <v>2.495</v>
      </c>
      <c r="AH50" s="348">
        <f t="shared" si="12"/>
        <v>2.071428571</v>
      </c>
      <c r="AI50" s="348">
        <f t="shared" si="13"/>
        <v>2.583333333</v>
      </c>
      <c r="AJ50" s="348">
        <f t="shared" si="14"/>
        <v>3.3125</v>
      </c>
      <c r="AK50" s="348">
        <f t="shared" si="15"/>
        <v>2.458333333</v>
      </c>
      <c r="AL50" s="348">
        <f>MAX('Турнирная таблица по Алфавиту'!T52:CA52)</f>
        <v>28.75</v>
      </c>
      <c r="AM50" s="348"/>
      <c r="AN50" s="348"/>
      <c r="AO50" s="348"/>
      <c r="AP50" s="348"/>
      <c r="AQ50" s="348"/>
      <c r="AR50" s="348"/>
      <c r="AS50" s="348"/>
      <c r="AT50" s="348"/>
      <c r="AU50" s="348"/>
      <c r="AV50" s="348"/>
      <c r="AW50" s="348"/>
      <c r="AX50" s="348"/>
      <c r="AY50" s="348"/>
      <c r="AZ50" s="348"/>
      <c r="BA50" s="348"/>
      <c r="BB50" s="348"/>
      <c r="BC50" s="348"/>
      <c r="BD50" s="348"/>
      <c r="BE50" s="348"/>
      <c r="BF50" s="348"/>
      <c r="BG50" s="348"/>
      <c r="BH50" s="348"/>
      <c r="BI50" s="348"/>
      <c r="BJ50" s="348"/>
      <c r="BK50" s="348"/>
      <c r="BL50" s="348"/>
      <c r="BM50" s="348"/>
    </row>
    <row r="51">
      <c r="A51" s="360" t="s">
        <v>125</v>
      </c>
      <c r="B51" s="361">
        <f t="shared" si="1"/>
        <v>50</v>
      </c>
      <c r="C51" s="362">
        <f>'Турнирная таблица по Алфавиту'!E53</f>
        <v>174</v>
      </c>
      <c r="D51" s="363">
        <f>'Турнирная таблица по Алфавиту'!F53</f>
        <v>17.4</v>
      </c>
      <c r="E51" s="364">
        <f>COUNTIFS('Все игры'!A$3:A1000,A51,'Все игры'!F$3:F1000,"=1")</f>
        <v>1</v>
      </c>
      <c r="F51" s="364">
        <f>COUNTIFS('Все игры'!A$3:A1000,A51,'Все игры'!F$3:F1000,"=0,50")</f>
        <v>0</v>
      </c>
      <c r="G51" s="364">
        <f>COUNTIFS('Все игры'!A$3:A1000,A51,'Все игры'!G$3:G1000,"&gt;0")</f>
        <v>3</v>
      </c>
      <c r="H51" s="365">
        <f t="shared" si="2"/>
        <v>0.08333333333</v>
      </c>
      <c r="I51" s="366">
        <f>COUNTIFS('Все игры'!A$3:A1000,A51,'Все игры'!E$3:E1000,"У/Победа")</f>
        <v>4</v>
      </c>
      <c r="J51" s="366">
        <f>COUNTIFS('Все игры'!A$3:A1000,A51,'Все игры'!E$3:E1000,"У/Проигрыш")</f>
        <v>2</v>
      </c>
      <c r="K51" s="367">
        <f t="shared" si="3"/>
        <v>36</v>
      </c>
      <c r="L51" s="361">
        <f t="shared" si="4"/>
        <v>14</v>
      </c>
      <c r="M51" s="361">
        <f>COUNTIFS('Все игры'!A$3:A1000,A51,'Все игры'!C$3:C1000,"&gt;0",'Все игры'!B$3:B1000,"Мафия")</f>
        <v>6</v>
      </c>
      <c r="N51" s="361">
        <f>IFERROR(__xludf.DUMMYFUNCTION("COUNTBLANK(FILTER('Все игры'!A$3:C1000,'Все игры'!A$3:A1000=A51,'Все игры'!C$3:C1000 &lt; 1,'Все игры'!B$3:B1000=""Мафия""))"),6.0)</f>
        <v>6</v>
      </c>
      <c r="O51" s="361">
        <f>COUNTIFS('Все игры'!A$3:A1000,A51,'Все игры'!C$3:C1000,"&gt;0",'Все игры'!B$3:B1000,"Шериф")</f>
        <v>2</v>
      </c>
      <c r="P51" s="368">
        <f>IFERROR(__xludf.DUMMYFUNCTION("COUNTBLANK(FILTER('Все игры'!A$3:C1000,'Все игры'!A$3:A1000=A51,'Все игры'!C$3:C1000 &lt; 1,'Все игры'!B$3:B1000=""Шериф""))"),2.0)</f>
        <v>2</v>
      </c>
      <c r="Q51" s="361">
        <f>COUNTIFS('Все игры'!A$3:A1000,A51,'Все игры'!C$3:C1000,"&gt;0",'Все игры'!B$3:B1000,"Дон")</f>
        <v>0</v>
      </c>
      <c r="R51" s="361">
        <f>IFERROR(__xludf.DUMMYFUNCTION("COUNTBLANK(FILTER('Все игры'!A$3:C1000,'Все игры'!A$3:A1000=A51,'Все игры'!C$3:C1000 &lt; 1,'Все игры'!B$3:B1000=""Дон""))"),2.0)</f>
        <v>2</v>
      </c>
      <c r="S51" s="361">
        <f>COUNTIFS('Все игры'!A$3:A1000,A51,'Все игры'!C$3:C1000,"&gt;0",'Все игры'!B$3:B1000,"Мирный")</f>
        <v>13</v>
      </c>
      <c r="T51" s="369">
        <f>IFERROR(__xludf.DUMMYFUNCTION("COUNTBLANK(FILTER('Все игры'!A$3:C1000,'Все игры'!A$3:A1000=A51,'Все игры'!C$3:C1000 &lt; 1,'Все игры'!B$3:B1000=""Мирный""))"),19.0)</f>
        <v>19</v>
      </c>
      <c r="U51" s="370">
        <f t="shared" si="16"/>
        <v>0.42</v>
      </c>
      <c r="V51" s="371">
        <f t="shared" si="5"/>
        <v>0.4166666667</v>
      </c>
      <c r="W51" s="371">
        <f t="shared" si="6"/>
        <v>0.4285714286</v>
      </c>
      <c r="X51" s="371">
        <f t="shared" si="7"/>
        <v>0.5</v>
      </c>
      <c r="Y51" s="371">
        <f t="shared" si="8"/>
        <v>0.5</v>
      </c>
      <c r="Z51" s="371">
        <f t="shared" si="9"/>
        <v>0</v>
      </c>
      <c r="AA51" s="372">
        <f t="shared" si="10"/>
        <v>0.40625</v>
      </c>
      <c r="AB51" s="362">
        <f>SUMIFS('Все игры'!D$3:D1000,'Все игры'!A$3:A1000,A51)</f>
        <v>119</v>
      </c>
      <c r="AC51" s="362">
        <f>SUMIFS('Все игры'!D$3:D1000,'Все игры'!A$3:A1000,A51,'Все игры'!B$3:B1000,"Мафия")</f>
        <v>27.25</v>
      </c>
      <c r="AD51" s="373">
        <f>SUMIFS('Все игры'!D$3:D1000,'Все игры'!A$3:A1000,A51,'Все игры'!B$3:B1000,"Шериф")</f>
        <v>10.25</v>
      </c>
      <c r="AE51" s="362">
        <f>SUMIFS('Все игры'!D$3:D1000,'Все игры'!A$3:A1000,A51,'Все игры'!B$3:B1000,"Дон")</f>
        <v>3.5</v>
      </c>
      <c r="AF51" s="363">
        <f>SUMIFS('Все игры'!D$3:D1000,'Все игры'!A$3:A1000,A51,'Все игры'!B$3:B1000,"Мирный")</f>
        <v>78</v>
      </c>
      <c r="AG51" s="362">
        <f t="shared" si="11"/>
        <v>2.38</v>
      </c>
      <c r="AH51" s="362">
        <f t="shared" si="12"/>
        <v>2.270833333</v>
      </c>
      <c r="AI51" s="362">
        <f t="shared" si="13"/>
        <v>2.5625</v>
      </c>
      <c r="AJ51" s="362">
        <f t="shared" si="14"/>
        <v>1.75</v>
      </c>
      <c r="AK51" s="362">
        <f t="shared" si="15"/>
        <v>2.4375</v>
      </c>
      <c r="AL51" s="348">
        <f>MAX('Турнирная таблица по Алфавиту'!T53:CA53)</f>
        <v>23.5</v>
      </c>
      <c r="AM51" s="348"/>
      <c r="AN51" s="348"/>
      <c r="AO51" s="348"/>
      <c r="AP51" s="348"/>
      <c r="AQ51" s="348"/>
      <c r="AR51" s="348"/>
      <c r="AS51" s="348"/>
      <c r="AT51" s="348"/>
      <c r="AU51" s="348"/>
      <c r="AV51" s="348"/>
      <c r="AW51" s="348"/>
      <c r="AX51" s="348"/>
      <c r="AY51" s="348"/>
      <c r="AZ51" s="348"/>
      <c r="BA51" s="348"/>
      <c r="BB51" s="348"/>
      <c r="BC51" s="348"/>
      <c r="BD51" s="348"/>
      <c r="BE51" s="348"/>
      <c r="BF51" s="348"/>
      <c r="BG51" s="348"/>
      <c r="BH51" s="348"/>
      <c r="BI51" s="348"/>
      <c r="BJ51" s="348"/>
      <c r="BK51" s="348"/>
      <c r="BL51" s="348"/>
      <c r="BM51" s="348"/>
    </row>
    <row r="52">
      <c r="A52" s="360" t="s">
        <v>126</v>
      </c>
      <c r="B52" s="347">
        <f t="shared" si="1"/>
        <v>50</v>
      </c>
      <c r="C52" s="348">
        <f>'Турнирная таблица по Алфавиту'!E54</f>
        <v>173.75</v>
      </c>
      <c r="D52" s="349">
        <f>'Турнирная таблица по Алфавиту'!F54</f>
        <v>17.375</v>
      </c>
      <c r="E52" s="350">
        <f>COUNTIFS('Все игры'!A$3:A1000,A52,'Все игры'!F$3:F1000,"=1")</f>
        <v>0</v>
      </c>
      <c r="F52" s="350">
        <f>COUNTIFS('Все игры'!A$3:A1000,A52,'Все игры'!F$3:F1000,"=0,50")</f>
        <v>0</v>
      </c>
      <c r="G52" s="350">
        <f>COUNTIFS('Все игры'!A$3:A1000,A52,'Все игры'!G$3:G1000,"&gt;0")</f>
        <v>1</v>
      </c>
      <c r="H52" s="351">
        <f t="shared" si="2"/>
        <v>0.0303030303</v>
      </c>
      <c r="I52" s="352">
        <f>COUNTIFS('Все игры'!A$3:A1000,A52,'Все игры'!E$3:E1000,"У/Победа")</f>
        <v>3</v>
      </c>
      <c r="J52" s="352">
        <f>COUNTIFS('Все игры'!A$3:A1000,A52,'Все игры'!E$3:E1000,"У/Проигрыш")</f>
        <v>5</v>
      </c>
      <c r="K52" s="353">
        <f t="shared" si="3"/>
        <v>33</v>
      </c>
      <c r="L52" s="347">
        <f t="shared" si="4"/>
        <v>17</v>
      </c>
      <c r="M52" s="347">
        <f>COUNTIFS('Все игры'!A$3:A1000,A52,'Все игры'!C$3:C1000,"&gt;0",'Все игры'!B$3:B1000,"Мафия")</f>
        <v>6</v>
      </c>
      <c r="N52" s="347">
        <f>IFERROR(__xludf.DUMMYFUNCTION("COUNTBLANK(FILTER('Все игры'!A$3:C1000,'Все игры'!A$3:A1000=A52,'Все игры'!C$3:C1000 &lt; 1,'Все игры'!B$3:B1000=""Мафия""))"),6.0)</f>
        <v>6</v>
      </c>
      <c r="O52" s="347">
        <f>COUNTIFS('Все игры'!A$3:A1000,A52,'Все игры'!C$3:C1000,"&gt;0",'Все игры'!B$3:B1000,"Шериф")</f>
        <v>2</v>
      </c>
      <c r="P52" s="354">
        <f>IFERROR(__xludf.DUMMYFUNCTION("COUNTBLANK(FILTER('Все игры'!A$3:C1000,'Все игры'!A$3:A1000=A52,'Все игры'!C$3:C1000 &lt; 1,'Все игры'!B$3:B1000=""Шериф""))"),3.0)</f>
        <v>3</v>
      </c>
      <c r="Q52" s="347">
        <f>COUNTIFS('Все игры'!A$3:A1000,A52,'Все игры'!C$3:C1000,"&gt;0",'Все игры'!B$3:B1000,"Дон")</f>
        <v>2</v>
      </c>
      <c r="R52" s="347">
        <f>IFERROR(__xludf.DUMMYFUNCTION("COUNTBLANK(FILTER('Все игры'!A$3:C1000,'Все игры'!A$3:A1000=A52,'Все игры'!C$3:C1000 &lt; 1,'Все игры'!B$3:B1000=""Дон""))"),3.0)</f>
        <v>3</v>
      </c>
      <c r="S52" s="347">
        <f>COUNTIFS('Все игры'!A$3:A1000,A52,'Все игры'!C$3:C1000,"&gt;0",'Все игры'!B$3:B1000,"Мирный")</f>
        <v>8</v>
      </c>
      <c r="T52" s="355">
        <f>IFERROR(__xludf.DUMMYFUNCTION("COUNTBLANK(FILTER('Все игры'!A$3:C1000,'Все игры'!A$3:A1000=A52,'Все игры'!C$3:C1000 &lt; 1,'Все игры'!B$3:B1000=""Мирный""))"),20.0)</f>
        <v>20</v>
      </c>
      <c r="U52" s="356">
        <f t="shared" si="16"/>
        <v>0.36</v>
      </c>
      <c r="V52" s="357">
        <f t="shared" si="5"/>
        <v>0.303030303</v>
      </c>
      <c r="W52" s="357">
        <f t="shared" si="6"/>
        <v>0.4705882353</v>
      </c>
      <c r="X52" s="357">
        <f t="shared" si="7"/>
        <v>0.5</v>
      </c>
      <c r="Y52" s="357">
        <f t="shared" si="8"/>
        <v>0.4</v>
      </c>
      <c r="Z52" s="357">
        <f t="shared" si="9"/>
        <v>0.4</v>
      </c>
      <c r="AA52" s="358">
        <f t="shared" si="10"/>
        <v>0.2857142857</v>
      </c>
      <c r="AB52" s="348">
        <f>SUMIFS('Все игры'!D$3:D1000,'Все игры'!A$3:A1000,A52)</f>
        <v>128.25</v>
      </c>
      <c r="AC52" s="348">
        <f>SUMIFS('Все игры'!D$3:D1000,'Все игры'!A$3:A1000,A52,'Все игры'!B$3:B1000,"Мафия")</f>
        <v>31.75</v>
      </c>
      <c r="AD52" s="359">
        <f>SUMIFS('Все игры'!D$3:D1000,'Все игры'!A$3:A1000,A52,'Все игры'!B$3:B1000,"Шериф")</f>
        <v>13.25</v>
      </c>
      <c r="AE52" s="348">
        <f>SUMIFS('Все игры'!D$3:D1000,'Все игры'!A$3:A1000,A52,'Все игры'!B$3:B1000,"Дон")</f>
        <v>14.75</v>
      </c>
      <c r="AF52" s="349">
        <f>SUMIFS('Все игры'!D$3:D1000,'Все игры'!A$3:A1000,A52,'Все игры'!B$3:B1000,"Мирный")</f>
        <v>68.5</v>
      </c>
      <c r="AG52" s="348">
        <f t="shared" si="11"/>
        <v>2.565</v>
      </c>
      <c r="AH52" s="348">
        <f t="shared" si="12"/>
        <v>2.645833333</v>
      </c>
      <c r="AI52" s="348">
        <f t="shared" si="13"/>
        <v>2.65</v>
      </c>
      <c r="AJ52" s="348">
        <f t="shared" si="14"/>
        <v>2.95</v>
      </c>
      <c r="AK52" s="348">
        <f t="shared" si="15"/>
        <v>2.446428571</v>
      </c>
      <c r="AL52" s="348">
        <f>MAX('Турнирная таблица по Алфавиту'!T54:CA54)</f>
        <v>21.75</v>
      </c>
      <c r="AM52" s="348"/>
      <c r="AN52" s="348"/>
      <c r="AO52" s="348"/>
      <c r="AP52" s="348"/>
      <c r="AQ52" s="348"/>
      <c r="AR52" s="348"/>
      <c r="AS52" s="348"/>
      <c r="AT52" s="348"/>
      <c r="AU52" s="348"/>
      <c r="AV52" s="348"/>
      <c r="AW52" s="348"/>
      <c r="AX52" s="348"/>
      <c r="AY52" s="348"/>
      <c r="AZ52" s="348"/>
      <c r="BA52" s="348"/>
      <c r="BB52" s="348"/>
      <c r="BC52" s="348"/>
      <c r="BD52" s="348"/>
      <c r="BE52" s="348"/>
      <c r="BF52" s="348"/>
      <c r="BG52" s="348"/>
      <c r="BH52" s="348"/>
      <c r="BI52" s="348"/>
      <c r="BJ52" s="348"/>
      <c r="BK52" s="348"/>
      <c r="BL52" s="348"/>
      <c r="BM52" s="348"/>
    </row>
    <row r="53">
      <c r="A53" s="360" t="s">
        <v>127</v>
      </c>
      <c r="B53" s="361">
        <f t="shared" si="1"/>
        <v>50</v>
      </c>
      <c r="C53" s="362">
        <f>'Турнирная таблица по Алфавиту'!E55</f>
        <v>178</v>
      </c>
      <c r="D53" s="363">
        <f>'Турнирная таблица по Алфавиту'!F55</f>
        <v>17.8</v>
      </c>
      <c r="E53" s="364">
        <f>COUNTIFS('Все игры'!A$3:A1000,A53,'Все игры'!F$3:F1000,"=1")</f>
        <v>0</v>
      </c>
      <c r="F53" s="364">
        <f>COUNTIFS('Все игры'!A$3:A1000,A53,'Все игры'!F$3:F1000,"=0,50")</f>
        <v>1</v>
      </c>
      <c r="G53" s="364">
        <f>COUNTIFS('Все игры'!A$3:A1000,A53,'Все игры'!G$3:G1000,"&gt;0")</f>
        <v>4</v>
      </c>
      <c r="H53" s="365">
        <f t="shared" si="2"/>
        <v>0.1176470588</v>
      </c>
      <c r="I53" s="366">
        <f>COUNTIFS('Все игры'!A$3:A1000,A53,'Все игры'!E$3:E1000,"У/Победа")</f>
        <v>2</v>
      </c>
      <c r="J53" s="366">
        <f>COUNTIFS('Все игры'!A$3:A1000,A53,'Все игры'!E$3:E1000,"У/Проигрыш")</f>
        <v>2</v>
      </c>
      <c r="K53" s="367">
        <f t="shared" si="3"/>
        <v>34</v>
      </c>
      <c r="L53" s="361">
        <f t="shared" si="4"/>
        <v>16</v>
      </c>
      <c r="M53" s="347">
        <f>COUNTIFS('Все игры'!A$3:A1000,A53,'Все игры'!C$3:C1000,"&gt;0",'Все игры'!B$3:B1000,"Мафия")</f>
        <v>7</v>
      </c>
      <c r="N53" s="347">
        <f>IFERROR(__xludf.DUMMYFUNCTION("COUNTBLANK(FILTER('Все игры'!A$3:C1000,'Все игры'!A$3:A1000=A53,'Все игры'!C$3:C1000 &lt; 1,'Все игры'!B$3:B1000=""Мафия""))"),5.0)</f>
        <v>5</v>
      </c>
      <c r="O53" s="347">
        <f>COUNTIFS('Все игры'!A$3:A1000,A53,'Все игры'!C$3:C1000,"&gt;0",'Все игры'!B$3:B1000,"Шериф")</f>
        <v>1</v>
      </c>
      <c r="P53" s="354">
        <f>IFERROR(__xludf.DUMMYFUNCTION("COUNTBLANK(FILTER('Все игры'!A$3:C1000,'Все игры'!A$3:A1000=A53,'Все игры'!C$3:C1000 &lt; 1,'Все игры'!B$3:B1000=""Шериф""))"),3.0)</f>
        <v>3</v>
      </c>
      <c r="Q53" s="361">
        <f>COUNTIFS('Все игры'!A$3:A1000,A53,'Все игры'!C$3:C1000,"&gt;0",'Все игры'!B$3:B1000,"Дон")</f>
        <v>0</v>
      </c>
      <c r="R53" s="361">
        <f>IFERROR(__xludf.DUMMYFUNCTION("COUNTBLANK(FILTER('Все игры'!A$3:C1000,'Все игры'!A$3:A1000=A53,'Все игры'!C$3:C1000 &lt; 1,'Все игры'!B$3:B1000=""Дон""))"),4.0)</f>
        <v>4</v>
      </c>
      <c r="S53" s="361">
        <f>COUNTIFS('Все игры'!A$3:A1000,A53,'Все игры'!C$3:C1000,"&gt;0",'Все игры'!B$3:B1000,"Мирный")</f>
        <v>14</v>
      </c>
      <c r="T53" s="369">
        <f>IFERROR(__xludf.DUMMYFUNCTION("COUNTBLANK(FILTER('Все игры'!A$3:C1000,'Все игры'!A$3:A1000=A53,'Все игры'!C$3:C1000 &lt; 1,'Все игры'!B$3:B1000=""Мирный""))"),16.0)</f>
        <v>16</v>
      </c>
      <c r="U53" s="370">
        <f t="shared" si="16"/>
        <v>0.44</v>
      </c>
      <c r="V53" s="371">
        <f t="shared" si="5"/>
        <v>0.4411764706</v>
      </c>
      <c r="W53" s="371">
        <f t="shared" si="6"/>
        <v>0.4375</v>
      </c>
      <c r="X53" s="371">
        <f t="shared" si="7"/>
        <v>0.5833333333</v>
      </c>
      <c r="Y53" s="371">
        <f t="shared" si="8"/>
        <v>0.25</v>
      </c>
      <c r="Z53" s="371">
        <f t="shared" si="9"/>
        <v>0</v>
      </c>
      <c r="AA53" s="372">
        <f t="shared" si="10"/>
        <v>0.4666666667</v>
      </c>
      <c r="AB53" s="362">
        <f>SUMIFS('Все игры'!D$3:D1000,'Все игры'!A$3:A1000,A53)</f>
        <v>120</v>
      </c>
      <c r="AC53" s="362">
        <f>SUMIFS('Все игры'!D$3:D1000,'Все игры'!A$3:A1000,A53,'Все игры'!B$3:B1000,"Мафия")</f>
        <v>33</v>
      </c>
      <c r="AD53" s="373">
        <f>SUMIFS('Все игры'!D$3:D1000,'Все игры'!A$3:A1000,A53,'Все игры'!B$3:B1000,"Шериф")</f>
        <v>9.25</v>
      </c>
      <c r="AE53" s="362">
        <f>SUMIFS('Все игры'!D$3:D1000,'Все игры'!A$3:A1000,A53,'Все игры'!B$3:B1000,"Дон")</f>
        <v>7</v>
      </c>
      <c r="AF53" s="363">
        <f>SUMIFS('Все игры'!D$3:D1000,'Все игры'!A$3:A1000,A53,'Все игры'!B$3:B1000,"Мирный")</f>
        <v>70.75</v>
      </c>
      <c r="AG53" s="362">
        <f t="shared" si="11"/>
        <v>2.4</v>
      </c>
      <c r="AH53" s="362">
        <f t="shared" si="12"/>
        <v>2.75</v>
      </c>
      <c r="AI53" s="362">
        <f t="shared" si="13"/>
        <v>2.3125</v>
      </c>
      <c r="AJ53" s="362">
        <f t="shared" si="14"/>
        <v>1.75</v>
      </c>
      <c r="AK53" s="362">
        <f t="shared" si="15"/>
        <v>2.358333333</v>
      </c>
      <c r="AL53" s="348">
        <f>MAX('Турнирная таблица по Алфавиту'!T55:CA55)</f>
        <v>22.75</v>
      </c>
      <c r="AM53" s="348"/>
      <c r="AN53" s="348"/>
      <c r="AO53" s="348"/>
      <c r="AP53" s="348"/>
      <c r="AQ53" s="348"/>
      <c r="AR53" s="348"/>
      <c r="AS53" s="348"/>
      <c r="AT53" s="348"/>
      <c r="AU53" s="348"/>
      <c r="AV53" s="348"/>
      <c r="AW53" s="348"/>
      <c r="AX53" s="348"/>
      <c r="AY53" s="348"/>
      <c r="AZ53" s="348"/>
      <c r="BA53" s="348"/>
      <c r="BB53" s="348"/>
      <c r="BC53" s="348"/>
      <c r="BD53" s="348"/>
      <c r="BE53" s="348"/>
      <c r="BF53" s="348"/>
      <c r="BG53" s="348"/>
      <c r="BH53" s="348"/>
      <c r="BI53" s="348"/>
      <c r="BJ53" s="348"/>
      <c r="BK53" s="348"/>
      <c r="BL53" s="348"/>
      <c r="BM53" s="348"/>
    </row>
    <row r="54">
      <c r="A54" s="360" t="s">
        <v>128</v>
      </c>
      <c r="B54" s="347">
        <f t="shared" si="1"/>
        <v>50</v>
      </c>
      <c r="C54" s="348">
        <f>'Турнирная таблица по Алфавиту'!E56</f>
        <v>191.75</v>
      </c>
      <c r="D54" s="349">
        <f>'Турнирная таблица по Алфавиту'!F56</f>
        <v>19.175</v>
      </c>
      <c r="E54" s="350">
        <f>COUNTIFS('Все игры'!A$3:A1000,A54,'Все игры'!F$3:F1000,"=1")</f>
        <v>0</v>
      </c>
      <c r="F54" s="350">
        <f>COUNTIFS('Все игры'!A$3:A1000,A54,'Все игры'!F$3:F1000,"=0,50")</f>
        <v>1</v>
      </c>
      <c r="G54" s="350">
        <f>COUNTIFS('Все игры'!A$3:A1000,A54,'Все игры'!G$3:G1000,"&gt;0")</f>
        <v>2</v>
      </c>
      <c r="H54" s="351">
        <f t="shared" si="2"/>
        <v>0.06451612903</v>
      </c>
      <c r="I54" s="352">
        <f>COUNTIFS('Все игры'!A$3:A1000,A54,'Все игры'!E$3:E1000,"У/Победа")</f>
        <v>4</v>
      </c>
      <c r="J54" s="352">
        <f>COUNTIFS('Все игры'!A$3:A1000,A54,'Все игры'!E$3:E1000,"У/Проигрыш")</f>
        <v>7</v>
      </c>
      <c r="K54" s="353">
        <f t="shared" si="3"/>
        <v>31</v>
      </c>
      <c r="L54" s="347">
        <f t="shared" si="4"/>
        <v>19</v>
      </c>
      <c r="M54" s="347">
        <f>COUNTIFS('Все игры'!A$3:A1000,A54,'Все игры'!C$3:C1000,"&gt;0",'Все игры'!B$3:B1000,"Мафия")</f>
        <v>7</v>
      </c>
      <c r="N54" s="347">
        <f>IFERROR(__xludf.DUMMYFUNCTION("COUNTBLANK(FILTER('Все игры'!A$3:C1000,'Все игры'!A$3:A1000=A54,'Все игры'!C$3:C1000 &lt; 1,'Все игры'!B$3:B1000=""Мафия""))"),6.0)</f>
        <v>6</v>
      </c>
      <c r="O54" s="347">
        <f>COUNTIFS('Все игры'!A$3:A1000,A54,'Все игры'!C$3:C1000,"&gt;0",'Все игры'!B$3:B1000,"Шериф")</f>
        <v>0</v>
      </c>
      <c r="P54" s="354">
        <f>IFERROR(__xludf.DUMMYFUNCTION("COUNTBLANK(FILTER('Все игры'!A$3:C1000,'Все игры'!A$3:A1000=A54,'Все игры'!C$3:C1000 &lt; 1,'Все игры'!B$3:B1000=""Шериф""))"),0.0)</f>
        <v>0</v>
      </c>
      <c r="Q54" s="347">
        <f>COUNTIFS('Все игры'!A$3:A1000,A54,'Все игры'!C$3:C1000,"&gt;0",'Все игры'!B$3:B1000,"Дон")</f>
        <v>2</v>
      </c>
      <c r="R54" s="347">
        <f>IFERROR(__xludf.DUMMYFUNCTION("COUNTBLANK(FILTER('Все игры'!A$3:C1000,'Все игры'!A$3:A1000=A54,'Все игры'!C$3:C1000 &lt; 1,'Все игры'!B$3:B1000=""Дон""))"),4.0)</f>
        <v>4</v>
      </c>
      <c r="S54" s="347">
        <f>COUNTIFS('Все игры'!A$3:A1000,A54,'Все игры'!C$3:C1000,"&gt;0",'Все игры'!B$3:B1000,"Мирный")</f>
        <v>16</v>
      </c>
      <c r="T54" s="355">
        <f>IFERROR(__xludf.DUMMYFUNCTION("COUNTBLANK(FILTER('Все игры'!A$3:C1000,'Все игры'!A$3:A1000=A54,'Все игры'!C$3:C1000 &lt; 1,'Все игры'!B$3:B1000=""Мирный""))"),15.0)</f>
        <v>15</v>
      </c>
      <c r="U54" s="356">
        <f t="shared" si="16"/>
        <v>0.5</v>
      </c>
      <c r="V54" s="357">
        <f t="shared" si="5"/>
        <v>0.5161290323</v>
      </c>
      <c r="W54" s="357">
        <f t="shared" si="6"/>
        <v>0.4736842105</v>
      </c>
      <c r="X54" s="357">
        <f t="shared" si="7"/>
        <v>0.5384615385</v>
      </c>
      <c r="Y54" s="357">
        <f t="shared" si="8"/>
        <v>0</v>
      </c>
      <c r="Z54" s="357">
        <f t="shared" si="9"/>
        <v>0.3333333333</v>
      </c>
      <c r="AA54" s="358">
        <f t="shared" si="10"/>
        <v>0.5161290323</v>
      </c>
      <c r="AB54" s="348">
        <f>SUMIFS('Все игры'!D$3:D1000,'Все игры'!A$3:A1000,A54)</f>
        <v>127.75</v>
      </c>
      <c r="AC54" s="348">
        <f>SUMIFS('Все игры'!D$3:D1000,'Все игры'!A$3:A1000,A54,'Все игры'!B$3:B1000,"Мафия")</f>
        <v>35.5</v>
      </c>
      <c r="AD54" s="359">
        <f>SUMIFS('Все игры'!D$3:D1000,'Все игры'!A$3:A1000,A54,'Все игры'!B$3:B1000,"Шериф")</f>
        <v>0</v>
      </c>
      <c r="AE54" s="348">
        <f>SUMIFS('Все игры'!D$3:D1000,'Все игры'!A$3:A1000,A54,'Все игры'!B$3:B1000,"Дон")</f>
        <v>11.25</v>
      </c>
      <c r="AF54" s="349">
        <f>SUMIFS('Все игры'!D$3:D1000,'Все игры'!A$3:A1000,A54,'Все игры'!B$3:B1000,"Мирный")</f>
        <v>81</v>
      </c>
      <c r="AG54" s="348">
        <f t="shared" si="11"/>
        <v>2.555</v>
      </c>
      <c r="AH54" s="348">
        <f t="shared" si="12"/>
        <v>2.730769231</v>
      </c>
      <c r="AI54" s="348">
        <f t="shared" si="13"/>
        <v>0</v>
      </c>
      <c r="AJ54" s="348">
        <f t="shared" si="14"/>
        <v>1.875</v>
      </c>
      <c r="AK54" s="348">
        <f t="shared" si="15"/>
        <v>2.612903226</v>
      </c>
      <c r="AL54" s="348">
        <f>MAX('Турнирная таблица по Алфавиту'!T56:CA56)</f>
        <v>27.25</v>
      </c>
      <c r="AM54" s="348"/>
      <c r="AN54" s="348"/>
      <c r="AO54" s="348"/>
      <c r="AP54" s="348"/>
      <c r="AQ54" s="348"/>
      <c r="AR54" s="348"/>
      <c r="AS54" s="348"/>
      <c r="AT54" s="348"/>
      <c r="AU54" s="348"/>
      <c r="AV54" s="348"/>
      <c r="AW54" s="348"/>
      <c r="AX54" s="348"/>
      <c r="AY54" s="348"/>
      <c r="AZ54" s="348"/>
      <c r="BA54" s="348"/>
      <c r="BB54" s="348"/>
      <c r="BC54" s="348"/>
      <c r="BD54" s="348"/>
      <c r="BE54" s="348"/>
      <c r="BF54" s="348"/>
      <c r="BG54" s="348"/>
      <c r="BH54" s="348"/>
      <c r="BI54" s="348"/>
      <c r="BJ54" s="348"/>
      <c r="BK54" s="348"/>
      <c r="BL54" s="348"/>
      <c r="BM54" s="348"/>
    </row>
    <row r="55">
      <c r="A55" s="360" t="s">
        <v>129</v>
      </c>
      <c r="B55" s="361">
        <f t="shared" si="1"/>
        <v>50</v>
      </c>
      <c r="C55" s="362">
        <f>'Турнирная таблица по Алфавиту'!E57</f>
        <v>173.5</v>
      </c>
      <c r="D55" s="363">
        <f>'Турнирная таблица по Алфавиту'!F57</f>
        <v>17.35</v>
      </c>
      <c r="E55" s="364">
        <f>COUNTIFS('Все игры'!A$3:A1000,A55,'Все игры'!F$3:F1000,"=1")</f>
        <v>0</v>
      </c>
      <c r="F55" s="364">
        <f>COUNTIFS('Все игры'!A$3:A1000,A55,'Все игры'!F$3:F1000,"=0,50")</f>
        <v>0</v>
      </c>
      <c r="G55" s="364">
        <f>COUNTIFS('Все игры'!A$3:A1000,A55,'Все игры'!G$3:G1000,"&gt;0")</f>
        <v>2</v>
      </c>
      <c r="H55" s="365">
        <f t="shared" si="2"/>
        <v>0.05555555556</v>
      </c>
      <c r="I55" s="366">
        <f>COUNTIFS('Все игры'!A$3:A1000,A55,'Все игры'!E$3:E1000,"У/Победа")</f>
        <v>3</v>
      </c>
      <c r="J55" s="366">
        <f>COUNTIFS('Все игры'!A$3:A1000,A55,'Все игры'!E$3:E1000,"У/Проигрыш")</f>
        <v>9</v>
      </c>
      <c r="K55" s="367">
        <f t="shared" si="3"/>
        <v>36</v>
      </c>
      <c r="L55" s="361">
        <f t="shared" si="4"/>
        <v>14</v>
      </c>
      <c r="M55" s="361">
        <f>COUNTIFS('Все игры'!A$3:A1000,A55,'Все игры'!C$3:C1000,"&gt;0",'Все игры'!B$3:B1000,"Мафия")</f>
        <v>5</v>
      </c>
      <c r="N55" s="361">
        <f>IFERROR(__xludf.DUMMYFUNCTION("COUNTBLANK(FILTER('Все игры'!A$3:C1000,'Все игры'!A$3:A1000=A55,'Все игры'!C$3:C1000 &lt; 1,'Все игры'!B$3:B1000=""Мафия""))"),3.0)</f>
        <v>3</v>
      </c>
      <c r="O55" s="361">
        <f>COUNTIFS('Все игры'!A$3:A1000,A55,'Все игры'!C$3:C1000,"&gt;0",'Все игры'!B$3:B1000,"Шериф")</f>
        <v>1</v>
      </c>
      <c r="P55" s="368">
        <f>IFERROR(__xludf.DUMMYFUNCTION("COUNTBLANK(FILTER('Все игры'!A$3:C1000,'Все игры'!A$3:A1000=A55,'Все игры'!C$3:C1000 &lt; 1,'Все игры'!B$3:B1000=""Шериф""))"),3.0)</f>
        <v>3</v>
      </c>
      <c r="Q55" s="361">
        <f>COUNTIFS('Все игры'!A$3:A1000,A55,'Все игры'!C$3:C1000,"&gt;0",'Все игры'!B$3:B1000,"Дон")</f>
        <v>2</v>
      </c>
      <c r="R55" s="361">
        <f>IFERROR(__xludf.DUMMYFUNCTION("COUNTBLANK(FILTER('Все игры'!A$3:C1000,'Все игры'!A$3:A1000=A55,'Все игры'!C$3:C1000 &lt; 1,'Все игры'!B$3:B1000=""Дон""))"),4.0)</f>
        <v>4</v>
      </c>
      <c r="S55" s="361">
        <f>COUNTIFS('Все игры'!A$3:A1000,A55,'Все игры'!C$3:C1000,"&gt;0",'Все игры'!B$3:B1000,"Мирный")</f>
        <v>10</v>
      </c>
      <c r="T55" s="369">
        <f>IFERROR(__xludf.DUMMYFUNCTION("COUNTBLANK(FILTER('Все игры'!A$3:C1000,'Все игры'!A$3:A1000=A55,'Все игры'!C$3:C1000 &lt; 1,'Все игры'!B$3:B1000=""Мирный""))"),22.0)</f>
        <v>22</v>
      </c>
      <c r="U55" s="370">
        <f t="shared" si="16"/>
        <v>0.36</v>
      </c>
      <c r="V55" s="371">
        <f t="shared" si="5"/>
        <v>0.3055555556</v>
      </c>
      <c r="W55" s="371">
        <f t="shared" si="6"/>
        <v>0.5</v>
      </c>
      <c r="X55" s="371">
        <f t="shared" si="7"/>
        <v>0.625</v>
      </c>
      <c r="Y55" s="371">
        <f t="shared" si="8"/>
        <v>0.25</v>
      </c>
      <c r="Z55" s="371">
        <f t="shared" si="9"/>
        <v>0.3333333333</v>
      </c>
      <c r="AA55" s="372">
        <f t="shared" si="10"/>
        <v>0.3125</v>
      </c>
      <c r="AB55" s="362">
        <f>SUMIFS('Все игры'!D$3:D1000,'Все игры'!A$3:A1000,A55)</f>
        <v>127.5</v>
      </c>
      <c r="AC55" s="362">
        <f>SUMIFS('Все игры'!D$3:D1000,'Все игры'!A$3:A1000,A55,'Все игры'!B$3:B1000,"Мафия")</f>
        <v>22.25</v>
      </c>
      <c r="AD55" s="373">
        <f>SUMIFS('Все игры'!D$3:D1000,'Все игры'!A$3:A1000,A55,'Все игры'!B$3:B1000,"Шериф")</f>
        <v>8.5</v>
      </c>
      <c r="AE55" s="362">
        <f>SUMIFS('Все игры'!D$3:D1000,'Все игры'!A$3:A1000,A55,'Все игры'!B$3:B1000,"Дон")</f>
        <v>16</v>
      </c>
      <c r="AF55" s="363">
        <f>SUMIFS('Все игры'!D$3:D1000,'Все игры'!A$3:A1000,A55,'Все игры'!B$3:B1000,"Мирный")</f>
        <v>80.75</v>
      </c>
      <c r="AG55" s="362">
        <f t="shared" si="11"/>
        <v>2.55</v>
      </c>
      <c r="AH55" s="362">
        <f t="shared" si="12"/>
        <v>2.78125</v>
      </c>
      <c r="AI55" s="362">
        <f t="shared" si="13"/>
        <v>2.125</v>
      </c>
      <c r="AJ55" s="362">
        <f t="shared" si="14"/>
        <v>2.666666667</v>
      </c>
      <c r="AK55" s="362">
        <f t="shared" si="15"/>
        <v>2.5234375</v>
      </c>
      <c r="AL55" s="348">
        <f>MAX('Турнирная таблица по Алфавиту'!T57:CA57)</f>
        <v>25.25</v>
      </c>
      <c r="AM55" s="348"/>
      <c r="AN55" s="348"/>
      <c r="AO55" s="348"/>
      <c r="AP55" s="348"/>
      <c r="AQ55" s="348"/>
      <c r="AR55" s="348"/>
      <c r="AS55" s="348"/>
      <c r="AT55" s="348"/>
      <c r="AU55" s="348"/>
      <c r="AV55" s="348"/>
      <c r="AW55" s="348"/>
      <c r="AX55" s="348"/>
      <c r="AY55" s="348"/>
      <c r="AZ55" s="348"/>
      <c r="BA55" s="348"/>
      <c r="BB55" s="348"/>
      <c r="BC55" s="348"/>
      <c r="BD55" s="348"/>
      <c r="BE55" s="348"/>
      <c r="BF55" s="348"/>
      <c r="BG55" s="348"/>
      <c r="BH55" s="348"/>
      <c r="BI55" s="348"/>
      <c r="BJ55" s="348"/>
      <c r="BK55" s="348"/>
      <c r="BL55" s="348"/>
      <c r="BM55" s="348"/>
    </row>
    <row r="56">
      <c r="A56" s="360" t="s">
        <v>130</v>
      </c>
      <c r="B56" s="347">
        <f t="shared" si="1"/>
        <v>50</v>
      </c>
      <c r="C56" s="348">
        <f>'Турнирная таблица по Алфавиту'!E58</f>
        <v>188.25</v>
      </c>
      <c r="D56" s="349">
        <f>'Турнирная таблица по Алфавиту'!F58</f>
        <v>18.825</v>
      </c>
      <c r="E56" s="350">
        <f>COUNTIFS('Все игры'!A$3:A1000,A56,'Все игры'!F$3:F1000,"=1")</f>
        <v>0</v>
      </c>
      <c r="F56" s="350">
        <f>COUNTIFS('Все игры'!A$3:A1000,A56,'Все игры'!F$3:F1000,"=0,50")</f>
        <v>1</v>
      </c>
      <c r="G56" s="350">
        <f>COUNTIFS('Все игры'!A$3:A1000,A56,'Все игры'!G$3:G1000,"&gt;0")</f>
        <v>5</v>
      </c>
      <c r="H56" s="351">
        <f t="shared" si="2"/>
        <v>0.1666666667</v>
      </c>
      <c r="I56" s="352">
        <f>COUNTIFS('Все игры'!A$3:A1000,A56,'Все игры'!E$3:E1000,"У/Победа")</f>
        <v>2</v>
      </c>
      <c r="J56" s="352">
        <f>COUNTIFS('Все игры'!A$3:A1000,A56,'Все игры'!E$3:E1000,"У/Проигрыш")</f>
        <v>1</v>
      </c>
      <c r="K56" s="353">
        <f t="shared" si="3"/>
        <v>30</v>
      </c>
      <c r="L56" s="347">
        <f t="shared" si="4"/>
        <v>20</v>
      </c>
      <c r="M56" s="347">
        <f>COUNTIFS('Все игры'!A$3:A1000,A56,'Все игры'!C$3:C1000,"&gt;0",'Все игры'!B$3:B1000,"Мафия")</f>
        <v>6</v>
      </c>
      <c r="N56" s="347">
        <f>IFERROR(__xludf.DUMMYFUNCTION("COUNTBLANK(FILTER('Все игры'!A$3:C1000,'Все игры'!A$3:A1000=A56,'Все игры'!C$3:C1000 &lt; 1,'Все игры'!B$3:B1000=""Мафия""))"),7.0)</f>
        <v>7</v>
      </c>
      <c r="O56" s="347">
        <f>COUNTIFS('Все игры'!A$3:A1000,A56,'Все игры'!C$3:C1000,"&gt;0",'Все игры'!B$3:B1000,"Шериф")</f>
        <v>2</v>
      </c>
      <c r="P56" s="354">
        <f>IFERROR(__xludf.DUMMYFUNCTION("COUNTBLANK(FILTER('Все игры'!A$3:C1000,'Все игры'!A$3:A1000=A56,'Все игры'!C$3:C1000 &lt; 1,'Все игры'!B$3:B1000=""Шериф""))"),1.0)</f>
        <v>1</v>
      </c>
      <c r="Q56" s="347">
        <f>COUNTIFS('Все игры'!A$3:A1000,A56,'Все игры'!C$3:C1000,"&gt;0",'Все игры'!B$3:B1000,"Дон")</f>
        <v>2</v>
      </c>
      <c r="R56" s="347">
        <f>IFERROR(__xludf.DUMMYFUNCTION("COUNTBLANK(FILTER('Все игры'!A$3:C1000,'Все игры'!A$3:A1000=A56,'Все игры'!C$3:C1000 &lt; 1,'Все игры'!B$3:B1000=""Дон""))"),5.0)</f>
        <v>5</v>
      </c>
      <c r="S56" s="347">
        <f>COUNTIFS('Все игры'!A$3:A1000,A56,'Все игры'!C$3:C1000,"&gt;0",'Все игры'!B$3:B1000,"Мирный")</f>
        <v>11</v>
      </c>
      <c r="T56" s="355">
        <f>IFERROR(__xludf.DUMMYFUNCTION("COUNTBLANK(FILTER('Все игры'!A$3:C1000,'Все игры'!A$3:A1000=A56,'Все игры'!C$3:C1000 &lt; 1,'Все игры'!B$3:B1000=""Мирный""))"),16.0)</f>
        <v>16</v>
      </c>
      <c r="U56" s="356">
        <f t="shared" si="16"/>
        <v>0.42</v>
      </c>
      <c r="V56" s="357">
        <f t="shared" si="5"/>
        <v>0.4333333333</v>
      </c>
      <c r="W56" s="357">
        <f t="shared" si="6"/>
        <v>0.4</v>
      </c>
      <c r="X56" s="357">
        <f t="shared" si="7"/>
        <v>0.4615384615</v>
      </c>
      <c r="Y56" s="357">
        <f t="shared" si="8"/>
        <v>0.6666666667</v>
      </c>
      <c r="Z56" s="357">
        <f t="shared" si="9"/>
        <v>0.2857142857</v>
      </c>
      <c r="AA56" s="358">
        <f t="shared" si="10"/>
        <v>0.4074074074</v>
      </c>
      <c r="AB56" s="348">
        <f>SUMIFS('Все игры'!D$3:D1000,'Все игры'!A$3:A1000,A56)</f>
        <v>132.25</v>
      </c>
      <c r="AC56" s="348">
        <f>SUMIFS('Все игры'!D$3:D1000,'Все игры'!A$3:A1000,A56,'Все игры'!B$3:B1000,"Мафия")</f>
        <v>34.75</v>
      </c>
      <c r="AD56" s="359">
        <f>SUMIFS('Все игры'!D$3:D1000,'Все игры'!A$3:A1000,A56,'Все игры'!B$3:B1000,"Шериф")</f>
        <v>7.5</v>
      </c>
      <c r="AE56" s="348">
        <f>SUMIFS('Все игры'!D$3:D1000,'Все игры'!A$3:A1000,A56,'Все игры'!B$3:B1000,"Дон")</f>
        <v>17.25</v>
      </c>
      <c r="AF56" s="349">
        <f>SUMIFS('Все игры'!D$3:D1000,'Все игры'!A$3:A1000,A56,'Все игры'!B$3:B1000,"Мирный")</f>
        <v>72.75</v>
      </c>
      <c r="AG56" s="348">
        <f t="shared" si="11"/>
        <v>2.645</v>
      </c>
      <c r="AH56" s="348">
        <f t="shared" si="12"/>
        <v>2.673076923</v>
      </c>
      <c r="AI56" s="348">
        <f t="shared" si="13"/>
        <v>2.5</v>
      </c>
      <c r="AJ56" s="348">
        <f t="shared" si="14"/>
        <v>2.464285714</v>
      </c>
      <c r="AK56" s="348">
        <f t="shared" si="15"/>
        <v>2.694444444</v>
      </c>
      <c r="AL56" s="348">
        <f>MAX('Турнирная таблица по Алфавиту'!T58:CA58)</f>
        <v>24.5</v>
      </c>
      <c r="AM56" s="348"/>
      <c r="AN56" s="348"/>
      <c r="AO56" s="348"/>
      <c r="AP56" s="348"/>
      <c r="AQ56" s="348"/>
      <c r="AR56" s="348"/>
      <c r="AS56" s="348"/>
      <c r="AT56" s="348"/>
      <c r="AU56" s="348"/>
      <c r="AV56" s="348"/>
      <c r="AW56" s="348"/>
      <c r="AX56" s="348"/>
      <c r="AY56" s="348"/>
      <c r="AZ56" s="348"/>
      <c r="BA56" s="348"/>
      <c r="BB56" s="348"/>
      <c r="BC56" s="348"/>
      <c r="BD56" s="348"/>
      <c r="BE56" s="348"/>
      <c r="BF56" s="348"/>
      <c r="BG56" s="348"/>
      <c r="BH56" s="348"/>
      <c r="BI56" s="348"/>
      <c r="BJ56" s="348"/>
      <c r="BK56" s="348"/>
      <c r="BL56" s="348"/>
      <c r="BM56" s="348"/>
    </row>
    <row r="57">
      <c r="A57" s="360" t="s">
        <v>131</v>
      </c>
      <c r="B57" s="361">
        <f t="shared" si="1"/>
        <v>50</v>
      </c>
      <c r="C57" s="362">
        <f>'Турнирная таблица по Алфавиту'!E59</f>
        <v>199.75</v>
      </c>
      <c r="D57" s="363">
        <f>'Турнирная таблица по Алфавиту'!F59</f>
        <v>19.975</v>
      </c>
      <c r="E57" s="364">
        <f>COUNTIFS('Все игры'!A$3:A1000,A57,'Все игры'!F$3:F1000,"=1")</f>
        <v>0</v>
      </c>
      <c r="F57" s="364">
        <f>COUNTIFS('Все игры'!A$3:A1000,A57,'Все игры'!F$3:F1000,"=0,50")</f>
        <v>1</v>
      </c>
      <c r="G57" s="364">
        <f>COUNTIFS('Все игры'!A$3:A1000,A57,'Все игры'!G$3:G1000,"&gt;0")</f>
        <v>5</v>
      </c>
      <c r="H57" s="365">
        <f t="shared" si="2"/>
        <v>0.125</v>
      </c>
      <c r="I57" s="366">
        <f>COUNTIFS('Все игры'!A$3:A1000,A57,'Все игры'!E$3:E1000,"У/Победа")</f>
        <v>5</v>
      </c>
      <c r="J57" s="366">
        <f>COUNTIFS('Все игры'!A$3:A1000,A57,'Все игры'!E$3:E1000,"У/Проигрыш")</f>
        <v>6</v>
      </c>
      <c r="K57" s="367">
        <f t="shared" si="3"/>
        <v>40</v>
      </c>
      <c r="L57" s="361">
        <f t="shared" si="4"/>
        <v>10</v>
      </c>
      <c r="M57" s="361">
        <f>COUNTIFS('Все игры'!A$3:A1000,A57,'Все игры'!C$3:C1000,"&gt;0",'Все игры'!B$3:B1000,"Мафия")</f>
        <v>5</v>
      </c>
      <c r="N57" s="361">
        <f>IFERROR(__xludf.DUMMYFUNCTION("COUNTBLANK(FILTER('Все игры'!A$3:C1000,'Все игры'!A$3:A1000=A57,'Все игры'!C$3:C1000 &lt; 1,'Все игры'!B$3:B1000=""Мафия""))"),1.0)</f>
        <v>1</v>
      </c>
      <c r="O57" s="361">
        <f>COUNTIFS('Все игры'!A$3:A1000,A57,'Все игры'!C$3:C1000,"&gt;0",'Все игры'!B$3:B1000,"Шериф")</f>
        <v>1</v>
      </c>
      <c r="P57" s="368">
        <f>IFERROR(__xludf.DUMMYFUNCTION("COUNTBLANK(FILTER('Все игры'!A$3:C1000,'Все игры'!A$3:A1000=A57,'Все игры'!C$3:C1000 &lt; 1,'Все игры'!B$3:B1000=""Шериф""))"),5.0)</f>
        <v>5</v>
      </c>
      <c r="Q57" s="361">
        <f>COUNTIFS('Все игры'!A$3:A1000,A57,'Все игры'!C$3:C1000,"&gt;0",'Все игры'!B$3:B1000,"Дон")</f>
        <v>3</v>
      </c>
      <c r="R57" s="361">
        <f>IFERROR(__xludf.DUMMYFUNCTION("COUNTBLANK(FILTER('Все игры'!A$3:C1000,'Все игры'!A$3:A1000=A57,'Все игры'!C$3:C1000 &lt; 1,'Все игры'!B$3:B1000=""Дон""))"),1.0)</f>
        <v>1</v>
      </c>
      <c r="S57" s="361">
        <f>COUNTIFS('Все игры'!A$3:A1000,A57,'Все игры'!C$3:C1000,"&gt;0",'Все игры'!B$3:B1000,"Мирный")</f>
        <v>13</v>
      </c>
      <c r="T57" s="369">
        <f>IFERROR(__xludf.DUMMYFUNCTION("COUNTBLANK(FILTER('Все игры'!A$3:C1000,'Все игры'!A$3:A1000=A57,'Все игры'!C$3:C1000 &lt; 1,'Все игры'!B$3:B1000=""Мирный""))"),21.0)</f>
        <v>21</v>
      </c>
      <c r="U57" s="370">
        <f t="shared" si="16"/>
        <v>0.44</v>
      </c>
      <c r="V57" s="371">
        <f t="shared" si="5"/>
        <v>0.35</v>
      </c>
      <c r="W57" s="371">
        <f t="shared" si="6"/>
        <v>0.8</v>
      </c>
      <c r="X57" s="371">
        <f t="shared" si="7"/>
        <v>0.8333333333</v>
      </c>
      <c r="Y57" s="371">
        <f t="shared" si="8"/>
        <v>0.1666666667</v>
      </c>
      <c r="Z57" s="371">
        <f t="shared" si="9"/>
        <v>0.75</v>
      </c>
      <c r="AA57" s="372">
        <f t="shared" si="10"/>
        <v>0.3823529412</v>
      </c>
      <c r="AB57" s="362">
        <f>SUMIFS('Все игры'!D$3:D1000,'Все игры'!A$3:A1000,A57)</f>
        <v>141.75</v>
      </c>
      <c r="AC57" s="362">
        <f>SUMIFS('Все игры'!D$3:D1000,'Все игры'!A$3:A1000,A57,'Все игры'!B$3:B1000,"Мафия")</f>
        <v>20</v>
      </c>
      <c r="AD57" s="373">
        <f>SUMIFS('Все игры'!D$3:D1000,'Все игры'!A$3:A1000,A57,'Все игры'!B$3:B1000,"Шериф")</f>
        <v>14</v>
      </c>
      <c r="AE57" s="362">
        <f>SUMIFS('Все игры'!D$3:D1000,'Все игры'!A$3:A1000,A57,'Все игры'!B$3:B1000,"Дон")</f>
        <v>13.25</v>
      </c>
      <c r="AF57" s="363">
        <f>SUMIFS('Все игры'!D$3:D1000,'Все игры'!A$3:A1000,A57,'Все игры'!B$3:B1000,"Мирный")</f>
        <v>94.5</v>
      </c>
      <c r="AG57" s="362">
        <f t="shared" si="11"/>
        <v>2.835</v>
      </c>
      <c r="AH57" s="362">
        <f t="shared" si="12"/>
        <v>3.333333333</v>
      </c>
      <c r="AI57" s="362">
        <f t="shared" si="13"/>
        <v>2.333333333</v>
      </c>
      <c r="AJ57" s="362">
        <f t="shared" si="14"/>
        <v>3.3125</v>
      </c>
      <c r="AK57" s="362">
        <f t="shared" si="15"/>
        <v>2.779411765</v>
      </c>
      <c r="AL57" s="348">
        <f>MAX('Турнирная таблица по Алфавиту'!T59:CA59)</f>
        <v>28</v>
      </c>
      <c r="AM57" s="348"/>
      <c r="AN57" s="348"/>
      <c r="AO57" s="348"/>
      <c r="AP57" s="348"/>
      <c r="AQ57" s="348"/>
      <c r="AR57" s="348"/>
      <c r="AS57" s="348"/>
      <c r="AT57" s="348"/>
      <c r="AU57" s="348"/>
      <c r="AV57" s="348"/>
      <c r="AW57" s="348"/>
      <c r="AX57" s="348"/>
      <c r="AY57" s="348"/>
      <c r="AZ57" s="348"/>
      <c r="BA57" s="348"/>
      <c r="BB57" s="348"/>
      <c r="BC57" s="348"/>
      <c r="BD57" s="348"/>
      <c r="BE57" s="348"/>
      <c r="BF57" s="348"/>
      <c r="BG57" s="348"/>
      <c r="BH57" s="348"/>
      <c r="BI57" s="348"/>
      <c r="BJ57" s="348"/>
      <c r="BK57" s="348"/>
      <c r="BL57" s="348"/>
      <c r="BM57" s="348"/>
    </row>
    <row r="58">
      <c r="A58" s="360" t="s">
        <v>132</v>
      </c>
      <c r="B58" s="347">
        <f t="shared" si="1"/>
        <v>50</v>
      </c>
      <c r="C58" s="348">
        <f>'Турнирная таблица по Алфавиту'!E60</f>
        <v>209.5</v>
      </c>
      <c r="D58" s="349">
        <f>'Турнирная таблица по Алфавиту'!F60</f>
        <v>20.95</v>
      </c>
      <c r="E58" s="350">
        <f>COUNTIFS('Все игры'!A$3:A1000,A58,'Все игры'!F$3:F1000,"=1")</f>
        <v>0</v>
      </c>
      <c r="F58" s="350">
        <f>COUNTIFS('Все игры'!A$3:A1000,A58,'Все игры'!F$3:F1000,"=0,50")</f>
        <v>3</v>
      </c>
      <c r="G58" s="350">
        <f>COUNTIFS('Все игры'!A$3:A1000,A58,'Все игры'!G$3:G1000,"&gt;0")</f>
        <v>8</v>
      </c>
      <c r="H58" s="351">
        <f t="shared" si="2"/>
        <v>0.2222222222</v>
      </c>
      <c r="I58" s="352">
        <f>COUNTIFS('Все игры'!A$3:A1000,A58,'Все игры'!E$3:E1000,"У/Победа")</f>
        <v>5</v>
      </c>
      <c r="J58" s="352">
        <f>COUNTIFS('Все игры'!A$3:A1000,A58,'Все игры'!E$3:E1000,"У/Проигрыш")</f>
        <v>1</v>
      </c>
      <c r="K58" s="353">
        <f t="shared" si="3"/>
        <v>36</v>
      </c>
      <c r="L58" s="347">
        <f t="shared" si="4"/>
        <v>14</v>
      </c>
      <c r="M58" s="347">
        <f>COUNTIFS('Все игры'!A$3:A1000,A58,'Все игры'!C$3:C1000,"&gt;0",'Все игры'!B$3:B1000,"Мафия")</f>
        <v>5</v>
      </c>
      <c r="N58" s="347">
        <f>IFERROR(__xludf.DUMMYFUNCTION("COUNTBLANK(FILTER('Все игры'!A$3:C1000,'Все игры'!A$3:A1000=A58,'Все игры'!C$3:C1000 &lt; 1,'Все игры'!B$3:B1000=""Мафия""))"),4.0)</f>
        <v>4</v>
      </c>
      <c r="O58" s="347">
        <f>COUNTIFS('Все игры'!A$3:A1000,A58,'Все игры'!C$3:C1000,"&gt;0",'Все игры'!B$3:B1000,"Шериф")</f>
        <v>3</v>
      </c>
      <c r="P58" s="354">
        <f>IFERROR(__xludf.DUMMYFUNCTION("COUNTBLANK(FILTER('Все игры'!A$3:C1000,'Все игры'!A$3:A1000=A58,'Все игры'!C$3:C1000 &lt; 1,'Все игры'!B$3:B1000=""Шериф""))"),2.0)</f>
        <v>2</v>
      </c>
      <c r="Q58" s="347">
        <f>COUNTIFS('Все игры'!A$3:A1000,A58,'Все игры'!C$3:C1000,"&gt;0",'Все игры'!B$3:B1000,"Дон")</f>
        <v>3</v>
      </c>
      <c r="R58" s="347">
        <f>IFERROR(__xludf.DUMMYFUNCTION("COUNTBLANK(FILTER('Все игры'!A$3:C1000,'Все игры'!A$3:A1000=A58,'Все игры'!C$3:C1000 &lt; 1,'Все игры'!B$3:B1000=""Дон""))"),2.0)</f>
        <v>2</v>
      </c>
      <c r="S58" s="347">
        <f>COUNTIFS('Все игры'!A$3:A1000,A58,'Все игры'!C$3:C1000,"&gt;0",'Все игры'!B$3:B1000,"Мирный")</f>
        <v>12</v>
      </c>
      <c r="T58" s="355">
        <f>IFERROR(__xludf.DUMMYFUNCTION("COUNTBLANK(FILTER('Все игры'!A$3:C1000,'Все игры'!A$3:A1000=A58,'Все игры'!C$3:C1000 &lt; 1,'Все игры'!B$3:B1000=""Мирный""))"),19.0)</f>
        <v>19</v>
      </c>
      <c r="U58" s="356">
        <f t="shared" si="16"/>
        <v>0.46</v>
      </c>
      <c r="V58" s="357">
        <f t="shared" si="5"/>
        <v>0.4166666667</v>
      </c>
      <c r="W58" s="357">
        <f t="shared" si="6"/>
        <v>0.5714285714</v>
      </c>
      <c r="X58" s="357">
        <f t="shared" si="7"/>
        <v>0.5555555556</v>
      </c>
      <c r="Y58" s="357">
        <f t="shared" si="8"/>
        <v>0.6</v>
      </c>
      <c r="Z58" s="357">
        <f t="shared" si="9"/>
        <v>0.6</v>
      </c>
      <c r="AA58" s="358">
        <f t="shared" si="10"/>
        <v>0.3870967742</v>
      </c>
      <c r="AB58" s="348">
        <f>SUMIFS('Все игры'!D$3:D1000,'Все игры'!A$3:A1000,A58)</f>
        <v>146</v>
      </c>
      <c r="AC58" s="348">
        <f>SUMIFS('Все игры'!D$3:D1000,'Все игры'!A$3:A1000,A58,'Все игры'!B$3:B1000,"Мафия")</f>
        <v>30.5</v>
      </c>
      <c r="AD58" s="359">
        <f>SUMIFS('Все игры'!D$3:D1000,'Все игры'!A$3:A1000,A58,'Все игры'!B$3:B1000,"Шериф")</f>
        <v>15.5</v>
      </c>
      <c r="AE58" s="348">
        <f>SUMIFS('Все игры'!D$3:D1000,'Все игры'!A$3:A1000,A58,'Все игры'!B$3:B1000,"Дон")</f>
        <v>15.25</v>
      </c>
      <c r="AF58" s="349">
        <f>SUMIFS('Все игры'!D$3:D1000,'Все игры'!A$3:A1000,A58,'Все игры'!B$3:B1000,"Мирный")</f>
        <v>84.75</v>
      </c>
      <c r="AG58" s="348">
        <f t="shared" si="11"/>
        <v>2.92</v>
      </c>
      <c r="AH58" s="348">
        <f t="shared" si="12"/>
        <v>3.388888889</v>
      </c>
      <c r="AI58" s="348">
        <f t="shared" si="13"/>
        <v>3.1</v>
      </c>
      <c r="AJ58" s="348">
        <f t="shared" si="14"/>
        <v>3.05</v>
      </c>
      <c r="AK58" s="348">
        <f t="shared" si="15"/>
        <v>2.733870968</v>
      </c>
      <c r="AL58" s="348">
        <f>MAX('Турнирная таблица по Алфавиту'!T60:CA60)</f>
        <v>26</v>
      </c>
      <c r="AM58" s="348"/>
      <c r="AN58" s="348"/>
      <c r="AO58" s="348"/>
      <c r="AP58" s="348"/>
      <c r="AQ58" s="348"/>
      <c r="AR58" s="348"/>
      <c r="AS58" s="348"/>
      <c r="AT58" s="348"/>
      <c r="AU58" s="348"/>
      <c r="AV58" s="348"/>
      <c r="AW58" s="348"/>
      <c r="AX58" s="348"/>
      <c r="AY58" s="348"/>
      <c r="AZ58" s="348"/>
      <c r="BA58" s="348"/>
      <c r="BB58" s="348"/>
      <c r="BC58" s="348"/>
      <c r="BD58" s="348"/>
      <c r="BE58" s="348"/>
      <c r="BF58" s="348"/>
      <c r="BG58" s="348"/>
      <c r="BH58" s="348"/>
      <c r="BI58" s="348"/>
      <c r="BJ58" s="348"/>
      <c r="BK58" s="348"/>
      <c r="BL58" s="348"/>
      <c r="BM58" s="348"/>
    </row>
    <row r="59" ht="19.5" customHeight="1">
      <c r="A59" s="360" t="s">
        <v>133</v>
      </c>
      <c r="B59" s="361">
        <f t="shared" si="1"/>
        <v>50</v>
      </c>
      <c r="C59" s="362">
        <f>'Турнирная таблица по Алфавиту'!E61</f>
        <v>193.75</v>
      </c>
      <c r="D59" s="363">
        <f>'Турнирная таблица по Алфавиту'!F61</f>
        <v>19.375</v>
      </c>
      <c r="E59" s="364">
        <f>COUNTIFS('Все игры'!A$3:A1000,A59,'Все игры'!F$3:F1000,"=1")</f>
        <v>0</v>
      </c>
      <c r="F59" s="364">
        <f>COUNTIFS('Все игры'!A$3:A1000,A59,'Все игры'!F$3:F1000,"=0,50")</f>
        <v>1</v>
      </c>
      <c r="G59" s="364">
        <f>COUNTIFS('Все игры'!A$3:A1000,A59,'Все игры'!G$3:G1000,"&gt;0")</f>
        <v>3</v>
      </c>
      <c r="H59" s="365">
        <f t="shared" si="2"/>
        <v>0.08333333333</v>
      </c>
      <c r="I59" s="366">
        <f>COUNTIFS('Все игры'!A$3:A1000,A59,'Все игры'!E$3:E1000,"У/Победа")</f>
        <v>4</v>
      </c>
      <c r="J59" s="366">
        <f>COUNTIFS('Все игры'!A$3:A1000,A59,'Все игры'!E$3:E1000,"У/Проигрыш")</f>
        <v>2</v>
      </c>
      <c r="K59" s="367">
        <f t="shared" si="3"/>
        <v>36</v>
      </c>
      <c r="L59" s="361">
        <f t="shared" si="4"/>
        <v>14</v>
      </c>
      <c r="M59" s="361">
        <f>COUNTIFS('Все игры'!A$3:A1000,A59,'Все игры'!C$3:C1000,"&gt;0",'Все игры'!B$3:B1000,"Мафия")</f>
        <v>5</v>
      </c>
      <c r="N59" s="361">
        <f>IFERROR(__xludf.DUMMYFUNCTION("COUNTBLANK(FILTER('Все игры'!A$3:C1000,'Все игры'!A$3:A1000=A59,'Все игры'!C$3:C1000 &lt; 1,'Все игры'!B$3:B1000=""Мафия""))"),5.0)</f>
        <v>5</v>
      </c>
      <c r="O59" s="361">
        <f>COUNTIFS('Все игры'!A$3:A1000,A59,'Все игры'!C$3:C1000,"&gt;0",'Все игры'!B$3:B1000,"Шериф")</f>
        <v>5</v>
      </c>
      <c r="P59" s="368">
        <f>IFERROR(__xludf.DUMMYFUNCTION("COUNTBLANK(FILTER('Все игры'!A$3:C1000,'Все игры'!A$3:A1000=A59,'Все игры'!C$3:C1000 &lt; 1,'Все игры'!B$3:B1000=""Шериф""))"),2.0)</f>
        <v>2</v>
      </c>
      <c r="Q59" s="361">
        <f>COUNTIFS('Все игры'!A$3:A1000,A59,'Все игры'!C$3:C1000,"&gt;0",'Все игры'!B$3:B1000,"Дон")</f>
        <v>1</v>
      </c>
      <c r="R59" s="361">
        <f>IFERROR(__xludf.DUMMYFUNCTION("COUNTBLANK(FILTER('Все игры'!A$3:C1000,'Все игры'!A$3:A1000=A59,'Все игры'!C$3:C1000 &lt; 1,'Все игры'!B$3:B1000=""Дон""))"),3.0)</f>
        <v>3</v>
      </c>
      <c r="S59" s="361">
        <f>COUNTIFS('Все игры'!A$3:A1000,A59,'Все игры'!C$3:C1000,"&gt;0",'Все игры'!B$3:B1000,"Мирный")</f>
        <v>12</v>
      </c>
      <c r="T59" s="369">
        <f>IFERROR(__xludf.DUMMYFUNCTION("COUNTBLANK(FILTER('Все игры'!A$3:C1000,'Все игры'!A$3:A1000=A59,'Все игры'!C$3:C1000 &lt; 1,'Все игры'!B$3:B1000=""Мирный""))"),17.0)</f>
        <v>17</v>
      </c>
      <c r="U59" s="370">
        <f t="shared" si="16"/>
        <v>0.46</v>
      </c>
      <c r="V59" s="371">
        <f t="shared" si="5"/>
        <v>0.4722222222</v>
      </c>
      <c r="W59" s="371">
        <f t="shared" si="6"/>
        <v>0.4285714286</v>
      </c>
      <c r="X59" s="371">
        <f t="shared" si="7"/>
        <v>0.5</v>
      </c>
      <c r="Y59" s="371">
        <f t="shared" si="8"/>
        <v>0.7142857143</v>
      </c>
      <c r="Z59" s="371">
        <f t="shared" si="9"/>
        <v>0.25</v>
      </c>
      <c r="AA59" s="372">
        <f t="shared" si="10"/>
        <v>0.4137931034</v>
      </c>
      <c r="AB59" s="362">
        <f>SUMIFS('Все игры'!D$3:D1000,'Все игры'!A$3:A1000,A59)</f>
        <v>134.25</v>
      </c>
      <c r="AC59" s="362">
        <f>SUMIFS('Все игры'!D$3:D1000,'Все игры'!A$3:A1000,A59,'Все игры'!B$3:B1000,"Мафия")</f>
        <v>28.75</v>
      </c>
      <c r="AD59" s="362">
        <f>SUMIFS('Все игры'!D$3:D1000,'Все игры'!A$3:A1000,A59,'Все игры'!B$3:B1000,"Шериф")</f>
        <v>22.5</v>
      </c>
      <c r="AE59" s="362">
        <f>SUMIFS('Все игры'!D$3:D1000,'Все игры'!A$3:A1000,A59,'Все игры'!B$3:B1000,"Дон")</f>
        <v>9.5</v>
      </c>
      <c r="AF59" s="362">
        <f>SUMIFS('Все игры'!D$3:D1000,'Все игры'!A$3:A1000,A59,'Все игры'!B$3:B1000,"Мирный")</f>
        <v>73.5</v>
      </c>
      <c r="AG59" s="362">
        <f t="shared" si="11"/>
        <v>2.685</v>
      </c>
      <c r="AH59" s="362">
        <f t="shared" si="12"/>
        <v>2.875</v>
      </c>
      <c r="AI59" s="362">
        <f t="shared" si="13"/>
        <v>3.214285714</v>
      </c>
      <c r="AJ59" s="362">
        <f t="shared" si="14"/>
        <v>2.375</v>
      </c>
      <c r="AK59" s="362">
        <f t="shared" si="15"/>
        <v>2.534482759</v>
      </c>
      <c r="AL59" s="348">
        <f>MAX('Турнирная таблица по Алфавиту'!T61:CA61)</f>
        <v>25</v>
      </c>
      <c r="AM59" s="347"/>
      <c r="AN59" s="347"/>
      <c r="AO59" s="347"/>
      <c r="AP59" s="347"/>
      <c r="AQ59" s="347"/>
      <c r="AR59" s="348"/>
      <c r="AS59" s="347"/>
      <c r="AT59" s="347"/>
      <c r="AU59" s="347"/>
      <c r="AV59" s="347"/>
      <c r="AW59" s="356"/>
      <c r="AX59" s="357"/>
      <c r="AY59" s="357"/>
      <c r="AZ59" s="357"/>
      <c r="BA59" s="357"/>
      <c r="BB59" s="357"/>
      <c r="BC59" s="357"/>
      <c r="BD59" s="348"/>
      <c r="BE59" s="348"/>
      <c r="BF59" s="359"/>
      <c r="BG59" s="348"/>
      <c r="BH59" s="348"/>
      <c r="BI59" s="348"/>
      <c r="BJ59" s="348"/>
      <c r="BK59" s="348"/>
      <c r="BL59" s="348"/>
      <c r="BM59" s="348"/>
    </row>
    <row r="60">
      <c r="A60" s="360" t="s">
        <v>134</v>
      </c>
      <c r="B60" s="347">
        <f t="shared" si="1"/>
        <v>50</v>
      </c>
      <c r="C60" s="348">
        <f>'Турнирная таблица по Алфавиту'!E62</f>
        <v>174.75</v>
      </c>
      <c r="D60" s="349">
        <f>'Турнирная таблица по Алфавиту'!F62</f>
        <v>17.475</v>
      </c>
      <c r="E60" s="350">
        <f>COUNTIFS('Все игры'!A$3:A1000,A60,'Все игры'!F$3:F1000,"=1")</f>
        <v>0</v>
      </c>
      <c r="F60" s="350">
        <f>COUNTIFS('Все игры'!A$3:A1000,A60,'Все игры'!F$3:F1000,"=0,50")</f>
        <v>0</v>
      </c>
      <c r="G60" s="350">
        <f>COUNTIFS('Все игры'!A$3:A1000,A60,'Все игры'!G$3:G1000,"&gt;0")</f>
        <v>1</v>
      </c>
      <c r="H60" s="351">
        <f t="shared" si="2"/>
        <v>0.03846153846</v>
      </c>
      <c r="I60" s="352">
        <f>COUNTIFS('Все игры'!A$3:A1000,A60,'Все игры'!E$3:E1000,"У/Победа")</f>
        <v>5</v>
      </c>
      <c r="J60" s="352">
        <f>COUNTIFS('Все игры'!A$3:A1000,A60,'Все игры'!E$3:E1000,"У/Проигрыш")</f>
        <v>1</v>
      </c>
      <c r="K60" s="353">
        <f t="shared" si="3"/>
        <v>26</v>
      </c>
      <c r="L60" s="347">
        <f t="shared" si="4"/>
        <v>24</v>
      </c>
      <c r="M60" s="347">
        <f>COUNTIFS('Все игры'!A$3:A1000,A60,'Все игры'!C$3:C1000,"&gt;0",'Все игры'!B$3:B1000,"Мафия")</f>
        <v>6</v>
      </c>
      <c r="N60" s="347">
        <f>IFERROR(__xludf.DUMMYFUNCTION("COUNTBLANK(FILTER('Все игры'!A$3:C1000,'Все игры'!A$3:A1000=A60,'Все игры'!C$3:C1000 &lt; 1,'Все игры'!B$3:B1000=""Мафия""))"),8.0)</f>
        <v>8</v>
      </c>
      <c r="O60" s="347">
        <f>COUNTIFS('Все игры'!A$3:A1000,A60,'Все игры'!C$3:C1000,"&gt;0",'Все игры'!B$3:B1000,"Шериф")</f>
        <v>2</v>
      </c>
      <c r="P60" s="354">
        <f>IFERROR(__xludf.DUMMYFUNCTION("COUNTBLANK(FILTER('Все игры'!A$3:C1000,'Все игры'!A$3:A1000=A60,'Все игры'!C$3:C1000 &lt; 1,'Все игры'!B$3:B1000=""Шериф""))"),2.0)</f>
        <v>2</v>
      </c>
      <c r="Q60" s="347">
        <f>COUNTIFS('Все игры'!A$3:A1000,A60,'Все игры'!C$3:C1000,"&gt;0",'Все игры'!B$3:B1000,"Дон")</f>
        <v>5</v>
      </c>
      <c r="R60" s="347">
        <f>IFERROR(__xludf.DUMMYFUNCTION("COUNTBLANK(FILTER('Все игры'!A$3:C1000,'Все игры'!A$3:A1000=A60,'Все игры'!C$3:C1000 &lt; 1,'Все игры'!B$3:B1000=""Дон""))"),5.0)</f>
        <v>5</v>
      </c>
      <c r="S60" s="347">
        <f>COUNTIFS('Все игры'!A$3:A1000,A60,'Все игры'!C$3:C1000,"&gt;0",'Все игры'!B$3:B1000,"Мирный")</f>
        <v>8</v>
      </c>
      <c r="T60" s="355">
        <f>IFERROR(__xludf.DUMMYFUNCTION("COUNTBLANK(FILTER('Все игры'!A$3:C1000,'Все игры'!A$3:A1000=A60,'Все игры'!C$3:C1000 &lt; 1,'Все игры'!B$3:B1000=""Мирный""))"),14.0)</f>
        <v>14</v>
      </c>
      <c r="U60" s="356">
        <f t="shared" si="16"/>
        <v>0.42</v>
      </c>
      <c r="V60" s="357">
        <f t="shared" si="5"/>
        <v>0.3846153846</v>
      </c>
      <c r="W60" s="357">
        <f t="shared" si="6"/>
        <v>0.4583333333</v>
      </c>
      <c r="X60" s="357">
        <f t="shared" si="7"/>
        <v>0.4285714286</v>
      </c>
      <c r="Y60" s="357">
        <f t="shared" si="8"/>
        <v>0.5</v>
      </c>
      <c r="Z60" s="357">
        <f t="shared" si="9"/>
        <v>0.5</v>
      </c>
      <c r="AA60" s="358">
        <f t="shared" si="10"/>
        <v>0.3636363636</v>
      </c>
      <c r="AB60" s="348">
        <f>SUMIFS('Все игры'!D$3:D1000,'Все игры'!A$3:A1000,A60)</f>
        <v>121.75</v>
      </c>
      <c r="AC60" s="348">
        <f>SUMIFS('Все игры'!D$3:D1000,'Все игры'!A$3:A1000,A60,'Все игры'!B$3:B1000,"Мафия")</f>
        <v>33</v>
      </c>
      <c r="AD60" s="359">
        <f>SUMIFS('Все игры'!D$3:D1000,'Все игры'!A$3:A1000,A60,'Все игры'!B$3:B1000,"Шериф")</f>
        <v>9.75</v>
      </c>
      <c r="AE60" s="348">
        <f>SUMIFS('Все игры'!D$3:D1000,'Все игры'!A$3:A1000,A60,'Все игры'!B$3:B1000,"Дон")</f>
        <v>26.75</v>
      </c>
      <c r="AF60" s="349">
        <f>SUMIFS('Все игры'!D$3:D1000,'Все игры'!A$3:A1000,A60,'Все игры'!B$3:B1000,"Мирный")</f>
        <v>52.25</v>
      </c>
      <c r="AG60" s="348">
        <f t="shared" si="11"/>
        <v>2.435</v>
      </c>
      <c r="AH60" s="348">
        <f t="shared" si="12"/>
        <v>2.357142857</v>
      </c>
      <c r="AI60" s="348">
        <f t="shared" si="13"/>
        <v>2.4375</v>
      </c>
      <c r="AJ60" s="348">
        <f t="shared" si="14"/>
        <v>2.675</v>
      </c>
      <c r="AK60" s="348">
        <f t="shared" si="15"/>
        <v>2.375</v>
      </c>
      <c r="AL60" s="348">
        <f>MAX('Турнирная таблица по Алфавиту'!T62:CA62)</f>
        <v>24</v>
      </c>
      <c r="AM60" s="348"/>
      <c r="AN60" s="348"/>
      <c r="AO60" s="348"/>
      <c r="AP60" s="348"/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</row>
    <row r="61">
      <c r="A61" s="374" t="s">
        <v>135</v>
      </c>
      <c r="B61" s="361">
        <f t="shared" si="1"/>
        <v>50</v>
      </c>
      <c r="C61" s="362">
        <f>'Турнирная таблица по Алфавиту'!E63</f>
        <v>194.25</v>
      </c>
      <c r="D61" s="363">
        <f>'Турнирная таблица по Алфавиту'!F63</f>
        <v>19.425</v>
      </c>
      <c r="E61" s="364">
        <f>COUNTIFS('Все игры'!A$3:A1000,A61,'Все игры'!F$3:F1000,"=1")</f>
        <v>0</v>
      </c>
      <c r="F61" s="364">
        <f>COUNTIFS('Все игры'!A$3:A1000,A61,'Все игры'!F$3:F1000,"=0,50")</f>
        <v>0</v>
      </c>
      <c r="G61" s="364">
        <f>COUNTIFS('Все игры'!A$3:A1000,A61,'Все игры'!G$3:G1000,"&gt;0")</f>
        <v>2</v>
      </c>
      <c r="H61" s="365">
        <f t="shared" si="2"/>
        <v>0.06060606061</v>
      </c>
      <c r="I61" s="366">
        <f>COUNTIFS('Все игры'!A$3:A1000,A61,'Все игры'!E$3:E1000,"У/Победа")</f>
        <v>4</v>
      </c>
      <c r="J61" s="366">
        <f>COUNTIFS('Все игры'!A$3:A1000,A61,'Все игры'!E$3:E1000,"У/Проигрыш")</f>
        <v>1</v>
      </c>
      <c r="K61" s="367">
        <f t="shared" si="3"/>
        <v>33</v>
      </c>
      <c r="L61" s="361">
        <f t="shared" si="4"/>
        <v>17</v>
      </c>
      <c r="M61" s="361">
        <f>COUNTIFS('Все игры'!A$3:A1000,A61,'Все игры'!C$3:C1000,"&gt;0",'Все игры'!B$3:B1000,"Мафия")</f>
        <v>7</v>
      </c>
      <c r="N61" s="361">
        <f>IFERROR(__xludf.DUMMYFUNCTION("COUNTBLANK(FILTER('Все игры'!A$3:C1000,'Все игры'!A$3:A1000=A61,'Все игры'!C$3:C1000 &lt; 1,'Все игры'!B$3:B1000=""Мафия""))"),5.0)</f>
        <v>5</v>
      </c>
      <c r="O61" s="361">
        <f>COUNTIFS('Все игры'!A$3:A1000,A61,'Все игры'!C$3:C1000,"&gt;0",'Все игры'!B$3:B1000,"Шериф")</f>
        <v>3</v>
      </c>
      <c r="P61" s="368">
        <f>IFERROR(__xludf.DUMMYFUNCTION("COUNTBLANK(FILTER('Все игры'!A$3:C1000,'Все игры'!A$3:A1000=A61,'Все игры'!C$3:C1000 &lt; 1,'Все игры'!B$3:B1000=""Шериф""))"),5.0)</f>
        <v>5</v>
      </c>
      <c r="Q61" s="361">
        <f>COUNTIFS('Все игры'!A$3:A1000,A61,'Все игры'!C$3:C1000,"&gt;0",'Все игры'!B$3:B1000,"Дон")</f>
        <v>4</v>
      </c>
      <c r="R61" s="361">
        <f>IFERROR(__xludf.DUMMYFUNCTION("COUNTBLANK(FILTER('Все игры'!A$3:C1000,'Все игры'!A$3:A1000=A61,'Все игры'!C$3:C1000 &lt; 1,'Все игры'!B$3:B1000=""Дон""))"),1.0)</f>
        <v>1</v>
      </c>
      <c r="S61" s="361">
        <f>COUNTIFS('Все игры'!A$3:A1000,A61,'Все игры'!C$3:C1000,"&gt;0",'Все игры'!B$3:B1000,"Мирный")</f>
        <v>11</v>
      </c>
      <c r="T61" s="369">
        <f>IFERROR(__xludf.DUMMYFUNCTION("COUNTBLANK(FILTER('Все игры'!A$3:C1000,'Все игры'!A$3:A1000=A61,'Все игры'!C$3:C1000 &lt; 1,'Все игры'!B$3:B1000=""Мирный""))"),14.0)</f>
        <v>14</v>
      </c>
      <c r="U61" s="370">
        <f t="shared" si="16"/>
        <v>0.5</v>
      </c>
      <c r="V61" s="371">
        <f t="shared" si="5"/>
        <v>0.4242424242</v>
      </c>
      <c r="W61" s="371">
        <f t="shared" si="6"/>
        <v>0.6470588235</v>
      </c>
      <c r="X61" s="371">
        <f t="shared" si="7"/>
        <v>0.5833333333</v>
      </c>
      <c r="Y61" s="371">
        <f t="shared" si="8"/>
        <v>0.375</v>
      </c>
      <c r="Z61" s="371">
        <f t="shared" si="9"/>
        <v>0.8</v>
      </c>
      <c r="AA61" s="372">
        <f t="shared" si="10"/>
        <v>0.44</v>
      </c>
      <c r="AB61" s="362">
        <f>SUMIFS('Все игры'!D$3:D1000,'Все игры'!A$3:A1000,A61)</f>
        <v>131.75</v>
      </c>
      <c r="AC61" s="362">
        <f>SUMIFS('Все игры'!D$3:D1000,'Все игры'!A$3:A1000,A61,'Все игры'!B$3:B1000,"Мафия")</f>
        <v>34.5</v>
      </c>
      <c r="AD61" s="373">
        <f>SUMIFS('Все игры'!D$3:D1000,'Все игры'!A$3:A1000,A61,'Все игры'!B$3:B1000,"Шериф")</f>
        <v>22.5</v>
      </c>
      <c r="AE61" s="362">
        <f>SUMIFS('Все игры'!D$3:D1000,'Все игры'!A$3:A1000,A61,'Все игры'!B$3:B1000,"Дон")</f>
        <v>16.75</v>
      </c>
      <c r="AF61" s="363">
        <f>SUMIFS('Все игры'!D$3:D1000,'Все игры'!A$3:A1000,A61,'Все игры'!B$3:B1000,"Мирный")</f>
        <v>58</v>
      </c>
      <c r="AG61" s="362">
        <f t="shared" si="11"/>
        <v>2.635</v>
      </c>
      <c r="AH61" s="362">
        <f t="shared" si="12"/>
        <v>2.875</v>
      </c>
      <c r="AI61" s="362">
        <f t="shared" si="13"/>
        <v>2.8125</v>
      </c>
      <c r="AJ61" s="362">
        <f t="shared" si="14"/>
        <v>3.35</v>
      </c>
      <c r="AK61" s="362">
        <f t="shared" si="15"/>
        <v>2.32</v>
      </c>
      <c r="AL61" s="348">
        <f>MAX('Турнирная таблица по Алфавиту'!T63:CA63)</f>
        <v>23.25</v>
      </c>
      <c r="AM61" s="348"/>
      <c r="AN61" s="348"/>
      <c r="AO61" s="348"/>
      <c r="AP61" s="348"/>
      <c r="AQ61" s="348"/>
      <c r="AR61" s="348"/>
      <c r="AS61" s="348"/>
      <c r="AT61" s="348"/>
      <c r="AU61" s="348"/>
      <c r="AV61" s="348"/>
      <c r="AW61" s="348"/>
      <c r="AX61" s="348"/>
      <c r="AY61" s="348"/>
      <c r="AZ61" s="348"/>
      <c r="BA61" s="348"/>
      <c r="BB61" s="348"/>
      <c r="BC61" s="348"/>
      <c r="BD61" s="348"/>
      <c r="BE61" s="348"/>
      <c r="BF61" s="348"/>
      <c r="BG61" s="348"/>
      <c r="BH61" s="348"/>
      <c r="BI61" s="348"/>
      <c r="BJ61" s="348"/>
      <c r="BK61" s="348"/>
      <c r="BL61" s="348"/>
      <c r="BM61" s="348"/>
    </row>
    <row r="62">
      <c r="A62" s="360" t="s">
        <v>136</v>
      </c>
      <c r="B62" s="347">
        <f t="shared" si="1"/>
        <v>50</v>
      </c>
      <c r="C62" s="348">
        <f>'Турнирная таблица по Алфавиту'!E64</f>
        <v>202.5</v>
      </c>
      <c r="D62" s="349">
        <f>'Турнирная таблица по Алфавиту'!F64</f>
        <v>20.25</v>
      </c>
      <c r="E62" s="350">
        <f>COUNTIFS('Все игры'!A$3:A1000,A62,'Все игры'!F$3:F1000,"=1")</f>
        <v>0</v>
      </c>
      <c r="F62" s="350">
        <f>COUNTIFS('Все игры'!A$3:A1000,A62,'Все игры'!F$3:F1000,"=0,50")</f>
        <v>1</v>
      </c>
      <c r="G62" s="350">
        <f>COUNTIFS('Все игры'!A$3:A1000,A62,'Все игры'!G$3:G1000,"&gt;0")</f>
        <v>4</v>
      </c>
      <c r="H62" s="351">
        <f t="shared" si="2"/>
        <v>0.1025641026</v>
      </c>
      <c r="I62" s="352">
        <f>COUNTIFS('Все игры'!A$3:A1000,A62,'Все игры'!E$3:E1000,"У/Победа")</f>
        <v>4</v>
      </c>
      <c r="J62" s="352">
        <f>COUNTIFS('Все игры'!A$3:A1000,A62,'Все игры'!E$3:E1000,"У/Проигрыш")</f>
        <v>0</v>
      </c>
      <c r="K62" s="353">
        <f t="shared" si="3"/>
        <v>39</v>
      </c>
      <c r="L62" s="347">
        <f t="shared" si="4"/>
        <v>11</v>
      </c>
      <c r="M62" s="347">
        <f>COUNTIFS('Все игры'!A$3:A1000,A62,'Все игры'!C$3:C1000,"&gt;0",'Все игры'!B$3:B1000,"Мафия")</f>
        <v>4</v>
      </c>
      <c r="N62" s="347">
        <f>IFERROR(__xludf.DUMMYFUNCTION("COUNTBLANK(FILTER('Все игры'!A$3:C1000,'Все игры'!A$3:A1000=A62,'Все игры'!C$3:C1000 &lt; 1,'Все игры'!B$3:B1000=""Мафия""))"),2.0)</f>
        <v>2</v>
      </c>
      <c r="O62" s="347">
        <f>COUNTIFS('Все игры'!A$3:A1000,A62,'Все игры'!C$3:C1000,"&gt;0",'Все игры'!B$3:B1000,"Шериф")</f>
        <v>4</v>
      </c>
      <c r="P62" s="354">
        <f>IFERROR(__xludf.DUMMYFUNCTION("COUNTBLANK(FILTER('Все игры'!A$3:C1000,'Все игры'!A$3:A1000=A62,'Все игры'!C$3:C1000 &lt; 1,'Все игры'!B$3:B1000=""Шериф""))"),3.0)</f>
        <v>3</v>
      </c>
      <c r="Q62" s="347">
        <f>COUNTIFS('Все игры'!A$3:A1000,A62,'Все игры'!C$3:C1000,"&gt;0",'Все игры'!B$3:B1000,"Дон")</f>
        <v>5</v>
      </c>
      <c r="R62" s="347">
        <f>IFERROR(__xludf.DUMMYFUNCTION("COUNTBLANK(FILTER('Все игры'!A$3:C1000,'Все игры'!A$3:A1000=A62,'Все игры'!C$3:C1000 &lt; 1,'Все игры'!B$3:B1000=""Дон""))"),0.0)</f>
        <v>0</v>
      </c>
      <c r="S62" s="347">
        <f>COUNTIFS('Все игры'!A$3:A1000,A62,'Все игры'!C$3:C1000,"&gt;0",'Все игры'!B$3:B1000,"Мирный")</f>
        <v>12</v>
      </c>
      <c r="T62" s="355">
        <f>IFERROR(__xludf.DUMMYFUNCTION("COUNTBLANK(FILTER('Все игры'!A$3:C1000,'Все игры'!A$3:A1000=A62,'Все игры'!C$3:C1000 &lt; 1,'Все игры'!B$3:B1000=""Мирный""))"),20.0)</f>
        <v>20</v>
      </c>
      <c r="U62" s="356">
        <f t="shared" si="16"/>
        <v>0.5</v>
      </c>
      <c r="V62" s="357">
        <f t="shared" si="5"/>
        <v>0.4102564103</v>
      </c>
      <c r="W62" s="357">
        <f t="shared" si="6"/>
        <v>0.8181818182</v>
      </c>
      <c r="X62" s="357">
        <f t="shared" si="7"/>
        <v>0.6666666667</v>
      </c>
      <c r="Y62" s="357">
        <f t="shared" si="8"/>
        <v>0.5714285714</v>
      </c>
      <c r="Z62" s="357">
        <f t="shared" si="9"/>
        <v>1</v>
      </c>
      <c r="AA62" s="358">
        <f t="shared" si="10"/>
        <v>0.375</v>
      </c>
      <c r="AB62" s="348">
        <f>SUMIFS('Все игры'!D$3:D1000,'Все игры'!A$3:A1000,A62)</f>
        <v>137.5</v>
      </c>
      <c r="AC62" s="348">
        <f>SUMIFS('Все игры'!D$3:D1000,'Все игры'!A$3:A1000,A62,'Все игры'!B$3:B1000,"Мафия")</f>
        <v>19</v>
      </c>
      <c r="AD62" s="359">
        <f>SUMIFS('Все игры'!D$3:D1000,'Все игры'!A$3:A1000,A62,'Все игры'!B$3:B1000,"Шериф")</f>
        <v>18</v>
      </c>
      <c r="AE62" s="348">
        <f>SUMIFS('Все игры'!D$3:D1000,'Все игры'!A$3:A1000,A62,'Все игры'!B$3:B1000,"Дон")</f>
        <v>16.75</v>
      </c>
      <c r="AF62" s="349">
        <f>SUMIFS('Все игры'!D$3:D1000,'Все игры'!A$3:A1000,A62,'Все игры'!B$3:B1000,"Мирный")</f>
        <v>83.75</v>
      </c>
      <c r="AG62" s="348">
        <f t="shared" si="11"/>
        <v>2.75</v>
      </c>
      <c r="AH62" s="348">
        <f t="shared" si="12"/>
        <v>3.166666667</v>
      </c>
      <c r="AI62" s="348">
        <f t="shared" si="13"/>
        <v>2.571428571</v>
      </c>
      <c r="AJ62" s="348">
        <f t="shared" si="14"/>
        <v>3.35</v>
      </c>
      <c r="AK62" s="348">
        <f t="shared" si="15"/>
        <v>2.6171875</v>
      </c>
      <c r="AL62" s="348">
        <f>MAX('Турнирная таблица по Алфавиту'!T64:CA64)</f>
        <v>27.75</v>
      </c>
      <c r="AM62" s="348"/>
      <c r="AN62" s="348"/>
      <c r="AO62" s="348"/>
      <c r="AP62" s="348"/>
      <c r="AQ62" s="348"/>
      <c r="AR62" s="348"/>
      <c r="AS62" s="348"/>
      <c r="AT62" s="348"/>
      <c r="AU62" s="348"/>
      <c r="AV62" s="348"/>
      <c r="AW62" s="348"/>
      <c r="AX62" s="348"/>
      <c r="AY62" s="348"/>
      <c r="AZ62" s="348"/>
      <c r="BA62" s="348"/>
      <c r="BB62" s="348"/>
      <c r="BC62" s="348"/>
      <c r="BD62" s="348"/>
      <c r="BE62" s="348"/>
      <c r="BF62" s="348"/>
      <c r="BG62" s="348"/>
      <c r="BH62" s="348"/>
      <c r="BI62" s="348"/>
      <c r="BJ62" s="348"/>
      <c r="BK62" s="348"/>
      <c r="BL62" s="348"/>
      <c r="BM62" s="348"/>
    </row>
    <row r="63">
      <c r="A63" s="374" t="s">
        <v>137</v>
      </c>
      <c r="B63" s="347">
        <f t="shared" si="1"/>
        <v>50</v>
      </c>
      <c r="C63" s="348">
        <f>'Турнирная таблица по Алфавиту'!E65</f>
        <v>180.75</v>
      </c>
      <c r="D63" s="349">
        <f>'Турнирная таблица по Алфавиту'!F65</f>
        <v>18.075</v>
      </c>
      <c r="E63" s="350">
        <f>COUNTIFS('Все игры'!A$3:A1000,A63,'Все игры'!F$3:F1000,"=1")</f>
        <v>0</v>
      </c>
      <c r="F63" s="350">
        <f>COUNTIFS('Все игры'!A$3:A1000,A63,'Все игры'!F$3:F1000,"=0,50")</f>
        <v>0</v>
      </c>
      <c r="G63" s="350">
        <f>COUNTIFS('Все игры'!A$3:A1000,A63,'Все игры'!G$3:G1000,"&gt;0")</f>
        <v>2</v>
      </c>
      <c r="H63" s="351">
        <f t="shared" si="2"/>
        <v>0.05</v>
      </c>
      <c r="I63" s="352">
        <f>COUNTIFS('Все игры'!A$3:A1000,A63,'Все игры'!E$3:E1000,"У/Победа")</f>
        <v>4</v>
      </c>
      <c r="J63" s="352">
        <f>COUNTIFS('Все игры'!A$3:A1000,A63,'Все игры'!E$3:E1000,"У/Проигрыш")</f>
        <v>2</v>
      </c>
      <c r="K63" s="353">
        <f t="shared" si="3"/>
        <v>40</v>
      </c>
      <c r="L63" s="347">
        <f t="shared" si="4"/>
        <v>10</v>
      </c>
      <c r="M63" s="347">
        <f>COUNTIFS('Все игры'!A$3:A1000,A63,'Все игры'!C$3:C1000,"&gt;0",'Все игры'!B$3:B1000,"Мафия")</f>
        <v>4</v>
      </c>
      <c r="N63" s="347">
        <f>IFERROR(__xludf.DUMMYFUNCTION("COUNTBLANK(FILTER('Все игры'!A$3:C1000,'Все игры'!A$3:A1000=A63,'Все игры'!C$3:C1000 &lt; 1,'Все игры'!B$3:B1000=""Мафия""))"),4.0)</f>
        <v>4</v>
      </c>
      <c r="O63" s="347">
        <f>COUNTIFS('Все игры'!A$3:A1000,A63,'Все игры'!C$3:C1000,"&gt;0",'Все игры'!B$3:B1000,"Шериф")</f>
        <v>1</v>
      </c>
      <c r="P63" s="354">
        <f>IFERROR(__xludf.DUMMYFUNCTION("COUNTBLANK(FILTER('Все игры'!A$3:C1000,'Все игры'!A$3:A1000=A63,'Все игры'!C$3:C1000 &lt; 1,'Все игры'!B$3:B1000=""Шериф""))"),2.0)</f>
        <v>2</v>
      </c>
      <c r="Q63" s="347">
        <f>COUNTIFS('Все игры'!A$3:A1000,A63,'Все игры'!C$3:C1000,"&gt;0",'Все игры'!B$3:B1000,"Дон")</f>
        <v>1</v>
      </c>
      <c r="R63" s="347">
        <f>IFERROR(__xludf.DUMMYFUNCTION("COUNTBLANK(FILTER('Все игры'!A$3:C1000,'Все игры'!A$3:A1000=A63,'Все игры'!C$3:C1000 &lt; 1,'Все игры'!B$3:B1000=""Дон""))"),1.0)</f>
        <v>1</v>
      </c>
      <c r="S63" s="347">
        <f>COUNTIFS('Все игры'!A$3:A1000,A63,'Все игры'!C$3:C1000,"&gt;0",'Все игры'!B$3:B1000,"Мирный")</f>
        <v>14</v>
      </c>
      <c r="T63" s="355">
        <f>IFERROR(__xludf.DUMMYFUNCTION("COUNTBLANK(FILTER('Все игры'!A$3:C1000,'Все игры'!A$3:A1000=A63,'Все игры'!C$3:C1000 &lt; 1,'Все игры'!B$3:B1000=""Мирный""))"),23.0)</f>
        <v>23</v>
      </c>
      <c r="U63" s="356">
        <f t="shared" si="16"/>
        <v>0.4</v>
      </c>
      <c r="V63" s="357">
        <f t="shared" si="5"/>
        <v>0.375</v>
      </c>
      <c r="W63" s="357">
        <f t="shared" si="6"/>
        <v>0.5</v>
      </c>
      <c r="X63" s="357">
        <f t="shared" si="7"/>
        <v>0.5</v>
      </c>
      <c r="Y63" s="357">
        <f t="shared" si="8"/>
        <v>0.3333333333</v>
      </c>
      <c r="Z63" s="357">
        <f t="shared" si="9"/>
        <v>0.5</v>
      </c>
      <c r="AA63" s="358">
        <f t="shared" si="10"/>
        <v>0.3783783784</v>
      </c>
      <c r="AB63" s="348">
        <f>SUMIFS('Все игры'!D$3:D1000,'Все игры'!A$3:A1000,A63)</f>
        <v>129.75</v>
      </c>
      <c r="AC63" s="348">
        <f>SUMIFS('Все игры'!D$3:D1000,'Все игры'!A$3:A1000,A63,'Все игры'!B$3:B1000,"Мафия")</f>
        <v>22</v>
      </c>
      <c r="AD63" s="359">
        <f>SUMIFS('Все игры'!D$3:D1000,'Все игры'!A$3:A1000,A63,'Все игры'!B$3:B1000,"Шериф")</f>
        <v>9.75</v>
      </c>
      <c r="AE63" s="348">
        <f>SUMIFS('Все игры'!D$3:D1000,'Все игры'!A$3:A1000,A63,'Все игры'!B$3:B1000,"Дон")</f>
        <v>4.75</v>
      </c>
      <c r="AF63" s="349">
        <f>SUMIFS('Все игры'!D$3:D1000,'Все игры'!A$3:A1000,A63,'Все игры'!B$3:B1000,"Мирный")</f>
        <v>93.25</v>
      </c>
      <c r="AG63" s="348">
        <f t="shared" si="11"/>
        <v>2.595</v>
      </c>
      <c r="AH63" s="348">
        <f t="shared" si="12"/>
        <v>2.75</v>
      </c>
      <c r="AI63" s="348">
        <f t="shared" si="13"/>
        <v>3.25</v>
      </c>
      <c r="AJ63" s="348">
        <f t="shared" si="14"/>
        <v>2.375</v>
      </c>
      <c r="AK63" s="348">
        <f t="shared" si="15"/>
        <v>2.52027027</v>
      </c>
      <c r="AL63" s="348">
        <f>MAX('Турнирная таблица по Алфавиту'!T65:CA65)</f>
        <v>25.75</v>
      </c>
      <c r="AM63" s="348"/>
      <c r="AN63" s="348"/>
      <c r="AO63" s="348"/>
      <c r="AP63" s="348"/>
      <c r="AQ63" s="348"/>
      <c r="AR63" s="348"/>
      <c r="AS63" s="348"/>
      <c r="AT63" s="348"/>
      <c r="AU63" s="348"/>
      <c r="AV63" s="348"/>
      <c r="AW63" s="348"/>
      <c r="AX63" s="348"/>
      <c r="AY63" s="348"/>
      <c r="AZ63" s="348"/>
      <c r="BA63" s="348"/>
      <c r="BB63" s="348"/>
      <c r="BC63" s="348"/>
      <c r="BD63" s="348"/>
      <c r="BE63" s="348"/>
      <c r="BF63" s="348"/>
      <c r="BG63" s="348"/>
      <c r="BH63" s="348"/>
      <c r="BI63" s="348"/>
      <c r="BJ63" s="348"/>
      <c r="BK63" s="348"/>
      <c r="BL63" s="348"/>
      <c r="BM63" s="348"/>
    </row>
    <row r="64">
      <c r="A64" s="360" t="s">
        <v>138</v>
      </c>
      <c r="B64" s="361">
        <f t="shared" si="1"/>
        <v>50</v>
      </c>
      <c r="C64" s="362">
        <f>'Турнирная таблица по Алфавиту'!E66</f>
        <v>207.25</v>
      </c>
      <c r="D64" s="363">
        <f>'Турнирная таблица по Алфавиту'!F66</f>
        <v>20.725</v>
      </c>
      <c r="E64" s="364">
        <f>COUNTIFS('Все игры'!A$3:A1000,A64,'Все игры'!F$3:F1000,"=1")</f>
        <v>0</v>
      </c>
      <c r="F64" s="364">
        <f>COUNTIFS('Все игры'!A$3:A1000,A64,'Все игры'!F$3:F1000,"=0,50")</f>
        <v>0</v>
      </c>
      <c r="G64" s="364">
        <f>COUNTIFS('Все игры'!A$3:A1000,A64,'Все игры'!G$3:G1000,"&gt;0")</f>
        <v>3</v>
      </c>
      <c r="H64" s="365">
        <f t="shared" si="2"/>
        <v>0.09677419355</v>
      </c>
      <c r="I64" s="366">
        <f>COUNTIFS('Все игры'!A$3:A1000,A64,'Все игры'!E$3:E1000,"У/Победа")</f>
        <v>1</v>
      </c>
      <c r="J64" s="366">
        <f>COUNTIFS('Все игры'!A$3:A1000,A64,'Все игры'!E$3:E1000,"У/Проигрыш")</f>
        <v>2</v>
      </c>
      <c r="K64" s="367">
        <f t="shared" si="3"/>
        <v>31</v>
      </c>
      <c r="L64" s="361">
        <f t="shared" si="4"/>
        <v>19</v>
      </c>
      <c r="M64" s="361">
        <f>COUNTIFS('Все игры'!A$3:A1000,A64,'Все игры'!C$3:C1000,"&gt;0",'Все игры'!B$3:B1000,"Мафия")</f>
        <v>7</v>
      </c>
      <c r="N64" s="361">
        <f>IFERROR(__xludf.DUMMYFUNCTION("COUNTBLANK(FILTER('Все игры'!A$3:C1000,'Все игры'!A$3:A1000=A64,'Все игры'!C$3:C1000 &lt; 1,'Все игры'!B$3:B1000=""Мафия""))"),9.0)</f>
        <v>9</v>
      </c>
      <c r="O64" s="361">
        <f>COUNTIFS('Все игры'!A$3:A1000,A64,'Все игры'!C$3:C1000,"&gt;0",'Все игры'!B$3:B1000,"Шериф")</f>
        <v>2</v>
      </c>
      <c r="P64" s="368">
        <f>IFERROR(__xludf.DUMMYFUNCTION("COUNTBLANK(FILTER('Все игры'!A$3:C1000,'Все игры'!A$3:A1000=A64,'Все игры'!C$3:C1000 &lt; 1,'Все игры'!B$3:B1000=""Шериф""))"),4.0)</f>
        <v>4</v>
      </c>
      <c r="Q64" s="361">
        <f>COUNTIFS('Все игры'!A$3:A1000,A64,'Все игры'!C$3:C1000,"&gt;0",'Все игры'!B$3:B1000,"Дон")</f>
        <v>3</v>
      </c>
      <c r="R64" s="361">
        <f>IFERROR(__xludf.DUMMYFUNCTION("COUNTBLANK(FILTER('Все игры'!A$3:C1000,'Все игры'!A$3:A1000=A64,'Все игры'!C$3:C1000 &lt; 1,'Все игры'!B$3:B1000=""Дон""))"),0.0)</f>
        <v>0</v>
      </c>
      <c r="S64" s="361">
        <f>COUNTIFS('Все игры'!A$3:A1000,A64,'Все игры'!C$3:C1000,"&gt;0",'Все игры'!B$3:B1000,"Мирный")</f>
        <v>13</v>
      </c>
      <c r="T64" s="369">
        <f>IFERROR(__xludf.DUMMYFUNCTION("COUNTBLANK(FILTER('Все игры'!A$3:C1000,'Все игры'!A$3:A1000=A64,'Все игры'!C$3:C1000 &lt; 1,'Все игры'!B$3:B1000=""Мирный""))"),12.0)</f>
        <v>12</v>
      </c>
      <c r="U64" s="370">
        <f t="shared" si="16"/>
        <v>0.5</v>
      </c>
      <c r="V64" s="371">
        <f t="shared" si="5"/>
        <v>0.4838709677</v>
      </c>
      <c r="W64" s="371">
        <f t="shared" si="6"/>
        <v>0.5263157895</v>
      </c>
      <c r="X64" s="371">
        <f t="shared" si="7"/>
        <v>0.4375</v>
      </c>
      <c r="Y64" s="371">
        <f t="shared" si="8"/>
        <v>0.3333333333</v>
      </c>
      <c r="Z64" s="371">
        <f t="shared" si="9"/>
        <v>1</v>
      </c>
      <c r="AA64" s="372">
        <f t="shared" si="10"/>
        <v>0.52</v>
      </c>
      <c r="AB64" s="362">
        <f>SUMIFS('Все игры'!D$3:D1000,'Все игры'!A$3:A1000,A64)</f>
        <v>143.25</v>
      </c>
      <c r="AC64" s="362">
        <f>SUMIFS('Все игры'!D$3:D1000,'Все игры'!A$3:A1000,A64,'Все игры'!B$3:B1000,"Мафия")</f>
        <v>44</v>
      </c>
      <c r="AD64" s="373">
        <f>SUMIFS('Все игры'!D$3:D1000,'Все игры'!A$3:A1000,A64,'Все игры'!B$3:B1000,"Шериф")</f>
        <v>15.5</v>
      </c>
      <c r="AE64" s="362">
        <f>SUMIFS('Все игры'!D$3:D1000,'Все игры'!A$3:A1000,A64,'Все игры'!B$3:B1000,"Дон")</f>
        <v>12.5</v>
      </c>
      <c r="AF64" s="363">
        <f>SUMIFS('Все игры'!D$3:D1000,'Все игры'!A$3:A1000,A64,'Все игры'!B$3:B1000,"Мирный")</f>
        <v>71.25</v>
      </c>
      <c r="AG64" s="362">
        <f t="shared" si="11"/>
        <v>2.865</v>
      </c>
      <c r="AH64" s="362">
        <f t="shared" si="12"/>
        <v>2.75</v>
      </c>
      <c r="AI64" s="362">
        <f t="shared" si="13"/>
        <v>2.583333333</v>
      </c>
      <c r="AJ64" s="362">
        <f t="shared" si="14"/>
        <v>4.166666667</v>
      </c>
      <c r="AK64" s="362">
        <f t="shared" si="15"/>
        <v>2.85</v>
      </c>
      <c r="AL64" s="348">
        <f>MAX('Турнирная таблица по Алфавиту'!T66:CA66)</f>
        <v>27.75</v>
      </c>
      <c r="AM64" s="348"/>
      <c r="AN64" s="348"/>
      <c r="AO64" s="348"/>
      <c r="AP64" s="348"/>
      <c r="AQ64" s="348"/>
      <c r="AR64" s="348"/>
      <c r="AS64" s="348"/>
      <c r="AT64" s="348"/>
      <c r="AU64" s="348"/>
      <c r="AV64" s="348"/>
      <c r="AW64" s="348"/>
      <c r="AX64" s="348"/>
      <c r="AY64" s="348"/>
      <c r="AZ64" s="348"/>
      <c r="BA64" s="348"/>
      <c r="BB64" s="348"/>
      <c r="BC64" s="348"/>
      <c r="BD64" s="348"/>
      <c r="BE64" s="348"/>
      <c r="BF64" s="348"/>
      <c r="BG64" s="348"/>
      <c r="BH64" s="348"/>
      <c r="BI64" s="348"/>
      <c r="BJ64" s="348"/>
      <c r="BK64" s="348"/>
      <c r="BL64" s="348"/>
      <c r="BM64" s="348"/>
    </row>
    <row r="65">
      <c r="A65" s="375"/>
    </row>
    <row r="66">
      <c r="A66" s="375"/>
    </row>
    <row r="67">
      <c r="A67" s="375"/>
    </row>
    <row r="68">
      <c r="A68" s="375"/>
    </row>
    <row r="69">
      <c r="A69" s="375"/>
    </row>
    <row r="70">
      <c r="A70" s="375"/>
    </row>
    <row r="71">
      <c r="A71" s="375"/>
    </row>
    <row r="72">
      <c r="A72" s="375"/>
    </row>
    <row r="73">
      <c r="A73" s="375"/>
    </row>
    <row r="74">
      <c r="A74" s="375"/>
    </row>
    <row r="75">
      <c r="A75" s="375"/>
    </row>
    <row r="76">
      <c r="A76" s="375"/>
    </row>
    <row r="77">
      <c r="A77" s="375"/>
    </row>
    <row r="78">
      <c r="A78" s="375"/>
    </row>
    <row r="79">
      <c r="A79" s="375"/>
    </row>
    <row r="80">
      <c r="A80" s="375"/>
    </row>
    <row r="81">
      <c r="A81" s="375"/>
    </row>
    <row r="82">
      <c r="A82" s="375"/>
    </row>
    <row r="83">
      <c r="A83" s="375"/>
    </row>
    <row r="84">
      <c r="A84" s="375"/>
    </row>
    <row r="85">
      <c r="A85" s="375"/>
    </row>
    <row r="86">
      <c r="A86" s="375"/>
    </row>
    <row r="87">
      <c r="A87" s="375"/>
    </row>
    <row r="88">
      <c r="A88" s="375"/>
    </row>
    <row r="89">
      <c r="A89" s="375"/>
    </row>
    <row r="90">
      <c r="A90" s="375"/>
    </row>
    <row r="91">
      <c r="A91" s="375"/>
    </row>
    <row r="92">
      <c r="A92" s="375"/>
    </row>
    <row r="93">
      <c r="A93" s="375"/>
    </row>
    <row r="94">
      <c r="A94" s="375"/>
    </row>
    <row r="95">
      <c r="A95" s="375"/>
    </row>
    <row r="96">
      <c r="A96" s="375"/>
    </row>
    <row r="97">
      <c r="A97" s="375"/>
    </row>
    <row r="98">
      <c r="A98" s="375"/>
    </row>
    <row r="99">
      <c r="A99" s="375"/>
    </row>
    <row r="100">
      <c r="A100" s="375"/>
    </row>
    <row r="101">
      <c r="A101" s="375"/>
    </row>
    <row r="102">
      <c r="A102" s="375"/>
    </row>
    <row r="103">
      <c r="A103" s="375"/>
    </row>
    <row r="104">
      <c r="A104" s="375"/>
    </row>
    <row r="105">
      <c r="A105" s="375"/>
    </row>
    <row r="106">
      <c r="A106" s="375"/>
    </row>
    <row r="107">
      <c r="A107" s="375"/>
    </row>
    <row r="108">
      <c r="A108" s="375"/>
    </row>
    <row r="109">
      <c r="A109" s="375"/>
    </row>
    <row r="110">
      <c r="A110" s="375"/>
    </row>
    <row r="111">
      <c r="A111" s="375"/>
    </row>
    <row r="112">
      <c r="A112" s="375"/>
    </row>
    <row r="113">
      <c r="A113" s="375"/>
    </row>
    <row r="114">
      <c r="A114" s="375"/>
    </row>
    <row r="115">
      <c r="A115" s="375"/>
    </row>
    <row r="116">
      <c r="A116" s="375"/>
    </row>
    <row r="117">
      <c r="A117" s="375"/>
    </row>
    <row r="118">
      <c r="A118" s="375"/>
    </row>
    <row r="119">
      <c r="A119" s="375"/>
    </row>
    <row r="120">
      <c r="A120" s="375"/>
    </row>
    <row r="121">
      <c r="A121" s="375"/>
    </row>
    <row r="122">
      <c r="A122" s="375"/>
    </row>
    <row r="123">
      <c r="A123" s="375"/>
    </row>
    <row r="124">
      <c r="A124" s="375"/>
    </row>
    <row r="125">
      <c r="A125" s="375"/>
    </row>
    <row r="126">
      <c r="A126" s="375"/>
    </row>
    <row r="127">
      <c r="A127" s="375"/>
    </row>
    <row r="128">
      <c r="A128" s="375"/>
    </row>
    <row r="129">
      <c r="A129" s="375"/>
    </row>
    <row r="130">
      <c r="A130" s="375"/>
    </row>
    <row r="131">
      <c r="A131" s="375"/>
    </row>
    <row r="132">
      <c r="A132" s="375"/>
    </row>
    <row r="133">
      <c r="A133" s="375"/>
    </row>
    <row r="134">
      <c r="A134" s="375"/>
    </row>
    <row r="135">
      <c r="A135" s="375"/>
    </row>
    <row r="136">
      <c r="A136" s="375"/>
    </row>
    <row r="137">
      <c r="A137" s="375"/>
    </row>
    <row r="138">
      <c r="A138" s="375"/>
    </row>
    <row r="139">
      <c r="A139" s="375"/>
    </row>
    <row r="140">
      <c r="A140" s="375"/>
    </row>
    <row r="141">
      <c r="A141" s="375"/>
    </row>
    <row r="142">
      <c r="A142" s="375"/>
    </row>
    <row r="143">
      <c r="A143" s="375"/>
    </row>
    <row r="144">
      <c r="A144" s="375"/>
    </row>
    <row r="145">
      <c r="A145" s="375"/>
    </row>
    <row r="146">
      <c r="A146" s="375"/>
    </row>
    <row r="147">
      <c r="A147" s="375"/>
    </row>
    <row r="148">
      <c r="A148" s="375"/>
    </row>
    <row r="149">
      <c r="A149" s="375"/>
    </row>
    <row r="150">
      <c r="A150" s="375"/>
    </row>
    <row r="151">
      <c r="A151" s="375"/>
    </row>
    <row r="152">
      <c r="A152" s="375"/>
    </row>
    <row r="153">
      <c r="A153" s="375"/>
    </row>
    <row r="154">
      <c r="A154" s="375"/>
    </row>
    <row r="155">
      <c r="A155" s="375"/>
    </row>
    <row r="156">
      <c r="A156" s="375"/>
    </row>
    <row r="157">
      <c r="A157" s="375"/>
    </row>
    <row r="158">
      <c r="A158" s="375"/>
    </row>
    <row r="159">
      <c r="A159" s="375"/>
    </row>
    <row r="160">
      <c r="A160" s="375"/>
    </row>
    <row r="161">
      <c r="A161" s="375"/>
    </row>
    <row r="162">
      <c r="A162" s="375"/>
    </row>
    <row r="163">
      <c r="A163" s="375"/>
    </row>
    <row r="164">
      <c r="A164" s="375"/>
    </row>
    <row r="165">
      <c r="A165" s="375"/>
    </row>
    <row r="166">
      <c r="A166" s="375"/>
    </row>
    <row r="167">
      <c r="A167" s="375"/>
    </row>
    <row r="168">
      <c r="A168" s="375"/>
    </row>
    <row r="169">
      <c r="A169" s="375"/>
    </row>
    <row r="170">
      <c r="A170" s="375"/>
    </row>
    <row r="171">
      <c r="A171" s="375"/>
    </row>
    <row r="172">
      <c r="A172" s="375"/>
    </row>
    <row r="173">
      <c r="A173" s="375"/>
    </row>
    <row r="174">
      <c r="A174" s="375"/>
    </row>
    <row r="175">
      <c r="A175" s="375"/>
    </row>
    <row r="176">
      <c r="A176" s="375"/>
    </row>
    <row r="177">
      <c r="A177" s="375"/>
    </row>
    <row r="178">
      <c r="A178" s="375"/>
    </row>
    <row r="179">
      <c r="A179" s="375"/>
    </row>
    <row r="180">
      <c r="A180" s="375"/>
    </row>
    <row r="181">
      <c r="A181" s="375"/>
    </row>
    <row r="182">
      <c r="A182" s="375"/>
    </row>
    <row r="183">
      <c r="A183" s="375"/>
    </row>
    <row r="184">
      <c r="A184" s="375"/>
    </row>
    <row r="185">
      <c r="A185" s="375"/>
    </row>
    <row r="186">
      <c r="A186" s="375"/>
    </row>
    <row r="187">
      <c r="A187" s="375"/>
    </row>
    <row r="188">
      <c r="A188" s="375"/>
    </row>
    <row r="189">
      <c r="A189" s="375"/>
    </row>
    <row r="190">
      <c r="A190" s="375"/>
    </row>
    <row r="191">
      <c r="A191" s="375"/>
    </row>
    <row r="192">
      <c r="A192" s="375"/>
    </row>
    <row r="193">
      <c r="A193" s="375"/>
    </row>
    <row r="194">
      <c r="A194" s="375"/>
    </row>
    <row r="195">
      <c r="A195" s="375"/>
    </row>
    <row r="196">
      <c r="A196" s="375"/>
    </row>
    <row r="197">
      <c r="A197" s="375"/>
    </row>
    <row r="198">
      <c r="A198" s="375"/>
    </row>
    <row r="199">
      <c r="A199" s="375"/>
    </row>
    <row r="200">
      <c r="A200" s="375"/>
    </row>
    <row r="201">
      <c r="A201" s="375"/>
    </row>
    <row r="202">
      <c r="A202" s="375"/>
    </row>
    <row r="203">
      <c r="A203" s="375"/>
    </row>
    <row r="204">
      <c r="A204" s="375"/>
    </row>
    <row r="205">
      <c r="A205" s="375"/>
    </row>
    <row r="206">
      <c r="A206" s="375"/>
    </row>
    <row r="207">
      <c r="A207" s="375"/>
    </row>
    <row r="208">
      <c r="A208" s="375"/>
    </row>
    <row r="209">
      <c r="A209" s="375"/>
    </row>
    <row r="210">
      <c r="A210" s="375"/>
    </row>
    <row r="211">
      <c r="A211" s="375"/>
    </row>
    <row r="212">
      <c r="A212" s="375"/>
    </row>
    <row r="213">
      <c r="A213" s="375"/>
    </row>
    <row r="214">
      <c r="A214" s="375"/>
    </row>
    <row r="215">
      <c r="A215" s="375"/>
    </row>
    <row r="216">
      <c r="A216" s="375"/>
    </row>
    <row r="217">
      <c r="A217" s="375"/>
    </row>
    <row r="218">
      <c r="A218" s="375"/>
    </row>
    <row r="219">
      <c r="A219" s="375"/>
    </row>
    <row r="220">
      <c r="A220" s="375"/>
    </row>
    <row r="221">
      <c r="A221" s="375"/>
    </row>
    <row r="222">
      <c r="A222" s="375"/>
    </row>
    <row r="223">
      <c r="A223" s="375"/>
    </row>
    <row r="224">
      <c r="A224" s="375"/>
    </row>
    <row r="225">
      <c r="A225" s="375"/>
    </row>
    <row r="226">
      <c r="A226" s="375"/>
    </row>
    <row r="227">
      <c r="A227" s="375"/>
    </row>
    <row r="228">
      <c r="A228" s="375"/>
    </row>
    <row r="229">
      <c r="A229" s="375"/>
    </row>
    <row r="230">
      <c r="A230" s="375"/>
    </row>
    <row r="231">
      <c r="A231" s="375"/>
    </row>
    <row r="232">
      <c r="A232" s="375"/>
    </row>
    <row r="233">
      <c r="A233" s="375"/>
    </row>
    <row r="234">
      <c r="A234" s="375"/>
    </row>
    <row r="235">
      <c r="A235" s="375"/>
    </row>
    <row r="236">
      <c r="A236" s="375"/>
    </row>
    <row r="237">
      <c r="A237" s="375"/>
    </row>
    <row r="238">
      <c r="A238" s="375"/>
    </row>
    <row r="239">
      <c r="A239" s="375"/>
    </row>
    <row r="240">
      <c r="A240" s="375"/>
    </row>
    <row r="241">
      <c r="A241" s="375"/>
    </row>
    <row r="242">
      <c r="A242" s="375"/>
    </row>
    <row r="243">
      <c r="A243" s="375"/>
    </row>
    <row r="244">
      <c r="A244" s="375"/>
    </row>
    <row r="245">
      <c r="A245" s="375"/>
    </row>
    <row r="246">
      <c r="A246" s="375"/>
    </row>
    <row r="247">
      <c r="A247" s="375"/>
    </row>
    <row r="248">
      <c r="A248" s="375"/>
    </row>
    <row r="249">
      <c r="A249" s="375"/>
    </row>
    <row r="250">
      <c r="A250" s="375"/>
    </row>
    <row r="251">
      <c r="A251" s="375"/>
    </row>
    <row r="252">
      <c r="A252" s="375"/>
    </row>
    <row r="253">
      <c r="A253" s="375"/>
    </row>
    <row r="254">
      <c r="A254" s="375"/>
    </row>
    <row r="255">
      <c r="A255" s="375"/>
    </row>
    <row r="256">
      <c r="A256" s="375"/>
    </row>
    <row r="257">
      <c r="A257" s="375"/>
    </row>
    <row r="258">
      <c r="A258" s="375"/>
    </row>
    <row r="259">
      <c r="A259" s="375"/>
    </row>
    <row r="260">
      <c r="A260" s="375"/>
    </row>
    <row r="261">
      <c r="A261" s="375"/>
    </row>
    <row r="262">
      <c r="A262" s="375"/>
    </row>
    <row r="263">
      <c r="A263" s="375"/>
    </row>
    <row r="264">
      <c r="A264" s="375"/>
    </row>
    <row r="265">
      <c r="A265" s="375"/>
    </row>
    <row r="266">
      <c r="A266" s="375"/>
    </row>
    <row r="267">
      <c r="A267" s="375"/>
    </row>
    <row r="268">
      <c r="A268" s="375"/>
    </row>
    <row r="269">
      <c r="A269" s="375"/>
    </row>
    <row r="270">
      <c r="A270" s="375"/>
    </row>
    <row r="271">
      <c r="A271" s="375"/>
    </row>
    <row r="272">
      <c r="A272" s="375"/>
    </row>
    <row r="273">
      <c r="A273" s="375"/>
    </row>
    <row r="274">
      <c r="A274" s="375"/>
    </row>
    <row r="275">
      <c r="A275" s="375"/>
    </row>
    <row r="276">
      <c r="A276" s="375"/>
    </row>
    <row r="277">
      <c r="A277" s="375"/>
    </row>
    <row r="278">
      <c r="A278" s="375"/>
    </row>
    <row r="279">
      <c r="A279" s="375"/>
    </row>
    <row r="280">
      <c r="A280" s="375"/>
    </row>
    <row r="281">
      <c r="A281" s="375"/>
    </row>
    <row r="282">
      <c r="A282" s="375"/>
    </row>
    <row r="283">
      <c r="A283" s="375"/>
    </row>
    <row r="284">
      <c r="A284" s="375"/>
    </row>
    <row r="285">
      <c r="A285" s="375"/>
    </row>
    <row r="286">
      <c r="A286" s="375"/>
    </row>
    <row r="287">
      <c r="A287" s="375"/>
    </row>
    <row r="288">
      <c r="A288" s="375"/>
    </row>
    <row r="289">
      <c r="A289" s="375"/>
    </row>
    <row r="290">
      <c r="A290" s="375"/>
    </row>
    <row r="291">
      <c r="A291" s="375"/>
    </row>
    <row r="292">
      <c r="A292" s="375"/>
    </row>
    <row r="293">
      <c r="A293" s="375"/>
    </row>
    <row r="294">
      <c r="A294" s="375"/>
    </row>
    <row r="295">
      <c r="A295" s="375"/>
    </row>
    <row r="296">
      <c r="A296" s="375"/>
    </row>
    <row r="297">
      <c r="A297" s="375"/>
    </row>
    <row r="298">
      <c r="A298" s="375"/>
    </row>
    <row r="299">
      <c r="A299" s="375"/>
    </row>
    <row r="300">
      <c r="A300" s="375"/>
    </row>
    <row r="301">
      <c r="A301" s="375"/>
    </row>
    <row r="302">
      <c r="A302" s="375"/>
    </row>
    <row r="303">
      <c r="A303" s="375"/>
    </row>
    <row r="304">
      <c r="A304" s="375"/>
    </row>
    <row r="305">
      <c r="A305" s="375"/>
    </row>
    <row r="306">
      <c r="A306" s="375"/>
    </row>
    <row r="307">
      <c r="A307" s="375"/>
    </row>
    <row r="308">
      <c r="A308" s="375"/>
    </row>
    <row r="309">
      <c r="A309" s="375"/>
    </row>
    <row r="310">
      <c r="A310" s="375"/>
    </row>
    <row r="311">
      <c r="A311" s="375"/>
    </row>
    <row r="312">
      <c r="A312" s="375"/>
    </row>
    <row r="313">
      <c r="A313" s="375"/>
    </row>
    <row r="314">
      <c r="A314" s="375"/>
    </row>
    <row r="315">
      <c r="A315" s="375"/>
    </row>
    <row r="316">
      <c r="A316" s="375"/>
    </row>
    <row r="317">
      <c r="A317" s="375"/>
    </row>
    <row r="318">
      <c r="A318" s="375"/>
    </row>
    <row r="319">
      <c r="A319" s="375"/>
    </row>
    <row r="320">
      <c r="A320" s="375"/>
    </row>
    <row r="321">
      <c r="A321" s="375"/>
    </row>
    <row r="322">
      <c r="A322" s="375"/>
    </row>
    <row r="323">
      <c r="A323" s="375"/>
    </row>
    <row r="324">
      <c r="A324" s="375"/>
    </row>
    <row r="325">
      <c r="A325" s="375"/>
    </row>
    <row r="326">
      <c r="A326" s="375"/>
    </row>
    <row r="327">
      <c r="A327" s="375"/>
    </row>
    <row r="328">
      <c r="A328" s="375"/>
    </row>
    <row r="329">
      <c r="A329" s="375"/>
    </row>
    <row r="330">
      <c r="A330" s="375"/>
    </row>
    <row r="331">
      <c r="A331" s="375"/>
    </row>
    <row r="332">
      <c r="A332" s="375"/>
    </row>
    <row r="333">
      <c r="A333" s="375"/>
    </row>
    <row r="334">
      <c r="A334" s="375"/>
    </row>
    <row r="335">
      <c r="A335" s="375"/>
    </row>
    <row r="336">
      <c r="A336" s="375"/>
    </row>
    <row r="337">
      <c r="A337" s="375"/>
    </row>
    <row r="338">
      <c r="A338" s="375"/>
    </row>
    <row r="339">
      <c r="A339" s="375"/>
    </row>
    <row r="340">
      <c r="A340" s="375"/>
    </row>
    <row r="341">
      <c r="A341" s="375"/>
    </row>
    <row r="342">
      <c r="A342" s="375"/>
    </row>
    <row r="343">
      <c r="A343" s="375"/>
    </row>
    <row r="344">
      <c r="A344" s="375"/>
    </row>
    <row r="345">
      <c r="A345" s="375"/>
    </row>
    <row r="346">
      <c r="A346" s="375"/>
    </row>
    <row r="347">
      <c r="A347" s="375"/>
    </row>
    <row r="348">
      <c r="A348" s="375"/>
    </row>
    <row r="349">
      <c r="A349" s="375"/>
    </row>
    <row r="350">
      <c r="A350" s="375"/>
    </row>
    <row r="351">
      <c r="A351" s="375"/>
    </row>
    <row r="352">
      <c r="A352" s="375"/>
    </row>
    <row r="353">
      <c r="A353" s="375"/>
    </row>
    <row r="354">
      <c r="A354" s="375"/>
    </row>
    <row r="355">
      <c r="A355" s="375"/>
    </row>
    <row r="356">
      <c r="A356" s="375"/>
    </row>
    <row r="357">
      <c r="A357" s="375"/>
    </row>
    <row r="358">
      <c r="A358" s="375"/>
    </row>
    <row r="359">
      <c r="A359" s="375"/>
    </row>
    <row r="360">
      <c r="A360" s="375"/>
    </row>
    <row r="361">
      <c r="A361" s="375"/>
    </row>
    <row r="362">
      <c r="A362" s="375"/>
    </row>
    <row r="363">
      <c r="A363" s="375"/>
    </row>
    <row r="364">
      <c r="A364" s="375"/>
    </row>
    <row r="365">
      <c r="A365" s="375"/>
    </row>
    <row r="366">
      <c r="A366" s="375"/>
    </row>
    <row r="367">
      <c r="A367" s="375"/>
    </row>
    <row r="368">
      <c r="A368" s="375"/>
    </row>
    <row r="369">
      <c r="A369" s="375"/>
    </row>
    <row r="370">
      <c r="A370" s="375"/>
    </row>
    <row r="371">
      <c r="A371" s="375"/>
    </row>
    <row r="372">
      <c r="A372" s="375"/>
    </row>
    <row r="373">
      <c r="A373" s="375"/>
    </row>
    <row r="374">
      <c r="A374" s="375"/>
    </row>
    <row r="375">
      <c r="A375" s="375"/>
    </row>
    <row r="376">
      <c r="A376" s="375"/>
    </row>
    <row r="377">
      <c r="A377" s="375"/>
    </row>
    <row r="378">
      <c r="A378" s="375"/>
    </row>
    <row r="379">
      <c r="A379" s="375"/>
    </row>
    <row r="380">
      <c r="A380" s="375"/>
    </row>
    <row r="381">
      <c r="A381" s="375"/>
    </row>
    <row r="382">
      <c r="A382" s="375"/>
    </row>
    <row r="383">
      <c r="A383" s="375"/>
    </row>
    <row r="384">
      <c r="A384" s="375"/>
    </row>
    <row r="385">
      <c r="A385" s="375"/>
    </row>
    <row r="386">
      <c r="A386" s="375"/>
    </row>
    <row r="387">
      <c r="A387" s="375"/>
    </row>
    <row r="388">
      <c r="A388" s="375"/>
    </row>
    <row r="389">
      <c r="A389" s="375"/>
    </row>
    <row r="390">
      <c r="A390" s="375"/>
    </row>
    <row r="391">
      <c r="A391" s="375"/>
    </row>
    <row r="392">
      <c r="A392" s="375"/>
    </row>
    <row r="393">
      <c r="A393" s="375"/>
    </row>
    <row r="394">
      <c r="A394" s="375"/>
    </row>
    <row r="395">
      <c r="A395" s="375"/>
    </row>
    <row r="396">
      <c r="A396" s="375"/>
    </row>
    <row r="397">
      <c r="A397" s="375"/>
    </row>
    <row r="398">
      <c r="A398" s="375"/>
    </row>
    <row r="399">
      <c r="A399" s="375"/>
    </row>
    <row r="400">
      <c r="A400" s="375"/>
    </row>
    <row r="401">
      <c r="A401" s="375"/>
    </row>
    <row r="402">
      <c r="A402" s="375"/>
    </row>
    <row r="403">
      <c r="A403" s="375"/>
    </row>
    <row r="404">
      <c r="A404" s="375"/>
    </row>
    <row r="405">
      <c r="A405" s="375"/>
    </row>
    <row r="406">
      <c r="A406" s="375"/>
    </row>
    <row r="407">
      <c r="A407" s="375"/>
    </row>
    <row r="408">
      <c r="A408" s="375"/>
    </row>
    <row r="409">
      <c r="A409" s="375"/>
    </row>
    <row r="410">
      <c r="A410" s="375"/>
    </row>
    <row r="411">
      <c r="A411" s="375"/>
    </row>
    <row r="412">
      <c r="A412" s="375"/>
    </row>
    <row r="413">
      <c r="A413" s="375"/>
    </row>
    <row r="414">
      <c r="A414" s="375"/>
    </row>
    <row r="415">
      <c r="A415" s="375"/>
    </row>
    <row r="416">
      <c r="A416" s="375"/>
    </row>
    <row r="417">
      <c r="A417" s="375"/>
    </row>
    <row r="418">
      <c r="A418" s="375"/>
    </row>
    <row r="419">
      <c r="A419" s="375"/>
    </row>
    <row r="420">
      <c r="A420" s="375"/>
    </row>
    <row r="421">
      <c r="A421" s="375"/>
    </row>
    <row r="422">
      <c r="A422" s="375"/>
    </row>
    <row r="423">
      <c r="A423" s="375"/>
    </row>
    <row r="424">
      <c r="A424" s="375"/>
    </row>
    <row r="425">
      <c r="A425" s="375"/>
    </row>
    <row r="426">
      <c r="A426" s="375"/>
    </row>
    <row r="427">
      <c r="A427" s="375"/>
    </row>
    <row r="428">
      <c r="A428" s="375"/>
    </row>
    <row r="429">
      <c r="A429" s="375"/>
    </row>
    <row r="430">
      <c r="A430" s="375"/>
    </row>
    <row r="431">
      <c r="A431" s="375"/>
    </row>
    <row r="432">
      <c r="A432" s="375"/>
    </row>
    <row r="433">
      <c r="A433" s="375"/>
    </row>
    <row r="434">
      <c r="A434" s="375"/>
    </row>
    <row r="435">
      <c r="A435" s="375"/>
    </row>
    <row r="436">
      <c r="A436" s="375"/>
    </row>
    <row r="437">
      <c r="A437" s="375"/>
    </row>
    <row r="438">
      <c r="A438" s="375"/>
    </row>
    <row r="439">
      <c r="A439" s="375"/>
    </row>
    <row r="440">
      <c r="A440" s="375"/>
    </row>
    <row r="441">
      <c r="A441" s="375"/>
    </row>
    <row r="442">
      <c r="A442" s="375"/>
    </row>
    <row r="443">
      <c r="A443" s="375"/>
    </row>
    <row r="444">
      <c r="A444" s="375"/>
    </row>
    <row r="445">
      <c r="A445" s="375"/>
    </row>
    <row r="446">
      <c r="A446" s="375"/>
    </row>
    <row r="447">
      <c r="A447" s="375"/>
    </row>
    <row r="448">
      <c r="A448" s="375"/>
    </row>
    <row r="449">
      <c r="A449" s="375"/>
    </row>
    <row r="450">
      <c r="A450" s="375"/>
    </row>
    <row r="451">
      <c r="A451" s="375"/>
    </row>
    <row r="452">
      <c r="A452" s="375"/>
    </row>
    <row r="453">
      <c r="A453" s="375"/>
    </row>
    <row r="454">
      <c r="A454" s="375"/>
    </row>
    <row r="455">
      <c r="A455" s="375"/>
    </row>
    <row r="456">
      <c r="A456" s="375"/>
    </row>
    <row r="457">
      <c r="A457" s="375"/>
    </row>
    <row r="458">
      <c r="A458" s="375"/>
    </row>
    <row r="459">
      <c r="A459" s="375"/>
    </row>
    <row r="460">
      <c r="A460" s="375"/>
    </row>
    <row r="461">
      <c r="A461" s="375"/>
    </row>
    <row r="462">
      <c r="A462" s="375"/>
    </row>
    <row r="463">
      <c r="A463" s="375"/>
    </row>
    <row r="464">
      <c r="A464" s="375"/>
    </row>
    <row r="465">
      <c r="A465" s="375"/>
    </row>
    <row r="466">
      <c r="A466" s="375"/>
    </row>
    <row r="467">
      <c r="A467" s="375"/>
    </row>
    <row r="468">
      <c r="A468" s="375"/>
    </row>
    <row r="469">
      <c r="A469" s="375"/>
    </row>
    <row r="470">
      <c r="A470" s="375"/>
    </row>
    <row r="471">
      <c r="A471" s="375"/>
    </row>
    <row r="472">
      <c r="A472" s="375"/>
    </row>
    <row r="473">
      <c r="A473" s="375"/>
    </row>
    <row r="474">
      <c r="A474" s="375"/>
    </row>
    <row r="475">
      <c r="A475" s="375"/>
    </row>
    <row r="476">
      <c r="A476" s="375"/>
    </row>
    <row r="477">
      <c r="A477" s="375"/>
    </row>
    <row r="478">
      <c r="A478" s="375"/>
    </row>
    <row r="479">
      <c r="A479" s="375"/>
    </row>
    <row r="480">
      <c r="A480" s="375"/>
    </row>
    <row r="481">
      <c r="A481" s="375"/>
    </row>
    <row r="482">
      <c r="A482" s="375"/>
    </row>
    <row r="483">
      <c r="A483" s="375"/>
    </row>
    <row r="484">
      <c r="A484" s="375"/>
    </row>
    <row r="485">
      <c r="A485" s="375"/>
    </row>
    <row r="486">
      <c r="A486" s="375"/>
    </row>
    <row r="487">
      <c r="A487" s="375"/>
    </row>
    <row r="488">
      <c r="A488" s="375"/>
    </row>
    <row r="489">
      <c r="A489" s="375"/>
    </row>
    <row r="490">
      <c r="A490" s="375"/>
    </row>
    <row r="491">
      <c r="A491" s="375"/>
    </row>
    <row r="492">
      <c r="A492" s="375"/>
    </row>
    <row r="493">
      <c r="A493" s="375"/>
    </row>
    <row r="494">
      <c r="A494" s="375"/>
    </row>
    <row r="495">
      <c r="A495" s="375"/>
    </row>
    <row r="496">
      <c r="A496" s="375"/>
    </row>
    <row r="497">
      <c r="A497" s="375"/>
    </row>
    <row r="498">
      <c r="A498" s="375"/>
    </row>
    <row r="499">
      <c r="A499" s="375"/>
    </row>
    <row r="500">
      <c r="A500" s="375"/>
    </row>
    <row r="501">
      <c r="A501" s="375"/>
    </row>
    <row r="502">
      <c r="A502" s="375"/>
    </row>
    <row r="503">
      <c r="A503" s="375"/>
    </row>
    <row r="504">
      <c r="A504" s="375"/>
    </row>
    <row r="505">
      <c r="A505" s="375"/>
    </row>
    <row r="506">
      <c r="A506" s="375"/>
    </row>
    <row r="507">
      <c r="A507" s="375"/>
    </row>
    <row r="508">
      <c r="A508" s="375"/>
    </row>
    <row r="509">
      <c r="A509" s="375"/>
    </row>
    <row r="510">
      <c r="A510" s="375"/>
    </row>
    <row r="511">
      <c r="A511" s="375"/>
    </row>
    <row r="512">
      <c r="A512" s="375"/>
    </row>
    <row r="513">
      <c r="A513" s="375"/>
    </row>
    <row r="514">
      <c r="A514" s="375"/>
    </row>
    <row r="515">
      <c r="A515" s="375"/>
    </row>
    <row r="516">
      <c r="A516" s="375"/>
    </row>
    <row r="517">
      <c r="A517" s="375"/>
    </row>
    <row r="518">
      <c r="A518" s="375"/>
    </row>
    <row r="519">
      <c r="A519" s="375"/>
    </row>
    <row r="520">
      <c r="A520" s="375"/>
    </row>
    <row r="521">
      <c r="A521" s="375"/>
    </row>
    <row r="522">
      <c r="A522" s="375"/>
    </row>
    <row r="523">
      <c r="A523" s="375"/>
    </row>
    <row r="524">
      <c r="A524" s="375"/>
    </row>
    <row r="525">
      <c r="A525" s="375"/>
    </row>
    <row r="526">
      <c r="A526" s="375"/>
    </row>
    <row r="527">
      <c r="A527" s="375"/>
    </row>
    <row r="528">
      <c r="A528" s="375"/>
    </row>
    <row r="529">
      <c r="A529" s="375"/>
    </row>
    <row r="530">
      <c r="A530" s="375"/>
    </row>
    <row r="531">
      <c r="A531" s="375"/>
    </row>
    <row r="532">
      <c r="A532" s="375"/>
    </row>
    <row r="533">
      <c r="A533" s="375"/>
    </row>
    <row r="534">
      <c r="A534" s="375"/>
    </row>
    <row r="535">
      <c r="A535" s="375"/>
    </row>
    <row r="536">
      <c r="A536" s="375"/>
    </row>
    <row r="537">
      <c r="A537" s="375"/>
    </row>
    <row r="538">
      <c r="A538" s="375"/>
    </row>
    <row r="539">
      <c r="A539" s="375"/>
    </row>
    <row r="540">
      <c r="A540" s="375"/>
    </row>
    <row r="541">
      <c r="A541" s="375"/>
    </row>
    <row r="542">
      <c r="A542" s="375"/>
    </row>
    <row r="543">
      <c r="A543" s="375"/>
    </row>
    <row r="544">
      <c r="A544" s="375"/>
    </row>
    <row r="545">
      <c r="A545" s="375"/>
    </row>
    <row r="546">
      <c r="A546" s="375"/>
    </row>
    <row r="547">
      <c r="A547" s="375"/>
    </row>
    <row r="548">
      <c r="A548" s="375"/>
    </row>
    <row r="549">
      <c r="A549" s="375"/>
    </row>
    <row r="550">
      <c r="A550" s="375"/>
    </row>
    <row r="551">
      <c r="A551" s="375"/>
    </row>
    <row r="552">
      <c r="A552" s="375"/>
    </row>
    <row r="553">
      <c r="A553" s="375"/>
    </row>
    <row r="554">
      <c r="A554" s="375"/>
    </row>
    <row r="555">
      <c r="A555" s="375"/>
    </row>
    <row r="556">
      <c r="A556" s="375"/>
    </row>
    <row r="557">
      <c r="A557" s="375"/>
    </row>
    <row r="558">
      <c r="A558" s="375"/>
    </row>
    <row r="559">
      <c r="A559" s="375"/>
    </row>
    <row r="560">
      <c r="A560" s="375"/>
    </row>
    <row r="561">
      <c r="A561" s="375"/>
    </row>
    <row r="562">
      <c r="A562" s="375"/>
    </row>
    <row r="563">
      <c r="A563" s="375"/>
    </row>
    <row r="564">
      <c r="A564" s="375"/>
    </row>
    <row r="565">
      <c r="A565" s="375"/>
    </row>
    <row r="566">
      <c r="A566" s="375"/>
    </row>
    <row r="567">
      <c r="A567" s="375"/>
    </row>
    <row r="568">
      <c r="A568" s="375"/>
    </row>
    <row r="569">
      <c r="A569" s="375"/>
    </row>
    <row r="570">
      <c r="A570" s="375"/>
    </row>
    <row r="571">
      <c r="A571" s="375"/>
    </row>
    <row r="572">
      <c r="A572" s="375"/>
    </row>
    <row r="573">
      <c r="A573" s="375"/>
    </row>
    <row r="574">
      <c r="A574" s="375"/>
    </row>
    <row r="575">
      <c r="A575" s="375"/>
    </row>
    <row r="576">
      <c r="A576" s="375"/>
    </row>
    <row r="577">
      <c r="A577" s="375"/>
    </row>
    <row r="578">
      <c r="A578" s="375"/>
    </row>
    <row r="579">
      <c r="A579" s="375"/>
    </row>
    <row r="580">
      <c r="A580" s="375"/>
    </row>
    <row r="581">
      <c r="A581" s="375"/>
    </row>
    <row r="582">
      <c r="A582" s="375"/>
    </row>
    <row r="583">
      <c r="A583" s="375"/>
    </row>
    <row r="584">
      <c r="A584" s="375"/>
    </row>
    <row r="585">
      <c r="A585" s="375"/>
    </row>
    <row r="586">
      <c r="A586" s="375"/>
    </row>
    <row r="587">
      <c r="A587" s="375"/>
    </row>
    <row r="588">
      <c r="A588" s="375"/>
    </row>
    <row r="589">
      <c r="A589" s="375"/>
    </row>
    <row r="590">
      <c r="A590" s="375"/>
    </row>
    <row r="591">
      <c r="A591" s="375"/>
    </row>
    <row r="592">
      <c r="A592" s="375"/>
    </row>
    <row r="593">
      <c r="A593" s="375"/>
    </row>
    <row r="594">
      <c r="A594" s="375"/>
    </row>
    <row r="595">
      <c r="A595" s="375"/>
    </row>
    <row r="596">
      <c r="A596" s="375"/>
    </row>
    <row r="597">
      <c r="A597" s="375"/>
    </row>
    <row r="598">
      <c r="A598" s="375"/>
    </row>
    <row r="599">
      <c r="A599" s="375"/>
    </row>
    <row r="600">
      <c r="A600" s="375"/>
    </row>
    <row r="601">
      <c r="A601" s="375"/>
    </row>
    <row r="602">
      <c r="A602" s="375"/>
    </row>
    <row r="603">
      <c r="A603" s="375"/>
    </row>
    <row r="604">
      <c r="A604" s="375"/>
    </row>
    <row r="605">
      <c r="A605" s="375"/>
    </row>
    <row r="606">
      <c r="A606" s="375"/>
    </row>
    <row r="607">
      <c r="A607" s="375"/>
    </row>
    <row r="608">
      <c r="A608" s="375"/>
    </row>
    <row r="609">
      <c r="A609" s="375"/>
    </row>
    <row r="610">
      <c r="A610" s="375"/>
    </row>
    <row r="611">
      <c r="A611" s="375"/>
    </row>
    <row r="612">
      <c r="A612" s="375"/>
    </row>
    <row r="613">
      <c r="A613" s="375"/>
    </row>
    <row r="614">
      <c r="A614" s="375"/>
    </row>
    <row r="615">
      <c r="A615" s="375"/>
    </row>
    <row r="616">
      <c r="A616" s="375"/>
    </row>
    <row r="617">
      <c r="A617" s="375"/>
    </row>
    <row r="618">
      <c r="A618" s="375"/>
    </row>
    <row r="619">
      <c r="A619" s="375"/>
    </row>
    <row r="620">
      <c r="A620" s="375"/>
    </row>
    <row r="621">
      <c r="A621" s="375"/>
    </row>
    <row r="622">
      <c r="A622" s="375"/>
    </row>
    <row r="623">
      <c r="A623" s="375"/>
    </row>
    <row r="624">
      <c r="A624" s="375"/>
    </row>
    <row r="625">
      <c r="A625" s="375"/>
    </row>
    <row r="626">
      <c r="A626" s="375"/>
    </row>
    <row r="627">
      <c r="A627" s="375"/>
    </row>
    <row r="628">
      <c r="A628" s="375"/>
    </row>
    <row r="629">
      <c r="A629" s="375"/>
    </row>
    <row r="630">
      <c r="A630" s="375"/>
    </row>
    <row r="631">
      <c r="A631" s="375"/>
    </row>
    <row r="632">
      <c r="A632" s="375"/>
    </row>
    <row r="633">
      <c r="A633" s="375"/>
    </row>
    <row r="634">
      <c r="A634" s="375"/>
    </row>
    <row r="635">
      <c r="A635" s="375"/>
    </row>
    <row r="636">
      <c r="A636" s="375"/>
    </row>
    <row r="637">
      <c r="A637" s="375"/>
    </row>
    <row r="638">
      <c r="A638" s="375"/>
    </row>
    <row r="639">
      <c r="A639" s="375"/>
    </row>
    <row r="640">
      <c r="A640" s="375"/>
    </row>
    <row r="641">
      <c r="A641" s="375"/>
    </row>
    <row r="642">
      <c r="A642" s="375"/>
    </row>
    <row r="643">
      <c r="A643" s="375"/>
    </row>
    <row r="644">
      <c r="A644" s="375"/>
    </row>
    <row r="645">
      <c r="A645" s="375"/>
    </row>
    <row r="646">
      <c r="A646" s="375"/>
    </row>
    <row r="647">
      <c r="A647" s="375"/>
    </row>
    <row r="648">
      <c r="A648" s="375"/>
    </row>
    <row r="649">
      <c r="A649" s="375"/>
    </row>
    <row r="650">
      <c r="A650" s="375"/>
    </row>
    <row r="651">
      <c r="A651" s="375"/>
    </row>
    <row r="652">
      <c r="A652" s="375"/>
    </row>
    <row r="653">
      <c r="A653" s="375"/>
    </row>
    <row r="654">
      <c r="A654" s="375"/>
    </row>
    <row r="655">
      <c r="A655" s="375"/>
    </row>
    <row r="656">
      <c r="A656" s="375"/>
    </row>
    <row r="657">
      <c r="A657" s="375"/>
    </row>
    <row r="658">
      <c r="A658" s="375"/>
    </row>
    <row r="659">
      <c r="A659" s="375"/>
    </row>
    <row r="660">
      <c r="A660" s="375"/>
    </row>
    <row r="661">
      <c r="A661" s="375"/>
    </row>
    <row r="662">
      <c r="A662" s="375"/>
    </row>
    <row r="663">
      <c r="A663" s="375"/>
    </row>
    <row r="664">
      <c r="A664" s="375"/>
    </row>
    <row r="665">
      <c r="A665" s="375"/>
    </row>
    <row r="666">
      <c r="A666" s="375"/>
    </row>
    <row r="667">
      <c r="A667" s="375"/>
    </row>
    <row r="668">
      <c r="A668" s="375"/>
    </row>
    <row r="669">
      <c r="A669" s="375"/>
    </row>
    <row r="670">
      <c r="A670" s="375"/>
    </row>
    <row r="671">
      <c r="A671" s="375"/>
    </row>
    <row r="672">
      <c r="A672" s="375"/>
    </row>
    <row r="673">
      <c r="A673" s="375"/>
    </row>
    <row r="674">
      <c r="A674" s="375"/>
    </row>
    <row r="675">
      <c r="A675" s="375"/>
    </row>
    <row r="676">
      <c r="A676" s="375"/>
    </row>
    <row r="677">
      <c r="A677" s="375"/>
    </row>
    <row r="678">
      <c r="A678" s="375"/>
    </row>
    <row r="679">
      <c r="A679" s="375"/>
    </row>
    <row r="680">
      <c r="A680" s="375"/>
    </row>
    <row r="681">
      <c r="A681" s="375"/>
    </row>
    <row r="682">
      <c r="A682" s="375"/>
    </row>
    <row r="683">
      <c r="A683" s="375"/>
    </row>
    <row r="684">
      <c r="A684" s="375"/>
    </row>
    <row r="685">
      <c r="A685" s="375"/>
    </row>
    <row r="686">
      <c r="A686" s="375"/>
    </row>
    <row r="687">
      <c r="A687" s="375"/>
    </row>
    <row r="688">
      <c r="A688" s="375"/>
    </row>
    <row r="689">
      <c r="A689" s="375"/>
    </row>
    <row r="690">
      <c r="A690" s="375"/>
    </row>
    <row r="691">
      <c r="A691" s="375"/>
    </row>
    <row r="692">
      <c r="A692" s="375"/>
    </row>
    <row r="693">
      <c r="A693" s="375"/>
    </row>
    <row r="694">
      <c r="A694" s="375"/>
    </row>
    <row r="695">
      <c r="A695" s="375"/>
    </row>
    <row r="696">
      <c r="A696" s="375"/>
    </row>
    <row r="697">
      <c r="A697" s="375"/>
    </row>
    <row r="698">
      <c r="A698" s="375"/>
    </row>
    <row r="699">
      <c r="A699" s="375"/>
    </row>
    <row r="700">
      <c r="A700" s="375"/>
    </row>
    <row r="701">
      <c r="A701" s="375"/>
    </row>
    <row r="702">
      <c r="A702" s="375"/>
    </row>
    <row r="703">
      <c r="A703" s="375"/>
    </row>
    <row r="704">
      <c r="A704" s="375"/>
    </row>
    <row r="705">
      <c r="A705" s="375"/>
    </row>
    <row r="706">
      <c r="A706" s="375"/>
    </row>
    <row r="707">
      <c r="A707" s="375"/>
    </row>
    <row r="708">
      <c r="A708" s="375"/>
    </row>
    <row r="709">
      <c r="A709" s="375"/>
    </row>
    <row r="710">
      <c r="A710" s="375"/>
    </row>
    <row r="711">
      <c r="A711" s="375"/>
    </row>
    <row r="712">
      <c r="A712" s="375"/>
    </row>
    <row r="713">
      <c r="A713" s="375"/>
    </row>
    <row r="714">
      <c r="A714" s="375"/>
    </row>
    <row r="715">
      <c r="A715" s="375"/>
    </row>
    <row r="716">
      <c r="A716" s="375"/>
    </row>
    <row r="717">
      <c r="A717" s="375"/>
    </row>
    <row r="718">
      <c r="A718" s="375"/>
    </row>
    <row r="719">
      <c r="A719" s="375"/>
    </row>
    <row r="720">
      <c r="A720" s="375"/>
    </row>
    <row r="721">
      <c r="A721" s="375"/>
    </row>
    <row r="722">
      <c r="A722" s="375"/>
    </row>
    <row r="723">
      <c r="A723" s="375"/>
    </row>
    <row r="724">
      <c r="A724" s="375"/>
    </row>
    <row r="725">
      <c r="A725" s="375"/>
    </row>
    <row r="726">
      <c r="A726" s="375"/>
    </row>
    <row r="727">
      <c r="A727" s="375"/>
    </row>
    <row r="728">
      <c r="A728" s="375"/>
    </row>
    <row r="729">
      <c r="A729" s="375"/>
    </row>
    <row r="730">
      <c r="A730" s="375"/>
    </row>
    <row r="731">
      <c r="A731" s="375"/>
    </row>
    <row r="732">
      <c r="A732" s="375"/>
    </row>
    <row r="733">
      <c r="A733" s="375"/>
    </row>
    <row r="734">
      <c r="A734" s="375"/>
    </row>
    <row r="735">
      <c r="A735" s="375"/>
    </row>
    <row r="736">
      <c r="A736" s="375"/>
    </row>
    <row r="737">
      <c r="A737" s="375"/>
    </row>
    <row r="738">
      <c r="A738" s="375"/>
    </row>
    <row r="739">
      <c r="A739" s="375"/>
    </row>
    <row r="740">
      <c r="A740" s="375"/>
    </row>
    <row r="741">
      <c r="A741" s="375"/>
    </row>
    <row r="742">
      <c r="A742" s="375"/>
    </row>
    <row r="743">
      <c r="A743" s="375"/>
    </row>
    <row r="744">
      <c r="A744" s="375"/>
    </row>
    <row r="745">
      <c r="A745" s="375"/>
    </row>
    <row r="746">
      <c r="A746" s="375"/>
    </row>
    <row r="747">
      <c r="A747" s="375"/>
    </row>
    <row r="748">
      <c r="A748" s="375"/>
    </row>
    <row r="749">
      <c r="A749" s="375"/>
    </row>
    <row r="750">
      <c r="A750" s="375"/>
    </row>
    <row r="751">
      <c r="A751" s="375"/>
    </row>
    <row r="752">
      <c r="A752" s="375"/>
    </row>
    <row r="753">
      <c r="A753" s="375"/>
    </row>
    <row r="754">
      <c r="A754" s="375"/>
    </row>
    <row r="755">
      <c r="A755" s="375"/>
    </row>
    <row r="756">
      <c r="A756" s="375"/>
    </row>
    <row r="757">
      <c r="A757" s="375"/>
    </row>
    <row r="758">
      <c r="A758" s="375"/>
    </row>
    <row r="759">
      <c r="A759" s="375"/>
    </row>
    <row r="760">
      <c r="A760" s="375"/>
    </row>
    <row r="761">
      <c r="A761" s="375"/>
    </row>
    <row r="762">
      <c r="A762" s="375"/>
    </row>
    <row r="763">
      <c r="A763" s="375"/>
    </row>
    <row r="764">
      <c r="A764" s="375"/>
    </row>
    <row r="765">
      <c r="A765" s="375"/>
    </row>
    <row r="766">
      <c r="A766" s="375"/>
    </row>
    <row r="767">
      <c r="A767" s="375"/>
    </row>
    <row r="768">
      <c r="A768" s="375"/>
    </row>
    <row r="769">
      <c r="A769" s="375"/>
    </row>
    <row r="770">
      <c r="A770" s="375"/>
    </row>
    <row r="771">
      <c r="A771" s="375"/>
    </row>
    <row r="772">
      <c r="A772" s="375"/>
    </row>
    <row r="773">
      <c r="A773" s="375"/>
    </row>
    <row r="774">
      <c r="A774" s="375"/>
    </row>
    <row r="775">
      <c r="A775" s="375"/>
    </row>
    <row r="776">
      <c r="A776" s="375"/>
    </row>
    <row r="777">
      <c r="A777" s="375"/>
    </row>
    <row r="778">
      <c r="A778" s="375"/>
    </row>
    <row r="779">
      <c r="A779" s="375"/>
    </row>
    <row r="780">
      <c r="A780" s="375"/>
    </row>
    <row r="781">
      <c r="A781" s="375"/>
    </row>
    <row r="782">
      <c r="A782" s="375"/>
    </row>
    <row r="783">
      <c r="A783" s="375"/>
    </row>
    <row r="784">
      <c r="A784" s="375"/>
    </row>
    <row r="785">
      <c r="A785" s="375"/>
    </row>
    <row r="786">
      <c r="A786" s="375"/>
    </row>
    <row r="787">
      <c r="A787" s="375"/>
    </row>
    <row r="788">
      <c r="A788" s="375"/>
    </row>
    <row r="789">
      <c r="A789" s="375"/>
    </row>
    <row r="790">
      <c r="A790" s="375"/>
    </row>
    <row r="791">
      <c r="A791" s="375"/>
    </row>
    <row r="792">
      <c r="A792" s="375"/>
    </row>
    <row r="793">
      <c r="A793" s="375"/>
    </row>
    <row r="794">
      <c r="A794" s="375"/>
    </row>
    <row r="795">
      <c r="A795" s="375"/>
    </row>
    <row r="796">
      <c r="A796" s="375"/>
    </row>
    <row r="797">
      <c r="A797" s="375"/>
    </row>
    <row r="798">
      <c r="A798" s="375"/>
    </row>
    <row r="799">
      <c r="A799" s="375"/>
    </row>
    <row r="800">
      <c r="A800" s="375"/>
    </row>
    <row r="801">
      <c r="A801" s="375"/>
    </row>
    <row r="802">
      <c r="A802" s="375"/>
    </row>
    <row r="803">
      <c r="A803" s="375"/>
    </row>
    <row r="804">
      <c r="A804" s="375"/>
    </row>
    <row r="805">
      <c r="A805" s="375"/>
    </row>
    <row r="806">
      <c r="A806" s="375"/>
    </row>
    <row r="807">
      <c r="A807" s="375"/>
    </row>
    <row r="808">
      <c r="A808" s="375"/>
    </row>
    <row r="809">
      <c r="A809" s="375"/>
    </row>
    <row r="810">
      <c r="A810" s="375"/>
    </row>
    <row r="811">
      <c r="A811" s="375"/>
    </row>
    <row r="812">
      <c r="A812" s="375"/>
    </row>
    <row r="813">
      <c r="A813" s="375"/>
    </row>
    <row r="814">
      <c r="A814" s="375"/>
    </row>
    <row r="815">
      <c r="A815" s="375"/>
    </row>
    <row r="816">
      <c r="A816" s="375"/>
    </row>
    <row r="817">
      <c r="A817" s="375"/>
    </row>
    <row r="818">
      <c r="A818" s="375"/>
    </row>
    <row r="819">
      <c r="A819" s="375"/>
    </row>
    <row r="820">
      <c r="A820" s="375"/>
    </row>
    <row r="821">
      <c r="A821" s="375"/>
    </row>
    <row r="822">
      <c r="A822" s="375"/>
    </row>
    <row r="823">
      <c r="A823" s="375"/>
    </row>
    <row r="824">
      <c r="A824" s="375"/>
    </row>
    <row r="825">
      <c r="A825" s="375"/>
    </row>
    <row r="826">
      <c r="A826" s="375"/>
    </row>
    <row r="827">
      <c r="A827" s="375"/>
    </row>
    <row r="828">
      <c r="A828" s="375"/>
    </row>
    <row r="829">
      <c r="A829" s="375"/>
    </row>
    <row r="830">
      <c r="A830" s="375"/>
    </row>
    <row r="831">
      <c r="A831" s="375"/>
    </row>
    <row r="832">
      <c r="A832" s="375"/>
    </row>
    <row r="833">
      <c r="A833" s="375"/>
    </row>
    <row r="834">
      <c r="A834" s="375"/>
    </row>
    <row r="835">
      <c r="A835" s="375"/>
    </row>
    <row r="836">
      <c r="A836" s="375"/>
    </row>
    <row r="837">
      <c r="A837" s="375"/>
    </row>
    <row r="838">
      <c r="A838" s="375"/>
    </row>
    <row r="839">
      <c r="A839" s="375"/>
    </row>
    <row r="840">
      <c r="A840" s="375"/>
    </row>
    <row r="841">
      <c r="A841" s="375"/>
    </row>
    <row r="842">
      <c r="A842" s="375"/>
    </row>
    <row r="843">
      <c r="A843" s="375"/>
    </row>
    <row r="844">
      <c r="A844" s="375"/>
    </row>
    <row r="845">
      <c r="A845" s="375"/>
    </row>
    <row r="846">
      <c r="A846" s="375"/>
    </row>
    <row r="847">
      <c r="A847" s="375"/>
    </row>
    <row r="848">
      <c r="A848" s="375"/>
    </row>
    <row r="849">
      <c r="A849" s="375"/>
    </row>
    <row r="850">
      <c r="A850" s="375"/>
    </row>
    <row r="851">
      <c r="A851" s="375"/>
    </row>
    <row r="852">
      <c r="A852" s="375"/>
    </row>
    <row r="853">
      <c r="A853" s="375"/>
    </row>
    <row r="854">
      <c r="A854" s="375"/>
    </row>
    <row r="855">
      <c r="A855" s="375"/>
    </row>
    <row r="856">
      <c r="A856" s="375"/>
    </row>
    <row r="857">
      <c r="A857" s="375"/>
    </row>
    <row r="858">
      <c r="A858" s="375"/>
    </row>
    <row r="859">
      <c r="A859" s="375"/>
    </row>
    <row r="860">
      <c r="A860" s="375"/>
    </row>
    <row r="861">
      <c r="A861" s="375"/>
    </row>
    <row r="862">
      <c r="A862" s="375"/>
    </row>
    <row r="863">
      <c r="A863" s="375"/>
    </row>
    <row r="864">
      <c r="A864" s="375"/>
    </row>
    <row r="865">
      <c r="A865" s="375"/>
    </row>
    <row r="866">
      <c r="A866" s="375"/>
    </row>
    <row r="867">
      <c r="A867" s="375"/>
    </row>
    <row r="868">
      <c r="A868" s="375"/>
    </row>
    <row r="869">
      <c r="A869" s="375"/>
    </row>
    <row r="870">
      <c r="A870" s="375"/>
    </row>
    <row r="871">
      <c r="A871" s="375"/>
    </row>
    <row r="872">
      <c r="A872" s="375"/>
    </row>
    <row r="873">
      <c r="A873" s="375"/>
    </row>
    <row r="874">
      <c r="A874" s="375"/>
    </row>
    <row r="875">
      <c r="A875" s="375"/>
    </row>
    <row r="876">
      <c r="A876" s="375"/>
    </row>
    <row r="877">
      <c r="A877" s="375"/>
    </row>
    <row r="878">
      <c r="A878" s="375"/>
    </row>
    <row r="879">
      <c r="A879" s="375"/>
    </row>
    <row r="880">
      <c r="A880" s="375"/>
    </row>
    <row r="881">
      <c r="A881" s="375"/>
    </row>
    <row r="882">
      <c r="A882" s="375"/>
    </row>
    <row r="883">
      <c r="A883" s="375"/>
    </row>
    <row r="884">
      <c r="A884" s="375"/>
    </row>
    <row r="885">
      <c r="A885" s="375"/>
    </row>
    <row r="886">
      <c r="A886" s="375"/>
    </row>
    <row r="887">
      <c r="A887" s="375"/>
    </row>
    <row r="888">
      <c r="A888" s="375"/>
    </row>
    <row r="889">
      <c r="A889" s="375"/>
    </row>
    <row r="890">
      <c r="A890" s="375"/>
    </row>
    <row r="891">
      <c r="A891" s="375"/>
    </row>
    <row r="892">
      <c r="A892" s="375"/>
    </row>
    <row r="893">
      <c r="A893" s="375"/>
    </row>
    <row r="894">
      <c r="A894" s="375"/>
    </row>
    <row r="895">
      <c r="A895" s="375"/>
    </row>
    <row r="896">
      <c r="A896" s="375"/>
    </row>
    <row r="897">
      <c r="A897" s="375"/>
    </row>
    <row r="898">
      <c r="A898" s="375"/>
    </row>
    <row r="899">
      <c r="A899" s="375"/>
    </row>
    <row r="900">
      <c r="A900" s="375"/>
    </row>
    <row r="901">
      <c r="A901" s="375"/>
    </row>
    <row r="902">
      <c r="A902" s="375"/>
    </row>
    <row r="903">
      <c r="A903" s="375"/>
    </row>
    <row r="904">
      <c r="A904" s="375"/>
    </row>
    <row r="905">
      <c r="A905" s="375"/>
    </row>
    <row r="906">
      <c r="A906" s="375"/>
    </row>
    <row r="907">
      <c r="A907" s="375"/>
    </row>
    <row r="908">
      <c r="A908" s="375"/>
    </row>
    <row r="909">
      <c r="A909" s="375"/>
    </row>
    <row r="910">
      <c r="A910" s="375"/>
    </row>
    <row r="911">
      <c r="A911" s="375"/>
    </row>
    <row r="912">
      <c r="A912" s="375"/>
    </row>
    <row r="913">
      <c r="A913" s="375"/>
    </row>
    <row r="914">
      <c r="A914" s="375"/>
    </row>
    <row r="915">
      <c r="A915" s="375"/>
    </row>
    <row r="916">
      <c r="A916" s="375"/>
    </row>
    <row r="917">
      <c r="A917" s="375"/>
    </row>
    <row r="918">
      <c r="A918" s="375"/>
    </row>
    <row r="919">
      <c r="A919" s="375"/>
    </row>
    <row r="920">
      <c r="A920" s="375"/>
    </row>
    <row r="921">
      <c r="A921" s="375"/>
    </row>
    <row r="922">
      <c r="A922" s="375"/>
    </row>
    <row r="923">
      <c r="A923" s="375"/>
    </row>
    <row r="924">
      <c r="A924" s="375"/>
    </row>
    <row r="925">
      <c r="A925" s="375"/>
    </row>
    <row r="926">
      <c r="A926" s="375"/>
    </row>
    <row r="927">
      <c r="A927" s="375"/>
    </row>
    <row r="928">
      <c r="A928" s="375"/>
    </row>
    <row r="929">
      <c r="A929" s="375"/>
    </row>
    <row r="930">
      <c r="A930" s="375"/>
    </row>
    <row r="931">
      <c r="A931" s="375"/>
    </row>
    <row r="932">
      <c r="A932" s="375"/>
    </row>
    <row r="933">
      <c r="A933" s="375"/>
    </row>
    <row r="934">
      <c r="A934" s="375"/>
    </row>
    <row r="935">
      <c r="A935" s="375"/>
    </row>
    <row r="936">
      <c r="A936" s="375"/>
    </row>
    <row r="937">
      <c r="A937" s="375"/>
    </row>
    <row r="938">
      <c r="A938" s="375"/>
    </row>
    <row r="939">
      <c r="A939" s="375"/>
    </row>
    <row r="940">
      <c r="A940" s="375"/>
    </row>
    <row r="941">
      <c r="A941" s="375"/>
    </row>
    <row r="942">
      <c r="A942" s="375"/>
    </row>
    <row r="943">
      <c r="A943" s="375"/>
    </row>
    <row r="944">
      <c r="A944" s="375"/>
    </row>
    <row r="945">
      <c r="A945" s="375"/>
    </row>
    <row r="946">
      <c r="A946" s="375"/>
    </row>
    <row r="947">
      <c r="A947" s="375"/>
    </row>
    <row r="948">
      <c r="A948" s="375"/>
    </row>
    <row r="949">
      <c r="A949" s="375"/>
    </row>
    <row r="950">
      <c r="A950" s="375"/>
    </row>
    <row r="951">
      <c r="A951" s="375"/>
    </row>
    <row r="952">
      <c r="A952" s="375"/>
    </row>
    <row r="953">
      <c r="A953" s="375"/>
    </row>
    <row r="954">
      <c r="A954" s="375"/>
    </row>
    <row r="955">
      <c r="A955" s="375"/>
    </row>
    <row r="956">
      <c r="A956" s="375"/>
    </row>
    <row r="957">
      <c r="A957" s="375"/>
    </row>
    <row r="958">
      <c r="A958" s="375"/>
    </row>
    <row r="959">
      <c r="A959" s="375"/>
    </row>
    <row r="960">
      <c r="A960" s="375"/>
    </row>
    <row r="961">
      <c r="A961" s="375"/>
    </row>
    <row r="962">
      <c r="A962" s="375"/>
    </row>
    <row r="963">
      <c r="A963" s="375"/>
    </row>
    <row r="964">
      <c r="A964" s="375"/>
    </row>
    <row r="965">
      <c r="A965" s="375"/>
    </row>
    <row r="966">
      <c r="A966" s="375"/>
    </row>
    <row r="967">
      <c r="A967" s="375"/>
    </row>
    <row r="968">
      <c r="A968" s="375"/>
    </row>
    <row r="969">
      <c r="A969" s="375"/>
    </row>
    <row r="970">
      <c r="A970" s="375"/>
    </row>
    <row r="971">
      <c r="A971" s="375"/>
    </row>
    <row r="972">
      <c r="A972" s="375"/>
    </row>
    <row r="973">
      <c r="A973" s="375"/>
    </row>
    <row r="974">
      <c r="A974" s="375"/>
    </row>
    <row r="975">
      <c r="A975" s="375"/>
    </row>
    <row r="976">
      <c r="A976" s="375"/>
    </row>
    <row r="977">
      <c r="A977" s="375"/>
    </row>
    <row r="978">
      <c r="A978" s="375"/>
    </row>
    <row r="979">
      <c r="A979" s="375"/>
    </row>
    <row r="980">
      <c r="A980" s="375"/>
    </row>
    <row r="981">
      <c r="A981" s="375"/>
    </row>
    <row r="982">
      <c r="A982" s="375"/>
    </row>
    <row r="983">
      <c r="A983" s="375"/>
    </row>
    <row r="984">
      <c r="A984" s="375"/>
    </row>
    <row r="985">
      <c r="A985" s="375"/>
    </row>
    <row r="986">
      <c r="A986" s="375"/>
    </row>
    <row r="987">
      <c r="A987" s="375"/>
    </row>
    <row r="988">
      <c r="A988" s="375"/>
    </row>
    <row r="989">
      <c r="A989" s="375"/>
    </row>
    <row r="990">
      <c r="A990" s="375"/>
    </row>
    <row r="991">
      <c r="A991" s="375"/>
    </row>
    <row r="992">
      <c r="A992" s="375"/>
    </row>
    <row r="993">
      <c r="A993" s="375"/>
    </row>
    <row r="994">
      <c r="A994" s="375"/>
    </row>
    <row r="995">
      <c r="A995" s="375"/>
    </row>
    <row r="996">
      <c r="A996" s="375"/>
    </row>
    <row r="997">
      <c r="A997" s="375"/>
    </row>
    <row r="998">
      <c r="A998" s="375"/>
    </row>
    <row r="999">
      <c r="A999" s="375"/>
    </row>
    <row r="1000">
      <c r="A1000" s="375"/>
    </row>
  </sheetData>
  <mergeCells count="5">
    <mergeCell ref="B1:D3"/>
    <mergeCell ref="K1:T3"/>
    <mergeCell ref="U1:AA3"/>
    <mergeCell ref="AB1:AF3"/>
    <mergeCell ref="AG1:AK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5" max="5" width="18.88"/>
    <col customWidth="1" min="15" max="15" width="20.5"/>
    <col customWidth="1" min="18" max="18" width="29.63"/>
  </cols>
  <sheetData>
    <row r="1">
      <c r="A1" s="376"/>
      <c r="B1" s="377" t="s">
        <v>250</v>
      </c>
      <c r="C1" s="187"/>
      <c r="D1" s="187"/>
      <c r="E1" s="187"/>
      <c r="F1" s="187"/>
      <c r="G1" s="188"/>
      <c r="N1" s="378" t="s">
        <v>251</v>
      </c>
      <c r="R1" s="378" t="s">
        <v>252</v>
      </c>
      <c r="T1" s="378" t="s">
        <v>253</v>
      </c>
      <c r="Z1" s="376"/>
      <c r="AA1" s="377" t="s">
        <v>250</v>
      </c>
      <c r="AB1" s="187"/>
      <c r="AC1" s="187"/>
      <c r="AD1" s="187"/>
      <c r="AE1" s="187"/>
      <c r="AF1" s="188"/>
      <c r="AG1" s="379"/>
      <c r="AH1" s="376"/>
      <c r="AI1" s="380" t="s">
        <v>254</v>
      </c>
      <c r="AJ1" s="187"/>
      <c r="AK1" s="187"/>
      <c r="AL1" s="187"/>
      <c r="AM1" s="187"/>
      <c r="AN1" s="188"/>
    </row>
    <row r="2">
      <c r="A2" s="381"/>
      <c r="B2" s="382" t="s">
        <v>255</v>
      </c>
      <c r="C2" s="382" t="s">
        <v>7</v>
      </c>
      <c r="D2" s="382" t="s">
        <v>8</v>
      </c>
      <c r="E2" s="382" t="s">
        <v>256</v>
      </c>
      <c r="F2" s="382" t="s">
        <v>9</v>
      </c>
      <c r="G2" s="383" t="s">
        <v>10</v>
      </c>
      <c r="L2" s="384">
        <f>IFERROR(__xludf.DUMMYFUNCTION("COUNTBLANK(FILTER(A3:C3141,A3:A3141=A3,B3:B3141=""Мафия"",C3:C3141 &lt; 1))"),4.0)</f>
        <v>4</v>
      </c>
      <c r="M2" s="384">
        <f>COUNTIFS(A3:A15,A3,E3:E15,"Штраф")</f>
        <v>0</v>
      </c>
      <c r="N2" s="378" t="s">
        <v>257</v>
      </c>
      <c r="P2" s="384">
        <f t="shared" ref="P2:P10" si="1">COUNTIF(R:R,N2)</f>
        <v>26</v>
      </c>
      <c r="R2" s="384" t="str">
        <f t="array" ref="R2:R301">{'1 серия'!G18;'1 серия'!M18;'1 серия'!S18;'1 серия'!Y18;'1 серия'!AE18;'2 серия'!G18;'2 серия'!M18;'2 серия'!S18;'2 серия'!Y18;'2 серия'!AE18;'3 серия'!G18;'3 серия'!M18;'3 серия'!S18;'3 серия'!Y18;'3 серия'!AE18;'4 серия'!G18;'4 серия'!M18;'4 серия'!S18;'4 серия'!Y18;'4 серия'!AE18;'5 серия'!G18;'5 серия'!M18;'5 серия'!S18;'5 серия'!Y18;'5 серия'!AE18;'6 серия'!G18;'6 серия'!M18;'6 серия'!S18;'6 серия'!Y18;'6 серия'!AE18;'7 серия'!G18;'7 серия'!M18;'7 серия'!S18;'7 серия'!Y18;'7 серия'!AE18;'8 серия'!G18;'8 серия'!M18;'8 серия'!S18;'8 серия'!Y18;'8 серия'!AE18;'9 серия'!G19;'9 серия'!M19;'9 серия'!S19;'9 серия'!Y19;'9 серия'!AE19;'10 серия'!G18;'10 серия'!M18;'10 серия'!S18;'10 серия'!Y18;'10 серия'!AE18;'11 серия'!G18;'11 серия'!M18;'11 серия'!S18;'11 серия'!Y18;'11 серия'!AE18;'12 серия'!G18;'12 серия'!M18;'12 серия'!S18;'12 серия'!Y18;'12 серия'!AE18;'13 серия'!G18;'13 серия'!M18;'13 серия'!S18;'13 серия'!Y18;'13 серия'!AE18;'14 серия'!G18;'14 серия'!M18;'14 серия'!S18;'14 серия'!Y18;'14 серия'!AE18;'15 серия'!G18;'15 серия'!M18;'15 серия'!S18;'15 серия'!Y18;'15 серия'!AE18;'16 серия'!G18;'16 серия'!M18;'16 серия'!S18;'16 серия'!Y18;'16 серия'!AE18;'17 серия'!G18;'17 серия'!M18;'17 серия'!S18;'17 серия'!Y18;'17 серия'!AE18;'18 серия'!G18;'18 серия'!M18;'18 серия'!S18;'18 серия'!Y18;'18 серия'!AE18;'19 серия'!G18;'19 серия'!M18;'19 серия'!S18;'19 серия'!Y18;'19 серия'!AE18;'20 серия'!G18;'20 серия'!M18;'20 серия'!S18;'20 серия'!Y18;'20 серия'!AE18;'21 серия'!G18;'21 серия'!M18;'21 серия'!S18;'21 серия'!Y18;'21 серия'!AE18;'22 серия'!G18;'22 серия'!M18;'22 серия'!S18;'22 серия'!Y18;'22 серия'!AE18;'23 серия'!G18;'23 серия'!M18;'23 серия'!S18;'23 серия'!Y18;'23 серия'!AE18;'24 серия'!G18;'24 серия'!M18;'24 серия'!S18;'24 серия'!Y18;'24 серия'!AE18;'25 серия'!G18;'25 серия'!M18;'25 серия'!S18;'25 серия'!Y18;'25 серия'!AE18;'26 серия'!G18;'26 серия'!M18;'26 серия'!S18;'26 серия'!Y18;'26 серия'!AE18;'27 серия'!G18;'27 серия'!M18;'27 серия'!S18;'27 серия'!Y18;'27 серия'!AE18;'28 серия'!G18;'28 серия'!M18;'28 серия'!S18;'28 серия'!Y18;'28 серия'!AE18;'29 серия'!G18;'29 серия'!M18;'29 серия'!S18;'29 серия'!Y18;'29 серия'!AE18;'30 серия'!G18;'30 серия'!M18;'30 серия'!S18;'30 серия'!Y18;'30 серия'!AE18;'31 серия'!G18;'31 серия'!M18;'31 серия'!S18;'31 серия'!Y18;'31 серия'!AE18;'32 серия'!G18;'32 серия'!M18;'32 серия'!S18;'32 серия'!Y18;'32 серия'!AE18;'33 серия'!G18;'33 серия'!M18;'33 серия'!S18;'33 серия'!Y18;'33 серия'!AE18;'34 серия'!G18;'34 серия'!M18;'34 серия'!S18;'34 серия'!Y18;'34 серия'!AE18;'35 серия'!G18;'35 серия'!M18;'35 серия'!S18;'35 серия'!Y18;'35 серия'!AE18;'36 серия'!G18;'36 серия'!M18;'36 серия'!S18;'36 серия'!Y18;'36 серия'!AE18;'37 серия'!G18;'37 серия'!M18;'37 серия'!S18;'37 серия'!Y18;'37 серия'!AE18;'38 серия'!G18;'38 серия'!M18;'38 серия'!S18;'38 серия'!Y18;'38 серия'!AE18;'39 серия'!G18;'39 серия'!M18;'39 серия'!S18;'39 серия'!Y18;'39 серия'!AE18;'40 серия'!G18;'40 серия'!M18;'40 серия'!S18;'40 серия'!Y18;'40 серия'!AE18;'41 серия'!G18;'41 серия'!M18;'41 серия'!S18;'41 серия'!Y18;'41 серия'!AE18;'42 серия'!G18;'42 серия'!M18;'42 серия'!S18;'42 серия'!Y18;'42 серия'!AE18;'43 серия'!G18;'43 серия'!M18;'43 серия'!S18;'43 серия'!Y18;'43 серия'!AE18;'44 серия'!G18;'44 серия'!M18;'44 серия'!S18;'44 серия'!Y18;'44 серия'!AE18;'45 серия'!G18;'45 серия'!M18;'45 серия'!S18;'45 серия'!Y18;'45 серия'!AE18;'46 серия'!G18;'46 серия'!M18;'46 серия'!S18;'46 серия'!Y18;'46 серия'!AE18;'47 серия'!G18;'47 серия'!M18;'47 серия'!S18;'47 серия'!Y18;'47 серия'!AE18;'48 серия'!G18;'48 серия'!M18;'48 серия'!S18;'48 серия'!Y18;'48 серия'!AE18;'49 серия'!G18;'49 серия'!M18;'49 серия'!S18;'49 серия'!Y18;'49 серия'!AE18;'50 серия'!G18;'50 серия'!M18;'50 серия'!S18;'50 серия'!Y18;'50 серия'!AE18;'51 серия'!G18;'51 серия'!M18;'51 серия'!S18;'51 серия'!Y18;'51 серия'!AE18;'52 серия'!G18;'52 серия'!M18;'52 серия'!S18;'52 серия'!Y18;'52 серия'!AE18;'53 серия'!G18;'53 серия'!M18;'53 серия'!S18;'53 серия'!Y18;'53 серия'!AE18;'54 серия'!G18;'54 серия'!M18;'54 серия'!S18;'54 серия'!Y18;'54 серия'!AE18;'55 серия'!G18;'55 серия'!M18;'55 серия'!S18;'55 серия'!Y18;'55 серия'!AE18;'56 серия'!G18;'56 серия'!M18;'56 серия'!S18;'56 серия'!Y18;'56 серия'!AE18;'57 серия'!G18;'57 серия'!M18;'57 серия'!S18;'57 серия'!Y18;'57 серия'!AE18;'58 серия'!G18;'58 серия'!M18;'58 серия'!S18;'58 серия'!Y18;'58 серия'!AE18;'59 серия'!G18;'59 серия'!M18;'59 серия'!S18;'59 серия'!Y18;'59 серия'!AE18;'60 серия'!G18;'60 серия'!M18;'60 серия'!S18;'60 серия'!Y18;'60 серия'!AE18}</f>
        <v>Победа города на круг при пятерых</v>
      </c>
      <c r="T2" s="384" t="str">
        <f>IFERROR(__xludf.DUMMYFUNCTION("QUERY('Турнирная таблица по Алфавиту'!C7:BZ66,""select C,U order by U desc"")"),"Young")</f>
        <v>Young</v>
      </c>
      <c r="U2" s="385">
        <f>IFERROR(__xludf.DUMMYFUNCTION("""COMPUTED_VALUE"""),26.0)</f>
        <v>26</v>
      </c>
      <c r="W2" s="384" t="str">
        <f>IFERROR(__xludf.DUMMYFUNCTION("QUERY(T:U,""select T,U order by U desc"")"),"МАКС Значение")</f>
        <v>МАКС Значение</v>
      </c>
      <c r="X2" s="384" t="str">
        <f>IFERROR(__xludf.DUMMYFUNCTION("""COMPUTED_VALUE"""),"")</f>
        <v/>
      </c>
      <c r="Z2" s="386"/>
      <c r="AA2" s="382" t="s">
        <v>255</v>
      </c>
      <c r="AB2" s="382" t="s">
        <v>7</v>
      </c>
      <c r="AC2" s="382" t="s">
        <v>8</v>
      </c>
      <c r="AD2" s="382" t="s">
        <v>256</v>
      </c>
      <c r="AE2" s="382" t="s">
        <v>9</v>
      </c>
      <c r="AF2" s="383" t="s">
        <v>10</v>
      </c>
      <c r="AG2" s="387"/>
      <c r="AH2" s="386"/>
      <c r="AI2" s="382" t="s">
        <v>255</v>
      </c>
      <c r="AJ2" s="382" t="s">
        <v>7</v>
      </c>
      <c r="AK2" s="382" t="s">
        <v>8</v>
      </c>
      <c r="AL2" s="382" t="s">
        <v>256</v>
      </c>
      <c r="AM2" s="382" t="s">
        <v>9</v>
      </c>
      <c r="AN2" s="383" t="s">
        <v>10</v>
      </c>
    </row>
    <row r="3">
      <c r="A3" s="388" t="str">
        <f t="array" ref="A3:A3002">{'1 серия'!B6:B15;'1 серия'!B6:B15;'1 серия'!B6:B15;'1 серия'!B6:B15;'1 серия'!B6:B15;'2 серия'!B6:B15;'2 серия'!B6:B15;'2 серия'!B6:B15;'2 серия'!B6:B15;'2 серия'!B6:B15;'3 серия'!B6:B15;'3 серия'!B6:B15;'3 серия'!B6:B15;'3 серия'!B6:B15;'3 серия'!B6:B15;'4 серия'!B6:B15;'4 серия'!B6:B15;'4 серия'!B6:B15;'4 серия'!B6:B15;'4 серия'!B6:B15;'5 серия'!B6:B15;'5 серия'!B6:B15;'5 серия'!B6:B15;'5 серия'!B6:B15;'5 серия'!B6:B15;'6 серия'!B6:B15;'6 серия'!B6:B15;'6 серия'!B6:B15;'6 серия'!B6:B15;'6 серия'!B6:B15;'7 серия'!B6:B15;'7 серия'!B6:B15;'7 серия'!B6:B15;'7 серия'!B6:B15;'7 серия'!B6:B15;'8 серия'!B6:B15;'8 серия'!B6:B15;'8 серия'!B6:B15;'8 серия'!B6:B15;'8 серия'!B6:B15;'9 серия'!B7:B16;'9 серия'!B7:B16;'9 серия'!B7:B16;'9 серия'!B7:B16;'9 серия'!B7:B16;'10 серия'!B6:B15;'10 серия'!B6:B15;'10 серия'!B6:B15;'10 серия'!B6:B15;'10 серия'!B6:B15;'11 серия'!B6:B15;'11 серия'!B6:B15;'11 серия'!B6:B15;'11 серия'!B6:B15;'11 серия'!B6:B15;'12 серия'!B6:B15;'12 серия'!B6:B15;'12 серия'!B6:B15;'12 серия'!B6:B15;'12 серия'!B6:B15;'13 серия'!B6:B15;'13 серия'!B6:B15;'13 серия'!B6:B15;'13 серия'!B6:B15;'13 серия'!B6:B15;'14 серия'!B6:B15;'14 серия'!B6:B15;'14 серия'!B6:B15;'14 серия'!B6:B15;'14 серия'!B6:B15;                                                        
'15 серия'!B6:B15;'15 серия'!B6:B15;'15 серия'!B6:B15;'15 серия'!B6:B15;'15 серия'!B6:B15;                                                        
'16 серия'!B6:B15;'16 серия'!B6:B15;'16 серия'!B6:B15;'16 серия'!B6:B15;'16 серия'!B6:B15;                                                        
'17 серия'!B6:B15;'17 серия'!B6:B15;'17 серия'!B6:B15;'17 серия'!B6:B15;'17 серия'!B6:B15;                                                        
'18 серия'!B6:B15;'18 серия'!B6:B15;'18 серия'!B6:B15;'18 серия'!B6:B15;'18 серия'!B6:B15;                                                        
'19 серия'!B6:B15;'19 серия'!B6:B15;'19 серия'!B6:B15;'19 серия'!B6:B15;'19 серия'!B6:B15;                                                        
'20 серия'!B6:B15;'20 серия'!B6:B15;'20 серия'!B6:B15;'20 серия'!B6:B15;'20 серия'!B6:B15;                                                        
'21 серия'!B6:B15;'21 серия'!B6:B15;'21 серия'!B6:B15;'21 серия'!B6:B15;'21 серия'!B6:B15;                                                        
'22 серия'!B6:B15;'22 серия'!B6:B15;'22 серия'!B6:B15;'22 серия'!B6:B15;'22 серия'!B6:B15;                                                                                                              '23 серия'!B6:B15;'23 серия'!B6:B15;'23 серия'!B6:B15;'23 серия'!B6:B15;'23 серия'!B6:B15; '24 серия'!B6:B15;'24 серия'!B6:B15;'24 серия'!B6:B15;'24 серия'!B6:B15;'24 серия'!B6:B15;                                                        
'25 серия'!B6:B15;'25 серия'!B6:B15;'25 серия'!B6:B15;'25 серия'!B6:B15;'25 серия'!B6:B15;                                                        
'26 серия'!B6:B15;'26 серия'!B6:B15;'26 серия'!B6:B15;'26 серия'!B6:B15;'26 серия'!B6:B15;                                                        
'27 серия'!B6:B15;'27 серия'!B6:B15;'27 серия'!B6:B15;'27 серия'!B6:B15;'27 серия'!B6:B15;                                                        
'28 серия'!B6:B15;'28 серия'!B6:B15;'28 серия'!B6:B15;'28 серия'!B6:B15;'28 серия'!B6:B15;                                                        
'29 серия'!B6:B15;'29 серия'!B6:B15;'29 серия'!B6:B15;'29 серия'!B6:B15;'29 серия'!B6:B15;                                                        
'30 серия'!B6:B15;'30 серия'!B6:B15;'30 серия'!B6:B15;'30 серия'!B6:B15;'30 серия'!B6:B15;                                                        
'31 серия'!B6:B15;'31 серия'!B6:B15;'31 серия'!B6:B15;'31 серия'!B6:B15;'31 серия'!B6:B15;                                                        
'32 серия'!B6:B15;'32 серия'!B6:B15;'32 серия'!B6:B15;'32 серия'!B6:B15;'32 серия'!B6:B15;                                                        
'33 серия'!B6:B15;'33 серия'!B6:B15;'33 серия'!B6:B15;'33 серия'!B6:B15;'33 серия'!B6:B15;                                                        
'34 серия'!B6:B15;'34 серия'!B6:B15;'34 серия'!B6:B15;'34 серия'!B6:B15;'34 серия'!B6:B15;                                                        
'35 серия'!B6:B15;'35 серия'!B6:B15;'35 серия'!B6:B15;'35 серия'!B6:B15;'35 серия'!B6:B15;                                                        
'36 серия'!B6:B15;'36 серия'!B6:B15;'36 серия'!B6:B15;'36 серия'!B6:B15;'36 серия'!B6:B15;                                                        
'37 серия'!B6:B15;'37 серия'!B6:B15;'37 серия'!B6:B15;'37 серия'!B6:B15;'37 серия'!B6:B15;                                                        
'38 серия'!B6:B15;'38 серия'!B6:B15;'38 серия'!B6:B15;'38 серия'!B6:B15;'38 серия'!B6:B15;                                                        
'39 серия'!B6:B15;'39 серия'!B6:B15;'39 серия'!B6:B15;'39 серия'!B6:B15;'39 серия'!B6:B15;                                                        
'40 серия'!B6:B15;'40 серия'!B6:B15;'40 серия'!B6:B15;'40 серия'!B6:B15;'40 серия'!B6:B15;'41 серия'!B6:B15;'41 серия'!B6:B15;'41 серия'!B6:B15;'41 серия'!B6:B15;'41 серия'!B6:B15;                                                        
'42 серия'!B6:B15;'42 серия'!B6:B15;'42 серия'!B6:B15;'42 серия'!B6:B15;'42 серия'!B6:B15;                                                        
'43 серия'!B6:B15;'43 серия'!B6:B15;'43 серия'!B6:B15;'43 серия'!B6:B15;'43 серия'!B6:B15;                                                        
'44 серия'!B6:B15;'44 серия'!B6:B15;'44 серия'!B6:B15;'44 серия'!B6:B15;'44 серия'!B6:B15;                                                        
'45 серия'!B6:B15;'45 серия'!B6:B15;'45 серия'!B6:B15;'45 серия'!B6:B15;'45 серия'!B6:B15;                                                        
'46 серия'!B6:B15;'46 серия'!B6:B15;'46 серия'!B6:B15;'46 серия'!B6:B15;'46 серия'!B6:B15;                                                        
'47 серия'!B6:B15;'47 серия'!B6:B15;'47 серия'!B6:B15;'47 серия'!B6:B15;'47 серия'!B6:B15;                                                        
'48 серия'!B6:B15;'48 серия'!B6:B15;'48 серия'!B6:B15;'48 серия'!B6:B15;'48 серия'!B6:B15; '49 серия'!B6:B15;'49 серия'!B6:B15;'49 серия'!B6:B15;'49 серия'!B6:B15;'49 серия'!B6:B15;                                                        
'50 серия'!B6:B15;'50 серия'!B6:B15;'50 серия'!B6:B15;'50 серия'!B6:B15;'50 серия'!B6:B15;                                                        
'51 серия'!B6:B15;'51 серия'!B6:B15;'51 серия'!B6:B15;'51 серия'!B6:B15;'51 серия'!B6:B15;                                                        
'52 серия'!B6:B15;'52 серия'!B6:B15;'52 серия'!B6:B15;'52 серия'!B6:B15;'52 серия'!B6:B15;                                                        
'53 серия'!B6:B15;'53 серия'!B6:B15;'53 серия'!B6:B15;'53 серия'!B6:B15;'53 серия'!B6:B15;                                                        
'54 серия'!B6:B15;'54 серия'!B6:B15;'54 серия'!B6:B15;'54 серия'!B6:B15;'54 серия'!B6:B15;                                                        
'55 серия'!B6:B15;'55 серия'!B6:B15;'55 серия'!B6:B15;'55 серия'!B6:B15;'55 серия'!B6:B15;                                                        
'56 серия'!B6:B15;'56 серия'!B6:B15;'56 серия'!B6:B15;'56 серия'!B6:B15;'56 серия'!B6:B15;                                                        
'57 серия'!B6:B15;'57 серия'!B6:B15;'57 серия'!B6:B15;'57 серия'!B6:B15;'57 серия'!B6:B15;                                                        
'58 серия'!B6:B15;'58 серия'!B6:B15;'58 серия'!B6:B15;'58 серия'!B6:B15;'58 серия'!B6:B15;                                                        
'59 серия'!B6:B15;'59 серия'!B6:B15;'59 серия'!B6:B15;'59 серия'!B6:B15;'59 серия'!B6:B15;                                                        
'60 серия'!B6:B15;'60 серия'!B6:B15;'60 серия'!B6:B15;'60 серия'!B6:B15;'60 серия'!B6:B15                                                                                                                                                                                     }</f>
        <v>Curly</v>
      </c>
      <c r="B3" s="384" t="str">
        <f t="array" ref="B3:G3002">{'1 серия'!G6:L15;'1 серия'!M6:R15;'1 серия'!S6:X15;'1 серия'!Y6:AD15;'1 серия'!AE6:AJ15;'2 серия'!G6:L15;'2 серия'!M6:R15;'2 серия'!S6:X15;'2 серия'!Y6:AD15;'2 серия'!AE6:AJ15;'3 серия'!G6:L15;'3 серия'!M6:R15;'3 серия'!S6:X15;'3 серия'!Y6:AD15;'3 серия'!AE6:AJ15;'4 серия'!G6:L15;'4 серия'!M6:R15;'4 серия'!S6:X15;'4 серия'!Y6:AD15;'4 серия'!AE6:AJ15;'5 серия'!G6:L15;'5 серия'!M6:R15;'5 серия'!S6:X15;'5 серия'!Y6:AD15;'5 серия'!AE6:AJ15;'6 серия'!G6:L15;'6 серия'!M6:R15;'6 серия'!S6:X15;'6 серия'!Y6:AD15;'6 серия'!AE6:AJ15;'7 серия'!G6:L15;'7 серия'!M6:R15;'7 серия'!S6:X15;'7 серия'!Y6:AD15;'7 серия'!AE6:AJ15;'8 серия'!G6:L15;'8 серия'!M6:R15;'8 серия'!S6:X15;'8 серия'!Y6:AD15;'8 серия'!AE6:AJ15;'9 серия'!G7:L16;'9 серия'!M7:R16;'9 серия'!S7:X16;'9 серия'!Y7:AD16;'9 серия'!AE7:AJ16;'10 серия'!G6:L15;'10 серия'!M6:R15;'10 серия'!S6:X15;'10 серия'!Y6:AD15;'10 серия'!AE6:AJ15;'11 серия'!G6:L15;'11 серия'!M6:R15;'11 серия'!S6:X15;'11 серия'!Y6:AD15;'11 серия'!AE6:AJ15;'12 серия'!G6:L15;'12 серия'!M6:R15;'12 серия'!S6:X15;'12 серия'!Y6:AD15;'12 серия'!AE6:AJ15;'13 серия'!G6:L15;'13 серия'!M6:R15;'13 серия'!S6:X15;'13 серия'!Y6:AD15;'13 серия'!AE6:AJ15;'14 серия'!G6:L15;'14 серия'!M6:R15;'14 серия'!S6:X15;'14 серия'!Y6:AD15;'14 серия'!AE6:AJ15;'15 серия'!G6:L15;'15 серия'!M6:R15;'15 серия'!S6:X15;'15 серия'!Y6:AD15;'15 серия'!AE6:AJ15;'16 серия'!G6:L15;'16 серия'!M6:R15;'16 серия'!S6:X15;'16 серия'!Y6:AD15;'16 серия'!AE6:AJ15;'17 серия'!G6:L15;'17 серия'!M6:R15;'17 серия'!S6:X15;'17 серия'!Y6:AD15;'17 серия'!AE6:AJ15;'18 серия'!G6:L15;'18 серия'!M6:R15;'18 серия'!S6:X15;'18 серия'!Y6:AD15;'18 серия'!AE6:AJ15;'19 серия'!G6:L15;'19 серия'!M6:R15;'19 серия'!S6:X15;'19 серия'!Y6:AD15;'19 серия'!AE6:AJ15;'20 серия'!G6:L15;'20 серия'!M6:R15;'20 серия'!S6:X15;'20 серия'!Y6:AD15;'20 серия'!AE6:AJ15;'21 серия'!G6:L15;'21 серия'!M6:R15;'21 серия'!S6:X15;'21 серия'!Y6:AD15;'21 серия'!AE6:AJ15;'22 серия'!G6:L15;'22 серия'!M6:R15;'22 серия'!S6:X15;'22 серия'!Y6:AD15;'22 серия'!AE6:AJ15;'23 серия'!G6:L15;'23 серия'!M6:R15;'23 серия'!S6:X15;'23 серия'!Y6:AD15;'23 серия'!AE6:AJ15;'24 серия'!G6:L15;'24 серия'!M6:R15;'24 серия'!S6:X15;'24 серия'!Y6:AD15;'24 серия'!AE6:AJ15;'25 серия'!G6:L15;'25 серия'!M6:R15;'25 серия'!S6:X15;'25 серия'!Y6:AD15;'25 серия'!AE6:AJ15;'26 серия'!G6:L15;'26 серия'!M6:R15;'26 серия'!S6:X15;'26 серия'!Y6:AD15;'26 серия'!AE6:AJ15;'27 серия'!G6:L15;'27 серия'!M6:R15;'27 серия'!S6:X15;'27 серия'!Y6:AD15;'27 серия'!AE6:AJ15;'28 серия'!G6:L15;'28 серия'!M6:R15;'28 серия'!S6:X15;'28 серия'!Y6:AD15;'28 серия'!AE6:AJ15;'29 серия'!G6:L15;'29 серия'!M6:R15;'29 серия'!S6:X15;'29 серия'!Y6:AD15;'29 серия'!AE6:AJ15;'30 серия'!G6:L15;'30 серия'!M6:R15;'30 серия'!S6:X15;'30 серия'!Y6:AD15;'30 серия'!AE6:AJ15;'31 серия'!G6:L15;'31 серия'!M6:R15;'31 серия'!S6:X15;'31 серия'!Y6:AD15;'31 серия'!AE6:AJ15;'32 серия'!G6:L15;'32 серия'!M6:R15;'32 серия'!S6:X15;'32 серия'!Y6:AD15;'32 серия'!AE6:AJ15;'33 серия'!G6:L15;'33 серия'!M6:R15;'33 серия'!S6:X15;'33 серия'!Y6:AD15;'33 серия'!AE6:AJ15;'34 серия'!G6:L15;'34 серия'!M6:R15;'34 серия'!S6:X15;'34 серия'!Y6:AD15;'34 серия'!AE6:AJ15;'35 серия'!G6:L15;'35 серия'!M6:R15;'35 серия'!S6:X15;'35 серия'!Y6:AD15;'35 серия'!AE6:AJ15;'36 серия'!G6:L15;'36 серия'!M6:R15;'36 серия'!S6:X15;'36 серия'!Y6:AD15;'36 серия'!AE6:AJ15;'37 серия'!G6:L15;'37 серия'!M6:R15;'37 серия'!S6:X15;'37 серия'!Y6:AD15;'37 серия'!AE6:AJ15;'38 серия'!G6:L15;'38 серия'!M6:R15;'38 серия'!S6:X15;'38 серия'!Y6:AD15;'38 серия'!AE6:AJ15;'39 серия'!G6:L15;'39 серия'!M6:R15;'39 серия'!S6:X15;'39 серия'!Y6:AD15;'39 серия'!AE6:AJ15;'40 серия'!G6:L15;'40 серия'!M6:R15;'40 серия'!S6:X15;'40 серия'!Y6:AD15;'40 серия'!AE6:AJ15;'41 серия'!G6:L15;'41 серия'!M6:R15;'41 серия'!S6:X15;'41 серия'!Y6:AD15;'41 серия'!AE6:AJ15;'42 серия'!G6:L15;'42 серия'!M6:R15;'42 серия'!S6:X15;'42 серия'!Y6:AD15;'42 серия'!AE6:AJ15;'43 серия'!G6:L15;'43 серия'!M6:R15;'43 серия'!S6:X15;'43 серия'!Y6:AD15;'43 серия'!AE6:AJ15;'44 серия'!G6:L15;'44 серия'!M6:R15;'44 серия'!S6:X15;'44 серия'!Y6:AD15;'44 серия'!AE6:AJ15;'45 серия'!G6:L15;'45 серия'!M6:R15;'45 серия'!S6:X15;'45 серия'!Y6:AD15;'45 серия'!AE6:AJ15;'46 серия'!G6:L15;'46 серия'!M6:R15;'46 серия'!S6:X15;'46 серия'!Y6:AD15;'46 серия'!AE6:AJ15;'47 серия'!G6:L15;'47 серия'!M6:R15;'47 серия'!S6:X15;'47 серия'!Y6:AD15;'47 серия'!AE6:AJ15;'48 серия'!G6:L15;'48 серия'!M6:R15;'48 серия'!S6:X15;'48 серия'!Y6:AD15;'48 серия'!AE6:AJ15;'49 серия'!G6:L15;'49 серия'!M6:R15;'49 серия'!S6:X15;'49 серия'!Y6:AD15;'49 серия'!AE6:AJ15;'50 серия'!G6:L15;'50 серия'!M6:R15;'50 серия'!S6:X15;'50 серия'!Y6:AD15;'50 серия'!AE6:AJ15;'51 серия'!G6:L15;'51 серия'!M6:R15;'51 серия'!S6:X15;'51 серия'!Y6:AD15;'51 серия'!AE6:AJ15;'52 серия'!G6:L15;'52 серия'!M6:R15;'52 серия'!S6:X15;'52 серия'!Y6:AD15;'52 серия'!AE6:AJ15;'53 серия'!G6:L15;'53 серия'!M6:R15;'53 серия'!S6:X15;'53 серия'!Y6:AD15;'53 серия'!AE6:AJ15;'54 серия'!G6:L15;'54 серия'!M6:R15;'54 серия'!S6:X15;'54 серия'!Y6:AD15;'54 серия'!AE6:AJ15;'55 серия'!G6:L15;'55 серия'!M6:R15;'55 серия'!S6:X15;'55 серия'!Y6:AD15;'55 серия'!AE6:AJ15;'56 серия'!G6:L15;'56 серия'!M6:R15;'56 серия'!S6:X15;'56 серия'!Y6:AD15;'56 серия'!AE6:AJ15;'57 серия'!G6:L15;'57 серия'!M6:R15;'57 серия'!S6:X15;'57 серия'!Y6:AD15;'57 серия'!AE6:AJ15;'58 серия'!G6:L15;'58 серия'!M6:R15;'58 серия'!S6:X15;'58 серия'!Y6:AD15;'58 серия'!AE6:AJ15;'59 серия'!G6:L15;'59 серия'!M6:R15;'59 серия'!S6:X15;'59 серия'!Y6:AD15;'59 серия'!AE6:AJ15;'60 серия'!G6:L15;'60 серия'!M6:R15;'60 серия'!S6:X15;'60 серия'!Y6:AD15;'60 серия'!AE6:AJ15}</f>
        <v>Мирный</v>
      </c>
      <c r="C3" s="389">
        <v>2.5</v>
      </c>
      <c r="D3" s="389">
        <v>2.5</v>
      </c>
      <c r="E3" s="384"/>
      <c r="F3" s="389"/>
      <c r="G3" s="389"/>
      <c r="L3" s="384" t="str">
        <f>COUNTBLANK(FILTER('Все игры'A$3:C;'Все игры'!A$3:A=A5;'Все игры'!C$3:C&gt;0;'Все игры'!B$3:B="Мафия"))</f>
        <v>#ERROR!</v>
      </c>
      <c r="N3" s="378" t="s">
        <v>258</v>
      </c>
      <c r="P3" s="384">
        <f t="shared" si="1"/>
        <v>8</v>
      </c>
      <c r="R3" s="384" t="s">
        <v>259</v>
      </c>
      <c r="T3" s="384" t="str">
        <f>IFERROR(__xludf.DUMMYFUNCTION("""COMPUTED_VALUE"""),"Coach")</f>
        <v>Coach</v>
      </c>
      <c r="U3" s="385">
        <f>IFERROR(__xludf.DUMMYFUNCTION("""COMPUTED_VALUE"""),25.25)</f>
        <v>25.25</v>
      </c>
      <c r="W3" s="384" t="str">
        <f>IFERROR(__xludf.DUMMYFUNCTION("""COMPUTED_VALUE"""),"BWDMoscow")</f>
        <v>BWDMoscow</v>
      </c>
      <c r="X3" s="385">
        <f>IFERROR(__xludf.DUMMYFUNCTION("""COMPUTED_VALUE"""),31.5)</f>
        <v>31.5</v>
      </c>
      <c r="Z3" s="384" t="str">
        <f t="array" ref="Z3:Z102">{'Последний Шанс'!B6:B15;'Последний Шанс'!B6:B15;'Последний Шанс'!B6:B15;'Последний Шанс'!B6:B15;'Последний Шанс'!B6:B15;'Последний Шанс'!B6:B15;'Последний Шанс'!B6:B15;'Последний Шанс'!B6:B15;'Последний Шанс'!B6:B15;'Последний Шанс'!B6:B15}</f>
        <v>Бестия</v>
      </c>
      <c r="AA3" s="384" t="str">
        <f t="array" ref="AA3:AF102">{'Последний Шанс'!G6:L15;'Последний Шанс'!M6:R15;'Последний Шанс'!S6:X15;'Последний Шанс'!Y6:AD15;'Последний Шанс'!AE6:AJ15;'Последний Шанс'!AK6:AP15;'Последний Шанс'!AQ6:AV15;'Последний Шанс'!AW6:BB15;'Последний Шанс'!BC6:BH15;'Последний Шанс'!BI6:BN15}</f>
        <v>Мафия</v>
      </c>
      <c r="AB3" s="389">
        <v>2.5</v>
      </c>
      <c r="AC3" s="389">
        <v>4.25</v>
      </c>
      <c r="AD3" s="384" t="s">
        <v>260</v>
      </c>
      <c r="AE3" s="389"/>
      <c r="AF3" s="389"/>
      <c r="AH3" s="384" t="str">
        <f t="array" ref="AH3:AH102">{'Всё или ничего'!B6:B15;'Всё или ничего'!B6:B15;'Всё или ничего'!B6:B15;'Всё или ничего'!B6:B15;'Всё или ничего'!B6:B15;'Всё или ничего'!B6:B15;'Всё или ничего'!B6:B15;'Всё или ничего'!B6:B15;'Всё или ничего'!B6:B15;'Всё или ничего'!B6:B15}</f>
        <v>Cherry pick</v>
      </c>
      <c r="AI3" s="384" t="str">
        <f t="array" ref="AI3:AN102">{'Всё или ничего'!G6:L15;'Всё или ничего'!M6:R15;'Всё или ничего'!S6:X15;'Всё или ничего'!Y6:AD15;'Всё или ничего'!AE6:AJ15;'Всё или ничего'!AK6:AP15;'Всё или ничего'!AQ6:AV15;'Всё или ничего'!AW6:BB15;'Всё или ничего'!BC6:BH15;'Всё или ничего'!BI6:BN15}</f>
        <v>Мирный</v>
      </c>
      <c r="AJ3" s="389">
        <v>2.5</v>
      </c>
      <c r="AK3" s="389">
        <v>3.75</v>
      </c>
      <c r="AL3" s="384"/>
      <c r="AM3" s="389"/>
      <c r="AN3" s="389"/>
    </row>
    <row r="4">
      <c r="A4" s="384" t="s">
        <v>82</v>
      </c>
      <c r="B4" s="384" t="s">
        <v>261</v>
      </c>
      <c r="C4" s="389">
        <v>2.5</v>
      </c>
      <c r="D4" s="389">
        <v>2.0</v>
      </c>
      <c r="E4" s="384" t="s">
        <v>11</v>
      </c>
      <c r="F4" s="389"/>
      <c r="G4" s="389">
        <v>0.5</v>
      </c>
      <c r="N4" s="378" t="s">
        <v>262</v>
      </c>
      <c r="P4" s="384">
        <f t="shared" si="1"/>
        <v>25</v>
      </c>
      <c r="R4" s="384" t="s">
        <v>262</v>
      </c>
      <c r="T4" s="384" t="str">
        <f>IFERROR(__xludf.DUMMYFUNCTION("""COMPUTED_VALUE"""),"Шпиц")</f>
        <v>Шпиц</v>
      </c>
      <c r="U4" s="385">
        <f>IFERROR(__xludf.DUMMYFUNCTION("""COMPUTED_VALUE"""),23.75)</f>
        <v>23.75</v>
      </c>
      <c r="W4" s="384" t="str">
        <f>IFERROR(__xludf.DUMMYFUNCTION("""COMPUTED_VALUE"""),"РФ")</f>
        <v>РФ</v>
      </c>
      <c r="X4" s="385">
        <f>IFERROR(__xludf.DUMMYFUNCTION("""COMPUTED_VALUE"""),30.75)</f>
        <v>30.75</v>
      </c>
      <c r="Z4" s="384" t="s">
        <v>155</v>
      </c>
      <c r="AA4" s="384" t="s">
        <v>261</v>
      </c>
      <c r="AB4" s="389"/>
      <c r="AC4" s="389">
        <v>1.75</v>
      </c>
      <c r="AD4" s="384" t="s">
        <v>263</v>
      </c>
      <c r="AE4" s="389"/>
      <c r="AF4" s="389"/>
      <c r="AH4" s="384" t="s">
        <v>138</v>
      </c>
      <c r="AI4" s="384" t="s">
        <v>261</v>
      </c>
      <c r="AJ4" s="389">
        <v>2.5</v>
      </c>
      <c r="AK4" s="389">
        <v>4.0</v>
      </c>
      <c r="AL4" s="384"/>
      <c r="AM4" s="389"/>
      <c r="AN4" s="389"/>
    </row>
    <row r="5">
      <c r="A5" s="384" t="s">
        <v>90</v>
      </c>
      <c r="B5" s="384" t="s">
        <v>261</v>
      </c>
      <c r="C5" s="389">
        <v>2.5</v>
      </c>
      <c r="D5" s="389">
        <v>3.75</v>
      </c>
      <c r="E5" s="384"/>
      <c r="F5" s="389"/>
      <c r="G5" s="389"/>
      <c r="N5" s="378" t="s">
        <v>264</v>
      </c>
      <c r="P5" s="384">
        <f t="shared" si="1"/>
        <v>15</v>
      </c>
      <c r="R5" s="384" t="s">
        <v>264</v>
      </c>
      <c r="T5" s="384" t="str">
        <f>IFERROR(__xludf.DUMMYFUNCTION("""COMPUTED_VALUE"""),"Наполеон")</f>
        <v>Наполеон</v>
      </c>
      <c r="U5" s="385">
        <f>IFERROR(__xludf.DUMMYFUNCTION("""COMPUTED_VALUE"""),23.0)</f>
        <v>23</v>
      </c>
      <c r="W5" s="384" t="str">
        <f>IFERROR(__xludf.DUMMYFUNCTION("""COMPUTED_VALUE"""),"Крёстный Отец (RU)")</f>
        <v>Крёстный Отец (RU)</v>
      </c>
      <c r="X5" s="385">
        <f>IFERROR(__xludf.DUMMYFUNCTION("""COMPUTED_VALUE"""),30.5)</f>
        <v>30.5</v>
      </c>
      <c r="Z5" s="384" t="s">
        <v>156</v>
      </c>
      <c r="AA5" s="384" t="s">
        <v>261</v>
      </c>
      <c r="AB5" s="389"/>
      <c r="AC5" s="389">
        <v>2.75</v>
      </c>
      <c r="AD5" s="384"/>
      <c r="AE5" s="389"/>
      <c r="AF5" s="389"/>
      <c r="AH5" s="384" t="s">
        <v>123</v>
      </c>
      <c r="AI5" s="384" t="s">
        <v>265</v>
      </c>
      <c r="AJ5" s="389"/>
      <c r="AK5" s="389">
        <v>2.5</v>
      </c>
      <c r="AL5" s="384"/>
      <c r="AM5" s="389"/>
      <c r="AN5" s="389"/>
    </row>
    <row r="6">
      <c r="A6" s="384" t="s">
        <v>119</v>
      </c>
      <c r="B6" s="384" t="s">
        <v>261</v>
      </c>
      <c r="C6" s="389">
        <v>2.5</v>
      </c>
      <c r="D6" s="389">
        <v>1.75</v>
      </c>
      <c r="E6" s="384"/>
      <c r="F6" s="389"/>
      <c r="G6" s="389"/>
      <c r="I6" s="378" t="s">
        <v>266</v>
      </c>
      <c r="N6" s="378" t="s">
        <v>267</v>
      </c>
      <c r="P6" s="384">
        <f t="shared" si="1"/>
        <v>62</v>
      </c>
      <c r="R6" s="384" t="s">
        <v>268</v>
      </c>
      <c r="T6" s="384" t="str">
        <f>IFERROR(__xludf.DUMMYFUNCTION("""COMPUTED_VALUE"""),"Манекен")</f>
        <v>Манекен</v>
      </c>
      <c r="U6" s="385">
        <f>IFERROR(__xludf.DUMMYFUNCTION("""COMPUTED_VALUE"""),21.5)</f>
        <v>21.5</v>
      </c>
      <c r="W6" s="384" t="str">
        <f>IFERROR(__xludf.DUMMYFUNCTION("""COMPUTED_VALUE"""),"Артик")</f>
        <v>Артик</v>
      </c>
      <c r="X6" s="385">
        <f>IFERROR(__xludf.DUMMYFUNCTION("""COMPUTED_VALUE"""),29.25)</f>
        <v>29.25</v>
      </c>
      <c r="Z6" s="384" t="s">
        <v>159</v>
      </c>
      <c r="AA6" s="384" t="s">
        <v>269</v>
      </c>
      <c r="AB6" s="389">
        <v>2.5</v>
      </c>
      <c r="AC6" s="389">
        <v>2.25</v>
      </c>
      <c r="AD6" s="384"/>
      <c r="AE6" s="389"/>
      <c r="AF6" s="389"/>
      <c r="AH6" s="384" t="s">
        <v>159</v>
      </c>
      <c r="AI6" s="384" t="s">
        <v>261</v>
      </c>
      <c r="AJ6" s="389">
        <v>2.5</v>
      </c>
      <c r="AK6" s="389">
        <v>3.0</v>
      </c>
      <c r="AL6" s="384"/>
      <c r="AM6" s="389"/>
      <c r="AN6" s="389"/>
    </row>
    <row r="7">
      <c r="A7" s="384" t="s">
        <v>104</v>
      </c>
      <c r="B7" s="384" t="s">
        <v>265</v>
      </c>
      <c r="C7" s="389"/>
      <c r="D7" s="389">
        <v>2.5</v>
      </c>
      <c r="E7" s="384"/>
      <c r="F7" s="389"/>
      <c r="G7" s="389"/>
      <c r="I7" s="385">
        <f>AVERAGE('Турнирная таблица по Алфавиту'!T7:BZ66)</f>
        <v>19.86460102</v>
      </c>
      <c r="N7" s="378" t="s">
        <v>270</v>
      </c>
      <c r="P7" s="384">
        <f t="shared" si="1"/>
        <v>0</v>
      </c>
      <c r="R7" s="384" t="s">
        <v>262</v>
      </c>
      <c r="T7" s="384" t="str">
        <f>IFERROR(__xludf.DUMMYFUNCTION("""COMPUTED_VALUE"""),"Infinity ")</f>
        <v>Infinity </v>
      </c>
      <c r="U7" s="385">
        <f>IFERROR(__xludf.DUMMYFUNCTION("""COMPUTED_VALUE"""),21.0)</f>
        <v>21</v>
      </c>
      <c r="W7" s="384" t="str">
        <f>IFERROR(__xludf.DUMMYFUNCTION("""COMPUTED_VALUE"""),"Шпиц")</f>
        <v>Шпиц</v>
      </c>
      <c r="X7" s="385">
        <f>IFERROR(__xludf.DUMMYFUNCTION("""COMPUTED_VALUE"""),29.0)</f>
        <v>29</v>
      </c>
      <c r="Z7" s="384" t="s">
        <v>160</v>
      </c>
      <c r="AA7" s="384" t="s">
        <v>261</v>
      </c>
      <c r="AB7" s="389"/>
      <c r="AC7" s="389">
        <v>2.0</v>
      </c>
      <c r="AD7" s="384" t="s">
        <v>263</v>
      </c>
      <c r="AE7" s="389"/>
      <c r="AF7" s="389"/>
      <c r="AH7" s="384" t="s">
        <v>160</v>
      </c>
      <c r="AI7" s="384" t="s">
        <v>271</v>
      </c>
      <c r="AJ7" s="389">
        <v>2.5</v>
      </c>
      <c r="AK7" s="389">
        <v>4.0</v>
      </c>
      <c r="AL7" s="384"/>
      <c r="AM7" s="389"/>
      <c r="AN7" s="389"/>
    </row>
    <row r="8">
      <c r="A8" s="384" t="s">
        <v>106</v>
      </c>
      <c r="B8" s="384" t="s">
        <v>271</v>
      </c>
      <c r="C8" s="389">
        <v>2.5</v>
      </c>
      <c r="D8" s="389">
        <v>3.25</v>
      </c>
      <c r="E8" s="384"/>
      <c r="F8" s="389"/>
      <c r="G8" s="389"/>
      <c r="N8" s="378" t="s">
        <v>259</v>
      </c>
      <c r="P8" s="384">
        <f t="shared" si="1"/>
        <v>69</v>
      </c>
      <c r="R8" s="384" t="s">
        <v>264</v>
      </c>
      <c r="T8" s="384" t="str">
        <f>IFERROR(__xludf.DUMMYFUNCTION("""COMPUTED_VALUE"""),"Андерсен")</f>
        <v>Андерсен</v>
      </c>
      <c r="U8" s="385">
        <f>IFERROR(__xludf.DUMMYFUNCTION("""COMPUTED_VALUE"""),20.0)</f>
        <v>20</v>
      </c>
      <c r="W8" s="384" t="str">
        <f>IFERROR(__xludf.DUMMYFUNCTION("""COMPUTED_VALUE"""),"РФ")</f>
        <v>РФ</v>
      </c>
      <c r="X8" s="385">
        <f>IFERROR(__xludf.DUMMYFUNCTION("""COMPUTED_VALUE"""),29.0)</f>
        <v>29</v>
      </c>
      <c r="Z8" s="384" t="s">
        <v>117</v>
      </c>
      <c r="AA8" s="384" t="s">
        <v>271</v>
      </c>
      <c r="AB8" s="389"/>
      <c r="AC8" s="389">
        <v>2.75</v>
      </c>
      <c r="AD8" s="384"/>
      <c r="AE8" s="389"/>
      <c r="AF8" s="389"/>
      <c r="AH8" s="384" t="s">
        <v>157</v>
      </c>
      <c r="AI8" s="384" t="s">
        <v>261</v>
      </c>
      <c r="AJ8" s="389">
        <v>2.5</v>
      </c>
      <c r="AK8" s="389">
        <v>2.75</v>
      </c>
      <c r="AL8" s="384" t="s">
        <v>11</v>
      </c>
      <c r="AM8" s="389"/>
      <c r="AN8" s="389">
        <v>0.25</v>
      </c>
    </row>
    <row r="9">
      <c r="A9" s="384" t="s">
        <v>112</v>
      </c>
      <c r="B9" s="384" t="s">
        <v>261</v>
      </c>
      <c r="C9" s="389">
        <v>2.5</v>
      </c>
      <c r="D9" s="389">
        <v>2.5</v>
      </c>
      <c r="E9" s="384"/>
      <c r="F9" s="389"/>
      <c r="G9" s="389"/>
      <c r="N9" s="378" t="s">
        <v>272</v>
      </c>
      <c r="P9" s="384">
        <f t="shared" si="1"/>
        <v>50</v>
      </c>
      <c r="R9" s="384" t="s">
        <v>272</v>
      </c>
      <c r="T9" s="384" t="str">
        <f>IFERROR(__xludf.DUMMYFUNCTION("""COMPUTED_VALUE"""),"SOVEST")</f>
        <v>SOVEST</v>
      </c>
      <c r="U9" s="385">
        <f>IFERROR(__xludf.DUMMYFUNCTION("""COMPUTED_VALUE"""),18.0)</f>
        <v>18</v>
      </c>
      <c r="W9" s="384" t="str">
        <f>IFERROR(__xludf.DUMMYFUNCTION("""COMPUTED_VALUE"""),"Фокс")</f>
        <v>Фокс</v>
      </c>
      <c r="X9" s="385">
        <f>IFERROR(__xludf.DUMMYFUNCTION("""COMPUTED_VALUE"""),29.0)</f>
        <v>29</v>
      </c>
      <c r="Z9" s="384" t="s">
        <v>130</v>
      </c>
      <c r="AA9" s="384" t="s">
        <v>265</v>
      </c>
      <c r="AB9" s="389">
        <v>2.5</v>
      </c>
      <c r="AC9" s="389">
        <v>1.5</v>
      </c>
      <c r="AD9" s="384"/>
      <c r="AE9" s="389"/>
      <c r="AF9" s="389"/>
      <c r="AH9" s="384" t="s">
        <v>85</v>
      </c>
      <c r="AI9" s="384" t="s">
        <v>261</v>
      </c>
      <c r="AJ9" s="389">
        <v>2.5</v>
      </c>
      <c r="AK9" s="389">
        <v>3.5</v>
      </c>
      <c r="AL9" s="384"/>
      <c r="AM9" s="389"/>
      <c r="AN9" s="389"/>
    </row>
    <row r="10">
      <c r="A10" s="384" t="s">
        <v>101</v>
      </c>
      <c r="B10" s="384" t="s">
        <v>269</v>
      </c>
      <c r="C10" s="389"/>
      <c r="D10" s="389">
        <v>0.5</v>
      </c>
      <c r="E10" s="384"/>
      <c r="F10" s="389"/>
      <c r="G10" s="389"/>
      <c r="N10" s="378" t="s">
        <v>273</v>
      </c>
      <c r="P10" s="384">
        <f t="shared" si="1"/>
        <v>0</v>
      </c>
      <c r="R10" s="384" t="s">
        <v>259</v>
      </c>
      <c r="T10" s="384" t="str">
        <f>IFERROR(__xludf.DUMMYFUNCTION("""COMPUTED_VALUE"""),"WhoIsWho")</f>
        <v>WhoIsWho</v>
      </c>
      <c r="U10" s="385">
        <f>IFERROR(__xludf.DUMMYFUNCTION("""COMPUTED_VALUE"""),16.0)</f>
        <v>16</v>
      </c>
      <c r="W10" s="384" t="str">
        <f>IFERROR(__xludf.DUMMYFUNCTION("""COMPUTED_VALUE"""),"СЭНСЭЙ")</f>
        <v>СЭНСЭЙ</v>
      </c>
      <c r="X10" s="385">
        <f>IFERROR(__xludf.DUMMYFUNCTION("""COMPUTED_VALUE"""),29.0)</f>
        <v>29</v>
      </c>
      <c r="Z10" s="384" t="s">
        <v>158</v>
      </c>
      <c r="AA10" s="384" t="s">
        <v>261</v>
      </c>
      <c r="AB10" s="389"/>
      <c r="AC10" s="389">
        <v>2.5</v>
      </c>
      <c r="AD10" s="384" t="s">
        <v>263</v>
      </c>
      <c r="AE10" s="389"/>
      <c r="AF10" s="389"/>
      <c r="AH10" s="384" t="s">
        <v>167</v>
      </c>
      <c r="AI10" s="384" t="s">
        <v>261</v>
      </c>
      <c r="AJ10" s="389">
        <v>2.5</v>
      </c>
      <c r="AK10" s="389">
        <v>3.5</v>
      </c>
      <c r="AL10" s="384"/>
      <c r="AM10" s="389"/>
      <c r="AN10" s="389"/>
    </row>
    <row r="11">
      <c r="A11" s="384" t="s">
        <v>118</v>
      </c>
      <c r="B11" s="384" t="s">
        <v>269</v>
      </c>
      <c r="C11" s="389"/>
      <c r="D11" s="389">
        <v>2.75</v>
      </c>
      <c r="E11" s="384"/>
      <c r="F11" s="389"/>
      <c r="G11" s="389"/>
      <c r="N11" s="390" t="s">
        <v>274</v>
      </c>
      <c r="R11" s="384" t="s">
        <v>267</v>
      </c>
      <c r="T11" s="384" t="str">
        <f>IFERROR(__xludf.DUMMYFUNCTION("""COMPUTED_VALUE"""),"Бамблби")</f>
        <v>Бамблби</v>
      </c>
      <c r="U11" s="385">
        <f>IFERROR(__xludf.DUMMYFUNCTION("""COMPUTED_VALUE"""),14.25)</f>
        <v>14.25</v>
      </c>
      <c r="W11" s="384" t="str">
        <f>IFERROR(__xludf.DUMMYFUNCTION("""COMPUTED_VALUE"""),"Curly")</f>
        <v>Curly</v>
      </c>
      <c r="X11" s="385">
        <f>IFERROR(__xludf.DUMMYFUNCTION("""COMPUTED_VALUE"""),28.75)</f>
        <v>28.75</v>
      </c>
      <c r="Z11" s="384" t="s">
        <v>101</v>
      </c>
      <c r="AA11" s="384" t="s">
        <v>261</v>
      </c>
      <c r="AB11" s="389"/>
      <c r="AC11" s="389">
        <v>2.5</v>
      </c>
      <c r="AD11" s="384"/>
      <c r="AE11" s="389"/>
      <c r="AF11" s="389"/>
      <c r="AH11" s="384" t="s">
        <v>104</v>
      </c>
      <c r="AI11" s="384" t="s">
        <v>269</v>
      </c>
      <c r="AJ11" s="389"/>
      <c r="AK11" s="389">
        <v>2.0</v>
      </c>
      <c r="AL11" s="384"/>
      <c r="AM11" s="389"/>
      <c r="AN11" s="389"/>
    </row>
    <row r="12">
      <c r="A12" s="384" t="s">
        <v>105</v>
      </c>
      <c r="B12" s="384" t="s">
        <v>261</v>
      </c>
      <c r="C12" s="389">
        <v>2.5</v>
      </c>
      <c r="D12" s="389">
        <v>2.5</v>
      </c>
      <c r="E12" s="384"/>
      <c r="F12" s="389"/>
      <c r="G12" s="389"/>
      <c r="N12" s="378" t="s">
        <v>275</v>
      </c>
      <c r="P12" s="384">
        <f t="shared" ref="P12:P16" si="2">COUNTIF(R:R,N12)</f>
        <v>0</v>
      </c>
      <c r="R12" s="384" t="s">
        <v>259</v>
      </c>
      <c r="T12" s="384" t="str">
        <f>IFERROR(__xludf.DUMMYFUNCTION("""COMPUTED_VALUE"""),"Авраам")</f>
        <v>Авраам</v>
      </c>
      <c r="U12" s="385"/>
      <c r="W12" s="384" t="str">
        <f>IFERROR(__xludf.DUMMYFUNCTION("""COMPUTED_VALUE"""),"Градиент")</f>
        <v>Градиент</v>
      </c>
      <c r="X12" s="385">
        <f>IFERROR(__xludf.DUMMYFUNCTION("""COMPUTED_VALUE"""),28.5)</f>
        <v>28.5</v>
      </c>
      <c r="Z12" s="384" t="s">
        <v>157</v>
      </c>
      <c r="AA12" s="384" t="s">
        <v>261</v>
      </c>
      <c r="AB12" s="389"/>
      <c r="AC12" s="389">
        <v>2.75</v>
      </c>
      <c r="AD12" s="384"/>
      <c r="AE12" s="389"/>
      <c r="AF12" s="389"/>
      <c r="AH12" s="384" t="s">
        <v>101</v>
      </c>
      <c r="AI12" s="384" t="s">
        <v>269</v>
      </c>
      <c r="AJ12" s="389"/>
      <c r="AK12" s="389">
        <v>2.0</v>
      </c>
      <c r="AL12" s="384"/>
      <c r="AM12" s="389"/>
      <c r="AN12" s="389"/>
    </row>
    <row r="13">
      <c r="A13" s="384" t="s">
        <v>124</v>
      </c>
      <c r="B13" s="384" t="s">
        <v>265</v>
      </c>
      <c r="C13" s="389">
        <v>2.5</v>
      </c>
      <c r="D13" s="389">
        <v>3.75</v>
      </c>
      <c r="E13" s="384"/>
      <c r="F13" s="389"/>
      <c r="G13" s="389"/>
      <c r="N13" s="378" t="s">
        <v>268</v>
      </c>
      <c r="P13" s="384">
        <f t="shared" si="2"/>
        <v>44</v>
      </c>
      <c r="R13" s="384" t="s">
        <v>259</v>
      </c>
      <c r="T13" s="384" t="str">
        <f>IFERROR(__xludf.DUMMYFUNCTION("""COMPUTED_VALUE"""),"Админ")</f>
        <v>Админ</v>
      </c>
      <c r="U13" s="385"/>
      <c r="W13" s="384" t="str">
        <f>IFERROR(__xludf.DUMMYFUNCTION("""COMPUTED_VALUE"""),"Cristo")</f>
        <v>Cristo</v>
      </c>
      <c r="X13" s="385">
        <f>IFERROR(__xludf.DUMMYFUNCTION("""COMPUTED_VALUE"""),28.5)</f>
        <v>28.5</v>
      </c>
      <c r="Z13" s="384" t="s">
        <v>154</v>
      </c>
      <c r="AA13" s="384" t="s">
        <v>265</v>
      </c>
      <c r="AB13" s="389">
        <v>2.5</v>
      </c>
      <c r="AC13" s="389">
        <v>2.75</v>
      </c>
      <c r="AD13" s="384"/>
      <c r="AE13" s="389"/>
      <c r="AF13" s="389"/>
      <c r="AH13" s="384" t="s">
        <v>177</v>
      </c>
      <c r="AI13" s="384" t="s">
        <v>261</v>
      </c>
      <c r="AJ13" s="389">
        <v>2.5</v>
      </c>
      <c r="AK13" s="389">
        <v>3.5</v>
      </c>
      <c r="AL13" s="384"/>
      <c r="AM13" s="389"/>
      <c r="AN13" s="389"/>
    </row>
    <row r="14">
      <c r="A14" s="384" t="s">
        <v>82</v>
      </c>
      <c r="B14" s="384" t="s">
        <v>271</v>
      </c>
      <c r="C14" s="389"/>
      <c r="D14" s="389">
        <v>4.0</v>
      </c>
      <c r="E14" s="384"/>
      <c r="F14" s="389"/>
      <c r="G14" s="389"/>
      <c r="N14" s="378" t="s">
        <v>276</v>
      </c>
      <c r="P14" s="384">
        <f t="shared" si="2"/>
        <v>0</v>
      </c>
      <c r="R14" s="384" t="s">
        <v>267</v>
      </c>
      <c r="T14" s="384" t="str">
        <f>IFERROR(__xludf.DUMMYFUNCTION("""COMPUTED_VALUE"""),"Артик")</f>
        <v>Артик</v>
      </c>
      <c r="U14" s="385"/>
      <c r="W14" s="384" t="str">
        <f>IFERROR(__xludf.DUMMYFUNCTION("""COMPUTED_VALUE"""),"Продюсер")</f>
        <v>Продюсер</v>
      </c>
      <c r="X14" s="385">
        <f>IFERROR(__xludf.DUMMYFUNCTION("""COMPUTED_VALUE"""),28.5)</f>
        <v>28.5</v>
      </c>
      <c r="Z14" s="384" t="s">
        <v>155</v>
      </c>
      <c r="AA14" s="384" t="s">
        <v>269</v>
      </c>
      <c r="AB14" s="389">
        <v>2.5</v>
      </c>
      <c r="AC14" s="389">
        <v>4.0</v>
      </c>
      <c r="AD14" s="384" t="s">
        <v>260</v>
      </c>
      <c r="AE14" s="389"/>
      <c r="AF14" s="389"/>
      <c r="AH14" s="384" t="s">
        <v>138</v>
      </c>
      <c r="AI14" s="384" t="s">
        <v>261</v>
      </c>
      <c r="AJ14" s="389">
        <v>2.5</v>
      </c>
      <c r="AK14" s="389">
        <v>3.75</v>
      </c>
      <c r="AL14" s="384" t="s">
        <v>260</v>
      </c>
      <c r="AM14" s="389"/>
      <c r="AN14" s="389"/>
    </row>
    <row r="15">
      <c r="A15" s="384" t="s">
        <v>90</v>
      </c>
      <c r="B15" s="384" t="s">
        <v>261</v>
      </c>
      <c r="C15" s="389"/>
      <c r="D15" s="389">
        <v>1.5</v>
      </c>
      <c r="E15" s="384"/>
      <c r="F15" s="389"/>
      <c r="G15" s="389"/>
      <c r="N15" s="378" t="s">
        <v>277</v>
      </c>
      <c r="P15" s="384">
        <f t="shared" si="2"/>
        <v>0</v>
      </c>
      <c r="R15" s="384" t="s">
        <v>259</v>
      </c>
      <c r="T15" s="384" t="str">
        <f>IFERROR(__xludf.DUMMYFUNCTION("""COMPUTED_VALUE"""),"Астория")</f>
        <v>Астория</v>
      </c>
      <c r="U15" s="385"/>
      <c r="W15" s="384" t="str">
        <f>IFERROR(__xludf.DUMMYFUNCTION("""COMPUTED_VALUE"""),"Левша")</f>
        <v>Левша</v>
      </c>
      <c r="X15" s="385">
        <f>IFERROR(__xludf.DUMMYFUNCTION("""COMPUTED_VALUE"""),28.25)</f>
        <v>28.25</v>
      </c>
      <c r="Z15" s="384" t="s">
        <v>156</v>
      </c>
      <c r="AA15" s="384" t="s">
        <v>269</v>
      </c>
      <c r="AB15" s="389">
        <v>2.5</v>
      </c>
      <c r="AC15" s="389">
        <v>2.75</v>
      </c>
      <c r="AD15" s="384"/>
      <c r="AE15" s="389"/>
      <c r="AF15" s="389"/>
      <c r="AH15" s="384" t="s">
        <v>123</v>
      </c>
      <c r="AI15" s="384" t="s">
        <v>269</v>
      </c>
      <c r="AJ15" s="389"/>
      <c r="AK15" s="389">
        <v>2.5</v>
      </c>
      <c r="AL15" s="384"/>
      <c r="AM15" s="389"/>
      <c r="AN15" s="389"/>
    </row>
    <row r="16">
      <c r="A16" s="384" t="s">
        <v>119</v>
      </c>
      <c r="B16" s="384" t="s">
        <v>261</v>
      </c>
      <c r="C16" s="389"/>
      <c r="D16" s="389">
        <v>3.5</v>
      </c>
      <c r="E16" s="384"/>
      <c r="F16" s="389"/>
      <c r="G16" s="389"/>
      <c r="N16" s="378" t="s">
        <v>274</v>
      </c>
      <c r="P16" s="384">
        <f t="shared" si="2"/>
        <v>1</v>
      </c>
      <c r="R16" s="384" t="s">
        <v>268</v>
      </c>
      <c r="T16" s="384" t="str">
        <f>IFERROR(__xludf.DUMMYFUNCTION("""COMPUTED_VALUE"""),"Аш")</f>
        <v>Аш</v>
      </c>
      <c r="U16" s="385"/>
      <c r="W16" s="384" t="str">
        <f>IFERROR(__xludf.DUMMYFUNCTION("""COMPUTED_VALUE"""),"Артик")</f>
        <v>Артик</v>
      </c>
      <c r="X16" s="385">
        <f>IFERROR(__xludf.DUMMYFUNCTION("""COMPUTED_VALUE"""),28.0)</f>
        <v>28</v>
      </c>
      <c r="Z16" s="384" t="s">
        <v>159</v>
      </c>
      <c r="AA16" s="384" t="s">
        <v>261</v>
      </c>
      <c r="AB16" s="389"/>
      <c r="AC16" s="389">
        <v>1.75</v>
      </c>
      <c r="AD16" s="384"/>
      <c r="AE16" s="389"/>
      <c r="AF16" s="389"/>
      <c r="AH16" s="384" t="s">
        <v>159</v>
      </c>
      <c r="AI16" s="384" t="s">
        <v>261</v>
      </c>
      <c r="AJ16" s="389">
        <v>2.5</v>
      </c>
      <c r="AK16" s="389">
        <v>3.5</v>
      </c>
      <c r="AL16" s="384"/>
      <c r="AM16" s="389"/>
      <c r="AN16" s="389"/>
    </row>
    <row r="17">
      <c r="A17" s="384" t="s">
        <v>104</v>
      </c>
      <c r="B17" s="384" t="s">
        <v>261</v>
      </c>
      <c r="C17" s="389"/>
      <c r="D17" s="389">
        <v>3.25</v>
      </c>
      <c r="E17" s="384"/>
      <c r="F17" s="389"/>
      <c r="G17" s="389"/>
      <c r="N17" s="378" t="s">
        <v>278</v>
      </c>
      <c r="P17" s="384">
        <f>SUM(P2:P7)+P16</f>
        <v>137</v>
      </c>
      <c r="Q17" s="391">
        <f>P17/P19</f>
        <v>0.4566666667</v>
      </c>
      <c r="R17" s="384" t="s">
        <v>259</v>
      </c>
      <c r="T17" s="384" t="str">
        <f>IFERROR(__xludf.DUMMYFUNCTION("""COMPUTED_VALUE"""),"Волга")</f>
        <v>Волга</v>
      </c>
      <c r="U17" s="385"/>
      <c r="W17" s="384" t="str">
        <f>IFERROR(__xludf.DUMMYFUNCTION("""COMPUTED_VALUE"""),"Castor Troy ")</f>
        <v>Castor Troy </v>
      </c>
      <c r="X17" s="385">
        <f>IFERROR(__xludf.DUMMYFUNCTION("""COMPUTED_VALUE"""),28.0)</f>
        <v>28</v>
      </c>
      <c r="Z17" s="384" t="s">
        <v>160</v>
      </c>
      <c r="AA17" s="384" t="s">
        <v>261</v>
      </c>
      <c r="AB17" s="389"/>
      <c r="AC17" s="389">
        <v>2.0</v>
      </c>
      <c r="AD17" s="384" t="s">
        <v>11</v>
      </c>
      <c r="AE17" s="389"/>
      <c r="AF17" s="389">
        <v>0.5</v>
      </c>
      <c r="AH17" s="384" t="s">
        <v>160</v>
      </c>
      <c r="AI17" s="384" t="s">
        <v>265</v>
      </c>
      <c r="AJ17" s="389"/>
      <c r="AK17" s="389">
        <v>2.0</v>
      </c>
      <c r="AL17" s="384"/>
      <c r="AM17" s="389"/>
      <c r="AN17" s="389"/>
    </row>
    <row r="18">
      <c r="A18" s="384" t="s">
        <v>106</v>
      </c>
      <c r="B18" s="384" t="s">
        <v>269</v>
      </c>
      <c r="C18" s="389">
        <v>2.5</v>
      </c>
      <c r="D18" s="389">
        <v>2.75</v>
      </c>
      <c r="E18" s="384"/>
      <c r="F18" s="389"/>
      <c r="G18" s="389"/>
      <c r="N18" s="378" t="s">
        <v>279</v>
      </c>
      <c r="P18" s="384">
        <f>SUM(P8:P15)</f>
        <v>163</v>
      </c>
      <c r="Q18" s="391">
        <f>P18/P19</f>
        <v>0.5433333333</v>
      </c>
      <c r="R18" s="384" t="s">
        <v>257</v>
      </c>
      <c r="T18" s="384" t="str">
        <f>IFERROR(__xludf.DUMMYFUNCTION("""COMPUTED_VALUE"""),"Градиент")</f>
        <v>Градиент</v>
      </c>
      <c r="U18" s="385"/>
      <c r="W18" s="384" t="str">
        <f>IFERROR(__xludf.DUMMYFUNCTION("""COMPUTED_VALUE"""),"Артик")</f>
        <v>Артик</v>
      </c>
      <c r="X18" s="385">
        <f>IFERROR(__xludf.DUMMYFUNCTION("""COMPUTED_VALUE"""),28.0)</f>
        <v>28</v>
      </c>
      <c r="Z18" s="384" t="s">
        <v>117</v>
      </c>
      <c r="AA18" s="384" t="s">
        <v>261</v>
      </c>
      <c r="AB18" s="389"/>
      <c r="AC18" s="389">
        <v>3.75</v>
      </c>
      <c r="AD18" s="384" t="s">
        <v>263</v>
      </c>
      <c r="AE18" s="389"/>
      <c r="AF18" s="389"/>
      <c r="AH18" s="384" t="s">
        <v>157</v>
      </c>
      <c r="AI18" s="384" t="s">
        <v>261</v>
      </c>
      <c r="AJ18" s="389">
        <v>2.5</v>
      </c>
      <c r="AK18" s="389">
        <v>2.5</v>
      </c>
      <c r="AL18" s="384" t="s">
        <v>11</v>
      </c>
      <c r="AM18" s="389"/>
      <c r="AN18" s="389">
        <v>0.5</v>
      </c>
    </row>
    <row r="19">
      <c r="A19" s="384" t="s">
        <v>112</v>
      </c>
      <c r="B19" s="384" t="s">
        <v>269</v>
      </c>
      <c r="C19" s="389">
        <v>2.5</v>
      </c>
      <c r="D19" s="389">
        <v>3.75</v>
      </c>
      <c r="E19" s="384"/>
      <c r="F19" s="389"/>
      <c r="G19" s="389"/>
      <c r="N19" s="378" t="s">
        <v>280</v>
      </c>
      <c r="P19" s="384">
        <f>SUM(P2:P16)</f>
        <v>300</v>
      </c>
      <c r="R19" s="384" t="s">
        <v>257</v>
      </c>
      <c r="T19" s="384" t="str">
        <f>IFERROR(__xludf.DUMMYFUNCTION("""COMPUTED_VALUE"""),"Дровосек")</f>
        <v>Дровосек</v>
      </c>
      <c r="U19" s="385"/>
      <c r="W19" s="384" t="str">
        <f>IFERROR(__xludf.DUMMYFUNCTION("""COMPUTED_VALUE"""),"MSR")</f>
        <v>MSR</v>
      </c>
      <c r="X19" s="385">
        <f>IFERROR(__xludf.DUMMYFUNCTION("""COMPUTED_VALUE"""),28.0)</f>
        <v>28</v>
      </c>
      <c r="Z19" s="384" t="s">
        <v>130</v>
      </c>
      <c r="AA19" s="384" t="s">
        <v>261</v>
      </c>
      <c r="AB19" s="389"/>
      <c r="AC19" s="389">
        <v>1.75</v>
      </c>
      <c r="AD19" s="384" t="s">
        <v>263</v>
      </c>
      <c r="AE19" s="389"/>
      <c r="AF19" s="389"/>
      <c r="AH19" s="384" t="s">
        <v>85</v>
      </c>
      <c r="AI19" s="384" t="s">
        <v>261</v>
      </c>
      <c r="AJ19" s="389">
        <v>2.5</v>
      </c>
      <c r="AK19" s="389">
        <v>1.5</v>
      </c>
      <c r="AL19" s="384"/>
      <c r="AM19" s="389"/>
      <c r="AN19" s="389"/>
    </row>
    <row r="20">
      <c r="A20" s="384" t="s">
        <v>101</v>
      </c>
      <c r="B20" s="384" t="s">
        <v>261</v>
      </c>
      <c r="C20" s="389"/>
      <c r="D20" s="389">
        <v>2.75</v>
      </c>
      <c r="E20" s="384"/>
      <c r="F20" s="389"/>
      <c r="G20" s="389"/>
      <c r="R20" s="384" t="s">
        <v>272</v>
      </c>
      <c r="T20" s="384" t="str">
        <f>IFERROR(__xludf.DUMMYFUNCTION("""COMPUTED_VALUE"""),"Зверюга")</f>
        <v>Зверюга</v>
      </c>
      <c r="U20" s="385"/>
      <c r="W20" s="384" t="str">
        <f>IFERROR(__xludf.DUMMYFUNCTION("""COMPUTED_VALUE"""),"Ментик")</f>
        <v>Ментик</v>
      </c>
      <c r="X20" s="385">
        <f>IFERROR(__xludf.DUMMYFUNCTION("""COMPUTED_VALUE"""),28.0)</f>
        <v>28</v>
      </c>
      <c r="Z20" s="384" t="s">
        <v>158</v>
      </c>
      <c r="AA20" s="384" t="s">
        <v>261</v>
      </c>
      <c r="AB20" s="389"/>
      <c r="AC20" s="389">
        <v>2.75</v>
      </c>
      <c r="AD20" s="384"/>
      <c r="AE20" s="389"/>
      <c r="AF20" s="389"/>
      <c r="AH20" s="384" t="s">
        <v>167</v>
      </c>
      <c r="AI20" s="384" t="s">
        <v>271</v>
      </c>
      <c r="AJ20" s="389">
        <v>2.5</v>
      </c>
      <c r="AK20" s="389">
        <v>2.75</v>
      </c>
      <c r="AL20" s="384"/>
      <c r="AM20" s="389"/>
      <c r="AN20" s="389"/>
    </row>
    <row r="21">
      <c r="A21" s="384" t="s">
        <v>118</v>
      </c>
      <c r="B21" s="384" t="s">
        <v>261</v>
      </c>
      <c r="C21" s="389"/>
      <c r="D21" s="389">
        <v>3.0</v>
      </c>
      <c r="E21" s="384"/>
      <c r="F21" s="389"/>
      <c r="G21" s="389"/>
      <c r="R21" s="384" t="s">
        <v>267</v>
      </c>
      <c r="T21" s="384" t="str">
        <f>IFERROR(__xludf.DUMMYFUNCTION("""COMPUTED_VALUE"""),"Инсомнич")</f>
        <v>Инсомнич</v>
      </c>
      <c r="U21" s="385"/>
      <c r="W21" s="384" t="str">
        <f>IFERROR(__xludf.DUMMYFUNCTION("""COMPUTED_VALUE"""),"Дровосек")</f>
        <v>Дровосек</v>
      </c>
      <c r="X21" s="385">
        <f>IFERROR(__xludf.DUMMYFUNCTION("""COMPUTED_VALUE"""),27.75)</f>
        <v>27.75</v>
      </c>
      <c r="Z21" s="384" t="s">
        <v>101</v>
      </c>
      <c r="AA21" s="384" t="s">
        <v>261</v>
      </c>
      <c r="AB21" s="389"/>
      <c r="AC21" s="389">
        <v>3.0</v>
      </c>
      <c r="AD21" s="384"/>
      <c r="AE21" s="389"/>
      <c r="AF21" s="389"/>
      <c r="AH21" s="384" t="s">
        <v>104</v>
      </c>
      <c r="AI21" s="384" t="s">
        <v>261</v>
      </c>
      <c r="AJ21" s="389">
        <v>2.5</v>
      </c>
      <c r="AK21" s="389">
        <v>4.0</v>
      </c>
      <c r="AL21" s="384" t="s">
        <v>260</v>
      </c>
      <c r="AM21" s="389"/>
      <c r="AN21" s="389"/>
    </row>
    <row r="22">
      <c r="A22" s="384" t="s">
        <v>105</v>
      </c>
      <c r="B22" s="384" t="s">
        <v>261</v>
      </c>
      <c r="C22" s="389"/>
      <c r="D22" s="389">
        <v>2.0</v>
      </c>
      <c r="E22" s="384" t="s">
        <v>11</v>
      </c>
      <c r="F22" s="389"/>
      <c r="G22" s="389">
        <v>0.5</v>
      </c>
      <c r="R22" s="384" t="s">
        <v>259</v>
      </c>
      <c r="T22" s="384" t="str">
        <f>IFERROR(__xludf.DUMMYFUNCTION("""COMPUTED_VALUE"""),"Красавчик")</f>
        <v>Красавчик</v>
      </c>
      <c r="U22" s="385"/>
      <c r="W22" s="384" t="str">
        <f>IFERROR(__xludf.DUMMYFUNCTION("""COMPUTED_VALUE"""),"Stacy")</f>
        <v>Stacy</v>
      </c>
      <c r="X22" s="385">
        <f>IFERROR(__xludf.DUMMYFUNCTION("""COMPUTED_VALUE"""),27.75)</f>
        <v>27.75</v>
      </c>
      <c r="Z22" s="384" t="s">
        <v>157</v>
      </c>
      <c r="AA22" s="384" t="s">
        <v>271</v>
      </c>
      <c r="AB22" s="389"/>
      <c r="AC22" s="389">
        <v>3.25</v>
      </c>
      <c r="AD22" s="384"/>
      <c r="AE22" s="389"/>
      <c r="AF22" s="389"/>
      <c r="AH22" s="384" t="s">
        <v>101</v>
      </c>
      <c r="AI22" s="384" t="s">
        <v>269</v>
      </c>
      <c r="AJ22" s="389"/>
      <c r="AK22" s="389">
        <v>2.0</v>
      </c>
      <c r="AL22" s="384" t="s">
        <v>263</v>
      </c>
      <c r="AM22" s="389"/>
      <c r="AN22" s="389"/>
    </row>
    <row r="23">
      <c r="A23" s="384" t="s">
        <v>124</v>
      </c>
      <c r="B23" s="384" t="s">
        <v>271</v>
      </c>
      <c r="C23" s="389">
        <v>2.5</v>
      </c>
      <c r="D23" s="389">
        <v>3.75</v>
      </c>
      <c r="E23" s="384"/>
      <c r="F23" s="389"/>
      <c r="G23" s="389"/>
      <c r="R23" s="384" t="s">
        <v>259</v>
      </c>
      <c r="T23" s="384" t="str">
        <f>IFERROR(__xludf.DUMMYFUNCTION("""COMPUTED_VALUE"""),"Крестный отец (BLR)")</f>
        <v>Крестный отец (BLR)</v>
      </c>
      <c r="U23" s="385"/>
      <c r="W23" s="384" t="str">
        <f>IFERROR(__xludf.DUMMYFUNCTION("""COMPUTED_VALUE"""),"Young")</f>
        <v>Young</v>
      </c>
      <c r="X23" s="385">
        <f>IFERROR(__xludf.DUMMYFUNCTION("""COMPUTED_VALUE"""),27.75)</f>
        <v>27.75</v>
      </c>
      <c r="Z23" s="384" t="s">
        <v>154</v>
      </c>
      <c r="AA23" s="384" t="s">
        <v>271</v>
      </c>
      <c r="AB23" s="389">
        <v>2.5</v>
      </c>
      <c r="AC23" s="389">
        <v>3.25</v>
      </c>
      <c r="AD23" s="384" t="s">
        <v>11</v>
      </c>
      <c r="AE23" s="389">
        <v>0.5</v>
      </c>
      <c r="AF23" s="389">
        <v>0.25</v>
      </c>
      <c r="AH23" s="384" t="s">
        <v>177</v>
      </c>
      <c r="AI23" s="384" t="s">
        <v>269</v>
      </c>
      <c r="AJ23" s="389">
        <v>2.5</v>
      </c>
      <c r="AK23" s="389">
        <v>2.5</v>
      </c>
      <c r="AL23" s="384"/>
      <c r="AM23" s="389"/>
      <c r="AN23" s="389"/>
    </row>
    <row r="24">
      <c r="A24" s="384" t="s">
        <v>82</v>
      </c>
      <c r="B24" s="384" t="s">
        <v>261</v>
      </c>
      <c r="C24" s="389">
        <v>2.5</v>
      </c>
      <c r="D24" s="389">
        <v>3.75</v>
      </c>
      <c r="E24" s="384"/>
      <c r="F24" s="389"/>
      <c r="G24" s="389"/>
      <c r="R24" s="384" t="s">
        <v>272</v>
      </c>
      <c r="T24" s="384" t="str">
        <f>IFERROR(__xludf.DUMMYFUNCTION("""COMPUTED_VALUE"""),"Крёстный Отец (RU)")</f>
        <v>Крёстный Отец (RU)</v>
      </c>
      <c r="U24" s="385"/>
      <c r="W24" s="384" t="str">
        <f>IFERROR(__xludf.DUMMYFUNCTION("""COMPUTED_VALUE"""),"Артик")</f>
        <v>Артик</v>
      </c>
      <c r="X24" s="385">
        <f>IFERROR(__xludf.DUMMYFUNCTION("""COMPUTED_VALUE"""),27.5)</f>
        <v>27.5</v>
      </c>
      <c r="Z24" s="384" t="s">
        <v>155</v>
      </c>
      <c r="AA24" s="384" t="s">
        <v>261</v>
      </c>
      <c r="AB24" s="389">
        <v>2.5</v>
      </c>
      <c r="AC24" s="389">
        <v>3.75</v>
      </c>
      <c r="AD24" s="384"/>
      <c r="AE24" s="389"/>
      <c r="AF24" s="389"/>
      <c r="AH24" s="384" t="s">
        <v>138</v>
      </c>
      <c r="AI24" s="384" t="s">
        <v>265</v>
      </c>
      <c r="AJ24" s="389">
        <v>2.5</v>
      </c>
      <c r="AK24" s="389">
        <v>2.5</v>
      </c>
      <c r="AL24" s="384"/>
      <c r="AM24" s="389"/>
      <c r="AN24" s="389"/>
    </row>
    <row r="25">
      <c r="A25" s="384" t="s">
        <v>90</v>
      </c>
      <c r="B25" s="384" t="s">
        <v>261</v>
      </c>
      <c r="C25" s="389">
        <v>2.5</v>
      </c>
      <c r="D25" s="389">
        <v>3.0</v>
      </c>
      <c r="E25" s="384"/>
      <c r="F25" s="389"/>
      <c r="G25" s="389"/>
      <c r="R25" s="384" t="s">
        <v>268</v>
      </c>
      <c r="T25" s="384" t="str">
        <f>IFERROR(__xludf.DUMMYFUNCTION("""COMPUTED_VALUE"""),"Крот")</f>
        <v>Крот</v>
      </c>
      <c r="U25" s="385"/>
      <c r="W25" s="384" t="str">
        <f>IFERROR(__xludf.DUMMYFUNCTION("""COMPUTED_VALUE"""),"BWDMoscow")</f>
        <v>BWDMoscow</v>
      </c>
      <c r="X25" s="385">
        <f>IFERROR(__xludf.DUMMYFUNCTION("""COMPUTED_VALUE"""),27.5)</f>
        <v>27.5</v>
      </c>
      <c r="Z25" s="384" t="s">
        <v>156</v>
      </c>
      <c r="AA25" s="384" t="s">
        <v>261</v>
      </c>
      <c r="AB25" s="389">
        <v>2.5</v>
      </c>
      <c r="AC25" s="389">
        <v>3.0</v>
      </c>
      <c r="AD25" s="384"/>
      <c r="AE25" s="389"/>
      <c r="AF25" s="389"/>
      <c r="AH25" s="384" t="s">
        <v>123</v>
      </c>
      <c r="AI25" s="384" t="s">
        <v>269</v>
      </c>
      <c r="AJ25" s="389">
        <v>2.5</v>
      </c>
      <c r="AK25" s="389">
        <v>4.0</v>
      </c>
      <c r="AL25" s="384" t="s">
        <v>260</v>
      </c>
      <c r="AM25" s="389"/>
      <c r="AN25" s="389"/>
    </row>
    <row r="26">
      <c r="A26" s="384" t="s">
        <v>119</v>
      </c>
      <c r="B26" s="384" t="s">
        <v>261</v>
      </c>
      <c r="C26" s="389">
        <v>2.5</v>
      </c>
      <c r="D26" s="389">
        <v>2.75</v>
      </c>
      <c r="E26" s="384" t="s">
        <v>11</v>
      </c>
      <c r="F26" s="389">
        <v>0.5</v>
      </c>
      <c r="G26" s="389">
        <v>0.5</v>
      </c>
      <c r="R26" s="384" t="s">
        <v>267</v>
      </c>
      <c r="T26" s="384" t="str">
        <f>IFERROR(__xludf.DUMMYFUNCTION("""COMPUTED_VALUE"""),"Левша")</f>
        <v>Левша</v>
      </c>
      <c r="U26" s="385"/>
      <c r="W26" s="384" t="str">
        <f>IFERROR(__xludf.DUMMYFUNCTION("""COMPUTED_VALUE"""),"Марго")</f>
        <v>Марго</v>
      </c>
      <c r="X26" s="385">
        <f>IFERROR(__xludf.DUMMYFUNCTION("""COMPUTED_VALUE"""),27.25)</f>
        <v>27.25</v>
      </c>
      <c r="Z26" s="384" t="s">
        <v>159</v>
      </c>
      <c r="AA26" s="384" t="s">
        <v>261</v>
      </c>
      <c r="AB26" s="389">
        <v>2.5</v>
      </c>
      <c r="AC26" s="389">
        <v>2.5</v>
      </c>
      <c r="AD26" s="384"/>
      <c r="AE26" s="389"/>
      <c r="AF26" s="389"/>
      <c r="AH26" s="384" t="s">
        <v>159</v>
      </c>
      <c r="AI26" s="384" t="s">
        <v>261</v>
      </c>
      <c r="AJ26" s="389"/>
      <c r="AK26" s="389">
        <v>2.25</v>
      </c>
      <c r="AL26" s="384" t="s">
        <v>11</v>
      </c>
      <c r="AM26" s="389"/>
      <c r="AN26" s="389">
        <v>0.5</v>
      </c>
    </row>
    <row r="27">
      <c r="A27" s="384" t="s">
        <v>104</v>
      </c>
      <c r="B27" s="384" t="s">
        <v>261</v>
      </c>
      <c r="C27" s="389">
        <v>2.5</v>
      </c>
      <c r="D27" s="389">
        <v>4.0</v>
      </c>
      <c r="E27" s="384"/>
      <c r="F27" s="389"/>
      <c r="G27" s="389"/>
      <c r="R27" s="384" t="s">
        <v>257</v>
      </c>
      <c r="T27" s="384" t="str">
        <f>IFERROR(__xludf.DUMMYFUNCTION("""COMPUTED_VALUE"""),"Лисичка")</f>
        <v>Лисичка</v>
      </c>
      <c r="U27" s="385"/>
      <c r="W27" s="384" t="str">
        <f>IFERROR(__xludf.DUMMYFUNCTION("""COMPUTED_VALUE"""),"Авраам")</f>
        <v>Авраам</v>
      </c>
      <c r="X27" s="385">
        <f>IFERROR(__xludf.DUMMYFUNCTION("""COMPUTED_VALUE"""),27.0)</f>
        <v>27</v>
      </c>
      <c r="Z27" s="384" t="s">
        <v>160</v>
      </c>
      <c r="AA27" s="384" t="s">
        <v>261</v>
      </c>
      <c r="AB27" s="389">
        <v>2.5</v>
      </c>
      <c r="AC27" s="389">
        <v>4.0</v>
      </c>
      <c r="AD27" s="384" t="s">
        <v>260</v>
      </c>
      <c r="AE27" s="389"/>
      <c r="AF27" s="389"/>
      <c r="AH27" s="384" t="s">
        <v>160</v>
      </c>
      <c r="AI27" s="384" t="s">
        <v>261</v>
      </c>
      <c r="AJ27" s="389"/>
      <c r="AK27" s="389">
        <v>2.75</v>
      </c>
      <c r="AL27" s="384"/>
      <c r="AM27" s="389"/>
      <c r="AN27" s="389"/>
    </row>
    <row r="28">
      <c r="A28" s="384" t="s">
        <v>106</v>
      </c>
      <c r="B28" s="384" t="s">
        <v>261</v>
      </c>
      <c r="C28" s="389">
        <v>2.5</v>
      </c>
      <c r="D28" s="389">
        <v>3.0</v>
      </c>
      <c r="E28" s="384"/>
      <c r="F28" s="389"/>
      <c r="G28" s="389"/>
      <c r="R28" s="384" t="s">
        <v>272</v>
      </c>
      <c r="T28" s="384" t="str">
        <f>IFERROR(__xludf.DUMMYFUNCTION("""COMPUTED_VALUE"""),"Маваши")</f>
        <v>Маваши</v>
      </c>
      <c r="U28" s="385"/>
      <c r="W28" s="384" t="str">
        <f>IFERROR(__xludf.DUMMYFUNCTION("""COMPUTED_VALUE"""),"Админ")</f>
        <v>Админ</v>
      </c>
      <c r="X28" s="385">
        <f>IFERROR(__xludf.DUMMYFUNCTION("""COMPUTED_VALUE"""),27.0)</f>
        <v>27</v>
      </c>
      <c r="Z28" s="384" t="s">
        <v>117</v>
      </c>
      <c r="AA28" s="384" t="s">
        <v>261</v>
      </c>
      <c r="AB28" s="389">
        <v>2.5</v>
      </c>
      <c r="AC28" s="389">
        <v>2.75</v>
      </c>
      <c r="AD28" s="384"/>
      <c r="AE28" s="389"/>
      <c r="AF28" s="389"/>
      <c r="AH28" s="384" t="s">
        <v>157</v>
      </c>
      <c r="AI28" s="384" t="s">
        <v>271</v>
      </c>
      <c r="AJ28" s="389"/>
      <c r="AK28" s="389">
        <v>2.75</v>
      </c>
      <c r="AL28" s="384"/>
      <c r="AM28" s="389"/>
      <c r="AN28" s="389"/>
    </row>
    <row r="29">
      <c r="A29" s="384" t="s">
        <v>112</v>
      </c>
      <c r="B29" s="384" t="s">
        <v>269</v>
      </c>
      <c r="C29" s="389"/>
      <c r="D29" s="389">
        <v>2.0</v>
      </c>
      <c r="E29" s="384"/>
      <c r="F29" s="389"/>
      <c r="G29" s="389"/>
      <c r="R29" s="384" t="s">
        <v>259</v>
      </c>
      <c r="T29" s="384" t="str">
        <f>IFERROR(__xludf.DUMMYFUNCTION("""COMPUTED_VALUE"""),"Марго")</f>
        <v>Марго</v>
      </c>
      <c r="U29" s="385"/>
      <c r="W29" s="384" t="str">
        <f>IFERROR(__xludf.DUMMYFUNCTION("""COMPUTED_VALUE"""),"Аш")</f>
        <v>Аш</v>
      </c>
      <c r="X29" s="385">
        <f>IFERROR(__xludf.DUMMYFUNCTION("""COMPUTED_VALUE"""),27.0)</f>
        <v>27</v>
      </c>
      <c r="Z29" s="384" t="s">
        <v>130</v>
      </c>
      <c r="AA29" s="384" t="s">
        <v>265</v>
      </c>
      <c r="AB29" s="389"/>
      <c r="AC29" s="389">
        <v>2.25</v>
      </c>
      <c r="AD29" s="384"/>
      <c r="AE29" s="389"/>
      <c r="AF29" s="389"/>
      <c r="AH29" s="384" t="s">
        <v>85</v>
      </c>
      <c r="AI29" s="384" t="s">
        <v>261</v>
      </c>
      <c r="AJ29" s="389"/>
      <c r="AK29" s="389">
        <v>2.0</v>
      </c>
      <c r="AL29" s="384" t="s">
        <v>263</v>
      </c>
      <c r="AM29" s="389"/>
      <c r="AN29" s="389"/>
    </row>
    <row r="30">
      <c r="A30" s="384" t="s">
        <v>101</v>
      </c>
      <c r="B30" s="384" t="s">
        <v>261</v>
      </c>
      <c r="C30" s="389">
        <v>2.5</v>
      </c>
      <c r="D30" s="389">
        <v>4.0</v>
      </c>
      <c r="E30" s="384"/>
      <c r="F30" s="389"/>
      <c r="G30" s="389"/>
      <c r="R30" s="384" t="s">
        <v>259</v>
      </c>
      <c r="T30" s="384" t="str">
        <f>IFERROR(__xludf.DUMMYFUNCTION("""COMPUTED_VALUE"""),"Ментик")</f>
        <v>Ментик</v>
      </c>
      <c r="U30" s="385"/>
      <c r="W30" s="384" t="str">
        <f>IFERROR(__xludf.DUMMYFUNCTION("""COMPUTED_VALUE"""),"Маваши")</f>
        <v>Маваши</v>
      </c>
      <c r="X30" s="385">
        <f>IFERROR(__xludf.DUMMYFUNCTION("""COMPUTED_VALUE"""),26.75)</f>
        <v>26.75</v>
      </c>
      <c r="Z30" s="384" t="s">
        <v>158</v>
      </c>
      <c r="AA30" s="384" t="s">
        <v>261</v>
      </c>
      <c r="AB30" s="389">
        <v>2.5</v>
      </c>
      <c r="AC30" s="389">
        <v>2.75</v>
      </c>
      <c r="AD30" s="384" t="s">
        <v>260</v>
      </c>
      <c r="AE30" s="389"/>
      <c r="AF30" s="389"/>
      <c r="AH30" s="384" t="s">
        <v>167</v>
      </c>
      <c r="AI30" s="384" t="s">
        <v>261</v>
      </c>
      <c r="AJ30" s="389"/>
      <c r="AK30" s="389">
        <v>2.75</v>
      </c>
      <c r="AL30" s="384"/>
      <c r="AM30" s="389"/>
      <c r="AN30" s="389"/>
    </row>
    <row r="31">
      <c r="A31" s="384" t="s">
        <v>118</v>
      </c>
      <c r="B31" s="384" t="s">
        <v>269</v>
      </c>
      <c r="C31" s="389"/>
      <c r="D31" s="389">
        <v>2.25</v>
      </c>
      <c r="E31" s="384"/>
      <c r="F31" s="389"/>
      <c r="G31" s="389"/>
      <c r="R31" s="384" t="s">
        <v>268</v>
      </c>
      <c r="T31" s="384" t="str">
        <f>IFERROR(__xludf.DUMMYFUNCTION("""COMPUTED_VALUE"""),"Мишель ")</f>
        <v>Мишель </v>
      </c>
      <c r="U31" s="385"/>
      <c r="W31" s="384" t="str">
        <f>IFERROR(__xludf.DUMMYFUNCTION("""COMPUTED_VALUE"""),"BWDMoscow")</f>
        <v>BWDMoscow</v>
      </c>
      <c r="X31" s="385">
        <f>IFERROR(__xludf.DUMMYFUNCTION("""COMPUTED_VALUE"""),26.75)</f>
        <v>26.75</v>
      </c>
      <c r="Z31" s="384" t="s">
        <v>101</v>
      </c>
      <c r="AA31" s="384" t="s">
        <v>269</v>
      </c>
      <c r="AB31" s="389"/>
      <c r="AC31" s="389">
        <v>2.75</v>
      </c>
      <c r="AD31" s="384" t="s">
        <v>263</v>
      </c>
      <c r="AE31" s="389"/>
      <c r="AF31" s="389"/>
      <c r="AH31" s="384" t="s">
        <v>104</v>
      </c>
      <c r="AI31" s="384" t="s">
        <v>261</v>
      </c>
      <c r="AJ31" s="389"/>
      <c r="AK31" s="389">
        <v>1.75</v>
      </c>
      <c r="AL31" s="384" t="s">
        <v>263</v>
      </c>
      <c r="AM31" s="389"/>
      <c r="AN31" s="389"/>
    </row>
    <row r="32">
      <c r="A32" s="384" t="s">
        <v>105</v>
      </c>
      <c r="B32" s="384" t="s">
        <v>265</v>
      </c>
      <c r="C32" s="389"/>
      <c r="D32" s="389">
        <v>1.25</v>
      </c>
      <c r="E32" s="384"/>
      <c r="F32" s="389"/>
      <c r="G32" s="389"/>
      <c r="R32" s="384" t="s">
        <v>267</v>
      </c>
      <c r="T32" s="384" t="str">
        <f>IFERROR(__xludf.DUMMYFUNCTION("""COMPUTED_VALUE"""),"Панда из Руанды")</f>
        <v>Панда из Руанды</v>
      </c>
      <c r="U32" s="385"/>
      <c r="W32" s="384" t="str">
        <f>IFERROR(__xludf.DUMMYFUNCTION("""COMPUTED_VALUE"""),"Cristo")</f>
        <v>Cristo</v>
      </c>
      <c r="X32" s="385">
        <f>IFERROR(__xludf.DUMMYFUNCTION("""COMPUTED_VALUE"""),26.5)</f>
        <v>26.5</v>
      </c>
      <c r="Z32" s="384" t="s">
        <v>157</v>
      </c>
      <c r="AA32" s="384" t="s">
        <v>269</v>
      </c>
      <c r="AB32" s="389"/>
      <c r="AC32" s="389">
        <v>2.0</v>
      </c>
      <c r="AD32" s="384"/>
      <c r="AE32" s="389"/>
      <c r="AF32" s="389"/>
      <c r="AH32" s="384" t="s">
        <v>101</v>
      </c>
      <c r="AI32" s="384" t="s">
        <v>261</v>
      </c>
      <c r="AJ32" s="389"/>
      <c r="AK32" s="389">
        <v>2.75</v>
      </c>
      <c r="AL32" s="384"/>
      <c r="AM32" s="389"/>
      <c r="AN32" s="389"/>
    </row>
    <row r="33">
      <c r="A33" s="384" t="s">
        <v>124</v>
      </c>
      <c r="B33" s="384" t="s">
        <v>261</v>
      </c>
      <c r="C33" s="389">
        <v>2.5</v>
      </c>
      <c r="D33" s="389">
        <v>2.25</v>
      </c>
      <c r="E33" s="384"/>
      <c r="F33" s="389"/>
      <c r="G33" s="389"/>
      <c r="R33" s="384" t="s">
        <v>257</v>
      </c>
      <c r="T33" s="384" t="str">
        <f>IFERROR(__xludf.DUMMYFUNCTION("""COMPUTED_VALUE"""),"Писатель ")</f>
        <v>Писатель </v>
      </c>
      <c r="U33" s="385"/>
      <c r="W33" s="384" t="str">
        <f>IFERROR(__xludf.DUMMYFUNCTION("""COMPUTED_VALUE"""),"Старый")</f>
        <v>Старый</v>
      </c>
      <c r="X33" s="385">
        <f>IFERROR(__xludf.DUMMYFUNCTION("""COMPUTED_VALUE"""),26.5)</f>
        <v>26.5</v>
      </c>
      <c r="Z33" s="384" t="s">
        <v>154</v>
      </c>
      <c r="AA33" s="384" t="s">
        <v>261</v>
      </c>
      <c r="AB33" s="389"/>
      <c r="AC33" s="389">
        <v>2.0</v>
      </c>
      <c r="AD33" s="384"/>
      <c r="AE33" s="389"/>
      <c r="AF33" s="389"/>
      <c r="AH33" s="384" t="s">
        <v>177</v>
      </c>
      <c r="AI33" s="384" t="s">
        <v>261</v>
      </c>
      <c r="AJ33" s="389">
        <v>2.5</v>
      </c>
      <c r="AK33" s="389">
        <v>3.25</v>
      </c>
      <c r="AL33" s="384"/>
      <c r="AM33" s="389"/>
      <c r="AN33" s="389"/>
    </row>
    <row r="34">
      <c r="A34" s="384" t="s">
        <v>82</v>
      </c>
      <c r="B34" s="384" t="s">
        <v>261</v>
      </c>
      <c r="C34" s="389">
        <v>2.5</v>
      </c>
      <c r="D34" s="389">
        <v>3.75</v>
      </c>
      <c r="E34" s="384"/>
      <c r="F34" s="389"/>
      <c r="G34" s="389"/>
      <c r="R34" s="384" t="s">
        <v>268</v>
      </c>
      <c r="T34" s="384" t="str">
        <f>IFERROR(__xludf.DUMMYFUNCTION("""COMPUTED_VALUE"""),"Правда ")</f>
        <v>Правда </v>
      </c>
      <c r="U34" s="385"/>
      <c r="W34" s="384" t="str">
        <f>IFERROR(__xludf.DUMMYFUNCTION("""COMPUTED_VALUE"""),"Админ")</f>
        <v>Админ</v>
      </c>
      <c r="X34" s="385">
        <f>IFERROR(__xludf.DUMMYFUNCTION("""COMPUTED_VALUE"""),26.5)</f>
        <v>26.5</v>
      </c>
      <c r="Z34" s="384" t="s">
        <v>155</v>
      </c>
      <c r="AA34" s="384" t="s">
        <v>269</v>
      </c>
      <c r="AB34" s="389">
        <v>2.5</v>
      </c>
      <c r="AC34" s="389">
        <v>3.75</v>
      </c>
      <c r="AD34" s="384"/>
      <c r="AE34" s="389"/>
      <c r="AF34" s="389"/>
      <c r="AH34" s="384" t="s">
        <v>138</v>
      </c>
      <c r="AI34" s="384" t="s">
        <v>261</v>
      </c>
      <c r="AJ34" s="389">
        <v>2.5</v>
      </c>
      <c r="AK34" s="389">
        <v>3.5</v>
      </c>
      <c r="AL34" s="384"/>
      <c r="AM34" s="389"/>
      <c r="AN34" s="389"/>
    </row>
    <row r="35">
      <c r="A35" s="384" t="s">
        <v>90</v>
      </c>
      <c r="B35" s="384" t="s">
        <v>269</v>
      </c>
      <c r="C35" s="389"/>
      <c r="D35" s="389">
        <v>2.5</v>
      </c>
      <c r="E35" s="384"/>
      <c r="F35" s="389"/>
      <c r="G35" s="389"/>
      <c r="R35" s="384" t="s">
        <v>264</v>
      </c>
      <c r="T35" s="384" t="str">
        <f>IFERROR(__xludf.DUMMYFUNCTION("""COMPUTED_VALUE"""),"Продюсер")</f>
        <v>Продюсер</v>
      </c>
      <c r="U35" s="385"/>
      <c r="W35" s="384" t="str">
        <f>IFERROR(__xludf.DUMMYFUNCTION("""COMPUTED_VALUE"""),"СЭНСЭЙ")</f>
        <v>СЭНСЭЙ</v>
      </c>
      <c r="X35" s="385">
        <f>IFERROR(__xludf.DUMMYFUNCTION("""COMPUTED_VALUE"""),26.5)</f>
        <v>26.5</v>
      </c>
      <c r="Z35" s="384" t="s">
        <v>156</v>
      </c>
      <c r="AA35" s="384" t="s">
        <v>261</v>
      </c>
      <c r="AB35" s="389"/>
      <c r="AC35" s="389">
        <v>1.5</v>
      </c>
      <c r="AD35" s="384"/>
      <c r="AE35" s="389"/>
      <c r="AF35" s="389"/>
      <c r="AH35" s="384" t="s">
        <v>123</v>
      </c>
      <c r="AI35" s="384" t="s">
        <v>261</v>
      </c>
      <c r="AJ35" s="389">
        <v>2.5</v>
      </c>
      <c r="AK35" s="389">
        <v>3.5</v>
      </c>
      <c r="AL35" s="384" t="s">
        <v>260</v>
      </c>
      <c r="AM35" s="389"/>
      <c r="AN35" s="389"/>
    </row>
    <row r="36">
      <c r="A36" s="384" t="s">
        <v>119</v>
      </c>
      <c r="B36" s="384" t="s">
        <v>261</v>
      </c>
      <c r="C36" s="389">
        <v>2.5</v>
      </c>
      <c r="D36" s="389">
        <v>3.25</v>
      </c>
      <c r="E36" s="384"/>
      <c r="F36" s="389"/>
      <c r="G36" s="389"/>
      <c r="R36" s="384" t="s">
        <v>264</v>
      </c>
      <c r="T36" s="384" t="str">
        <f>IFERROR(__xludf.DUMMYFUNCTION("""COMPUTED_VALUE"""),"РФ")</f>
        <v>РФ</v>
      </c>
      <c r="U36" s="385"/>
      <c r="W36" s="384" t="str">
        <f>IFERROR(__xludf.DUMMYFUNCTION("""COMPUTED_VALUE"""),"Физик")</f>
        <v>Физик</v>
      </c>
      <c r="X36" s="385">
        <f>IFERROR(__xludf.DUMMYFUNCTION("""COMPUTED_VALUE"""),26.5)</f>
        <v>26.5</v>
      </c>
      <c r="Z36" s="384" t="s">
        <v>159</v>
      </c>
      <c r="AA36" s="384" t="s">
        <v>265</v>
      </c>
      <c r="AB36" s="389">
        <v>2.5</v>
      </c>
      <c r="AC36" s="389">
        <v>4.0</v>
      </c>
      <c r="AD36" s="384"/>
      <c r="AE36" s="389"/>
      <c r="AF36" s="389"/>
      <c r="AH36" s="384" t="s">
        <v>159</v>
      </c>
      <c r="AI36" s="384" t="s">
        <v>269</v>
      </c>
      <c r="AJ36" s="389"/>
      <c r="AK36" s="389">
        <v>2.75</v>
      </c>
      <c r="AL36" s="384" t="s">
        <v>263</v>
      </c>
      <c r="AM36" s="389"/>
      <c r="AN36" s="389"/>
    </row>
    <row r="37">
      <c r="A37" s="384" t="s">
        <v>104</v>
      </c>
      <c r="B37" s="384" t="s">
        <v>271</v>
      </c>
      <c r="C37" s="389">
        <v>2.5</v>
      </c>
      <c r="D37" s="389">
        <v>4.0</v>
      </c>
      <c r="E37" s="384"/>
      <c r="F37" s="389"/>
      <c r="G37" s="389"/>
      <c r="R37" s="384" t="s">
        <v>268</v>
      </c>
      <c r="T37" s="384" t="str">
        <f>IFERROR(__xludf.DUMMYFUNCTION("""COMPUTED_VALUE"""),"Старый")</f>
        <v>Старый</v>
      </c>
      <c r="U37" s="385"/>
      <c r="W37" s="384" t="str">
        <f>IFERROR(__xludf.DUMMYFUNCTION("""COMPUTED_VALUE"""),"Alice ")</f>
        <v>Alice </v>
      </c>
      <c r="X37" s="385">
        <f>IFERROR(__xludf.DUMMYFUNCTION("""COMPUTED_VALUE"""),26.5)</f>
        <v>26.5</v>
      </c>
      <c r="Z37" s="384" t="s">
        <v>160</v>
      </c>
      <c r="AA37" s="384" t="s">
        <v>261</v>
      </c>
      <c r="AB37" s="389"/>
      <c r="AC37" s="389">
        <v>2.75</v>
      </c>
      <c r="AD37" s="384"/>
      <c r="AE37" s="389"/>
      <c r="AF37" s="389"/>
      <c r="AH37" s="384" t="s">
        <v>160</v>
      </c>
      <c r="AI37" s="384" t="s">
        <v>269</v>
      </c>
      <c r="AJ37" s="389"/>
      <c r="AK37" s="389">
        <v>2.5</v>
      </c>
      <c r="AL37" s="384"/>
      <c r="AM37" s="389"/>
      <c r="AN37" s="389"/>
    </row>
    <row r="38">
      <c r="A38" s="384" t="s">
        <v>106</v>
      </c>
      <c r="B38" s="384" t="s">
        <v>269</v>
      </c>
      <c r="C38" s="389"/>
      <c r="D38" s="389">
        <v>1.5</v>
      </c>
      <c r="E38" s="384"/>
      <c r="F38" s="389"/>
      <c r="G38" s="389"/>
      <c r="R38" s="384" t="s">
        <v>272</v>
      </c>
      <c r="T38" s="384" t="str">
        <f>IFERROR(__xludf.DUMMYFUNCTION("""COMPUTED_VALUE"""),"СЭНСЭЙ")</f>
        <v>СЭНСЭЙ</v>
      </c>
      <c r="U38" s="385"/>
      <c r="W38" s="384" t="str">
        <f>IFERROR(__xludf.DUMMYFUNCTION("""COMPUTED_VALUE"""),"Зверюга")</f>
        <v>Зверюга</v>
      </c>
      <c r="X38" s="385">
        <f>IFERROR(__xludf.DUMMYFUNCTION("""COMPUTED_VALUE"""),26.25)</f>
        <v>26.25</v>
      </c>
      <c r="Z38" s="384" t="s">
        <v>117</v>
      </c>
      <c r="AA38" s="384" t="s">
        <v>261</v>
      </c>
      <c r="AB38" s="389"/>
      <c r="AC38" s="389">
        <v>3.0</v>
      </c>
      <c r="AD38" s="384"/>
      <c r="AE38" s="389"/>
      <c r="AF38" s="389"/>
      <c r="AH38" s="384" t="s">
        <v>157</v>
      </c>
      <c r="AI38" s="384" t="s">
        <v>261</v>
      </c>
      <c r="AJ38" s="389">
        <v>2.5</v>
      </c>
      <c r="AK38" s="389">
        <v>3.25</v>
      </c>
      <c r="AL38" s="384"/>
      <c r="AM38" s="389"/>
      <c r="AN38" s="389"/>
    </row>
    <row r="39">
      <c r="A39" s="384" t="s">
        <v>112</v>
      </c>
      <c r="B39" s="384" t="s">
        <v>265</v>
      </c>
      <c r="C39" s="389"/>
      <c r="D39" s="389">
        <v>2.0</v>
      </c>
      <c r="E39" s="384"/>
      <c r="F39" s="389"/>
      <c r="G39" s="389"/>
      <c r="R39" s="384" t="s">
        <v>272</v>
      </c>
      <c r="T39" s="384" t="str">
        <f>IFERROR(__xludf.DUMMYFUNCTION("""COMPUTED_VALUE"""),"Тихий закат")</f>
        <v>Тихий закат</v>
      </c>
      <c r="U39" s="385"/>
      <c r="W39" s="384" t="str">
        <f>IFERROR(__xludf.DUMMYFUNCTION("""COMPUTED_VALUE"""),"Продюсер")</f>
        <v>Продюсер</v>
      </c>
      <c r="X39" s="385">
        <f>IFERROR(__xludf.DUMMYFUNCTION("""COMPUTED_VALUE"""),26.25)</f>
        <v>26.25</v>
      </c>
      <c r="Z39" s="384" t="s">
        <v>130</v>
      </c>
      <c r="AA39" s="384" t="s">
        <v>261</v>
      </c>
      <c r="AB39" s="389"/>
      <c r="AC39" s="389">
        <v>3.5</v>
      </c>
      <c r="AD39" s="384"/>
      <c r="AE39" s="389"/>
      <c r="AF39" s="389"/>
      <c r="AH39" s="384" t="s">
        <v>85</v>
      </c>
      <c r="AI39" s="384" t="s">
        <v>261</v>
      </c>
      <c r="AJ39" s="389">
        <v>2.5</v>
      </c>
      <c r="AK39" s="389">
        <v>2.75</v>
      </c>
      <c r="AL39" s="384" t="s">
        <v>11</v>
      </c>
      <c r="AM39" s="389"/>
      <c r="AN39" s="389">
        <v>0.25</v>
      </c>
    </row>
    <row r="40">
      <c r="A40" s="384" t="s">
        <v>101</v>
      </c>
      <c r="B40" s="384" t="s">
        <v>261</v>
      </c>
      <c r="C40" s="389">
        <v>2.5</v>
      </c>
      <c r="D40" s="389">
        <v>2.5</v>
      </c>
      <c r="E40" s="384" t="s">
        <v>11</v>
      </c>
      <c r="F40" s="389"/>
      <c r="G40" s="389">
        <v>0.5</v>
      </c>
      <c r="R40" s="384" t="s">
        <v>268</v>
      </c>
      <c r="T40" s="384" t="str">
        <f>IFERROR(__xludf.DUMMYFUNCTION("""COMPUTED_VALUE"""),"Физик")</f>
        <v>Физик</v>
      </c>
      <c r="U40" s="385"/>
      <c r="W40" s="384" t="str">
        <f>IFERROR(__xludf.DUMMYFUNCTION("""COMPUTED_VALUE"""),"Градиент")</f>
        <v>Градиент</v>
      </c>
      <c r="X40" s="385">
        <f>IFERROR(__xludf.DUMMYFUNCTION("""COMPUTED_VALUE"""),26.25)</f>
        <v>26.25</v>
      </c>
      <c r="Z40" s="384" t="s">
        <v>158</v>
      </c>
      <c r="AA40" s="384" t="s">
        <v>261</v>
      </c>
      <c r="AB40" s="389"/>
      <c r="AC40" s="389">
        <v>3.0</v>
      </c>
      <c r="AD40" s="384" t="s">
        <v>11</v>
      </c>
      <c r="AE40" s="389">
        <v>0.5</v>
      </c>
      <c r="AF40" s="389">
        <v>0.5</v>
      </c>
      <c r="AH40" s="384" t="s">
        <v>167</v>
      </c>
      <c r="AI40" s="384" t="s">
        <v>265</v>
      </c>
      <c r="AJ40" s="389"/>
      <c r="AK40" s="389">
        <v>2.0</v>
      </c>
      <c r="AL40" s="384"/>
      <c r="AM40" s="389"/>
      <c r="AN40" s="389"/>
    </row>
    <row r="41">
      <c r="A41" s="384" t="s">
        <v>118</v>
      </c>
      <c r="B41" s="384" t="s">
        <v>261</v>
      </c>
      <c r="C41" s="389">
        <v>2.5</v>
      </c>
      <c r="D41" s="389">
        <v>3.25</v>
      </c>
      <c r="E41" s="384"/>
      <c r="F41" s="389"/>
      <c r="G41" s="389"/>
      <c r="R41" s="384" t="s">
        <v>272</v>
      </c>
      <c r="T41" s="384" t="str">
        <f>IFERROR(__xludf.DUMMYFUNCTION("""COMPUTED_VALUE"""),"Флэш")</f>
        <v>Флэш</v>
      </c>
      <c r="U41" s="385"/>
      <c r="W41" s="384" t="str">
        <f>IFERROR(__xludf.DUMMYFUNCTION("""COMPUTED_VALUE"""),"Castor Troy ")</f>
        <v>Castor Troy </v>
      </c>
      <c r="X41" s="385">
        <f>IFERROR(__xludf.DUMMYFUNCTION("""COMPUTED_VALUE"""),26.25)</f>
        <v>26.25</v>
      </c>
      <c r="Z41" s="384" t="s">
        <v>101</v>
      </c>
      <c r="AA41" s="384" t="s">
        <v>269</v>
      </c>
      <c r="AB41" s="389">
        <v>2.5</v>
      </c>
      <c r="AC41" s="389">
        <v>2.5</v>
      </c>
      <c r="AD41" s="384"/>
      <c r="AE41" s="389"/>
      <c r="AF41" s="389"/>
      <c r="AH41" s="384" t="s">
        <v>104</v>
      </c>
      <c r="AI41" s="384" t="s">
        <v>261</v>
      </c>
      <c r="AJ41" s="389">
        <v>2.5</v>
      </c>
      <c r="AK41" s="389">
        <v>3.25</v>
      </c>
      <c r="AL41" s="384"/>
      <c r="AM41" s="389"/>
      <c r="AN41" s="389"/>
    </row>
    <row r="42">
      <c r="A42" s="384" t="s">
        <v>105</v>
      </c>
      <c r="B42" s="384" t="s">
        <v>261</v>
      </c>
      <c r="C42" s="389">
        <v>2.5</v>
      </c>
      <c r="D42" s="389">
        <v>2.0</v>
      </c>
      <c r="E42" s="384"/>
      <c r="F42" s="389"/>
      <c r="G42" s="389"/>
      <c r="R42" s="384" t="s">
        <v>257</v>
      </c>
      <c r="T42" s="384" t="str">
        <f>IFERROR(__xludf.DUMMYFUNCTION("""COMPUTED_VALUE"""),"Фокс")</f>
        <v>Фокс</v>
      </c>
      <c r="U42" s="385"/>
      <c r="W42" s="384" t="str">
        <f>IFERROR(__xludf.DUMMYFUNCTION("""COMPUTED_VALUE"""),"Young")</f>
        <v>Young</v>
      </c>
      <c r="X42" s="385">
        <f>IFERROR(__xludf.DUMMYFUNCTION("""COMPUTED_VALUE"""),26.0)</f>
        <v>26</v>
      </c>
      <c r="Z42" s="384" t="s">
        <v>157</v>
      </c>
      <c r="AA42" s="384" t="s">
        <v>271</v>
      </c>
      <c r="AB42" s="389"/>
      <c r="AC42" s="389">
        <v>2.5</v>
      </c>
      <c r="AD42" s="384"/>
      <c r="AE42" s="389"/>
      <c r="AF42" s="389"/>
      <c r="AH42" s="384" t="s">
        <v>101</v>
      </c>
      <c r="AI42" s="384" t="s">
        <v>271</v>
      </c>
      <c r="AJ42" s="389">
        <v>2.5</v>
      </c>
      <c r="AK42" s="389">
        <v>3.75</v>
      </c>
      <c r="AL42" s="384" t="s">
        <v>260</v>
      </c>
      <c r="AM42" s="389"/>
      <c r="AN42" s="389"/>
    </row>
    <row r="43">
      <c r="A43" s="384" t="s">
        <v>124</v>
      </c>
      <c r="B43" s="384" t="s">
        <v>265</v>
      </c>
      <c r="C43" s="389">
        <v>2.5</v>
      </c>
      <c r="D43" s="389">
        <v>4.0</v>
      </c>
      <c r="E43" s="384"/>
      <c r="F43" s="389"/>
      <c r="G43" s="389"/>
      <c r="R43" s="384" t="s">
        <v>272</v>
      </c>
      <c r="T43" s="384" t="str">
        <f>IFERROR(__xludf.DUMMYFUNCTION("""COMPUTED_VALUE"""),"Шоу Бой")</f>
        <v>Шоу Бой</v>
      </c>
      <c r="U43" s="385"/>
      <c r="W43" s="384" t="str">
        <f>IFERROR(__xludf.DUMMYFUNCTION("""COMPUTED_VALUE"""),"Тихий закат")</f>
        <v>Тихий закат</v>
      </c>
      <c r="X43" s="385">
        <f>IFERROR(__xludf.DUMMYFUNCTION("""COMPUTED_VALUE"""),26.0)</f>
        <v>26</v>
      </c>
      <c r="Z43" s="384" t="s">
        <v>154</v>
      </c>
      <c r="AA43" s="384" t="s">
        <v>271</v>
      </c>
      <c r="AB43" s="389">
        <v>2.5</v>
      </c>
      <c r="AC43" s="389">
        <v>3.75</v>
      </c>
      <c r="AD43" s="384"/>
      <c r="AE43" s="389"/>
      <c r="AF43" s="389"/>
      <c r="AH43" s="384" t="s">
        <v>177</v>
      </c>
      <c r="AI43" s="384" t="s">
        <v>261</v>
      </c>
      <c r="AJ43" s="389"/>
      <c r="AK43" s="389">
        <v>2.0</v>
      </c>
      <c r="AL43" s="384"/>
      <c r="AM43" s="389"/>
      <c r="AN43" s="389"/>
    </row>
    <row r="44">
      <c r="A44" s="384" t="s">
        <v>82</v>
      </c>
      <c r="B44" s="384" t="s">
        <v>269</v>
      </c>
      <c r="C44" s="389">
        <v>2.5</v>
      </c>
      <c r="D44" s="389">
        <v>3.5</v>
      </c>
      <c r="E44" s="384"/>
      <c r="F44" s="389"/>
      <c r="G44" s="389"/>
      <c r="R44" s="384" t="s">
        <v>259</v>
      </c>
      <c r="T44" s="384" t="str">
        <f>IFERROR(__xludf.DUMMYFUNCTION("""COMPUTED_VALUE"""),"Юрия")</f>
        <v>Юрия</v>
      </c>
      <c r="U44" s="385"/>
      <c r="W44" s="384" t="str">
        <f>IFERROR(__xludf.DUMMYFUNCTION("""COMPUTED_VALUE"""),"Bublik")</f>
        <v>Bublik</v>
      </c>
      <c r="X44" s="385">
        <f>IFERROR(__xludf.DUMMYFUNCTION("""COMPUTED_VALUE"""),26.0)</f>
        <v>26</v>
      </c>
      <c r="Z44" s="384" t="s">
        <v>155</v>
      </c>
      <c r="AA44" s="384" t="s">
        <v>261</v>
      </c>
      <c r="AB44" s="389">
        <v>2.5</v>
      </c>
      <c r="AC44" s="389">
        <v>4.0</v>
      </c>
      <c r="AD44" s="384"/>
      <c r="AE44" s="389"/>
      <c r="AF44" s="389"/>
      <c r="AH44" s="384" t="s">
        <v>138</v>
      </c>
      <c r="AI44" s="384" t="s">
        <v>261</v>
      </c>
      <c r="AJ44" s="389"/>
      <c r="AK44" s="389">
        <v>2.75</v>
      </c>
      <c r="AL44" s="384"/>
      <c r="AM44" s="389"/>
      <c r="AN44" s="389"/>
    </row>
    <row r="45">
      <c r="A45" s="384" t="s">
        <v>90</v>
      </c>
      <c r="B45" s="384" t="s">
        <v>269</v>
      </c>
      <c r="C45" s="389">
        <v>2.5</v>
      </c>
      <c r="D45" s="389">
        <v>3.75</v>
      </c>
      <c r="E45" s="384"/>
      <c r="F45" s="389"/>
      <c r="G45" s="389"/>
      <c r="R45" s="384" t="s">
        <v>264</v>
      </c>
      <c r="T45" s="384" t="str">
        <f>IFERROR(__xludf.DUMMYFUNCTION("""COMPUTED_VALUE"""),"A1 ")</f>
        <v>A1 </v>
      </c>
      <c r="U45" s="385"/>
      <c r="W45" s="384" t="str">
        <f>IFERROR(__xludf.DUMMYFUNCTION("""COMPUTED_VALUE"""),"Young")</f>
        <v>Young</v>
      </c>
      <c r="X45" s="385">
        <f>IFERROR(__xludf.DUMMYFUNCTION("""COMPUTED_VALUE"""),26.0)</f>
        <v>26</v>
      </c>
      <c r="Z45" s="384" t="s">
        <v>156</v>
      </c>
      <c r="AA45" s="384" t="s">
        <v>261</v>
      </c>
      <c r="AB45" s="389">
        <v>2.5</v>
      </c>
      <c r="AC45" s="389">
        <v>2.25</v>
      </c>
      <c r="AD45" s="384" t="s">
        <v>11</v>
      </c>
      <c r="AE45" s="389"/>
      <c r="AF45" s="389">
        <v>0.25</v>
      </c>
      <c r="AH45" s="384" t="s">
        <v>123</v>
      </c>
      <c r="AI45" s="384" t="s">
        <v>265</v>
      </c>
      <c r="AJ45" s="389">
        <v>2.5</v>
      </c>
      <c r="AK45" s="389">
        <v>2.75</v>
      </c>
      <c r="AL45" s="384"/>
      <c r="AM45" s="389"/>
      <c r="AN45" s="389"/>
    </row>
    <row r="46">
      <c r="A46" s="384" t="s">
        <v>119</v>
      </c>
      <c r="B46" s="384" t="s">
        <v>261</v>
      </c>
      <c r="C46" s="389"/>
      <c r="D46" s="389">
        <v>1.5</v>
      </c>
      <c r="E46" s="384"/>
      <c r="F46" s="389"/>
      <c r="G46" s="389"/>
      <c r="R46" s="384" t="s">
        <v>262</v>
      </c>
      <c r="T46" s="384" t="str">
        <f>IFERROR(__xludf.DUMMYFUNCTION("""COMPUTED_VALUE"""),"Alice ")</f>
        <v>Alice </v>
      </c>
      <c r="U46" s="385"/>
      <c r="W46" s="384" t="str">
        <f>IFERROR(__xludf.DUMMYFUNCTION("""COMPUTED_VALUE"""),"Градиент")</f>
        <v>Градиент</v>
      </c>
      <c r="X46" s="385">
        <f>IFERROR(__xludf.DUMMYFUNCTION("""COMPUTED_VALUE"""),25.75)</f>
        <v>25.75</v>
      </c>
      <c r="Z46" s="384" t="s">
        <v>159</v>
      </c>
      <c r="AA46" s="384" t="s">
        <v>265</v>
      </c>
      <c r="AB46" s="389"/>
      <c r="AC46" s="389">
        <v>2.25</v>
      </c>
      <c r="AD46" s="384"/>
      <c r="AE46" s="389"/>
      <c r="AF46" s="389"/>
      <c r="AH46" s="384" t="s">
        <v>159</v>
      </c>
      <c r="AI46" s="384" t="s">
        <v>271</v>
      </c>
      <c r="AJ46" s="389"/>
      <c r="AK46" s="389">
        <v>2.75</v>
      </c>
      <c r="AL46" s="384"/>
      <c r="AM46" s="389"/>
      <c r="AN46" s="389"/>
    </row>
    <row r="47">
      <c r="A47" s="384" t="s">
        <v>104</v>
      </c>
      <c r="B47" s="384" t="s">
        <v>261</v>
      </c>
      <c r="C47" s="389"/>
      <c r="D47" s="389">
        <v>1.75</v>
      </c>
      <c r="E47" s="384" t="s">
        <v>11</v>
      </c>
      <c r="F47" s="389"/>
      <c r="G47" s="389">
        <v>0.5</v>
      </c>
      <c r="R47" s="384" t="s">
        <v>272</v>
      </c>
      <c r="T47" s="384" t="str">
        <f>IFERROR(__xludf.DUMMYFUNCTION("""COMPUTED_VALUE"""),"Bublik")</f>
        <v>Bublik</v>
      </c>
      <c r="U47" s="385"/>
      <c r="W47" s="384" t="str">
        <f>IFERROR(__xludf.DUMMYFUNCTION("""COMPUTED_VALUE"""),"Флэш")</f>
        <v>Флэш</v>
      </c>
      <c r="X47" s="385">
        <f>IFERROR(__xludf.DUMMYFUNCTION("""COMPUTED_VALUE"""),25.75)</f>
        <v>25.75</v>
      </c>
      <c r="Z47" s="384" t="s">
        <v>160</v>
      </c>
      <c r="AA47" s="384" t="s">
        <v>261</v>
      </c>
      <c r="AB47" s="389">
        <v>2.5</v>
      </c>
      <c r="AC47" s="389">
        <v>3.25</v>
      </c>
      <c r="AD47" s="384"/>
      <c r="AE47" s="389"/>
      <c r="AF47" s="389"/>
      <c r="AH47" s="384" t="s">
        <v>160</v>
      </c>
      <c r="AI47" s="384" t="s">
        <v>261</v>
      </c>
      <c r="AJ47" s="389"/>
      <c r="AK47" s="389">
        <v>2.5</v>
      </c>
      <c r="AL47" s="384" t="s">
        <v>263</v>
      </c>
      <c r="AM47" s="389"/>
      <c r="AN47" s="389"/>
    </row>
    <row r="48">
      <c r="A48" s="384" t="s">
        <v>106</v>
      </c>
      <c r="B48" s="384" t="s">
        <v>261</v>
      </c>
      <c r="C48" s="389"/>
      <c r="D48" s="389">
        <v>2.0</v>
      </c>
      <c r="E48" s="384"/>
      <c r="F48" s="389"/>
      <c r="G48" s="389"/>
      <c r="R48" s="384" t="s">
        <v>268</v>
      </c>
      <c r="T48" s="384" t="str">
        <f>IFERROR(__xludf.DUMMYFUNCTION("""COMPUTED_VALUE"""),"BWDMoscow")</f>
        <v>BWDMoscow</v>
      </c>
      <c r="U48" s="385"/>
      <c r="W48" s="384" t="str">
        <f>IFERROR(__xludf.DUMMYFUNCTION("""COMPUTED_VALUE"""),"Bublik")</f>
        <v>Bublik</v>
      </c>
      <c r="X48" s="385">
        <f>IFERROR(__xludf.DUMMYFUNCTION("""COMPUTED_VALUE"""),25.75)</f>
        <v>25.75</v>
      </c>
      <c r="Z48" s="384" t="s">
        <v>117</v>
      </c>
      <c r="AA48" s="384" t="s">
        <v>261</v>
      </c>
      <c r="AB48" s="389">
        <v>2.5</v>
      </c>
      <c r="AC48" s="389">
        <v>2.0</v>
      </c>
      <c r="AD48" s="384"/>
      <c r="AE48" s="389"/>
      <c r="AF48" s="389"/>
      <c r="AH48" s="384" t="s">
        <v>157</v>
      </c>
      <c r="AI48" s="384" t="s">
        <v>261</v>
      </c>
      <c r="AJ48" s="389"/>
      <c r="AK48" s="389">
        <v>2.0</v>
      </c>
      <c r="AL48" s="384"/>
      <c r="AM48" s="389"/>
      <c r="AN48" s="389"/>
    </row>
    <row r="49">
      <c r="A49" s="384" t="s">
        <v>112</v>
      </c>
      <c r="B49" s="384" t="s">
        <v>261</v>
      </c>
      <c r="C49" s="389"/>
      <c r="D49" s="389">
        <v>2.5</v>
      </c>
      <c r="E49" s="384"/>
      <c r="F49" s="389"/>
      <c r="G49" s="389"/>
      <c r="R49" s="384" t="s">
        <v>267</v>
      </c>
      <c r="T49" s="384" t="str">
        <f>IFERROR(__xludf.DUMMYFUNCTION("""COMPUTED_VALUE"""),"Castor Troy ")</f>
        <v>Castor Troy </v>
      </c>
      <c r="U49" s="385"/>
      <c r="W49" s="384" t="str">
        <f>IFERROR(__xludf.DUMMYFUNCTION("""COMPUTED_VALUE"""),"Админ")</f>
        <v>Админ</v>
      </c>
      <c r="X49" s="385">
        <f>IFERROR(__xludf.DUMMYFUNCTION("""COMPUTED_VALUE"""),25.75)</f>
        <v>25.75</v>
      </c>
      <c r="Z49" s="384" t="s">
        <v>130</v>
      </c>
      <c r="AA49" s="384" t="s">
        <v>261</v>
      </c>
      <c r="AB49" s="389">
        <v>2.5</v>
      </c>
      <c r="AC49" s="389">
        <v>2.75</v>
      </c>
      <c r="AD49" s="384"/>
      <c r="AE49" s="389"/>
      <c r="AF49" s="389"/>
      <c r="AH49" s="384" t="s">
        <v>85</v>
      </c>
      <c r="AI49" s="384" t="s">
        <v>269</v>
      </c>
      <c r="AJ49" s="389">
        <v>2.5</v>
      </c>
      <c r="AK49" s="389">
        <v>3.75</v>
      </c>
      <c r="AL49" s="384" t="s">
        <v>260</v>
      </c>
      <c r="AM49" s="389"/>
      <c r="AN49" s="389"/>
    </row>
    <row r="50">
      <c r="A50" s="384" t="s">
        <v>101</v>
      </c>
      <c r="B50" s="384" t="s">
        <v>261</v>
      </c>
      <c r="C50" s="389"/>
      <c r="D50" s="389">
        <v>1.75</v>
      </c>
      <c r="E50" s="384"/>
      <c r="F50" s="389"/>
      <c r="G50" s="389"/>
      <c r="R50" s="384" t="s">
        <v>267</v>
      </c>
      <c r="T50" s="384" t="str">
        <f>IFERROR(__xludf.DUMMYFUNCTION("""COMPUTED_VALUE"""),"Cristo")</f>
        <v>Cristo</v>
      </c>
      <c r="U50" s="385"/>
      <c r="W50" s="384" t="str">
        <f>IFERROR(__xludf.DUMMYFUNCTION("""COMPUTED_VALUE"""),"WhoIsWho")</f>
        <v>WhoIsWho</v>
      </c>
      <c r="X50" s="385">
        <f>IFERROR(__xludf.DUMMYFUNCTION("""COMPUTED_VALUE"""),25.75)</f>
        <v>25.75</v>
      </c>
      <c r="Z50" s="384" t="s">
        <v>158</v>
      </c>
      <c r="AA50" s="384" t="s">
        <v>269</v>
      </c>
      <c r="AB50" s="389"/>
      <c r="AC50" s="389">
        <v>2.25</v>
      </c>
      <c r="AD50" s="384"/>
      <c r="AE50" s="389"/>
      <c r="AF50" s="389"/>
      <c r="AH50" s="384" t="s">
        <v>167</v>
      </c>
      <c r="AI50" s="384" t="s">
        <v>269</v>
      </c>
      <c r="AJ50" s="389">
        <v>2.5</v>
      </c>
      <c r="AK50" s="389">
        <v>2.25</v>
      </c>
      <c r="AL50" s="384"/>
      <c r="AM50" s="389"/>
      <c r="AN50" s="389"/>
    </row>
    <row r="51">
      <c r="A51" s="384" t="s">
        <v>118</v>
      </c>
      <c r="B51" s="384" t="s">
        <v>261</v>
      </c>
      <c r="C51" s="389"/>
      <c r="D51" s="389">
        <v>2.0</v>
      </c>
      <c r="E51" s="384"/>
      <c r="F51" s="389"/>
      <c r="G51" s="389"/>
      <c r="R51" s="384" t="s">
        <v>257</v>
      </c>
      <c r="T51" s="384" t="str">
        <f>IFERROR(__xludf.DUMMYFUNCTION("""COMPUTED_VALUE"""),"Curly")</f>
        <v>Curly</v>
      </c>
      <c r="U51" s="385"/>
      <c r="W51" s="384" t="str">
        <f>IFERROR(__xludf.DUMMYFUNCTION("""COMPUTED_VALUE"""),"Писатель ")</f>
        <v>Писатель </v>
      </c>
      <c r="X51" s="385">
        <f>IFERROR(__xludf.DUMMYFUNCTION("""COMPUTED_VALUE"""),25.5)</f>
        <v>25.5</v>
      </c>
      <c r="Z51" s="384" t="s">
        <v>101</v>
      </c>
      <c r="AA51" s="384" t="s">
        <v>269</v>
      </c>
      <c r="AB51" s="389"/>
      <c r="AC51" s="389">
        <v>2.25</v>
      </c>
      <c r="AD51" s="384"/>
      <c r="AE51" s="389"/>
      <c r="AF51" s="389"/>
      <c r="AH51" s="384" t="s">
        <v>104</v>
      </c>
      <c r="AI51" s="384" t="s">
        <v>261</v>
      </c>
      <c r="AJ51" s="389"/>
      <c r="AK51" s="389">
        <v>2.0</v>
      </c>
      <c r="AL51" s="384" t="s">
        <v>263</v>
      </c>
      <c r="AM51" s="389"/>
      <c r="AN51" s="389"/>
    </row>
    <row r="52">
      <c r="A52" s="384" t="s">
        <v>105</v>
      </c>
      <c r="B52" s="384" t="s">
        <v>271</v>
      </c>
      <c r="C52" s="389"/>
      <c r="D52" s="389">
        <v>1.5</v>
      </c>
      <c r="E52" s="384"/>
      <c r="F52" s="389"/>
      <c r="G52" s="389"/>
      <c r="R52" s="384" t="s">
        <v>272</v>
      </c>
      <c r="T52" s="384" t="str">
        <f>IFERROR(__xludf.DUMMYFUNCTION("""COMPUTED_VALUE"""),"GALAY")</f>
        <v>GALAY</v>
      </c>
      <c r="U52" s="385"/>
      <c r="W52" s="384" t="str">
        <f>IFERROR(__xludf.DUMMYFUNCTION("""COMPUTED_VALUE"""),"Coach")</f>
        <v>Coach</v>
      </c>
      <c r="X52" s="385">
        <f>IFERROR(__xludf.DUMMYFUNCTION("""COMPUTED_VALUE"""),25.25)</f>
        <v>25.25</v>
      </c>
      <c r="Z52" s="384" t="s">
        <v>157</v>
      </c>
      <c r="AA52" s="384" t="s">
        <v>261</v>
      </c>
      <c r="AB52" s="389">
        <v>2.5</v>
      </c>
      <c r="AC52" s="389">
        <v>3.5</v>
      </c>
      <c r="AD52" s="384"/>
      <c r="AE52" s="389"/>
      <c r="AF52" s="389"/>
      <c r="AH52" s="384" t="s">
        <v>101</v>
      </c>
      <c r="AI52" s="384" t="s">
        <v>261</v>
      </c>
      <c r="AJ52" s="389"/>
      <c r="AK52" s="389">
        <v>2.0</v>
      </c>
      <c r="AL52" s="384"/>
      <c r="AM52" s="389"/>
      <c r="AN52" s="389"/>
    </row>
    <row r="53">
      <c r="A53" s="384" t="s">
        <v>102</v>
      </c>
      <c r="B53" s="384" t="s">
        <v>261</v>
      </c>
      <c r="C53" s="389">
        <v>2.5</v>
      </c>
      <c r="D53" s="389">
        <v>3.25</v>
      </c>
      <c r="E53" s="384"/>
      <c r="F53" s="389"/>
      <c r="G53" s="389"/>
      <c r="R53" s="384" t="s">
        <v>262</v>
      </c>
      <c r="T53" s="384" t="str">
        <f>IFERROR(__xludf.DUMMYFUNCTION("""COMPUTED_VALUE"""),"Helga")</f>
        <v>Helga</v>
      </c>
      <c r="U53" s="385"/>
      <c r="W53" s="384" t="str">
        <f>IFERROR(__xludf.DUMMYFUNCTION("""COMPUTED_VALUE"""),"Шпиц")</f>
        <v>Шпиц</v>
      </c>
      <c r="X53" s="385">
        <f>IFERROR(__xludf.DUMMYFUNCTION("""COMPUTED_VALUE"""),25.25)</f>
        <v>25.25</v>
      </c>
      <c r="Z53" s="384" t="s">
        <v>154</v>
      </c>
      <c r="AA53" s="384" t="s">
        <v>269</v>
      </c>
      <c r="AB53" s="389">
        <v>2.5</v>
      </c>
      <c r="AC53" s="389">
        <v>3.25</v>
      </c>
      <c r="AD53" s="384"/>
      <c r="AE53" s="389"/>
      <c r="AF53" s="389"/>
      <c r="AH53" s="384" t="s">
        <v>177</v>
      </c>
      <c r="AI53" s="384" t="s">
        <v>261</v>
      </c>
      <c r="AJ53" s="389">
        <v>2.5</v>
      </c>
      <c r="AK53" s="389">
        <v>2.75</v>
      </c>
      <c r="AL53" s="384" t="s">
        <v>11</v>
      </c>
      <c r="AM53" s="389"/>
      <c r="AN53" s="389">
        <v>0.25</v>
      </c>
    </row>
    <row r="54">
      <c r="A54" s="384" t="s">
        <v>127</v>
      </c>
      <c r="B54" s="384" t="s">
        <v>261</v>
      </c>
      <c r="C54" s="389">
        <v>2.5</v>
      </c>
      <c r="D54" s="389">
        <v>2.5</v>
      </c>
      <c r="E54" s="384" t="s">
        <v>11</v>
      </c>
      <c r="F54" s="389"/>
      <c r="G54" s="389">
        <v>0.5</v>
      </c>
      <c r="R54" s="384" t="s">
        <v>267</v>
      </c>
      <c r="T54" s="384" t="str">
        <f>IFERROR(__xludf.DUMMYFUNCTION("""COMPUTED_VALUE"""),"Ketamin")</f>
        <v>Ketamin</v>
      </c>
      <c r="U54" s="385"/>
      <c r="W54" s="384" t="str">
        <f>IFERROR(__xludf.DUMMYFUNCTION("""COMPUTED_VALUE"""),"Light")</f>
        <v>Light</v>
      </c>
      <c r="X54" s="385">
        <f>IFERROR(__xludf.DUMMYFUNCTION("""COMPUTED_VALUE"""),25.25)</f>
        <v>25.25</v>
      </c>
      <c r="Z54" s="384" t="s">
        <v>155</v>
      </c>
      <c r="AA54" s="384" t="s">
        <v>261</v>
      </c>
      <c r="AB54" s="389"/>
      <c r="AC54" s="389">
        <v>2.0</v>
      </c>
      <c r="AD54" s="384"/>
      <c r="AE54" s="389"/>
      <c r="AF54" s="389"/>
      <c r="AH54" s="384" t="s">
        <v>138</v>
      </c>
      <c r="AI54" s="384" t="s">
        <v>269</v>
      </c>
      <c r="AJ54" s="389"/>
      <c r="AK54" s="389">
        <v>2.75</v>
      </c>
      <c r="AL54" s="384"/>
      <c r="AM54" s="389"/>
      <c r="AN54" s="389"/>
    </row>
    <row r="55">
      <c r="A55" s="384" t="s">
        <v>137</v>
      </c>
      <c r="B55" s="384" t="s">
        <v>269</v>
      </c>
      <c r="C55" s="389"/>
      <c r="D55" s="389">
        <v>2.0</v>
      </c>
      <c r="E55" s="384"/>
      <c r="F55" s="389"/>
      <c r="G55" s="389"/>
      <c r="R55" s="384" t="s">
        <v>264</v>
      </c>
      <c r="T55" s="384" t="str">
        <f>IFERROR(__xludf.DUMMYFUNCTION("""COMPUTED_VALUE"""),"Light")</f>
        <v>Light</v>
      </c>
      <c r="U55" s="385"/>
      <c r="W55" s="384" t="str">
        <f>IFERROR(__xludf.DUMMYFUNCTION("""COMPUTED_VALUE"""),"Curly")</f>
        <v>Curly</v>
      </c>
      <c r="X55" s="385">
        <f>IFERROR(__xludf.DUMMYFUNCTION("""COMPUTED_VALUE"""),25.25)</f>
        <v>25.25</v>
      </c>
      <c r="Z55" s="384" t="s">
        <v>156</v>
      </c>
      <c r="AA55" s="384" t="s">
        <v>265</v>
      </c>
      <c r="AB55" s="389">
        <v>2.5</v>
      </c>
      <c r="AC55" s="389">
        <v>3.25</v>
      </c>
      <c r="AD55" s="384"/>
      <c r="AE55" s="389"/>
      <c r="AF55" s="389"/>
      <c r="AH55" s="384" t="s">
        <v>123</v>
      </c>
      <c r="AI55" s="384" t="s">
        <v>261</v>
      </c>
      <c r="AJ55" s="389">
        <v>2.5</v>
      </c>
      <c r="AK55" s="389">
        <v>3.0</v>
      </c>
      <c r="AL55" s="384"/>
      <c r="AM55" s="389"/>
      <c r="AN55" s="389"/>
    </row>
    <row r="56">
      <c r="A56" s="384" t="s">
        <v>116</v>
      </c>
      <c r="B56" s="384" t="s">
        <v>261</v>
      </c>
      <c r="C56" s="389">
        <v>2.5</v>
      </c>
      <c r="D56" s="389">
        <v>4.0</v>
      </c>
      <c r="E56" s="384"/>
      <c r="F56" s="389"/>
      <c r="G56" s="389"/>
      <c r="R56" s="384" t="s">
        <v>262</v>
      </c>
      <c r="T56" s="384" t="str">
        <f>IFERROR(__xludf.DUMMYFUNCTION("""COMPUTED_VALUE"""),"Morti")</f>
        <v>Morti</v>
      </c>
      <c r="U56" s="385"/>
      <c r="W56" s="384" t="str">
        <f>IFERROR(__xludf.DUMMYFUNCTION("""COMPUTED_VALUE"""),"Шпиц")</f>
        <v>Шпиц</v>
      </c>
      <c r="X56" s="385">
        <f>IFERROR(__xludf.DUMMYFUNCTION("""COMPUTED_VALUE"""),25.25)</f>
        <v>25.25</v>
      </c>
      <c r="Z56" s="384" t="s">
        <v>159</v>
      </c>
      <c r="AA56" s="384" t="s">
        <v>269</v>
      </c>
      <c r="AB56" s="389">
        <v>2.5</v>
      </c>
      <c r="AC56" s="389">
        <v>3.25</v>
      </c>
      <c r="AD56" s="384"/>
      <c r="AE56" s="389"/>
      <c r="AF56" s="389"/>
      <c r="AH56" s="384" t="s">
        <v>159</v>
      </c>
      <c r="AI56" s="384" t="s">
        <v>261</v>
      </c>
      <c r="AJ56" s="389">
        <v>2.5</v>
      </c>
      <c r="AK56" s="389">
        <v>2.75</v>
      </c>
      <c r="AL56" s="384"/>
      <c r="AM56" s="389"/>
      <c r="AN56" s="389"/>
    </row>
    <row r="57">
      <c r="A57" s="384" t="s">
        <v>98</v>
      </c>
      <c r="B57" s="384" t="s">
        <v>271</v>
      </c>
      <c r="C57" s="389">
        <v>2.5</v>
      </c>
      <c r="D57" s="389">
        <v>2.5</v>
      </c>
      <c r="E57" s="384"/>
      <c r="F57" s="389"/>
      <c r="G57" s="389"/>
      <c r="R57" s="384" t="s">
        <v>272</v>
      </c>
      <c r="T57" s="384" t="str">
        <f>IFERROR(__xludf.DUMMYFUNCTION("""COMPUTED_VALUE"""),"MSR")</f>
        <v>MSR</v>
      </c>
      <c r="U57" s="385"/>
      <c r="W57" s="384" t="str">
        <f>IFERROR(__xludf.DUMMYFUNCTION("""COMPUTED_VALUE"""),"Крестный отец (BLR)")</f>
        <v>Крестный отец (BLR)</v>
      </c>
      <c r="X57" s="385">
        <f>IFERROR(__xludf.DUMMYFUNCTION("""COMPUTED_VALUE"""),25.25)</f>
        <v>25.25</v>
      </c>
      <c r="Z57" s="384" t="s">
        <v>160</v>
      </c>
      <c r="AA57" s="384" t="s">
        <v>261</v>
      </c>
      <c r="AB57" s="389"/>
      <c r="AC57" s="389">
        <v>2.0</v>
      </c>
      <c r="AD57" s="384"/>
      <c r="AE57" s="389"/>
      <c r="AF57" s="389"/>
      <c r="AH57" s="384" t="s">
        <v>160</v>
      </c>
      <c r="AI57" s="384" t="s">
        <v>261</v>
      </c>
      <c r="AJ57" s="389">
        <v>2.5</v>
      </c>
      <c r="AK57" s="389">
        <v>3.75</v>
      </c>
      <c r="AL57" s="384"/>
      <c r="AM57" s="389"/>
      <c r="AN57" s="389"/>
    </row>
    <row r="58">
      <c r="A58" s="384" t="s">
        <v>85</v>
      </c>
      <c r="B58" s="384" t="s">
        <v>269</v>
      </c>
      <c r="C58" s="389"/>
      <c r="D58" s="389">
        <v>1.75</v>
      </c>
      <c r="E58" s="384"/>
      <c r="F58" s="389"/>
      <c r="G58" s="389"/>
      <c r="R58" s="384" t="s">
        <v>259</v>
      </c>
      <c r="T58" s="384" t="str">
        <f>IFERROR(__xludf.DUMMYFUNCTION("""COMPUTED_VALUE"""),"NLIP")</f>
        <v>NLIP</v>
      </c>
      <c r="U58" s="385"/>
      <c r="W58" s="384" t="str">
        <f>IFERROR(__xludf.DUMMYFUNCTION("""COMPUTED_VALUE"""),"Крёстный Отец (RU)")</f>
        <v>Крёстный Отец (RU)</v>
      </c>
      <c r="X58" s="385">
        <f>IFERROR(__xludf.DUMMYFUNCTION("""COMPUTED_VALUE"""),25.25)</f>
        <v>25.25</v>
      </c>
      <c r="Z58" s="384" t="s">
        <v>117</v>
      </c>
      <c r="AA58" s="384" t="s">
        <v>261</v>
      </c>
      <c r="AB58" s="389"/>
      <c r="AC58" s="389">
        <v>2.5</v>
      </c>
      <c r="AD58" s="384"/>
      <c r="AE58" s="389"/>
      <c r="AF58" s="389"/>
      <c r="AH58" s="384" t="s">
        <v>157</v>
      </c>
      <c r="AI58" s="384" t="s">
        <v>271</v>
      </c>
      <c r="AJ58" s="389">
        <v>2.5</v>
      </c>
      <c r="AK58" s="389">
        <v>3.0</v>
      </c>
      <c r="AL58" s="384"/>
      <c r="AM58" s="389"/>
      <c r="AN58" s="389"/>
    </row>
    <row r="59">
      <c r="A59" s="384" t="s">
        <v>135</v>
      </c>
      <c r="B59" s="384" t="s">
        <v>261</v>
      </c>
      <c r="C59" s="389">
        <v>2.5</v>
      </c>
      <c r="D59" s="389">
        <v>3.5</v>
      </c>
      <c r="E59" s="384"/>
      <c r="F59" s="389"/>
      <c r="G59" s="389"/>
      <c r="R59" s="384" t="s">
        <v>267</v>
      </c>
      <c r="T59" s="384" t="str">
        <f>IFERROR(__xludf.DUMMYFUNCTION("""COMPUTED_VALUE"""),"Rocket woman ")</f>
        <v>Rocket woman </v>
      </c>
      <c r="U59" s="385"/>
      <c r="W59" s="384" t="str">
        <f>IFERROR(__xludf.DUMMYFUNCTION("""COMPUTED_VALUE"""),"Тихий закат")</f>
        <v>Тихий закат</v>
      </c>
      <c r="X59" s="385">
        <f>IFERROR(__xludf.DUMMYFUNCTION("""COMPUTED_VALUE"""),25.25)</f>
        <v>25.25</v>
      </c>
      <c r="Z59" s="384" t="s">
        <v>130</v>
      </c>
      <c r="AA59" s="384" t="s">
        <v>261</v>
      </c>
      <c r="AB59" s="389"/>
      <c r="AC59" s="389">
        <v>2.5</v>
      </c>
      <c r="AD59" s="384"/>
      <c r="AE59" s="389"/>
      <c r="AF59" s="389"/>
      <c r="AH59" s="384" t="s">
        <v>85</v>
      </c>
      <c r="AI59" s="384" t="s">
        <v>261</v>
      </c>
      <c r="AJ59" s="389">
        <v>2.5</v>
      </c>
      <c r="AK59" s="389">
        <v>3.75</v>
      </c>
      <c r="AL59" s="384"/>
      <c r="AM59" s="389"/>
      <c r="AN59" s="389"/>
    </row>
    <row r="60">
      <c r="A60" s="384" t="s">
        <v>110</v>
      </c>
      <c r="B60" s="384" t="s">
        <v>261</v>
      </c>
      <c r="C60" s="389">
        <v>2.5</v>
      </c>
      <c r="D60" s="389">
        <v>2.5</v>
      </c>
      <c r="E60" s="384"/>
      <c r="F60" s="389"/>
      <c r="G60" s="389"/>
      <c r="R60" s="384" t="s">
        <v>272</v>
      </c>
      <c r="T60" s="384" t="str">
        <f>IFERROR(__xludf.DUMMYFUNCTION("""COMPUTED_VALUE"""),"SCHOKK ")</f>
        <v>SCHOKK </v>
      </c>
      <c r="U60" s="385"/>
      <c r="W60" s="384" t="str">
        <f>IFERROR(__xludf.DUMMYFUNCTION("""COMPUTED_VALUE"""),"Coach")</f>
        <v>Coach</v>
      </c>
      <c r="X60" s="385">
        <f>IFERROR(__xludf.DUMMYFUNCTION("""COMPUTED_VALUE"""),25.25)</f>
        <v>25.25</v>
      </c>
      <c r="Z60" s="384" t="s">
        <v>158</v>
      </c>
      <c r="AA60" s="384" t="s">
        <v>261</v>
      </c>
      <c r="AB60" s="389"/>
      <c r="AC60" s="389">
        <v>2.5</v>
      </c>
      <c r="AD60" s="384"/>
      <c r="AE60" s="389"/>
      <c r="AF60" s="389"/>
      <c r="AH60" s="384" t="s">
        <v>167</v>
      </c>
      <c r="AI60" s="384" t="s">
        <v>269</v>
      </c>
      <c r="AJ60" s="389"/>
      <c r="AK60" s="389">
        <v>2.25</v>
      </c>
      <c r="AL60" s="384"/>
      <c r="AM60" s="389"/>
      <c r="AN60" s="389"/>
    </row>
    <row r="61">
      <c r="A61" s="384" t="s">
        <v>138</v>
      </c>
      <c r="B61" s="384" t="s">
        <v>261</v>
      </c>
      <c r="C61" s="389">
        <v>2.5</v>
      </c>
      <c r="D61" s="389">
        <v>3.0</v>
      </c>
      <c r="E61" s="384"/>
      <c r="F61" s="389"/>
      <c r="G61" s="389"/>
      <c r="R61" s="384" t="s">
        <v>272</v>
      </c>
      <c r="T61" s="384" t="str">
        <f>IFERROR(__xludf.DUMMYFUNCTION("""COMPUTED_VALUE"""),"Stacy")</f>
        <v>Stacy</v>
      </c>
      <c r="U61" s="385"/>
      <c r="W61" s="384" t="str">
        <f>IFERROR(__xludf.DUMMYFUNCTION("""COMPUTED_VALUE"""),"Инсомнич")</f>
        <v>Инсомнич</v>
      </c>
      <c r="X61" s="385">
        <f>IFERROR(__xludf.DUMMYFUNCTION("""COMPUTED_VALUE"""),25.0)</f>
        <v>25</v>
      </c>
      <c r="Z61" s="384" t="s">
        <v>101</v>
      </c>
      <c r="AA61" s="384" t="s">
        <v>271</v>
      </c>
      <c r="AB61" s="389"/>
      <c r="AC61" s="389">
        <v>2.0</v>
      </c>
      <c r="AD61" s="384" t="s">
        <v>11</v>
      </c>
      <c r="AE61" s="389">
        <v>0.5</v>
      </c>
      <c r="AF61" s="389">
        <v>0.5</v>
      </c>
      <c r="AH61" s="384" t="s">
        <v>104</v>
      </c>
      <c r="AI61" s="384" t="s">
        <v>261</v>
      </c>
      <c r="AJ61" s="389">
        <v>2.5</v>
      </c>
      <c r="AK61" s="389">
        <v>2.5</v>
      </c>
      <c r="AL61" s="384"/>
      <c r="AM61" s="389"/>
      <c r="AN61" s="389"/>
    </row>
    <row r="62">
      <c r="A62" s="384" t="s">
        <v>81</v>
      </c>
      <c r="B62" s="384" t="s">
        <v>265</v>
      </c>
      <c r="C62" s="389"/>
      <c r="D62" s="389">
        <v>2.0</v>
      </c>
      <c r="E62" s="384"/>
      <c r="F62" s="389"/>
      <c r="G62" s="389"/>
      <c r="R62" s="384" t="s">
        <v>259</v>
      </c>
      <c r="T62" s="384" t="str">
        <f>IFERROR(__xludf.DUMMYFUNCTION("QUERY('Турнирная таблица по Алфавиту'!C7:BG66,""select C,V order by V desc"")"),"Красавчик")</f>
        <v>Красавчик</v>
      </c>
      <c r="U62" s="385">
        <f>IFERROR(__xludf.DUMMYFUNCTION("""COMPUTED_VALUE"""),23.25)</f>
        <v>23.25</v>
      </c>
      <c r="W62" s="384" t="str">
        <f>IFERROR(__xludf.DUMMYFUNCTION("""COMPUTED_VALUE"""),"Дровосек")</f>
        <v>Дровосек</v>
      </c>
      <c r="X62" s="385">
        <f>IFERROR(__xludf.DUMMYFUNCTION("""COMPUTED_VALUE"""),25.0)</f>
        <v>25</v>
      </c>
      <c r="Z62" s="384" t="s">
        <v>157</v>
      </c>
      <c r="AA62" s="384" t="s">
        <v>261</v>
      </c>
      <c r="AB62" s="389"/>
      <c r="AC62" s="389">
        <v>-2.5</v>
      </c>
      <c r="AD62" s="384"/>
      <c r="AE62" s="389"/>
      <c r="AF62" s="389"/>
      <c r="AH62" s="384" t="s">
        <v>101</v>
      </c>
      <c r="AI62" s="384" t="s">
        <v>265</v>
      </c>
      <c r="AJ62" s="389"/>
      <c r="AK62" s="389">
        <v>1.75</v>
      </c>
      <c r="AL62" s="384"/>
      <c r="AM62" s="389"/>
      <c r="AN62" s="389"/>
    </row>
    <row r="63">
      <c r="A63" s="384" t="s">
        <v>102</v>
      </c>
      <c r="B63" s="384" t="s">
        <v>261</v>
      </c>
      <c r="C63" s="389">
        <v>2.5</v>
      </c>
      <c r="D63" s="389">
        <v>3.75</v>
      </c>
      <c r="E63" s="384"/>
      <c r="F63" s="389"/>
      <c r="G63" s="389"/>
      <c r="R63" s="384" t="s">
        <v>272</v>
      </c>
      <c r="T63" s="384" t="str">
        <f>IFERROR(__xludf.DUMMYFUNCTION("""COMPUTED_VALUE"""),"Cristo")</f>
        <v>Cristo</v>
      </c>
      <c r="U63" s="385">
        <f>IFERROR(__xludf.DUMMYFUNCTION("""COMPUTED_VALUE"""),22.75)</f>
        <v>22.75</v>
      </c>
      <c r="W63" s="384" t="str">
        <f>IFERROR(__xludf.DUMMYFUNCTION("""COMPUTED_VALUE"""),"Андерсен")</f>
        <v>Андерсен</v>
      </c>
      <c r="X63" s="385">
        <f>IFERROR(__xludf.DUMMYFUNCTION("""COMPUTED_VALUE"""),25.0)</f>
        <v>25</v>
      </c>
      <c r="Z63" s="384" t="s">
        <v>154</v>
      </c>
      <c r="AA63" s="384" t="s">
        <v>261</v>
      </c>
      <c r="AB63" s="389"/>
      <c r="AC63" s="389">
        <v>2.5</v>
      </c>
      <c r="AD63" s="384" t="s">
        <v>263</v>
      </c>
      <c r="AE63" s="389"/>
      <c r="AF63" s="389"/>
      <c r="AH63" s="384" t="s">
        <v>177</v>
      </c>
      <c r="AI63" s="384" t="s">
        <v>269</v>
      </c>
      <c r="AJ63" s="389">
        <v>2.5</v>
      </c>
      <c r="AK63" s="389">
        <v>3.75</v>
      </c>
      <c r="AL63" s="384"/>
      <c r="AM63" s="389"/>
      <c r="AN63" s="389"/>
    </row>
    <row r="64">
      <c r="A64" s="384" t="s">
        <v>127</v>
      </c>
      <c r="B64" s="384" t="s">
        <v>265</v>
      </c>
      <c r="C64" s="389"/>
      <c r="D64" s="389">
        <v>2.25</v>
      </c>
      <c r="E64" s="384"/>
      <c r="F64" s="389"/>
      <c r="G64" s="389"/>
      <c r="R64" s="384" t="s">
        <v>259</v>
      </c>
      <c r="T64" s="384" t="str">
        <f>IFERROR(__xludf.DUMMYFUNCTION("""COMPUTED_VALUE"""),"NLIP")</f>
        <v>NLIP</v>
      </c>
      <c r="U64" s="385">
        <f>IFERROR(__xludf.DUMMYFUNCTION("""COMPUTED_VALUE"""),22.25)</f>
        <v>22.25</v>
      </c>
      <c r="W64" s="384" t="str">
        <f>IFERROR(__xludf.DUMMYFUNCTION("""COMPUTED_VALUE"""),"Крестный отец (BLR)")</f>
        <v>Крестный отец (BLR)</v>
      </c>
      <c r="X64" s="385">
        <f>IFERROR(__xludf.DUMMYFUNCTION("""COMPUTED_VALUE"""),25.0)</f>
        <v>25</v>
      </c>
      <c r="Z64" s="384" t="s">
        <v>155</v>
      </c>
      <c r="AA64" s="384" t="s">
        <v>261</v>
      </c>
      <c r="AB64" s="389"/>
      <c r="AC64" s="389">
        <v>3.5</v>
      </c>
      <c r="AD64" s="384"/>
      <c r="AE64" s="389"/>
      <c r="AF64" s="389"/>
      <c r="AH64" s="384" t="s">
        <v>138</v>
      </c>
      <c r="AI64" s="384" t="s">
        <v>261</v>
      </c>
      <c r="AJ64" s="389"/>
      <c r="AK64" s="389">
        <v>1.75</v>
      </c>
      <c r="AL64" s="384"/>
      <c r="AM64" s="389"/>
      <c r="AN64" s="389"/>
    </row>
    <row r="65">
      <c r="A65" s="384" t="s">
        <v>137</v>
      </c>
      <c r="B65" s="384" t="s">
        <v>271</v>
      </c>
      <c r="C65" s="389">
        <v>2.5</v>
      </c>
      <c r="D65" s="389">
        <v>4.25</v>
      </c>
      <c r="E65" s="384"/>
      <c r="F65" s="389"/>
      <c r="G65" s="389"/>
      <c r="R65" s="384" t="s">
        <v>259</v>
      </c>
      <c r="T65" s="384" t="str">
        <f>IFERROR(__xludf.DUMMYFUNCTION("""COMPUTED_VALUE"""),"Helga")</f>
        <v>Helga</v>
      </c>
      <c r="U65" s="385">
        <f>IFERROR(__xludf.DUMMYFUNCTION("""COMPUTED_VALUE"""),18.5)</f>
        <v>18.5</v>
      </c>
      <c r="W65" s="384" t="str">
        <f>IFERROR(__xludf.DUMMYFUNCTION("""COMPUTED_VALUE"""),"Coach")</f>
        <v>Coach</v>
      </c>
      <c r="X65" s="385">
        <f>IFERROR(__xludf.DUMMYFUNCTION("""COMPUTED_VALUE"""),25.0)</f>
        <v>25</v>
      </c>
      <c r="Z65" s="384" t="s">
        <v>156</v>
      </c>
      <c r="AA65" s="384" t="s">
        <v>271</v>
      </c>
      <c r="AB65" s="389"/>
      <c r="AC65" s="389">
        <v>3.25</v>
      </c>
      <c r="AD65" s="384"/>
      <c r="AE65" s="389"/>
      <c r="AF65" s="389"/>
      <c r="AH65" s="384" t="s">
        <v>123</v>
      </c>
      <c r="AI65" s="384" t="s">
        <v>269</v>
      </c>
      <c r="AJ65" s="389">
        <v>2.5</v>
      </c>
      <c r="AK65" s="389">
        <v>3.75</v>
      </c>
      <c r="AL65" s="384"/>
      <c r="AM65" s="389"/>
      <c r="AN65" s="389"/>
    </row>
    <row r="66">
      <c r="A66" s="384" t="s">
        <v>116</v>
      </c>
      <c r="B66" s="384" t="s">
        <v>261</v>
      </c>
      <c r="C66" s="389">
        <v>2.5</v>
      </c>
      <c r="D66" s="389">
        <v>2.0</v>
      </c>
      <c r="E66" s="384"/>
      <c r="F66" s="389"/>
      <c r="G66" s="389"/>
      <c r="R66" s="384" t="s">
        <v>267</v>
      </c>
      <c r="T66" s="384" t="str">
        <f>IFERROR(__xludf.DUMMYFUNCTION("""COMPUTED_VALUE"""),"A1 ")</f>
        <v>A1 </v>
      </c>
      <c r="U66" s="385">
        <f>IFERROR(__xludf.DUMMYFUNCTION("""COMPUTED_VALUE"""),17.5)</f>
        <v>17.5</v>
      </c>
      <c r="W66" s="384" t="str">
        <f>IFERROR(__xludf.DUMMYFUNCTION("""COMPUTED_VALUE"""),"Левша")</f>
        <v>Левша</v>
      </c>
      <c r="X66" s="385">
        <f>IFERROR(__xludf.DUMMYFUNCTION("""COMPUTED_VALUE"""),25.0)</f>
        <v>25</v>
      </c>
      <c r="Z66" s="384" t="s">
        <v>159</v>
      </c>
      <c r="AA66" s="384" t="s">
        <v>261</v>
      </c>
      <c r="AB66" s="389"/>
      <c r="AC66" s="389">
        <v>3.25</v>
      </c>
      <c r="AD66" s="384"/>
      <c r="AE66" s="389"/>
      <c r="AF66" s="389"/>
      <c r="AH66" s="384" t="s">
        <v>159</v>
      </c>
      <c r="AI66" s="384" t="s">
        <v>261</v>
      </c>
      <c r="AJ66" s="389"/>
      <c r="AK66" s="389">
        <v>2.25</v>
      </c>
      <c r="AL66" s="384"/>
      <c r="AM66" s="389"/>
      <c r="AN66" s="389"/>
    </row>
    <row r="67">
      <c r="A67" s="384" t="s">
        <v>98</v>
      </c>
      <c r="B67" s="384" t="s">
        <v>261</v>
      </c>
      <c r="C67" s="389">
        <v>2.5</v>
      </c>
      <c r="D67" s="389">
        <v>1.5</v>
      </c>
      <c r="E67" s="384"/>
      <c r="F67" s="389"/>
      <c r="G67" s="389"/>
      <c r="R67" s="384" t="s">
        <v>272</v>
      </c>
      <c r="T67" s="384" t="str">
        <f>IFERROR(__xludf.DUMMYFUNCTION("""COMPUTED_VALUE"""),"WhoIsWho")</f>
        <v>WhoIsWho</v>
      </c>
      <c r="U67" s="385">
        <f>IFERROR(__xludf.DUMMYFUNCTION("""COMPUTED_VALUE"""),17.5)</f>
        <v>17.5</v>
      </c>
      <c r="W67" s="384" t="str">
        <f>IFERROR(__xludf.DUMMYFUNCTION("""COMPUTED_VALUE"""),"Градиент")</f>
        <v>Градиент</v>
      </c>
      <c r="X67" s="385">
        <f>IFERROR(__xludf.DUMMYFUNCTION("""COMPUTED_VALUE"""),25.0)</f>
        <v>25</v>
      </c>
      <c r="Z67" s="384" t="s">
        <v>160</v>
      </c>
      <c r="AA67" s="384" t="s">
        <v>261</v>
      </c>
      <c r="AB67" s="389"/>
      <c r="AC67" s="389">
        <v>1.5</v>
      </c>
      <c r="AD67" s="384" t="s">
        <v>263</v>
      </c>
      <c r="AE67" s="389"/>
      <c r="AF67" s="389"/>
      <c r="AH67" s="384" t="s">
        <v>160</v>
      </c>
      <c r="AI67" s="384" t="s">
        <v>265</v>
      </c>
      <c r="AJ67" s="389">
        <v>2.5</v>
      </c>
      <c r="AK67" s="389">
        <v>4.0</v>
      </c>
      <c r="AL67" s="384"/>
      <c r="AM67" s="389"/>
      <c r="AN67" s="389"/>
    </row>
    <row r="68">
      <c r="A68" s="384" t="s">
        <v>85</v>
      </c>
      <c r="B68" s="384" t="s">
        <v>261</v>
      </c>
      <c r="C68" s="389">
        <v>2.5</v>
      </c>
      <c r="D68" s="389">
        <v>2.5</v>
      </c>
      <c r="E68" s="384"/>
      <c r="F68" s="389"/>
      <c r="G68" s="389"/>
      <c r="R68" s="384" t="s">
        <v>262</v>
      </c>
      <c r="T68" s="384" t="str">
        <f>IFERROR(__xludf.DUMMYFUNCTION("""COMPUTED_VALUE"""),"Левша")</f>
        <v>Левша</v>
      </c>
      <c r="U68" s="385">
        <f>IFERROR(__xludf.DUMMYFUNCTION("""COMPUTED_VALUE"""),15.5)</f>
        <v>15.5</v>
      </c>
      <c r="W68" s="384" t="str">
        <f>IFERROR(__xludf.DUMMYFUNCTION("""COMPUTED_VALUE"""),"Rocket woman ")</f>
        <v>Rocket woman </v>
      </c>
      <c r="X68" s="385">
        <f>IFERROR(__xludf.DUMMYFUNCTION("""COMPUTED_VALUE"""),25.0)</f>
        <v>25</v>
      </c>
      <c r="Z68" s="384" t="s">
        <v>117</v>
      </c>
      <c r="AA68" s="384" t="s">
        <v>261</v>
      </c>
      <c r="AB68" s="389"/>
      <c r="AC68" s="389">
        <v>2.5</v>
      </c>
      <c r="AD68" s="384" t="s">
        <v>11</v>
      </c>
      <c r="AE68" s="389"/>
      <c r="AF68" s="389">
        <v>0.5</v>
      </c>
      <c r="AH68" s="384" t="s">
        <v>157</v>
      </c>
      <c r="AI68" s="384" t="s">
        <v>261</v>
      </c>
      <c r="AJ68" s="389"/>
      <c r="AK68" s="389">
        <v>1.75</v>
      </c>
      <c r="AL68" s="384"/>
      <c r="AM68" s="389"/>
      <c r="AN68" s="389"/>
    </row>
    <row r="69">
      <c r="A69" s="384" t="s">
        <v>135</v>
      </c>
      <c r="B69" s="384" t="s">
        <v>269</v>
      </c>
      <c r="C69" s="389"/>
      <c r="D69" s="389">
        <v>3.0</v>
      </c>
      <c r="E69" s="384"/>
      <c r="F69" s="389"/>
      <c r="G69" s="389"/>
      <c r="R69" s="384" t="s">
        <v>267</v>
      </c>
      <c r="T69" s="384" t="str">
        <f>IFERROR(__xludf.DUMMYFUNCTION("""COMPUTED_VALUE"""),"MSR")</f>
        <v>MSR</v>
      </c>
      <c r="U69" s="385">
        <f>IFERROR(__xludf.DUMMYFUNCTION("""COMPUTED_VALUE"""),15.0)</f>
        <v>15</v>
      </c>
      <c r="W69" s="384" t="str">
        <f>IFERROR(__xludf.DUMMYFUNCTION("""COMPUTED_VALUE"""),"Астория")</f>
        <v>Астория</v>
      </c>
      <c r="X69" s="385">
        <f>IFERROR(__xludf.DUMMYFUNCTION("""COMPUTED_VALUE"""),25.0)</f>
        <v>25</v>
      </c>
      <c r="Z69" s="384" t="s">
        <v>130</v>
      </c>
      <c r="AA69" s="384" t="s">
        <v>269</v>
      </c>
      <c r="AB69" s="389">
        <v>2.5</v>
      </c>
      <c r="AC69" s="389">
        <v>3.75</v>
      </c>
      <c r="AD69" s="384" t="s">
        <v>260</v>
      </c>
      <c r="AE69" s="389"/>
      <c r="AF69" s="389"/>
      <c r="AH69" s="384" t="s">
        <v>85</v>
      </c>
      <c r="AI69" s="384" t="s">
        <v>261</v>
      </c>
      <c r="AJ69" s="389"/>
      <c r="AK69" s="389">
        <v>2.5</v>
      </c>
      <c r="AL69" s="384"/>
      <c r="AM69" s="389"/>
      <c r="AN69" s="389"/>
    </row>
    <row r="70">
      <c r="A70" s="384" t="s">
        <v>110</v>
      </c>
      <c r="B70" s="384" t="s">
        <v>261</v>
      </c>
      <c r="C70" s="389">
        <v>2.5</v>
      </c>
      <c r="D70" s="389">
        <v>2.0</v>
      </c>
      <c r="E70" s="384"/>
      <c r="F70" s="389"/>
      <c r="G70" s="389"/>
      <c r="R70" s="384" t="s">
        <v>267</v>
      </c>
      <c r="T70" s="384" t="str">
        <f>IFERROR(__xludf.DUMMYFUNCTION("""COMPUTED_VALUE"""),"Юрия")</f>
        <v>Юрия</v>
      </c>
      <c r="U70" s="385">
        <f>IFERROR(__xludf.DUMMYFUNCTION("""COMPUTED_VALUE"""),14.5)</f>
        <v>14.5</v>
      </c>
      <c r="W70" s="384" t="str">
        <f>IFERROR(__xludf.DUMMYFUNCTION("""COMPUTED_VALUE"""),"РФ")</f>
        <v>РФ</v>
      </c>
      <c r="X70" s="385">
        <f>IFERROR(__xludf.DUMMYFUNCTION("""COMPUTED_VALUE"""),24.75)</f>
        <v>24.75</v>
      </c>
      <c r="Z70" s="384" t="s">
        <v>158</v>
      </c>
      <c r="AA70" s="384" t="s">
        <v>265</v>
      </c>
      <c r="AB70" s="389">
        <v>2.5</v>
      </c>
      <c r="AC70" s="389">
        <v>3.0</v>
      </c>
      <c r="AD70" s="384"/>
      <c r="AE70" s="389"/>
      <c r="AF70" s="389"/>
      <c r="AH70" s="384" t="s">
        <v>167</v>
      </c>
      <c r="AI70" s="384" t="s">
        <v>271</v>
      </c>
      <c r="AJ70" s="389"/>
      <c r="AK70" s="389">
        <v>2.25</v>
      </c>
      <c r="AL70" s="384"/>
      <c r="AM70" s="389"/>
      <c r="AN70" s="389"/>
    </row>
    <row r="71">
      <c r="A71" s="384" t="s">
        <v>138</v>
      </c>
      <c r="B71" s="384" t="s">
        <v>269</v>
      </c>
      <c r="C71" s="389"/>
      <c r="D71" s="389">
        <v>2.25</v>
      </c>
      <c r="E71" s="384"/>
      <c r="F71" s="389"/>
      <c r="G71" s="389"/>
      <c r="R71" s="384" t="s">
        <v>257</v>
      </c>
      <c r="T71" s="384" t="str">
        <f>IFERROR(__xludf.DUMMYFUNCTION("""COMPUTED_VALUE"""),"Stacy")</f>
        <v>Stacy</v>
      </c>
      <c r="U71" s="385">
        <f>IFERROR(__xludf.DUMMYFUNCTION("""COMPUTED_VALUE"""),14.5)</f>
        <v>14.5</v>
      </c>
      <c r="W71" s="384" t="str">
        <f>IFERROR(__xludf.DUMMYFUNCTION("""COMPUTED_VALUE"""),"Писатель ")</f>
        <v>Писатель </v>
      </c>
      <c r="X71" s="385">
        <f>IFERROR(__xludf.DUMMYFUNCTION("""COMPUTED_VALUE"""),24.75)</f>
        <v>24.75</v>
      </c>
      <c r="Z71" s="384" t="s">
        <v>101</v>
      </c>
      <c r="AA71" s="384" t="s">
        <v>269</v>
      </c>
      <c r="AB71" s="389">
        <v>2.5</v>
      </c>
      <c r="AC71" s="389">
        <v>2.0</v>
      </c>
      <c r="AD71" s="384"/>
      <c r="AE71" s="389"/>
      <c r="AF71" s="389"/>
      <c r="AH71" s="384" t="s">
        <v>104</v>
      </c>
      <c r="AI71" s="384" t="s">
        <v>261</v>
      </c>
      <c r="AJ71" s="389"/>
      <c r="AK71" s="389">
        <v>2.25</v>
      </c>
      <c r="AL71" s="384"/>
      <c r="AM71" s="389"/>
      <c r="AN71" s="389"/>
    </row>
    <row r="72">
      <c r="A72" s="384" t="s">
        <v>81</v>
      </c>
      <c r="B72" s="384" t="s">
        <v>261</v>
      </c>
      <c r="C72" s="389">
        <v>2.5</v>
      </c>
      <c r="D72" s="389">
        <v>2.5</v>
      </c>
      <c r="E72" s="384" t="s">
        <v>11</v>
      </c>
      <c r="F72" s="389">
        <v>0.5</v>
      </c>
      <c r="G72" s="389">
        <v>0.5</v>
      </c>
      <c r="R72" s="384" t="s">
        <v>257</v>
      </c>
      <c r="T72" s="384" t="str">
        <f>IFERROR(__xludf.DUMMYFUNCTION("""COMPUTED_VALUE"""),"Авраам")</f>
        <v>Авраам</v>
      </c>
      <c r="U72" s="385"/>
      <c r="W72" s="384" t="str">
        <f>IFERROR(__xludf.DUMMYFUNCTION("""COMPUTED_VALUE"""),"Rocket woman ")</f>
        <v>Rocket woman </v>
      </c>
      <c r="X72" s="385">
        <f>IFERROR(__xludf.DUMMYFUNCTION("""COMPUTED_VALUE"""),24.75)</f>
        <v>24.75</v>
      </c>
      <c r="Z72" s="384" t="s">
        <v>157</v>
      </c>
      <c r="AA72" s="384" t="s">
        <v>261</v>
      </c>
      <c r="AB72" s="389"/>
      <c r="AC72" s="389">
        <v>2.0</v>
      </c>
      <c r="AD72" s="384"/>
      <c r="AE72" s="389"/>
      <c r="AF72" s="389"/>
      <c r="AH72" s="384" t="s">
        <v>101</v>
      </c>
      <c r="AI72" s="384" t="s">
        <v>261</v>
      </c>
      <c r="AJ72" s="389"/>
      <c r="AK72" s="389">
        <v>2.0</v>
      </c>
      <c r="AL72" s="384"/>
      <c r="AM72" s="389"/>
      <c r="AN72" s="389"/>
    </row>
    <row r="73">
      <c r="A73" s="384" t="s">
        <v>102</v>
      </c>
      <c r="B73" s="384" t="s">
        <v>265</v>
      </c>
      <c r="C73" s="389">
        <v>2.5</v>
      </c>
      <c r="D73" s="389">
        <v>3.5</v>
      </c>
      <c r="E73" s="384"/>
      <c r="F73" s="389"/>
      <c r="G73" s="389"/>
      <c r="R73" s="384" t="s">
        <v>272</v>
      </c>
      <c r="T73" s="384" t="str">
        <f>IFERROR(__xludf.DUMMYFUNCTION("""COMPUTED_VALUE"""),"Админ")</f>
        <v>Админ</v>
      </c>
      <c r="U73" s="385"/>
      <c r="W73" s="384" t="str">
        <f>IFERROR(__xludf.DUMMYFUNCTION("""COMPUTED_VALUE"""),"Шоу Бой")</f>
        <v>Шоу Бой</v>
      </c>
      <c r="X73" s="385">
        <f>IFERROR(__xludf.DUMMYFUNCTION("""COMPUTED_VALUE"""),24.75)</f>
        <v>24.75</v>
      </c>
      <c r="Z73" s="384" t="s">
        <v>154</v>
      </c>
      <c r="AA73" s="384" t="s">
        <v>271</v>
      </c>
      <c r="AB73" s="389">
        <v>2.5</v>
      </c>
      <c r="AC73" s="389">
        <v>3.5</v>
      </c>
      <c r="AD73" s="384"/>
      <c r="AE73" s="389"/>
      <c r="AF73" s="389"/>
      <c r="AH73" s="384" t="s">
        <v>177</v>
      </c>
      <c r="AI73" s="384" t="s">
        <v>261</v>
      </c>
      <c r="AJ73" s="389">
        <v>2.5</v>
      </c>
      <c r="AK73" s="389">
        <v>3.75</v>
      </c>
      <c r="AL73" s="384"/>
      <c r="AM73" s="389"/>
      <c r="AN73" s="389"/>
    </row>
    <row r="74">
      <c r="A74" s="384" t="s">
        <v>127</v>
      </c>
      <c r="B74" s="384" t="s">
        <v>269</v>
      </c>
      <c r="C74" s="389">
        <v>2.5</v>
      </c>
      <c r="D74" s="389">
        <v>3.75</v>
      </c>
      <c r="E74" s="384" t="s">
        <v>260</v>
      </c>
      <c r="F74" s="389"/>
      <c r="G74" s="389"/>
      <c r="R74" s="384" t="s">
        <v>264</v>
      </c>
      <c r="T74" s="384" t="str">
        <f>IFERROR(__xludf.DUMMYFUNCTION("""COMPUTED_VALUE"""),"Андерсен")</f>
        <v>Андерсен</v>
      </c>
      <c r="U74" s="385"/>
      <c r="W74" s="384" t="str">
        <f>IFERROR(__xludf.DUMMYFUNCTION("""COMPUTED_VALUE"""),"Наполеон")</f>
        <v>Наполеон</v>
      </c>
      <c r="X74" s="385">
        <f>IFERROR(__xludf.DUMMYFUNCTION("""COMPUTED_VALUE"""),24.75)</f>
        <v>24.75</v>
      </c>
      <c r="Z74" s="384" t="s">
        <v>155</v>
      </c>
      <c r="AA74" s="384" t="s">
        <v>261</v>
      </c>
      <c r="AB74" s="389">
        <v>2.5</v>
      </c>
      <c r="AC74" s="389">
        <v>3.0</v>
      </c>
      <c r="AD74" s="384"/>
      <c r="AE74" s="389"/>
      <c r="AF74" s="389"/>
      <c r="AH74" s="384" t="s">
        <v>138</v>
      </c>
      <c r="AI74" s="384" t="s">
        <v>261</v>
      </c>
      <c r="AJ74" s="389">
        <v>2.5</v>
      </c>
      <c r="AK74" s="389">
        <v>2.75</v>
      </c>
      <c r="AL74" s="384"/>
      <c r="AM74" s="389"/>
      <c r="AN74" s="389"/>
    </row>
    <row r="75">
      <c r="A75" s="384" t="s">
        <v>137</v>
      </c>
      <c r="B75" s="384" t="s">
        <v>271</v>
      </c>
      <c r="C75" s="389"/>
      <c r="D75" s="389">
        <v>3.25</v>
      </c>
      <c r="E75" s="384"/>
      <c r="F75" s="389"/>
      <c r="G75" s="389"/>
      <c r="R75" s="384" t="s">
        <v>262</v>
      </c>
      <c r="T75" s="384" t="str">
        <f>IFERROR(__xludf.DUMMYFUNCTION("""COMPUTED_VALUE"""),"Артик")</f>
        <v>Артик</v>
      </c>
      <c r="U75" s="385"/>
      <c r="W75" s="384" t="str">
        <f>IFERROR(__xludf.DUMMYFUNCTION("""COMPUTED_VALUE"""),"Morti")</f>
        <v>Morti</v>
      </c>
      <c r="X75" s="385">
        <f>IFERROR(__xludf.DUMMYFUNCTION("""COMPUTED_VALUE"""),24.5)</f>
        <v>24.5</v>
      </c>
      <c r="Z75" s="384" t="s">
        <v>156</v>
      </c>
      <c r="AA75" s="384" t="s">
        <v>261</v>
      </c>
      <c r="AB75" s="389">
        <v>2.5</v>
      </c>
      <c r="AC75" s="389">
        <v>2.75</v>
      </c>
      <c r="AD75" s="384" t="s">
        <v>11</v>
      </c>
      <c r="AE75" s="389"/>
      <c r="AF75" s="389">
        <v>0.5</v>
      </c>
      <c r="AH75" s="384" t="s">
        <v>123</v>
      </c>
      <c r="AI75" s="384" t="s">
        <v>261</v>
      </c>
      <c r="AJ75" s="389">
        <v>2.5</v>
      </c>
      <c r="AK75" s="389">
        <v>4.0</v>
      </c>
      <c r="AL75" s="384"/>
      <c r="AM75" s="389"/>
      <c r="AN75" s="389"/>
    </row>
    <row r="76">
      <c r="A76" s="384" t="s">
        <v>116</v>
      </c>
      <c r="B76" s="384" t="s">
        <v>261</v>
      </c>
      <c r="C76" s="389"/>
      <c r="D76" s="389">
        <v>1.25</v>
      </c>
      <c r="E76" s="384" t="s">
        <v>263</v>
      </c>
      <c r="F76" s="389"/>
      <c r="G76" s="389"/>
      <c r="R76" s="384" t="s">
        <v>268</v>
      </c>
      <c r="T76" s="384" t="str">
        <f>IFERROR(__xludf.DUMMYFUNCTION("""COMPUTED_VALUE"""),"Астория")</f>
        <v>Астория</v>
      </c>
      <c r="U76" s="385"/>
      <c r="W76" s="384" t="str">
        <f>IFERROR(__xludf.DUMMYFUNCTION("""COMPUTED_VALUE"""),"Артик")</f>
        <v>Артик</v>
      </c>
      <c r="X76" s="385">
        <f>IFERROR(__xludf.DUMMYFUNCTION("""COMPUTED_VALUE"""),24.5)</f>
        <v>24.5</v>
      </c>
      <c r="Z76" s="384" t="s">
        <v>159</v>
      </c>
      <c r="AA76" s="384" t="s">
        <v>261</v>
      </c>
      <c r="AB76" s="389">
        <v>2.5</v>
      </c>
      <c r="AC76" s="389">
        <v>4.0</v>
      </c>
      <c r="AD76" s="384"/>
      <c r="AE76" s="389"/>
      <c r="AF76" s="389"/>
      <c r="AH76" s="384" t="s">
        <v>159</v>
      </c>
      <c r="AI76" s="384" t="s">
        <v>261</v>
      </c>
      <c r="AJ76" s="389">
        <v>2.5</v>
      </c>
      <c r="AK76" s="389">
        <v>2.75</v>
      </c>
      <c r="AL76" s="384"/>
      <c r="AM76" s="389"/>
      <c r="AN76" s="389"/>
    </row>
    <row r="77">
      <c r="A77" s="384" t="s">
        <v>98</v>
      </c>
      <c r="B77" s="384" t="s">
        <v>261</v>
      </c>
      <c r="C77" s="389"/>
      <c r="D77" s="389">
        <v>3.0</v>
      </c>
      <c r="E77" s="384" t="s">
        <v>11</v>
      </c>
      <c r="F77" s="389">
        <v>0.5</v>
      </c>
      <c r="G77" s="389">
        <v>0.5</v>
      </c>
      <c r="R77" s="384" t="s">
        <v>257</v>
      </c>
      <c r="T77" s="384" t="str">
        <f>IFERROR(__xludf.DUMMYFUNCTION("""COMPUTED_VALUE"""),"Аш")</f>
        <v>Аш</v>
      </c>
      <c r="U77" s="385"/>
      <c r="W77" s="384" t="str">
        <f>IFERROR(__xludf.DUMMYFUNCTION("""COMPUTED_VALUE"""),"Rocket woman ")</f>
        <v>Rocket woman </v>
      </c>
      <c r="X77" s="385">
        <f>IFERROR(__xludf.DUMMYFUNCTION("""COMPUTED_VALUE"""),24.25)</f>
        <v>24.25</v>
      </c>
      <c r="Z77" s="384" t="s">
        <v>160</v>
      </c>
      <c r="AA77" s="384" t="s">
        <v>265</v>
      </c>
      <c r="AB77" s="389"/>
      <c r="AC77" s="389">
        <v>1.75</v>
      </c>
      <c r="AD77" s="384"/>
      <c r="AE77" s="389"/>
      <c r="AF77" s="389"/>
      <c r="AH77" s="384" t="s">
        <v>160</v>
      </c>
      <c r="AI77" s="384" t="s">
        <v>261</v>
      </c>
      <c r="AJ77" s="389">
        <v>2.5</v>
      </c>
      <c r="AK77" s="389">
        <v>3.25</v>
      </c>
      <c r="AL77" s="384"/>
      <c r="AM77" s="389"/>
      <c r="AN77" s="389"/>
    </row>
    <row r="78">
      <c r="A78" s="384" t="s">
        <v>85</v>
      </c>
      <c r="B78" s="384" t="s">
        <v>261</v>
      </c>
      <c r="C78" s="389"/>
      <c r="D78" s="389">
        <v>3.75</v>
      </c>
      <c r="E78" s="384"/>
      <c r="F78" s="389"/>
      <c r="G78" s="389"/>
      <c r="R78" s="384" t="s">
        <v>267</v>
      </c>
      <c r="T78" s="384" t="str">
        <f>IFERROR(__xludf.DUMMYFUNCTION("""COMPUTED_VALUE"""),"Бамблби")</f>
        <v>Бамблби</v>
      </c>
      <c r="U78" s="385"/>
      <c r="W78" s="384" t="str">
        <f>IFERROR(__xludf.DUMMYFUNCTION("""COMPUTED_VALUE"""),"Волга")</f>
        <v>Волга</v>
      </c>
      <c r="X78" s="385">
        <f>IFERROR(__xludf.DUMMYFUNCTION("""COMPUTED_VALUE"""),24.25)</f>
        <v>24.25</v>
      </c>
      <c r="Z78" s="384" t="s">
        <v>117</v>
      </c>
      <c r="AA78" s="384" t="s">
        <v>261</v>
      </c>
      <c r="AB78" s="389">
        <v>2.5</v>
      </c>
      <c r="AC78" s="389">
        <v>3.75</v>
      </c>
      <c r="AD78" s="384"/>
      <c r="AE78" s="389"/>
      <c r="AF78" s="389"/>
      <c r="AH78" s="384" t="s">
        <v>157</v>
      </c>
      <c r="AI78" s="384" t="s">
        <v>269</v>
      </c>
      <c r="AJ78" s="389"/>
      <c r="AK78" s="389">
        <v>2.5</v>
      </c>
      <c r="AL78" s="384"/>
      <c r="AM78" s="389"/>
      <c r="AN78" s="389"/>
    </row>
    <row r="79">
      <c r="A79" s="384" t="s">
        <v>135</v>
      </c>
      <c r="B79" s="384" t="s">
        <v>261</v>
      </c>
      <c r="C79" s="389"/>
      <c r="D79" s="389">
        <v>1.75</v>
      </c>
      <c r="E79" s="384"/>
      <c r="F79" s="389"/>
      <c r="G79" s="389"/>
      <c r="R79" s="384" t="s">
        <v>268</v>
      </c>
      <c r="T79" s="384" t="str">
        <f>IFERROR(__xludf.DUMMYFUNCTION("""COMPUTED_VALUE"""),"Волга")</f>
        <v>Волга</v>
      </c>
      <c r="U79" s="385"/>
      <c r="W79" s="384" t="str">
        <f>IFERROR(__xludf.DUMMYFUNCTION("""COMPUTED_VALUE"""),"Инсомнич")</f>
        <v>Инсомнич</v>
      </c>
      <c r="X79" s="385">
        <f>IFERROR(__xludf.DUMMYFUNCTION("""COMPUTED_VALUE"""),24.25)</f>
        <v>24.25</v>
      </c>
      <c r="Z79" s="384" t="s">
        <v>130</v>
      </c>
      <c r="AA79" s="384" t="s">
        <v>269</v>
      </c>
      <c r="AB79" s="389"/>
      <c r="AC79" s="389">
        <v>2.5</v>
      </c>
      <c r="AD79" s="384"/>
      <c r="AE79" s="389"/>
      <c r="AF79" s="389"/>
      <c r="AH79" s="384" t="s">
        <v>85</v>
      </c>
      <c r="AI79" s="384" t="s">
        <v>269</v>
      </c>
      <c r="AJ79" s="389"/>
      <c r="AK79" s="389">
        <v>2.5</v>
      </c>
      <c r="AL79" s="384"/>
      <c r="AM79" s="389"/>
      <c r="AN79" s="389"/>
    </row>
    <row r="80">
      <c r="A80" s="384" t="s">
        <v>110</v>
      </c>
      <c r="B80" s="384" t="s">
        <v>261</v>
      </c>
      <c r="C80" s="389"/>
      <c r="D80" s="389">
        <v>3.25</v>
      </c>
      <c r="E80" s="384"/>
      <c r="F80" s="389"/>
      <c r="G80" s="389"/>
      <c r="R80" s="384" t="s">
        <v>259</v>
      </c>
      <c r="T80" s="384" t="str">
        <f>IFERROR(__xludf.DUMMYFUNCTION("""COMPUTED_VALUE"""),"Градиент")</f>
        <v>Градиент</v>
      </c>
      <c r="U80" s="385"/>
      <c r="W80" s="384" t="str">
        <f>IFERROR(__xludf.DUMMYFUNCTION("""COMPUTED_VALUE"""),"Зверюга")</f>
        <v>Зверюга</v>
      </c>
      <c r="X80" s="385">
        <f>IFERROR(__xludf.DUMMYFUNCTION("""COMPUTED_VALUE"""),24.25)</f>
        <v>24.25</v>
      </c>
      <c r="Z80" s="384" t="s">
        <v>158</v>
      </c>
      <c r="AA80" s="384" t="s">
        <v>261</v>
      </c>
      <c r="AB80" s="389">
        <v>2.5</v>
      </c>
      <c r="AC80" s="389">
        <v>3.5</v>
      </c>
      <c r="AD80" s="384"/>
      <c r="AE80" s="389"/>
      <c r="AF80" s="389"/>
      <c r="AH80" s="384" t="s">
        <v>167</v>
      </c>
      <c r="AI80" s="384" t="s">
        <v>265</v>
      </c>
      <c r="AJ80" s="389"/>
      <c r="AK80" s="389">
        <v>2.0</v>
      </c>
      <c r="AL80" s="384"/>
      <c r="AM80" s="389"/>
      <c r="AN80" s="389"/>
    </row>
    <row r="81">
      <c r="A81" s="384" t="s">
        <v>138</v>
      </c>
      <c r="B81" s="384" t="s">
        <v>269</v>
      </c>
      <c r="C81" s="389">
        <v>2.5</v>
      </c>
      <c r="D81" s="389">
        <v>3.0</v>
      </c>
      <c r="E81" s="384"/>
      <c r="F81" s="389"/>
      <c r="G81" s="389"/>
      <c r="R81" s="384" t="s">
        <v>262</v>
      </c>
      <c r="T81" s="384" t="str">
        <f>IFERROR(__xludf.DUMMYFUNCTION("""COMPUTED_VALUE"""),"Дровосек")</f>
        <v>Дровосек</v>
      </c>
      <c r="U81" s="385"/>
      <c r="W81" s="384" t="str">
        <f>IFERROR(__xludf.DUMMYFUNCTION("""COMPUTED_VALUE"""),"Админ")</f>
        <v>Админ</v>
      </c>
      <c r="X81" s="385">
        <f>IFERROR(__xludf.DUMMYFUNCTION("""COMPUTED_VALUE"""),24.25)</f>
        <v>24.25</v>
      </c>
      <c r="Z81" s="384" t="s">
        <v>101</v>
      </c>
      <c r="AA81" s="384" t="s">
        <v>269</v>
      </c>
      <c r="AB81" s="389"/>
      <c r="AC81" s="389">
        <v>2.0</v>
      </c>
      <c r="AD81" s="384"/>
      <c r="AE81" s="389"/>
      <c r="AF81" s="389"/>
      <c r="AH81" s="384" t="s">
        <v>104</v>
      </c>
      <c r="AI81" s="384" t="s">
        <v>261</v>
      </c>
      <c r="AJ81" s="389">
        <v>2.5</v>
      </c>
      <c r="AK81" s="389">
        <v>3.5</v>
      </c>
      <c r="AL81" s="384"/>
      <c r="AM81" s="389"/>
      <c r="AN81" s="389"/>
    </row>
    <row r="82">
      <c r="A82" s="384" t="s">
        <v>81</v>
      </c>
      <c r="B82" s="384" t="s">
        <v>261</v>
      </c>
      <c r="C82" s="389"/>
      <c r="D82" s="389">
        <v>4.25</v>
      </c>
      <c r="E82" s="384" t="s">
        <v>263</v>
      </c>
      <c r="F82" s="389"/>
      <c r="G82" s="389"/>
      <c r="R82" s="384" t="s">
        <v>259</v>
      </c>
      <c r="T82" s="384" t="str">
        <f>IFERROR(__xludf.DUMMYFUNCTION("""COMPUTED_VALUE"""),"Зверюга")</f>
        <v>Зверюга</v>
      </c>
      <c r="U82" s="385"/>
      <c r="W82" s="384" t="str">
        <f>IFERROR(__xludf.DUMMYFUNCTION("""COMPUTED_VALUE"""),"Coach")</f>
        <v>Coach</v>
      </c>
      <c r="X82" s="385">
        <f>IFERROR(__xludf.DUMMYFUNCTION("""COMPUTED_VALUE"""),24.25)</f>
        <v>24.25</v>
      </c>
      <c r="Z82" s="384" t="s">
        <v>157</v>
      </c>
      <c r="AA82" s="384" t="s">
        <v>261</v>
      </c>
      <c r="AB82" s="389">
        <v>2.5</v>
      </c>
      <c r="AC82" s="389">
        <v>3.5</v>
      </c>
      <c r="AD82" s="384"/>
      <c r="AE82" s="389"/>
      <c r="AF82" s="389"/>
      <c r="AH82" s="384" t="s">
        <v>101</v>
      </c>
      <c r="AI82" s="384" t="s">
        <v>271</v>
      </c>
      <c r="AJ82" s="389">
        <v>2.5</v>
      </c>
      <c r="AK82" s="389">
        <v>3.25</v>
      </c>
      <c r="AL82" s="384" t="s">
        <v>11</v>
      </c>
      <c r="AM82" s="389">
        <v>0.5</v>
      </c>
      <c r="AN82" s="389">
        <v>0.25</v>
      </c>
    </row>
    <row r="83">
      <c r="A83" s="384" t="s">
        <v>102</v>
      </c>
      <c r="B83" s="384" t="s">
        <v>261</v>
      </c>
      <c r="C83" s="389"/>
      <c r="D83" s="389">
        <v>2.5</v>
      </c>
      <c r="E83" s="384" t="s">
        <v>11</v>
      </c>
      <c r="F83" s="389"/>
      <c r="G83" s="389">
        <v>0.5</v>
      </c>
      <c r="R83" s="384" t="s">
        <v>259</v>
      </c>
      <c r="T83" s="384" t="str">
        <f>IFERROR(__xludf.DUMMYFUNCTION("""COMPUTED_VALUE"""),"Инсомнич")</f>
        <v>Инсомнич</v>
      </c>
      <c r="U83" s="385"/>
      <c r="W83" s="384" t="str">
        <f>IFERROR(__xludf.DUMMYFUNCTION("""COMPUTED_VALUE"""),"Градиент")</f>
        <v>Градиент</v>
      </c>
      <c r="X83" s="385">
        <f>IFERROR(__xludf.DUMMYFUNCTION("""COMPUTED_VALUE"""),24.25)</f>
        <v>24.25</v>
      </c>
      <c r="Z83" s="384" t="s">
        <v>154</v>
      </c>
      <c r="AA83" s="384" t="s">
        <v>261</v>
      </c>
      <c r="AB83" s="389"/>
      <c r="AC83" s="389">
        <v>3.25</v>
      </c>
      <c r="AD83" s="384"/>
      <c r="AE83" s="389"/>
      <c r="AF83" s="389"/>
      <c r="AH83" s="384" t="s">
        <v>177</v>
      </c>
      <c r="AI83" s="384" t="s">
        <v>261</v>
      </c>
      <c r="AJ83" s="389"/>
      <c r="AK83" s="389">
        <v>2.0</v>
      </c>
      <c r="AL83" s="384"/>
      <c r="AM83" s="389"/>
      <c r="AN83" s="389"/>
    </row>
    <row r="84">
      <c r="A84" s="384" t="s">
        <v>127</v>
      </c>
      <c r="B84" s="384" t="s">
        <v>261</v>
      </c>
      <c r="C84" s="389"/>
      <c r="D84" s="389">
        <v>2.0</v>
      </c>
      <c r="E84" s="384"/>
      <c r="F84" s="389"/>
      <c r="G84" s="389"/>
      <c r="R84" s="384" t="s">
        <v>272</v>
      </c>
      <c r="T84" s="384" t="str">
        <f>IFERROR(__xludf.DUMMYFUNCTION("""COMPUTED_VALUE"""),"Крестный отец (BLR)")</f>
        <v>Крестный отец (BLR)</v>
      </c>
      <c r="U84" s="385"/>
      <c r="W84" s="384" t="str">
        <f>IFERROR(__xludf.DUMMYFUNCTION("""COMPUTED_VALUE"""),"Флэш")</f>
        <v>Флэш</v>
      </c>
      <c r="X84" s="385">
        <f>IFERROR(__xludf.DUMMYFUNCTION("""COMPUTED_VALUE"""),24.25)</f>
        <v>24.25</v>
      </c>
      <c r="Z84" s="384" t="s">
        <v>155</v>
      </c>
      <c r="AA84" s="384" t="s">
        <v>261</v>
      </c>
      <c r="AB84" s="389"/>
      <c r="AC84" s="389">
        <v>2.75</v>
      </c>
      <c r="AD84" s="384"/>
      <c r="AE84" s="389"/>
      <c r="AF84" s="389"/>
      <c r="AH84" s="384" t="s">
        <v>138</v>
      </c>
      <c r="AI84" s="384" t="s">
        <v>265</v>
      </c>
      <c r="AJ84" s="389">
        <v>2.5</v>
      </c>
      <c r="AK84" s="389">
        <v>1.75</v>
      </c>
      <c r="AL84" s="384"/>
      <c r="AM84" s="389"/>
      <c r="AN84" s="389"/>
    </row>
    <row r="85">
      <c r="A85" s="384" t="s">
        <v>137</v>
      </c>
      <c r="B85" s="384" t="s">
        <v>261</v>
      </c>
      <c r="C85" s="389"/>
      <c r="D85" s="389">
        <v>1.5</v>
      </c>
      <c r="E85" s="384"/>
      <c r="F85" s="389"/>
      <c r="G85" s="389"/>
      <c r="R85" s="384" t="s">
        <v>268</v>
      </c>
      <c r="T85" s="384" t="str">
        <f>IFERROR(__xludf.DUMMYFUNCTION("""COMPUTED_VALUE"""),"Крёстный Отец (RU)")</f>
        <v>Крёстный Отец (RU)</v>
      </c>
      <c r="U85" s="385"/>
      <c r="W85" s="384" t="str">
        <f>IFERROR(__xludf.DUMMYFUNCTION("""COMPUTED_VALUE"""),"Панда из Руанды")</f>
        <v>Панда из Руанды</v>
      </c>
      <c r="X85" s="385">
        <f>IFERROR(__xludf.DUMMYFUNCTION("""COMPUTED_VALUE"""),24.25)</f>
        <v>24.25</v>
      </c>
      <c r="Z85" s="384" t="s">
        <v>156</v>
      </c>
      <c r="AA85" s="384" t="s">
        <v>271</v>
      </c>
      <c r="AB85" s="389"/>
      <c r="AC85" s="389">
        <v>2.0</v>
      </c>
      <c r="AD85" s="384"/>
      <c r="AE85" s="389"/>
      <c r="AF85" s="389"/>
      <c r="AH85" s="384" t="s">
        <v>123</v>
      </c>
      <c r="AI85" s="384" t="s">
        <v>271</v>
      </c>
      <c r="AJ85" s="389"/>
      <c r="AK85" s="389">
        <v>3.0</v>
      </c>
      <c r="AL85" s="384" t="s">
        <v>11</v>
      </c>
      <c r="AM85" s="389">
        <v>0.5</v>
      </c>
      <c r="AN85" s="389">
        <v>0.5</v>
      </c>
    </row>
    <row r="86">
      <c r="A86" s="384" t="s">
        <v>116</v>
      </c>
      <c r="B86" s="384" t="s">
        <v>265</v>
      </c>
      <c r="C86" s="389">
        <v>2.5</v>
      </c>
      <c r="D86" s="389">
        <v>3.25</v>
      </c>
      <c r="E86" s="384"/>
      <c r="F86" s="389"/>
      <c r="G86" s="389"/>
      <c r="R86" s="384" t="s">
        <v>267</v>
      </c>
      <c r="T86" s="384" t="str">
        <f>IFERROR(__xludf.DUMMYFUNCTION("""COMPUTED_VALUE"""),"Крот")</f>
        <v>Крот</v>
      </c>
      <c r="U86" s="385"/>
      <c r="W86" s="384" t="str">
        <f>IFERROR(__xludf.DUMMYFUNCTION("""COMPUTED_VALUE"""),"Крёстный Отец (RU)")</f>
        <v>Крёстный Отец (RU)</v>
      </c>
      <c r="X86" s="385">
        <f>IFERROR(__xludf.DUMMYFUNCTION("""COMPUTED_VALUE"""),24.25)</f>
        <v>24.25</v>
      </c>
      <c r="Z86" s="384" t="s">
        <v>159</v>
      </c>
      <c r="AA86" s="384" t="s">
        <v>261</v>
      </c>
      <c r="AB86" s="389"/>
      <c r="AC86" s="389">
        <v>1.25</v>
      </c>
      <c r="AD86" s="384"/>
      <c r="AE86" s="389"/>
      <c r="AF86" s="389"/>
      <c r="AH86" s="384" t="s">
        <v>159</v>
      </c>
      <c r="AI86" s="384" t="s">
        <v>269</v>
      </c>
      <c r="AJ86" s="389">
        <v>2.5</v>
      </c>
      <c r="AK86" s="389">
        <v>2.5</v>
      </c>
      <c r="AL86" s="384"/>
      <c r="AM86" s="389"/>
      <c r="AN86" s="389"/>
    </row>
    <row r="87">
      <c r="A87" s="384" t="s">
        <v>98</v>
      </c>
      <c r="B87" s="384" t="s">
        <v>271</v>
      </c>
      <c r="C87" s="389"/>
      <c r="D87" s="389">
        <v>2.0</v>
      </c>
      <c r="E87" s="384"/>
      <c r="F87" s="389"/>
      <c r="G87" s="389"/>
      <c r="R87" s="384" t="s">
        <v>259</v>
      </c>
      <c r="T87" s="384" t="str">
        <f>IFERROR(__xludf.DUMMYFUNCTION("""COMPUTED_VALUE"""),"Лисичка")</f>
        <v>Лисичка</v>
      </c>
      <c r="U87" s="385"/>
      <c r="W87" s="384" t="str">
        <f>IFERROR(__xludf.DUMMYFUNCTION("""COMPUTED_VALUE"""),"Зверюга")</f>
        <v>Зверюга</v>
      </c>
      <c r="X87" s="385">
        <f>IFERROR(__xludf.DUMMYFUNCTION("""COMPUTED_VALUE"""),24.0)</f>
        <v>24</v>
      </c>
      <c r="Z87" s="384" t="s">
        <v>160</v>
      </c>
      <c r="AA87" s="384" t="s">
        <v>269</v>
      </c>
      <c r="AB87" s="389">
        <v>2.5</v>
      </c>
      <c r="AC87" s="389">
        <v>4.0</v>
      </c>
      <c r="AD87" s="384"/>
      <c r="AE87" s="389"/>
      <c r="AF87" s="389"/>
      <c r="AH87" s="384" t="s">
        <v>160</v>
      </c>
      <c r="AI87" s="384" t="s">
        <v>261</v>
      </c>
      <c r="AJ87" s="389"/>
      <c r="AK87" s="389">
        <v>2.0</v>
      </c>
      <c r="AL87" s="384"/>
      <c r="AM87" s="389"/>
      <c r="AN87" s="389"/>
    </row>
    <row r="88">
      <c r="A88" s="384" t="s">
        <v>85</v>
      </c>
      <c r="B88" s="384" t="s">
        <v>261</v>
      </c>
      <c r="C88" s="389"/>
      <c r="D88" s="389">
        <v>2.0</v>
      </c>
      <c r="E88" s="384"/>
      <c r="F88" s="389"/>
      <c r="G88" s="389"/>
      <c r="R88" s="384" t="s">
        <v>268</v>
      </c>
      <c r="T88" s="384" t="str">
        <f>IFERROR(__xludf.DUMMYFUNCTION("""COMPUTED_VALUE"""),"Маваши")</f>
        <v>Маваши</v>
      </c>
      <c r="U88" s="385"/>
      <c r="W88" s="384" t="str">
        <f>IFERROR(__xludf.DUMMYFUNCTION("""COMPUTED_VALUE"""),"Админ")</f>
        <v>Админ</v>
      </c>
      <c r="X88" s="385">
        <f>IFERROR(__xludf.DUMMYFUNCTION("""COMPUTED_VALUE"""),24.0)</f>
        <v>24</v>
      </c>
      <c r="Z88" s="384" t="s">
        <v>117</v>
      </c>
      <c r="AA88" s="384" t="s">
        <v>261</v>
      </c>
      <c r="AB88" s="389"/>
      <c r="AC88" s="389">
        <v>3.0</v>
      </c>
      <c r="AD88" s="384"/>
      <c r="AE88" s="389"/>
      <c r="AF88" s="389"/>
      <c r="AH88" s="384" t="s">
        <v>157</v>
      </c>
      <c r="AI88" s="384" t="s">
        <v>261</v>
      </c>
      <c r="AJ88" s="389"/>
      <c r="AK88" s="389">
        <v>2.25</v>
      </c>
      <c r="AL88" s="384"/>
      <c r="AM88" s="389"/>
      <c r="AN88" s="389"/>
    </row>
    <row r="89">
      <c r="A89" s="384" t="s">
        <v>135</v>
      </c>
      <c r="B89" s="384" t="s">
        <v>261</v>
      </c>
      <c r="C89" s="389"/>
      <c r="D89" s="389">
        <v>1.75</v>
      </c>
      <c r="E89" s="384"/>
      <c r="F89" s="389"/>
      <c r="G89" s="389"/>
      <c r="R89" s="384" t="s">
        <v>267</v>
      </c>
      <c r="T89" s="384" t="str">
        <f>IFERROR(__xludf.DUMMYFUNCTION("""COMPUTED_VALUE"""),"Манекен")</f>
        <v>Манекен</v>
      </c>
      <c r="U89" s="385"/>
      <c r="W89" s="384" t="str">
        <f>IFERROR(__xludf.DUMMYFUNCTION("""COMPUTED_VALUE"""),"Coach")</f>
        <v>Coach</v>
      </c>
      <c r="X89" s="385">
        <f>IFERROR(__xludf.DUMMYFUNCTION("""COMPUTED_VALUE"""),24.0)</f>
        <v>24</v>
      </c>
      <c r="Z89" s="384" t="s">
        <v>130</v>
      </c>
      <c r="AA89" s="384" t="s">
        <v>265</v>
      </c>
      <c r="AB89" s="389">
        <v>2.5</v>
      </c>
      <c r="AC89" s="389">
        <v>2.5</v>
      </c>
      <c r="AD89" s="384"/>
      <c r="AE89" s="389"/>
      <c r="AF89" s="389"/>
      <c r="AH89" s="384" t="s">
        <v>85</v>
      </c>
      <c r="AI89" s="384" t="s">
        <v>261</v>
      </c>
      <c r="AJ89" s="389"/>
      <c r="AK89" s="389">
        <v>1.75</v>
      </c>
      <c r="AL89" s="384"/>
      <c r="AM89" s="389"/>
      <c r="AN89" s="389"/>
    </row>
    <row r="90">
      <c r="A90" s="384" t="s">
        <v>110</v>
      </c>
      <c r="B90" s="384" t="s">
        <v>269</v>
      </c>
      <c r="C90" s="389">
        <v>2.5</v>
      </c>
      <c r="D90" s="389">
        <v>3.5</v>
      </c>
      <c r="E90" s="384"/>
      <c r="F90" s="389"/>
      <c r="G90" s="389"/>
      <c r="R90" s="384" t="s">
        <v>262</v>
      </c>
      <c r="T90" s="384" t="str">
        <f>IFERROR(__xludf.DUMMYFUNCTION("""COMPUTED_VALUE"""),"Марго")</f>
        <v>Марго</v>
      </c>
      <c r="U90" s="385"/>
      <c r="W90" s="384" t="str">
        <f>IFERROR(__xludf.DUMMYFUNCTION("""COMPUTED_VALUE"""),"MSR")</f>
        <v>MSR</v>
      </c>
      <c r="X90" s="385">
        <f>IFERROR(__xludf.DUMMYFUNCTION("""COMPUTED_VALUE"""),24.0)</f>
        <v>24</v>
      </c>
      <c r="Z90" s="384" t="s">
        <v>158</v>
      </c>
      <c r="AA90" s="384" t="s">
        <v>261</v>
      </c>
      <c r="AB90" s="389"/>
      <c r="AC90" s="389">
        <v>2.75</v>
      </c>
      <c r="AD90" s="384"/>
      <c r="AE90" s="389"/>
      <c r="AF90" s="389"/>
      <c r="AH90" s="384" t="s">
        <v>167</v>
      </c>
      <c r="AI90" s="384" t="s">
        <v>269</v>
      </c>
      <c r="AJ90" s="389">
        <v>2.5</v>
      </c>
      <c r="AK90" s="389">
        <v>4.25</v>
      </c>
      <c r="AL90" s="384"/>
      <c r="AM90" s="389"/>
      <c r="AN90" s="389"/>
    </row>
    <row r="91">
      <c r="A91" s="384" t="s">
        <v>138</v>
      </c>
      <c r="B91" s="384" t="s">
        <v>269</v>
      </c>
      <c r="C91" s="389">
        <v>2.5</v>
      </c>
      <c r="D91" s="389">
        <v>4.0</v>
      </c>
      <c r="E91" s="384"/>
      <c r="F91" s="389"/>
      <c r="G91" s="389"/>
      <c r="R91" s="384" t="s">
        <v>259</v>
      </c>
      <c r="T91" s="384" t="str">
        <f>IFERROR(__xludf.DUMMYFUNCTION("""COMPUTED_VALUE"""),"Ментик")</f>
        <v>Ментик</v>
      </c>
      <c r="U91" s="385"/>
      <c r="W91" s="384" t="str">
        <f>IFERROR(__xludf.DUMMYFUNCTION("""COMPUTED_VALUE"""),"SCHOKK ")</f>
        <v>SCHOKK </v>
      </c>
      <c r="X91" s="385">
        <f>IFERROR(__xludf.DUMMYFUNCTION("""COMPUTED_VALUE"""),24.0)</f>
        <v>24</v>
      </c>
      <c r="Z91" s="384" t="s">
        <v>101</v>
      </c>
      <c r="AA91" s="384" t="s">
        <v>261</v>
      </c>
      <c r="AB91" s="389"/>
      <c r="AC91" s="389">
        <v>2.25</v>
      </c>
      <c r="AD91" s="384"/>
      <c r="AE91" s="389"/>
      <c r="AF91" s="389"/>
      <c r="AH91" s="384" t="s">
        <v>104</v>
      </c>
      <c r="AI91" s="384" t="s">
        <v>261</v>
      </c>
      <c r="AJ91" s="389"/>
      <c r="AK91" s="389">
        <v>2.0</v>
      </c>
      <c r="AL91" s="384"/>
      <c r="AM91" s="389"/>
      <c r="AN91" s="389"/>
    </row>
    <row r="92">
      <c r="A92" s="384" t="s">
        <v>81</v>
      </c>
      <c r="B92" s="384" t="s">
        <v>261</v>
      </c>
      <c r="C92" s="389"/>
      <c r="D92" s="389">
        <v>1.5</v>
      </c>
      <c r="E92" s="384"/>
      <c r="F92" s="389"/>
      <c r="G92" s="389"/>
      <c r="R92" s="384" t="s">
        <v>259</v>
      </c>
      <c r="T92" s="384" t="str">
        <f>IFERROR(__xludf.DUMMYFUNCTION("""COMPUTED_VALUE"""),"Мишель ")</f>
        <v>Мишель </v>
      </c>
      <c r="U92" s="385"/>
      <c r="W92" s="384" t="str">
        <f>IFERROR(__xludf.DUMMYFUNCTION("""COMPUTED_VALUE"""),"Шпиц")</f>
        <v>Шпиц</v>
      </c>
      <c r="X92" s="385">
        <f>IFERROR(__xludf.DUMMYFUNCTION("""COMPUTED_VALUE"""),23.75)</f>
        <v>23.75</v>
      </c>
      <c r="Z92" s="384" t="s">
        <v>157</v>
      </c>
      <c r="AA92" s="384" t="s">
        <v>269</v>
      </c>
      <c r="AB92" s="389">
        <v>2.5</v>
      </c>
      <c r="AC92" s="389">
        <v>3.5</v>
      </c>
      <c r="AD92" s="384"/>
      <c r="AE92" s="389"/>
      <c r="AF92" s="389"/>
      <c r="AH92" s="384" t="s">
        <v>101</v>
      </c>
      <c r="AI92" s="384" t="s">
        <v>261</v>
      </c>
      <c r="AJ92" s="389"/>
      <c r="AK92" s="389">
        <v>1.75</v>
      </c>
      <c r="AL92" s="384"/>
      <c r="AM92" s="389"/>
      <c r="AN92" s="389"/>
    </row>
    <row r="93">
      <c r="A93" s="384" t="s">
        <v>102</v>
      </c>
      <c r="B93" s="384" t="s">
        <v>269</v>
      </c>
      <c r="C93" s="389"/>
      <c r="D93" s="389">
        <v>2.0</v>
      </c>
      <c r="E93" s="384" t="s">
        <v>263</v>
      </c>
      <c r="F93" s="389"/>
      <c r="G93" s="389"/>
      <c r="R93" s="384" t="s">
        <v>272</v>
      </c>
      <c r="T93" s="384" t="str">
        <f>IFERROR(__xludf.DUMMYFUNCTION("""COMPUTED_VALUE"""),"Наполеон")</f>
        <v>Наполеон</v>
      </c>
      <c r="U93" s="385"/>
      <c r="W93" s="384" t="str">
        <f>IFERROR(__xludf.DUMMYFUNCTION("""COMPUTED_VALUE"""),"Cristo")</f>
        <v>Cristo</v>
      </c>
      <c r="X93" s="385">
        <f>IFERROR(__xludf.DUMMYFUNCTION("""COMPUTED_VALUE"""),23.75)</f>
        <v>23.75</v>
      </c>
      <c r="Z93" s="384" t="s">
        <v>154</v>
      </c>
      <c r="AA93" s="384" t="s">
        <v>261</v>
      </c>
      <c r="AB93" s="389"/>
      <c r="AC93" s="389">
        <v>2.25</v>
      </c>
      <c r="AD93" s="384" t="s">
        <v>11</v>
      </c>
      <c r="AE93" s="389">
        <v>0.5</v>
      </c>
      <c r="AF93" s="389">
        <v>1.0</v>
      </c>
      <c r="AH93" s="384" t="s">
        <v>177</v>
      </c>
      <c r="AI93" s="384" t="s">
        <v>261</v>
      </c>
      <c r="AJ93" s="389"/>
      <c r="AK93" s="389">
        <v>3.25</v>
      </c>
      <c r="AL93" s="384"/>
      <c r="AM93" s="389"/>
      <c r="AN93" s="389"/>
    </row>
    <row r="94">
      <c r="A94" s="384" t="s">
        <v>127</v>
      </c>
      <c r="B94" s="384" t="s">
        <v>261</v>
      </c>
      <c r="C94" s="389">
        <v>2.5</v>
      </c>
      <c r="D94" s="389">
        <v>2.5</v>
      </c>
      <c r="E94" s="384"/>
      <c r="F94" s="389"/>
      <c r="G94" s="389"/>
      <c r="R94" s="384" t="s">
        <v>259</v>
      </c>
      <c r="T94" s="384" t="str">
        <f>IFERROR(__xludf.DUMMYFUNCTION("""COMPUTED_VALUE"""),"Панда из Руанды")</f>
        <v>Панда из Руанды</v>
      </c>
      <c r="U94" s="385"/>
      <c r="W94" s="384" t="str">
        <f>IFERROR(__xludf.DUMMYFUNCTION("""COMPUTED_VALUE"""),"Stacy")</f>
        <v>Stacy</v>
      </c>
      <c r="X94" s="385">
        <f>IFERROR(__xludf.DUMMYFUNCTION("""COMPUTED_VALUE"""),23.75)</f>
        <v>23.75</v>
      </c>
      <c r="Z94" s="384" t="s">
        <v>155</v>
      </c>
      <c r="AA94" s="384" t="s">
        <v>271</v>
      </c>
      <c r="AB94" s="389"/>
      <c r="AC94" s="389">
        <v>2.75</v>
      </c>
      <c r="AD94" s="384"/>
      <c r="AE94" s="389"/>
      <c r="AF94" s="389"/>
      <c r="AH94" s="384" t="s">
        <v>138</v>
      </c>
      <c r="AI94" s="384" t="s">
        <v>269</v>
      </c>
      <c r="AJ94" s="389">
        <v>2.5</v>
      </c>
      <c r="AK94" s="389">
        <v>4.5</v>
      </c>
      <c r="AL94" s="384"/>
      <c r="AM94" s="389"/>
      <c r="AN94" s="389"/>
    </row>
    <row r="95">
      <c r="A95" s="384" t="s">
        <v>137</v>
      </c>
      <c r="B95" s="384" t="s">
        <v>269</v>
      </c>
      <c r="C95" s="389"/>
      <c r="D95" s="389">
        <v>2.5</v>
      </c>
      <c r="E95" s="384"/>
      <c r="F95" s="389"/>
      <c r="G95" s="389"/>
      <c r="R95" s="384" t="s">
        <v>259</v>
      </c>
      <c r="T95" s="384" t="str">
        <f>IFERROR(__xludf.DUMMYFUNCTION("""COMPUTED_VALUE"""),"Писатель ")</f>
        <v>Писатель </v>
      </c>
      <c r="U95" s="385"/>
      <c r="W95" s="384" t="str">
        <f>IFERROR(__xludf.DUMMYFUNCTION("""COMPUTED_VALUE"""),"Young")</f>
        <v>Young</v>
      </c>
      <c r="X95" s="385">
        <f>IFERROR(__xludf.DUMMYFUNCTION("""COMPUTED_VALUE"""),23.75)</f>
        <v>23.75</v>
      </c>
      <c r="Z95" s="384" t="s">
        <v>156</v>
      </c>
      <c r="AA95" s="384" t="s">
        <v>269</v>
      </c>
      <c r="AB95" s="389">
        <v>2.5</v>
      </c>
      <c r="AC95" s="389">
        <v>3.25</v>
      </c>
      <c r="AD95" s="384"/>
      <c r="AE95" s="389"/>
      <c r="AF95" s="389"/>
      <c r="AH95" s="384" t="s">
        <v>123</v>
      </c>
      <c r="AI95" s="384" t="s">
        <v>261</v>
      </c>
      <c r="AJ95" s="389"/>
      <c r="AK95" s="389">
        <v>1.5</v>
      </c>
      <c r="AL95" s="384"/>
      <c r="AM95" s="389"/>
      <c r="AN95" s="389"/>
    </row>
    <row r="96">
      <c r="A96" s="384" t="s">
        <v>116</v>
      </c>
      <c r="B96" s="384" t="s">
        <v>261</v>
      </c>
      <c r="C96" s="389">
        <v>2.5</v>
      </c>
      <c r="D96" s="389">
        <v>3.25</v>
      </c>
      <c r="E96" s="384"/>
      <c r="F96" s="389"/>
      <c r="G96" s="389"/>
      <c r="R96" s="384" t="s">
        <v>267</v>
      </c>
      <c r="T96" s="384" t="str">
        <f>IFERROR(__xludf.DUMMYFUNCTION("""COMPUTED_VALUE"""),"Правда ")</f>
        <v>Правда </v>
      </c>
      <c r="U96" s="385"/>
      <c r="W96" s="384" t="str">
        <f>IFERROR(__xludf.DUMMYFUNCTION("""COMPUTED_VALUE"""),"Тихий закат")</f>
        <v>Тихий закат</v>
      </c>
      <c r="X96" s="385">
        <f>IFERROR(__xludf.DUMMYFUNCTION("""COMPUTED_VALUE"""),23.75)</f>
        <v>23.75</v>
      </c>
      <c r="Z96" s="384" t="s">
        <v>159</v>
      </c>
      <c r="AA96" s="384" t="s">
        <v>261</v>
      </c>
      <c r="AB96" s="389"/>
      <c r="AC96" s="389">
        <v>3.75</v>
      </c>
      <c r="AD96" s="384"/>
      <c r="AE96" s="389"/>
      <c r="AF96" s="389"/>
      <c r="AH96" s="384" t="s">
        <v>159</v>
      </c>
      <c r="AI96" s="384" t="s">
        <v>271</v>
      </c>
      <c r="AJ96" s="389"/>
      <c r="AK96" s="389">
        <v>2.25</v>
      </c>
      <c r="AL96" s="384" t="s">
        <v>11</v>
      </c>
      <c r="AM96" s="389"/>
      <c r="AN96" s="389">
        <v>1.0</v>
      </c>
    </row>
    <row r="97">
      <c r="A97" s="384" t="s">
        <v>98</v>
      </c>
      <c r="B97" s="384" t="s">
        <v>271</v>
      </c>
      <c r="C97" s="389">
        <v>2.5</v>
      </c>
      <c r="D97" s="389">
        <v>4.0</v>
      </c>
      <c r="E97" s="384"/>
      <c r="F97" s="389"/>
      <c r="G97" s="389"/>
      <c r="R97" s="384" t="s">
        <v>259</v>
      </c>
      <c r="T97" s="384" t="str">
        <f>IFERROR(__xludf.DUMMYFUNCTION("""COMPUTED_VALUE"""),"Продюсер")</f>
        <v>Продюсер</v>
      </c>
      <c r="U97" s="385"/>
      <c r="W97" s="384" t="str">
        <f>IFERROR(__xludf.DUMMYFUNCTION("""COMPUTED_VALUE"""),"A1 ")</f>
        <v>A1 </v>
      </c>
      <c r="X97" s="385">
        <f>IFERROR(__xludf.DUMMYFUNCTION("""COMPUTED_VALUE"""),23.5)</f>
        <v>23.5</v>
      </c>
      <c r="Z97" s="384" t="s">
        <v>160</v>
      </c>
      <c r="AA97" s="384" t="s">
        <v>265</v>
      </c>
      <c r="AB97" s="389">
        <v>2.5</v>
      </c>
      <c r="AC97" s="389">
        <v>4.0</v>
      </c>
      <c r="AD97" s="384"/>
      <c r="AE97" s="389"/>
      <c r="AF97" s="389"/>
      <c r="AH97" s="384" t="s">
        <v>160</v>
      </c>
      <c r="AI97" s="384" t="s">
        <v>261</v>
      </c>
      <c r="AJ97" s="389"/>
      <c r="AK97" s="389">
        <v>3.0</v>
      </c>
      <c r="AL97" s="384"/>
      <c r="AM97" s="389"/>
      <c r="AN97" s="389"/>
    </row>
    <row r="98">
      <c r="A98" s="384" t="s">
        <v>85</v>
      </c>
      <c r="B98" s="384" t="s">
        <v>265</v>
      </c>
      <c r="C98" s="389"/>
      <c r="D98" s="389">
        <v>1.75</v>
      </c>
      <c r="E98" s="384"/>
      <c r="F98" s="389"/>
      <c r="G98" s="389"/>
      <c r="R98" s="384" t="s">
        <v>262</v>
      </c>
      <c r="T98" s="384" t="str">
        <f>IFERROR(__xludf.DUMMYFUNCTION("""COMPUTED_VALUE"""),"РФ")</f>
        <v>РФ</v>
      </c>
      <c r="U98" s="385"/>
      <c r="W98" s="384" t="str">
        <f>IFERROR(__xludf.DUMMYFUNCTION("""COMPUTED_VALUE"""),"Тихий закат")</f>
        <v>Тихий закат</v>
      </c>
      <c r="X98" s="385">
        <f>IFERROR(__xludf.DUMMYFUNCTION("""COMPUTED_VALUE"""),23.5)</f>
        <v>23.5</v>
      </c>
      <c r="Z98" s="384" t="s">
        <v>117</v>
      </c>
      <c r="AA98" s="384" t="s">
        <v>261</v>
      </c>
      <c r="AB98" s="389"/>
      <c r="AC98" s="389">
        <v>3.25</v>
      </c>
      <c r="AD98" s="384"/>
      <c r="AE98" s="389"/>
      <c r="AF98" s="389"/>
      <c r="AH98" s="384" t="s">
        <v>157</v>
      </c>
      <c r="AI98" s="384" t="s">
        <v>265</v>
      </c>
      <c r="AJ98" s="389">
        <v>2.5</v>
      </c>
      <c r="AK98" s="389">
        <v>2.5</v>
      </c>
      <c r="AL98" s="384"/>
      <c r="AM98" s="389"/>
      <c r="AN98" s="389"/>
    </row>
    <row r="99">
      <c r="A99" s="384" t="s">
        <v>135</v>
      </c>
      <c r="B99" s="384" t="s">
        <v>261</v>
      </c>
      <c r="C99" s="389">
        <v>2.5</v>
      </c>
      <c r="D99" s="389">
        <v>3.0</v>
      </c>
      <c r="E99" s="384" t="s">
        <v>260</v>
      </c>
      <c r="F99" s="389"/>
      <c r="G99" s="389"/>
      <c r="R99" s="384" t="s">
        <v>257</v>
      </c>
      <c r="T99" s="384" t="str">
        <f>IFERROR(__xludf.DUMMYFUNCTION("""COMPUTED_VALUE"""),"Старый")</f>
        <v>Старый</v>
      </c>
      <c r="U99" s="385"/>
      <c r="W99" s="384" t="str">
        <f>IFERROR(__xludf.DUMMYFUNCTION("""COMPUTED_VALUE"""),"Манекен")</f>
        <v>Манекен</v>
      </c>
      <c r="X99" s="385">
        <f>IFERROR(__xludf.DUMMYFUNCTION("""COMPUTED_VALUE"""),23.5)</f>
        <v>23.5</v>
      </c>
      <c r="Z99" s="384" t="s">
        <v>130</v>
      </c>
      <c r="AA99" s="384" t="s">
        <v>261</v>
      </c>
      <c r="AB99" s="389"/>
      <c r="AC99" s="389">
        <v>4.0</v>
      </c>
      <c r="AD99" s="384"/>
      <c r="AE99" s="389"/>
      <c r="AF99" s="389"/>
      <c r="AH99" s="384" t="s">
        <v>85</v>
      </c>
      <c r="AI99" s="384" t="s">
        <v>261</v>
      </c>
      <c r="AJ99" s="389"/>
      <c r="AK99" s="389">
        <v>1.75</v>
      </c>
      <c r="AL99" s="384"/>
      <c r="AM99" s="389"/>
      <c r="AN99" s="389"/>
    </row>
    <row r="100">
      <c r="A100" s="384" t="s">
        <v>110</v>
      </c>
      <c r="B100" s="384" t="s">
        <v>261</v>
      </c>
      <c r="C100" s="389">
        <v>2.5</v>
      </c>
      <c r="D100" s="389">
        <v>4.0</v>
      </c>
      <c r="E100" s="384" t="s">
        <v>260</v>
      </c>
      <c r="F100" s="389"/>
      <c r="G100" s="389"/>
      <c r="R100" s="384" t="s">
        <v>272</v>
      </c>
      <c r="T100" s="384" t="str">
        <f>IFERROR(__xludf.DUMMYFUNCTION("""COMPUTED_VALUE"""),"СЭНСЭЙ")</f>
        <v>СЭНСЭЙ</v>
      </c>
      <c r="U100" s="385"/>
      <c r="W100" s="384" t="str">
        <f>IFERROR(__xludf.DUMMYFUNCTION("""COMPUTED_VALUE"""),"Ментик")</f>
        <v>Ментик</v>
      </c>
      <c r="X100" s="385">
        <f>IFERROR(__xludf.DUMMYFUNCTION("""COMPUTED_VALUE"""),23.5)</f>
        <v>23.5</v>
      </c>
      <c r="Z100" s="384" t="s">
        <v>158</v>
      </c>
      <c r="AA100" s="384" t="s">
        <v>261</v>
      </c>
      <c r="AB100" s="389"/>
      <c r="AC100" s="389">
        <v>1.25</v>
      </c>
      <c r="AD100" s="384"/>
      <c r="AE100" s="389"/>
      <c r="AF100" s="389"/>
      <c r="AH100" s="384" t="s">
        <v>167</v>
      </c>
      <c r="AI100" s="384" t="s">
        <v>261</v>
      </c>
      <c r="AJ100" s="389"/>
      <c r="AK100" s="389">
        <v>2.0</v>
      </c>
      <c r="AL100" s="384"/>
      <c r="AM100" s="389"/>
      <c r="AN100" s="389"/>
    </row>
    <row r="101">
      <c r="A101" s="384" t="s">
        <v>138</v>
      </c>
      <c r="B101" s="384" t="s">
        <v>261</v>
      </c>
      <c r="C101" s="389">
        <v>2.5</v>
      </c>
      <c r="D101" s="389">
        <v>3.75</v>
      </c>
      <c r="E101" s="384"/>
      <c r="F101" s="389"/>
      <c r="G101" s="389"/>
      <c r="R101" s="384" t="s">
        <v>258</v>
      </c>
      <c r="T101" s="384" t="str">
        <f>IFERROR(__xludf.DUMMYFUNCTION("""COMPUTED_VALUE"""),"Coach")</f>
        <v>Coach</v>
      </c>
      <c r="U101" s="385"/>
      <c r="W101" s="384" t="str">
        <f>IFERROR(__xludf.DUMMYFUNCTION("""COMPUTED_VALUE"""),"GALAY")</f>
        <v>GALAY</v>
      </c>
      <c r="X101" s="385">
        <f>IFERROR(__xludf.DUMMYFUNCTION("""COMPUTED_VALUE"""),23.5)</f>
        <v>23.5</v>
      </c>
      <c r="Z101" s="384" t="s">
        <v>101</v>
      </c>
      <c r="AA101" s="384" t="s">
        <v>269</v>
      </c>
      <c r="AB101" s="389">
        <v>2.5</v>
      </c>
      <c r="AC101" s="389">
        <v>2.0</v>
      </c>
      <c r="AD101" s="384"/>
      <c r="AE101" s="389"/>
      <c r="AF101" s="389"/>
      <c r="AH101" s="384" t="s">
        <v>104</v>
      </c>
      <c r="AI101" s="384" t="s">
        <v>261</v>
      </c>
      <c r="AJ101" s="389"/>
      <c r="AK101" s="389">
        <v>1.75</v>
      </c>
      <c r="AL101" s="384"/>
      <c r="AM101" s="389"/>
      <c r="AN101" s="389"/>
    </row>
    <row r="102">
      <c r="A102" s="384" t="s">
        <v>81</v>
      </c>
      <c r="B102" s="384" t="s">
        <v>261</v>
      </c>
      <c r="C102" s="389">
        <v>2.5</v>
      </c>
      <c r="D102" s="389">
        <v>2.75</v>
      </c>
      <c r="E102" s="384" t="s">
        <v>11</v>
      </c>
      <c r="F102" s="389"/>
      <c r="G102" s="389">
        <v>1.0</v>
      </c>
      <c r="R102" s="384" t="s">
        <v>268</v>
      </c>
      <c r="T102" s="384" t="str">
        <f>IFERROR(__xludf.DUMMYFUNCTION("""COMPUTED_VALUE"""),"Тихий закат")</f>
        <v>Тихий закат</v>
      </c>
      <c r="U102" s="385"/>
      <c r="W102" s="384" t="str">
        <f>IFERROR(__xludf.DUMMYFUNCTION("""COMPUTED_VALUE"""),"Alice ")</f>
        <v>Alice </v>
      </c>
      <c r="X102" s="385">
        <f>IFERROR(__xludf.DUMMYFUNCTION("""COMPUTED_VALUE"""),23.5)</f>
        <v>23.5</v>
      </c>
      <c r="Z102" s="384" t="s">
        <v>157</v>
      </c>
      <c r="AA102" s="384" t="s">
        <v>261</v>
      </c>
      <c r="AB102" s="389"/>
      <c r="AC102" s="389">
        <v>2.75</v>
      </c>
      <c r="AD102" s="384"/>
      <c r="AE102" s="389"/>
      <c r="AF102" s="389"/>
      <c r="AH102" s="384" t="s">
        <v>101</v>
      </c>
      <c r="AI102" s="384" t="s">
        <v>269</v>
      </c>
      <c r="AJ102" s="389">
        <v>2.5</v>
      </c>
      <c r="AK102" s="389">
        <v>3.5</v>
      </c>
      <c r="AL102" s="384"/>
      <c r="AM102" s="389"/>
      <c r="AN102" s="389"/>
    </row>
    <row r="103">
      <c r="A103" s="384" t="s">
        <v>91</v>
      </c>
      <c r="B103" s="384" t="s">
        <v>269</v>
      </c>
      <c r="C103" s="389">
        <v>2.5</v>
      </c>
      <c r="D103" s="389">
        <v>4.25</v>
      </c>
      <c r="E103" s="384"/>
      <c r="F103" s="389"/>
      <c r="G103" s="389"/>
      <c r="R103" s="384" t="s">
        <v>257</v>
      </c>
      <c r="T103" s="384" t="str">
        <f>IFERROR(__xludf.DUMMYFUNCTION("""COMPUTED_VALUE"""),"Физик")</f>
        <v>Физик</v>
      </c>
      <c r="U103" s="385"/>
      <c r="W103" s="384" t="str">
        <f>IFERROR(__xludf.DUMMYFUNCTION("""COMPUTED_VALUE"""),"Старый")</f>
        <v>Старый</v>
      </c>
      <c r="X103" s="385">
        <f>IFERROR(__xludf.DUMMYFUNCTION("""COMPUTED_VALUE"""),23.5)</f>
        <v>23.5</v>
      </c>
    </row>
    <row r="104">
      <c r="A104" s="384" t="s">
        <v>123</v>
      </c>
      <c r="B104" s="384" t="s">
        <v>261</v>
      </c>
      <c r="C104" s="389"/>
      <c r="D104" s="389">
        <v>3.0</v>
      </c>
      <c r="E104" s="384"/>
      <c r="F104" s="389"/>
      <c r="G104" s="389"/>
      <c r="R104" s="384" t="s">
        <v>267</v>
      </c>
      <c r="T104" s="384" t="str">
        <f>IFERROR(__xludf.DUMMYFUNCTION("""COMPUTED_VALUE"""),"Флэш")</f>
        <v>Флэш</v>
      </c>
      <c r="U104" s="385"/>
      <c r="W104" s="384" t="str">
        <f>IFERROR(__xludf.DUMMYFUNCTION("""COMPUTED_VALUE"""),"Красавчик")</f>
        <v>Красавчик</v>
      </c>
      <c r="X104" s="385">
        <f>IFERROR(__xludf.DUMMYFUNCTION("""COMPUTED_VALUE"""),23.25)</f>
        <v>23.25</v>
      </c>
    </row>
    <row r="105">
      <c r="A105" s="384" t="s">
        <v>132</v>
      </c>
      <c r="B105" s="384" t="s">
        <v>271</v>
      </c>
      <c r="C105" s="389"/>
      <c r="D105" s="389">
        <v>2.25</v>
      </c>
      <c r="E105" s="384"/>
      <c r="F105" s="389"/>
      <c r="G105" s="389"/>
      <c r="R105" s="384" t="s">
        <v>258</v>
      </c>
      <c r="T105" s="384" t="str">
        <f>IFERROR(__xludf.DUMMYFUNCTION("""COMPUTED_VALUE"""),"Фокс")</f>
        <v>Фокс</v>
      </c>
      <c r="U105" s="385"/>
      <c r="W105" s="384" t="str">
        <f>IFERROR(__xludf.DUMMYFUNCTION("""COMPUTED_VALUE"""),"MSR")</f>
        <v>MSR</v>
      </c>
      <c r="X105" s="385">
        <f>IFERROR(__xludf.DUMMYFUNCTION("""COMPUTED_VALUE"""),23.25)</f>
        <v>23.25</v>
      </c>
    </row>
    <row r="106">
      <c r="A106" s="384" t="s">
        <v>126</v>
      </c>
      <c r="B106" s="384" t="s">
        <v>265</v>
      </c>
      <c r="C106" s="389">
        <v>2.5</v>
      </c>
      <c r="D106" s="389">
        <v>3.75</v>
      </c>
      <c r="E106" s="384"/>
      <c r="F106" s="389"/>
      <c r="G106" s="389"/>
      <c r="R106" s="384" t="s">
        <v>267</v>
      </c>
      <c r="T106" s="384" t="str">
        <f>IFERROR(__xludf.DUMMYFUNCTION("""COMPUTED_VALUE"""),"Шоу Бой")</f>
        <v>Шоу Бой</v>
      </c>
      <c r="U106" s="385"/>
      <c r="W106" s="384" t="str">
        <f>IFERROR(__xludf.DUMMYFUNCTION("""COMPUTED_VALUE"""),"Лисичка")</f>
        <v>Лисичка</v>
      </c>
      <c r="X106" s="385">
        <f>IFERROR(__xludf.DUMMYFUNCTION("""COMPUTED_VALUE"""),23.25)</f>
        <v>23.25</v>
      </c>
    </row>
    <row r="107">
      <c r="A107" s="384" t="s">
        <v>118</v>
      </c>
      <c r="B107" s="384" t="s">
        <v>269</v>
      </c>
      <c r="C107" s="389">
        <v>2.5</v>
      </c>
      <c r="D107" s="389">
        <v>2.25</v>
      </c>
      <c r="E107" s="384"/>
      <c r="F107" s="389"/>
      <c r="G107" s="389"/>
      <c r="R107" s="384" t="s">
        <v>268</v>
      </c>
      <c r="T107" s="384" t="str">
        <f>IFERROR(__xludf.DUMMYFUNCTION("""COMPUTED_VALUE"""),"Шпиц")</f>
        <v>Шпиц</v>
      </c>
      <c r="U107" s="385"/>
      <c r="W107" s="384" t="str">
        <f>IFERROR(__xludf.DUMMYFUNCTION("""COMPUTED_VALUE"""),"Аш")</f>
        <v>Аш</v>
      </c>
      <c r="X107" s="385">
        <f>IFERROR(__xludf.DUMMYFUNCTION("""COMPUTED_VALUE"""),23.25)</f>
        <v>23.25</v>
      </c>
    </row>
    <row r="108">
      <c r="A108" s="384" t="s">
        <v>137</v>
      </c>
      <c r="B108" s="384" t="s">
        <v>261</v>
      </c>
      <c r="C108" s="389"/>
      <c r="D108" s="389">
        <v>2.75</v>
      </c>
      <c r="E108" s="384"/>
      <c r="F108" s="389"/>
      <c r="G108" s="389"/>
      <c r="R108" s="384" t="s">
        <v>259</v>
      </c>
      <c r="T108" s="384" t="str">
        <f>IFERROR(__xludf.DUMMYFUNCTION("""COMPUTED_VALUE"""),"Alice ")</f>
        <v>Alice </v>
      </c>
      <c r="U108" s="385"/>
      <c r="W108" s="384" t="str">
        <f>IFERROR(__xludf.DUMMYFUNCTION("""COMPUTED_VALUE"""),"Ментик")</f>
        <v>Ментик</v>
      </c>
      <c r="X108" s="385">
        <f>IFERROR(__xludf.DUMMYFUNCTION("""COMPUTED_VALUE"""),23.25)</f>
        <v>23.25</v>
      </c>
    </row>
    <row r="109">
      <c r="A109" s="384" t="s">
        <v>95</v>
      </c>
      <c r="B109" s="384" t="s">
        <v>261</v>
      </c>
      <c r="C109" s="389"/>
      <c r="D109" s="389">
        <v>2.0</v>
      </c>
      <c r="E109" s="384"/>
      <c r="F109" s="389"/>
      <c r="G109" s="389">
        <v>0.5</v>
      </c>
      <c r="R109" s="384" t="s">
        <v>257</v>
      </c>
      <c r="T109" s="384" t="str">
        <f>IFERROR(__xludf.DUMMYFUNCTION("""COMPUTED_VALUE"""),"Bublik")</f>
        <v>Bublik</v>
      </c>
      <c r="U109" s="385"/>
      <c r="W109" s="384" t="str">
        <f>IFERROR(__xludf.DUMMYFUNCTION("""COMPUTED_VALUE"""),"Бамблби")</f>
        <v>Бамблби</v>
      </c>
      <c r="X109" s="385">
        <f>IFERROR(__xludf.DUMMYFUNCTION("""COMPUTED_VALUE"""),23.25)</f>
        <v>23.25</v>
      </c>
    </row>
    <row r="110">
      <c r="A110" s="384" t="s">
        <v>131</v>
      </c>
      <c r="B110" s="384" t="s">
        <v>261</v>
      </c>
      <c r="C110" s="389"/>
      <c r="D110" s="389">
        <v>1.75</v>
      </c>
      <c r="E110" s="384"/>
      <c r="F110" s="389"/>
      <c r="G110" s="389"/>
      <c r="R110" s="384" t="s">
        <v>259</v>
      </c>
      <c r="T110" s="384" t="str">
        <f>IFERROR(__xludf.DUMMYFUNCTION("""COMPUTED_VALUE"""),"BWDMoscow")</f>
        <v>BWDMoscow</v>
      </c>
      <c r="U110" s="385"/>
      <c r="W110" s="384" t="str">
        <f>IFERROR(__xludf.DUMMYFUNCTION("""COMPUTED_VALUE"""),"MSR")</f>
        <v>MSR</v>
      </c>
      <c r="X110" s="385">
        <f>IFERROR(__xludf.DUMMYFUNCTION("""COMPUTED_VALUE"""),23.25)</f>
        <v>23.25</v>
      </c>
    </row>
    <row r="111">
      <c r="A111" s="384" t="s">
        <v>117</v>
      </c>
      <c r="B111" s="384" t="s">
        <v>261</v>
      </c>
      <c r="C111" s="389"/>
      <c r="D111" s="389">
        <v>1.75</v>
      </c>
      <c r="E111" s="384"/>
      <c r="F111" s="389"/>
      <c r="G111" s="389"/>
      <c r="R111" s="384" t="s">
        <v>262</v>
      </c>
      <c r="T111" s="384" t="str">
        <f>IFERROR(__xludf.DUMMYFUNCTION("""COMPUTED_VALUE"""),"Castor Troy ")</f>
        <v>Castor Troy </v>
      </c>
      <c r="U111" s="385"/>
      <c r="W111" s="384" t="str">
        <f>IFERROR(__xludf.DUMMYFUNCTION("""COMPUTED_VALUE"""),"SOVEST")</f>
        <v>SOVEST</v>
      </c>
      <c r="X111" s="385">
        <f>IFERROR(__xludf.DUMMYFUNCTION("""COMPUTED_VALUE"""),23.25)</f>
        <v>23.25</v>
      </c>
    </row>
    <row r="112">
      <c r="A112" s="384" t="s">
        <v>136</v>
      </c>
      <c r="B112" s="384" t="s">
        <v>261</v>
      </c>
      <c r="C112" s="389"/>
      <c r="D112" s="389">
        <v>2.25</v>
      </c>
      <c r="E112" s="384"/>
      <c r="F112" s="389"/>
      <c r="G112" s="389"/>
      <c r="R112" s="384" t="s">
        <v>267</v>
      </c>
      <c r="T112" s="384" t="str">
        <f>IFERROR(__xludf.DUMMYFUNCTION("""COMPUTED_VALUE"""),"Curly")</f>
        <v>Curly</v>
      </c>
      <c r="U112" s="385"/>
      <c r="W112" s="384" t="str">
        <f>IFERROR(__xludf.DUMMYFUNCTION("""COMPUTED_VALUE"""),"Наполеон")</f>
        <v>Наполеон</v>
      </c>
      <c r="X112" s="385">
        <f>IFERROR(__xludf.DUMMYFUNCTION("""COMPUTED_VALUE"""),23.0)</f>
        <v>23</v>
      </c>
    </row>
    <row r="113">
      <c r="A113" s="384" t="s">
        <v>91</v>
      </c>
      <c r="B113" s="384" t="s">
        <v>261</v>
      </c>
      <c r="C113" s="389"/>
      <c r="D113" s="389">
        <v>2.0</v>
      </c>
      <c r="E113" s="384"/>
      <c r="F113" s="389"/>
      <c r="G113" s="389">
        <v>0.5</v>
      </c>
      <c r="R113" s="384" t="s">
        <v>268</v>
      </c>
      <c r="T113" s="384" t="str">
        <f>IFERROR(__xludf.DUMMYFUNCTION("""COMPUTED_VALUE"""),"GALAY")</f>
        <v>GALAY</v>
      </c>
      <c r="U113" s="385"/>
      <c r="W113" s="384" t="str">
        <f>IFERROR(__xludf.DUMMYFUNCTION("""COMPUTED_VALUE"""),"Градиент")</f>
        <v>Градиент</v>
      </c>
      <c r="X113" s="385">
        <f>IFERROR(__xludf.DUMMYFUNCTION("""COMPUTED_VALUE"""),23.0)</f>
        <v>23</v>
      </c>
    </row>
    <row r="114">
      <c r="A114" s="384" t="s">
        <v>123</v>
      </c>
      <c r="B114" s="384" t="s">
        <v>265</v>
      </c>
      <c r="C114" s="389">
        <v>2.5</v>
      </c>
      <c r="D114" s="389">
        <v>3.75</v>
      </c>
      <c r="E114" s="384"/>
      <c r="F114" s="389"/>
      <c r="G114" s="389"/>
      <c r="R114" s="384" t="s">
        <v>272</v>
      </c>
      <c r="T114" s="384" t="str">
        <f>IFERROR(__xludf.DUMMYFUNCTION("""COMPUTED_VALUE"""),"Infinity ")</f>
        <v>Infinity </v>
      </c>
      <c r="U114" s="385"/>
      <c r="W114" s="384" t="str">
        <f>IFERROR(__xludf.DUMMYFUNCTION("""COMPUTED_VALUE"""),"Марго")</f>
        <v>Марго</v>
      </c>
      <c r="X114" s="385">
        <f>IFERROR(__xludf.DUMMYFUNCTION("""COMPUTED_VALUE"""),23.0)</f>
        <v>23</v>
      </c>
    </row>
    <row r="115">
      <c r="A115" s="384" t="s">
        <v>132</v>
      </c>
      <c r="B115" s="384" t="s">
        <v>269</v>
      </c>
      <c r="C115" s="389">
        <v>2.5</v>
      </c>
      <c r="D115" s="389">
        <v>4.0</v>
      </c>
      <c r="E115" s="384"/>
      <c r="F115" s="389"/>
      <c r="G115" s="389"/>
      <c r="R115" s="384" t="s">
        <v>262</v>
      </c>
      <c r="T115" s="384" t="str">
        <f>IFERROR(__xludf.DUMMYFUNCTION("""COMPUTED_VALUE"""),"Ketamin")</f>
        <v>Ketamin</v>
      </c>
      <c r="U115" s="385"/>
      <c r="W115" s="384" t="str">
        <f>IFERROR(__xludf.DUMMYFUNCTION("""COMPUTED_VALUE"""),"Астория")</f>
        <v>Астория</v>
      </c>
      <c r="X115" s="385">
        <f>IFERROR(__xludf.DUMMYFUNCTION("""COMPUTED_VALUE"""),23.0)</f>
        <v>23</v>
      </c>
    </row>
    <row r="116">
      <c r="A116" s="384" t="s">
        <v>126</v>
      </c>
      <c r="B116" s="384" t="s">
        <v>261</v>
      </c>
      <c r="C116" s="389"/>
      <c r="D116" s="389">
        <v>2.0</v>
      </c>
      <c r="E116" s="384"/>
      <c r="F116" s="389"/>
      <c r="G116" s="389"/>
      <c r="R116" s="384" t="s">
        <v>268</v>
      </c>
      <c r="T116" s="384" t="str">
        <f>IFERROR(__xludf.DUMMYFUNCTION("""COMPUTED_VALUE"""),"Light")</f>
        <v>Light</v>
      </c>
      <c r="U116" s="385"/>
      <c r="W116" s="384" t="str">
        <f>IFERROR(__xludf.DUMMYFUNCTION("""COMPUTED_VALUE"""),"Крёстный Отец (RU)")</f>
        <v>Крёстный Отец (RU)</v>
      </c>
      <c r="X116" s="385">
        <f>IFERROR(__xludf.DUMMYFUNCTION("""COMPUTED_VALUE"""),23.0)</f>
        <v>23</v>
      </c>
    </row>
    <row r="117">
      <c r="A117" s="384" t="s">
        <v>118</v>
      </c>
      <c r="B117" s="384" t="s">
        <v>261</v>
      </c>
      <c r="C117" s="389"/>
      <c r="D117" s="389">
        <v>3.25</v>
      </c>
      <c r="E117" s="384"/>
      <c r="F117" s="389"/>
      <c r="G117" s="389"/>
      <c r="R117" s="384" t="s">
        <v>267</v>
      </c>
      <c r="T117" s="384" t="str">
        <f>IFERROR(__xludf.DUMMYFUNCTION("""COMPUTED_VALUE"""),"Morti")</f>
        <v>Morti</v>
      </c>
      <c r="U117" s="385"/>
      <c r="W117" s="384" t="str">
        <f>IFERROR(__xludf.DUMMYFUNCTION("""COMPUTED_VALUE"""),"Stacy")</f>
        <v>Stacy</v>
      </c>
      <c r="X117" s="385">
        <f>IFERROR(__xludf.DUMMYFUNCTION("""COMPUTED_VALUE"""),23.0)</f>
        <v>23</v>
      </c>
    </row>
    <row r="118">
      <c r="A118" s="384" t="s">
        <v>137</v>
      </c>
      <c r="B118" s="384" t="s">
        <v>269</v>
      </c>
      <c r="C118" s="389">
        <v>2.5</v>
      </c>
      <c r="D118" s="389">
        <v>3.0</v>
      </c>
      <c r="E118" s="384"/>
      <c r="F118" s="389"/>
      <c r="G118" s="389"/>
      <c r="R118" s="384" t="s">
        <v>268</v>
      </c>
      <c r="T118" s="384" t="str">
        <f>IFERROR(__xludf.DUMMYFUNCTION("""COMPUTED_VALUE"""),"Rocket woman ")</f>
        <v>Rocket woman </v>
      </c>
      <c r="U118" s="385"/>
      <c r="W118" s="384" t="str">
        <f>IFERROR(__xludf.DUMMYFUNCTION("""COMPUTED_VALUE"""),"Cristo")</f>
        <v>Cristo</v>
      </c>
      <c r="X118" s="385">
        <f>IFERROR(__xludf.DUMMYFUNCTION("""COMPUTED_VALUE"""),22.75)</f>
        <v>22.75</v>
      </c>
    </row>
    <row r="119">
      <c r="A119" s="384" t="s">
        <v>95</v>
      </c>
      <c r="B119" s="384" t="s">
        <v>271</v>
      </c>
      <c r="C119" s="389"/>
      <c r="D119" s="389">
        <v>2.75</v>
      </c>
      <c r="E119" s="384"/>
      <c r="F119" s="389"/>
      <c r="G119" s="389"/>
      <c r="R119" s="384" t="s">
        <v>259</v>
      </c>
      <c r="T119" s="384" t="str">
        <f>IFERROR(__xludf.DUMMYFUNCTION("""COMPUTED_VALUE"""),"SCHOKK ")</f>
        <v>SCHOKK </v>
      </c>
      <c r="U119" s="385"/>
      <c r="W119" s="384" t="str">
        <f>IFERROR(__xludf.DUMMYFUNCTION("""COMPUTED_VALUE"""),"Авраам")</f>
        <v>Авраам</v>
      </c>
      <c r="X119" s="385">
        <f>IFERROR(__xludf.DUMMYFUNCTION("""COMPUTED_VALUE"""),22.75)</f>
        <v>22.75</v>
      </c>
    </row>
    <row r="120">
      <c r="A120" s="384" t="s">
        <v>131</v>
      </c>
      <c r="B120" s="384" t="s">
        <v>261</v>
      </c>
      <c r="C120" s="389"/>
      <c r="D120" s="389">
        <v>2.5</v>
      </c>
      <c r="E120" s="384"/>
      <c r="F120" s="389"/>
      <c r="G120" s="389"/>
      <c r="R120" s="384" t="s">
        <v>262</v>
      </c>
      <c r="T120" s="384" t="str">
        <f>IFERROR(__xludf.DUMMYFUNCTION("""COMPUTED_VALUE"""),"SOVEST")</f>
        <v>SOVEST</v>
      </c>
      <c r="U120" s="385"/>
      <c r="W120" s="384" t="str">
        <f>IFERROR(__xludf.DUMMYFUNCTION("""COMPUTED_VALUE"""),"Фокс")</f>
        <v>Фокс</v>
      </c>
      <c r="X120" s="385">
        <f>IFERROR(__xludf.DUMMYFUNCTION("""COMPUTED_VALUE"""),22.75)</f>
        <v>22.75</v>
      </c>
    </row>
    <row r="121">
      <c r="A121" s="384" t="s">
        <v>117</v>
      </c>
      <c r="B121" s="384" t="s">
        <v>261</v>
      </c>
      <c r="C121" s="389"/>
      <c r="D121" s="389">
        <v>2.25</v>
      </c>
      <c r="E121" s="384"/>
      <c r="F121" s="389"/>
      <c r="G121" s="389"/>
      <c r="R121" s="384" t="s">
        <v>259</v>
      </c>
      <c r="T121" s="384" t="str">
        <f>IFERROR(__xludf.DUMMYFUNCTION("""COMPUTED_VALUE"""),"Young")</f>
        <v>Young</v>
      </c>
      <c r="U121" s="385"/>
      <c r="W121" s="384" t="str">
        <f>IFERROR(__xludf.DUMMYFUNCTION("""COMPUTED_VALUE"""),"Наполеон")</f>
        <v>Наполеон</v>
      </c>
      <c r="X121" s="385">
        <f>IFERROR(__xludf.DUMMYFUNCTION("""COMPUTED_VALUE"""),22.75)</f>
        <v>22.75</v>
      </c>
    </row>
    <row r="122">
      <c r="A122" s="384" t="s">
        <v>136</v>
      </c>
      <c r="B122" s="384" t="s">
        <v>261</v>
      </c>
      <c r="C122" s="389"/>
      <c r="D122" s="389">
        <v>2.5</v>
      </c>
      <c r="E122" s="384"/>
      <c r="F122" s="389"/>
      <c r="G122" s="389"/>
      <c r="R122" s="384" t="s">
        <v>258</v>
      </c>
      <c r="T122" s="384" t="str">
        <f>IFERROR(__xludf.DUMMYFUNCTION("QUERY('Турнирная таблица по Алфавиту'!C7:BG66,""select C,W order by W desc"")"),"Cristo")</f>
        <v>Cristo</v>
      </c>
      <c r="U122" s="385">
        <f>IFERROR(__xludf.DUMMYFUNCTION("""COMPUTED_VALUE"""),26.5)</f>
        <v>26.5</v>
      </c>
      <c r="W122" s="384" t="str">
        <f>IFERROR(__xludf.DUMMYFUNCTION("""COMPUTED_VALUE"""),"Инсомнич")</f>
        <v>Инсомнич</v>
      </c>
      <c r="X122" s="385">
        <f>IFERROR(__xludf.DUMMYFUNCTION("""COMPUTED_VALUE"""),22.75)</f>
        <v>22.75</v>
      </c>
    </row>
    <row r="123">
      <c r="A123" s="384" t="s">
        <v>91</v>
      </c>
      <c r="B123" s="384" t="s">
        <v>261</v>
      </c>
      <c r="C123" s="389">
        <v>2.5</v>
      </c>
      <c r="D123" s="389">
        <v>3.75</v>
      </c>
      <c r="E123" s="384" t="s">
        <v>260</v>
      </c>
      <c r="F123" s="389"/>
      <c r="G123" s="389"/>
      <c r="R123" s="384" t="s">
        <v>268</v>
      </c>
      <c r="T123" s="384" t="str">
        <f>IFERROR(__xludf.DUMMYFUNCTION("""COMPUTED_VALUE"""),"MSR")</f>
        <v>MSR</v>
      </c>
      <c r="U123" s="385">
        <f>IFERROR(__xludf.DUMMYFUNCTION("""COMPUTED_VALUE"""),23.25)</f>
        <v>23.25</v>
      </c>
      <c r="W123" s="384" t="str">
        <f>IFERROR(__xludf.DUMMYFUNCTION("""COMPUTED_VALUE"""),"NLIP")</f>
        <v>NLIP</v>
      </c>
      <c r="X123" s="385">
        <f>IFERROR(__xludf.DUMMYFUNCTION("""COMPUTED_VALUE"""),22.75)</f>
        <v>22.75</v>
      </c>
    </row>
    <row r="124">
      <c r="A124" s="384" t="s">
        <v>123</v>
      </c>
      <c r="B124" s="384" t="s">
        <v>261</v>
      </c>
      <c r="C124" s="389">
        <v>2.5</v>
      </c>
      <c r="D124" s="389">
        <v>2.75</v>
      </c>
      <c r="E124" s="384"/>
      <c r="F124" s="389"/>
      <c r="G124" s="389">
        <v>0.5</v>
      </c>
      <c r="R124" s="384" t="s">
        <v>268</v>
      </c>
      <c r="T124" s="384" t="str">
        <f>IFERROR(__xludf.DUMMYFUNCTION("""COMPUTED_VALUE"""),"Авраам")</f>
        <v>Авраам</v>
      </c>
      <c r="U124" s="385">
        <f>IFERROR(__xludf.DUMMYFUNCTION("""COMPUTED_VALUE"""),22.75)</f>
        <v>22.75</v>
      </c>
      <c r="W124" s="384" t="str">
        <f>IFERROR(__xludf.DUMMYFUNCTION("""COMPUTED_VALUE"""),"Физик")</f>
        <v>Физик</v>
      </c>
      <c r="X124" s="385">
        <f>IFERROR(__xludf.DUMMYFUNCTION("""COMPUTED_VALUE"""),22.75)</f>
        <v>22.75</v>
      </c>
    </row>
    <row r="125">
      <c r="A125" s="384" t="s">
        <v>132</v>
      </c>
      <c r="B125" s="384" t="s">
        <v>261</v>
      </c>
      <c r="C125" s="389">
        <v>2.5</v>
      </c>
      <c r="D125" s="389">
        <v>3.5</v>
      </c>
      <c r="E125" s="384" t="s">
        <v>260</v>
      </c>
      <c r="F125" s="389"/>
      <c r="G125" s="389"/>
      <c r="R125" s="384" t="s">
        <v>259</v>
      </c>
      <c r="T125" s="384" t="str">
        <f>IFERROR(__xludf.DUMMYFUNCTION("""COMPUTED_VALUE"""),"Лисичка")</f>
        <v>Лисичка</v>
      </c>
      <c r="U125" s="385">
        <f>IFERROR(__xludf.DUMMYFUNCTION("""COMPUTED_VALUE"""),22.5)</f>
        <v>22.5</v>
      </c>
      <c r="W125" s="384" t="str">
        <f>IFERROR(__xludf.DUMMYFUNCTION("""COMPUTED_VALUE"""),"Лисичка")</f>
        <v>Лисичка</v>
      </c>
      <c r="X125" s="385">
        <f>IFERROR(__xludf.DUMMYFUNCTION("""COMPUTED_VALUE"""),22.5)</f>
        <v>22.5</v>
      </c>
    </row>
    <row r="126">
      <c r="A126" s="384" t="s">
        <v>126</v>
      </c>
      <c r="B126" s="384" t="s">
        <v>265</v>
      </c>
      <c r="C126" s="389"/>
      <c r="D126" s="389">
        <v>3.0</v>
      </c>
      <c r="E126" s="384"/>
      <c r="F126" s="389"/>
      <c r="G126" s="389"/>
      <c r="R126" s="384" t="s">
        <v>272</v>
      </c>
      <c r="T126" s="384" t="str">
        <f>IFERROR(__xludf.DUMMYFUNCTION("""COMPUTED_VALUE"""),"Наполеон")</f>
        <v>Наполеон</v>
      </c>
      <c r="U126" s="385">
        <f>IFERROR(__xludf.DUMMYFUNCTION("""COMPUTED_VALUE"""),22.5)</f>
        <v>22.5</v>
      </c>
      <c r="W126" s="384" t="str">
        <f>IFERROR(__xludf.DUMMYFUNCTION("""COMPUTED_VALUE"""),"Наполеон")</f>
        <v>Наполеон</v>
      </c>
      <c r="X126" s="385">
        <f>IFERROR(__xludf.DUMMYFUNCTION("""COMPUTED_VALUE"""),22.5)</f>
        <v>22.5</v>
      </c>
    </row>
    <row r="127">
      <c r="A127" s="384" t="s">
        <v>118</v>
      </c>
      <c r="B127" s="384" t="s">
        <v>261</v>
      </c>
      <c r="C127" s="389">
        <v>2.5</v>
      </c>
      <c r="D127" s="389">
        <v>2.0</v>
      </c>
      <c r="E127" s="384"/>
      <c r="F127" s="389"/>
      <c r="G127" s="389"/>
      <c r="R127" s="384" t="s">
        <v>257</v>
      </c>
      <c r="T127" s="384" t="str">
        <f>IFERROR(__xludf.DUMMYFUNCTION("""COMPUTED_VALUE"""),"Castor Troy ")</f>
        <v>Castor Troy </v>
      </c>
      <c r="U127" s="385">
        <f>IFERROR(__xludf.DUMMYFUNCTION("""COMPUTED_VALUE"""),20.75)</f>
        <v>20.75</v>
      </c>
      <c r="W127" s="384" t="str">
        <f>IFERROR(__xludf.DUMMYFUNCTION("""COMPUTED_VALUE"""),"Правда ")</f>
        <v>Правда </v>
      </c>
      <c r="X127" s="385">
        <f>IFERROR(__xludf.DUMMYFUNCTION("""COMPUTED_VALUE"""),22.5)</f>
        <v>22.5</v>
      </c>
    </row>
    <row r="128">
      <c r="A128" s="384" t="s">
        <v>137</v>
      </c>
      <c r="B128" s="384" t="s">
        <v>261</v>
      </c>
      <c r="C128" s="389">
        <v>2.5</v>
      </c>
      <c r="D128" s="389">
        <v>2.5</v>
      </c>
      <c r="E128" s="384" t="s">
        <v>260</v>
      </c>
      <c r="F128" s="389"/>
      <c r="G128" s="389"/>
      <c r="R128" s="384" t="s">
        <v>259</v>
      </c>
      <c r="T128" s="384" t="str">
        <f>IFERROR(__xludf.DUMMYFUNCTION("""COMPUTED_VALUE"""),"SOVEST")</f>
        <v>SOVEST</v>
      </c>
      <c r="U128" s="385">
        <f>IFERROR(__xludf.DUMMYFUNCTION("""COMPUTED_VALUE"""),19.0)</f>
        <v>19</v>
      </c>
      <c r="W128" s="384" t="str">
        <f>IFERROR(__xludf.DUMMYFUNCTION("""COMPUTED_VALUE"""),"Панда из Руанды")</f>
        <v>Панда из Руанды</v>
      </c>
      <c r="X128" s="385">
        <f>IFERROR(__xludf.DUMMYFUNCTION("""COMPUTED_VALUE"""),22.5)</f>
        <v>22.5</v>
      </c>
    </row>
    <row r="129">
      <c r="A129" s="384" t="s">
        <v>95</v>
      </c>
      <c r="B129" s="384" t="s">
        <v>269</v>
      </c>
      <c r="C129" s="389"/>
      <c r="D129" s="389">
        <v>1.75</v>
      </c>
      <c r="E129" s="384" t="s">
        <v>263</v>
      </c>
      <c r="F129" s="389"/>
      <c r="G129" s="389"/>
      <c r="R129" s="384" t="s">
        <v>267</v>
      </c>
      <c r="T129" s="384" t="str">
        <f>IFERROR(__xludf.DUMMYFUNCTION("""COMPUTED_VALUE"""),"Крот")</f>
        <v>Крот</v>
      </c>
      <c r="U129" s="385">
        <f>IFERROR(__xludf.DUMMYFUNCTION("""COMPUTED_VALUE"""),18.25)</f>
        <v>18.25</v>
      </c>
      <c r="W129" s="384" t="str">
        <f>IFERROR(__xludf.DUMMYFUNCTION("""COMPUTED_VALUE"""),"Лисичка")</f>
        <v>Лисичка</v>
      </c>
      <c r="X129" s="385">
        <f>IFERROR(__xludf.DUMMYFUNCTION("""COMPUTED_VALUE"""),22.5)</f>
        <v>22.5</v>
      </c>
    </row>
    <row r="130">
      <c r="A130" s="384" t="s">
        <v>131</v>
      </c>
      <c r="B130" s="384" t="s">
        <v>269</v>
      </c>
      <c r="C130" s="389"/>
      <c r="D130" s="389">
        <v>2.5</v>
      </c>
      <c r="E130" s="384"/>
      <c r="F130" s="389"/>
      <c r="G130" s="389"/>
      <c r="R130" s="384" t="s">
        <v>259</v>
      </c>
      <c r="T130" s="384" t="str">
        <f>IFERROR(__xludf.DUMMYFUNCTION("""COMPUTED_VALUE"""),"Бамблби")</f>
        <v>Бамблби</v>
      </c>
      <c r="U130" s="385">
        <f>IFERROR(__xludf.DUMMYFUNCTION("""COMPUTED_VALUE"""),16.5)</f>
        <v>16.5</v>
      </c>
      <c r="W130" s="384" t="str">
        <f>IFERROR(__xludf.DUMMYFUNCTION("""COMPUTED_VALUE"""),"Ментик")</f>
        <v>Ментик</v>
      </c>
      <c r="X130" s="385">
        <f>IFERROR(__xludf.DUMMYFUNCTION("""COMPUTED_VALUE"""),22.5)</f>
        <v>22.5</v>
      </c>
    </row>
    <row r="131">
      <c r="A131" s="384" t="s">
        <v>117</v>
      </c>
      <c r="B131" s="384" t="s">
        <v>261</v>
      </c>
      <c r="C131" s="389">
        <v>2.5</v>
      </c>
      <c r="D131" s="389">
        <v>2.25</v>
      </c>
      <c r="E131" s="384"/>
      <c r="F131" s="389"/>
      <c r="G131" s="389"/>
      <c r="R131" s="384" t="s">
        <v>262</v>
      </c>
      <c r="T131" s="384" t="str">
        <f>IFERROR(__xludf.DUMMYFUNCTION("""COMPUTED_VALUE"""),"Rocket woman ")</f>
        <v>Rocket woman </v>
      </c>
      <c r="U131" s="385">
        <f>IFERROR(__xludf.DUMMYFUNCTION("""COMPUTED_VALUE"""),16.5)</f>
        <v>16.5</v>
      </c>
      <c r="W131" s="384" t="str">
        <f>IFERROR(__xludf.DUMMYFUNCTION("""COMPUTED_VALUE"""),"Infinity ")</f>
        <v>Infinity </v>
      </c>
      <c r="X131" s="385">
        <f>IFERROR(__xludf.DUMMYFUNCTION("""COMPUTED_VALUE"""),22.5)</f>
        <v>22.5</v>
      </c>
    </row>
    <row r="132">
      <c r="A132" s="384" t="s">
        <v>136</v>
      </c>
      <c r="B132" s="384" t="s">
        <v>271</v>
      </c>
      <c r="C132" s="389">
        <v>2.5</v>
      </c>
      <c r="D132" s="389">
        <v>2.5</v>
      </c>
      <c r="E132" s="384"/>
      <c r="F132" s="389"/>
      <c r="G132" s="389"/>
      <c r="R132" s="384" t="s">
        <v>258</v>
      </c>
      <c r="T132" s="384" t="str">
        <f>IFERROR(__xludf.DUMMYFUNCTION("""COMPUTED_VALUE"""),"Админ")</f>
        <v>Админ</v>
      </c>
      <c r="U132" s="385"/>
      <c r="W132" s="384" t="str">
        <f>IFERROR(__xludf.DUMMYFUNCTION("""COMPUTED_VALUE"""),"Админ")</f>
        <v>Админ</v>
      </c>
      <c r="X132" s="385">
        <f>IFERROR(__xludf.DUMMYFUNCTION("""COMPUTED_VALUE"""),22.5)</f>
        <v>22.5</v>
      </c>
    </row>
    <row r="133">
      <c r="A133" s="384" t="s">
        <v>91</v>
      </c>
      <c r="B133" s="384" t="s">
        <v>261</v>
      </c>
      <c r="C133" s="389"/>
      <c r="D133" s="389">
        <v>2.0</v>
      </c>
      <c r="E133" s="384"/>
      <c r="F133" s="389"/>
      <c r="G133" s="389"/>
      <c r="R133" s="384" t="s">
        <v>268</v>
      </c>
      <c r="T133" s="384" t="str">
        <f>IFERROR(__xludf.DUMMYFUNCTION("""COMPUTED_VALUE"""),"Андерсен")</f>
        <v>Андерсен</v>
      </c>
      <c r="U133" s="385"/>
      <c r="W133" s="384" t="str">
        <f>IFERROR(__xludf.DUMMYFUNCTION("""COMPUTED_VALUE"""),"Правда ")</f>
        <v>Правда </v>
      </c>
      <c r="X133" s="385">
        <f>IFERROR(__xludf.DUMMYFUNCTION("""COMPUTED_VALUE"""),22.5)</f>
        <v>22.5</v>
      </c>
    </row>
    <row r="134">
      <c r="A134" s="384" t="s">
        <v>123</v>
      </c>
      <c r="B134" s="384" t="s">
        <v>269</v>
      </c>
      <c r="C134" s="389">
        <v>2.5</v>
      </c>
      <c r="D134" s="389">
        <v>3.5</v>
      </c>
      <c r="E134" s="384"/>
      <c r="F134" s="389"/>
      <c r="G134" s="389"/>
      <c r="R134" s="384" t="s">
        <v>259</v>
      </c>
      <c r="T134" s="384" t="str">
        <f>IFERROR(__xludf.DUMMYFUNCTION("""COMPUTED_VALUE"""),"Артик")</f>
        <v>Артик</v>
      </c>
      <c r="U134" s="385"/>
      <c r="W134" s="384" t="str">
        <f>IFERROR(__xludf.DUMMYFUNCTION("""COMPUTED_VALUE"""),"Cristo")</f>
        <v>Cristo</v>
      </c>
      <c r="X134" s="385">
        <f>IFERROR(__xludf.DUMMYFUNCTION("""COMPUTED_VALUE"""),22.5)</f>
        <v>22.5</v>
      </c>
    </row>
    <row r="135">
      <c r="A135" s="384" t="s">
        <v>132</v>
      </c>
      <c r="B135" s="384" t="s">
        <v>265</v>
      </c>
      <c r="C135" s="389">
        <v>2.5</v>
      </c>
      <c r="D135" s="389">
        <v>3.5</v>
      </c>
      <c r="E135" s="384"/>
      <c r="F135" s="389"/>
      <c r="G135" s="389"/>
      <c r="R135" s="384" t="s">
        <v>267</v>
      </c>
      <c r="T135" s="384" t="str">
        <f>IFERROR(__xludf.DUMMYFUNCTION("""COMPUTED_VALUE"""),"Астория")</f>
        <v>Астория</v>
      </c>
      <c r="U135" s="385"/>
      <c r="W135" s="384" t="str">
        <f>IFERROR(__xludf.DUMMYFUNCTION("""COMPUTED_VALUE"""),"РФ")</f>
        <v>РФ</v>
      </c>
      <c r="X135" s="385">
        <f>IFERROR(__xludf.DUMMYFUNCTION("""COMPUTED_VALUE"""),22.5)</f>
        <v>22.5</v>
      </c>
    </row>
    <row r="136">
      <c r="A136" s="384" t="s">
        <v>126</v>
      </c>
      <c r="B136" s="384" t="s">
        <v>269</v>
      </c>
      <c r="C136" s="389">
        <v>2.5</v>
      </c>
      <c r="D136" s="389">
        <v>3.0</v>
      </c>
      <c r="E136" s="384"/>
      <c r="F136" s="389"/>
      <c r="G136" s="389"/>
      <c r="R136" s="384" t="s">
        <v>268</v>
      </c>
      <c r="T136" s="384" t="str">
        <f>IFERROR(__xludf.DUMMYFUNCTION("""COMPUTED_VALUE"""),"Аш")</f>
        <v>Аш</v>
      </c>
      <c r="U136" s="385"/>
      <c r="W136" s="384" t="str">
        <f>IFERROR(__xludf.DUMMYFUNCTION("""COMPUTED_VALUE"""),"NLIP")</f>
        <v>NLIP</v>
      </c>
      <c r="X136" s="385">
        <f>IFERROR(__xludf.DUMMYFUNCTION("""COMPUTED_VALUE"""),22.25)</f>
        <v>22.25</v>
      </c>
    </row>
    <row r="137">
      <c r="A137" s="384" t="s">
        <v>118</v>
      </c>
      <c r="B137" s="384" t="s">
        <v>261</v>
      </c>
      <c r="C137" s="389"/>
      <c r="D137" s="389">
        <v>2.0</v>
      </c>
      <c r="E137" s="384"/>
      <c r="F137" s="389"/>
      <c r="G137" s="389"/>
      <c r="R137" s="384" t="s">
        <v>262</v>
      </c>
      <c r="T137" s="384" t="str">
        <f>IFERROR(__xludf.DUMMYFUNCTION("""COMPUTED_VALUE"""),"Волга")</f>
        <v>Волга</v>
      </c>
      <c r="U137" s="385"/>
      <c r="W137" s="384" t="str">
        <f>IFERROR(__xludf.DUMMYFUNCTION("""COMPUTED_VALUE"""),"Зверюга")</f>
        <v>Зверюга</v>
      </c>
      <c r="X137" s="385">
        <f>IFERROR(__xludf.DUMMYFUNCTION("""COMPUTED_VALUE"""),22.25)</f>
        <v>22.25</v>
      </c>
    </row>
    <row r="138">
      <c r="A138" s="384" t="s">
        <v>137</v>
      </c>
      <c r="B138" s="384" t="s">
        <v>271</v>
      </c>
      <c r="C138" s="389"/>
      <c r="D138" s="389">
        <v>2.25</v>
      </c>
      <c r="E138" s="384"/>
      <c r="F138" s="389"/>
      <c r="G138" s="389"/>
      <c r="R138" s="384" t="s">
        <v>259</v>
      </c>
      <c r="T138" s="384" t="str">
        <f>IFERROR(__xludf.DUMMYFUNCTION("""COMPUTED_VALUE"""),"Градиент")</f>
        <v>Градиент</v>
      </c>
      <c r="U138" s="385"/>
      <c r="W138" s="384" t="str">
        <f>IFERROR(__xludf.DUMMYFUNCTION("""COMPUTED_VALUE"""),"Манекен")</f>
        <v>Манекен</v>
      </c>
      <c r="X138" s="385">
        <f>IFERROR(__xludf.DUMMYFUNCTION("""COMPUTED_VALUE"""),22.25)</f>
        <v>22.25</v>
      </c>
    </row>
    <row r="139">
      <c r="A139" s="384" t="s">
        <v>95</v>
      </c>
      <c r="B139" s="384" t="s">
        <v>261</v>
      </c>
      <c r="C139" s="389"/>
      <c r="D139" s="389">
        <v>2.25</v>
      </c>
      <c r="E139" s="384"/>
      <c r="F139" s="389"/>
      <c r="G139" s="389"/>
      <c r="R139" s="384" t="s">
        <v>259</v>
      </c>
      <c r="T139" s="384" t="str">
        <f>IFERROR(__xludf.DUMMYFUNCTION("""COMPUTED_VALUE"""),"Дровосек")</f>
        <v>Дровосек</v>
      </c>
      <c r="U139" s="385"/>
      <c r="W139" s="384" t="str">
        <f>IFERROR(__xludf.DUMMYFUNCTION("""COMPUTED_VALUE"""),"SOVEST")</f>
        <v>SOVEST</v>
      </c>
      <c r="X139" s="385">
        <f>IFERROR(__xludf.DUMMYFUNCTION("""COMPUTED_VALUE"""),22.25)</f>
        <v>22.25</v>
      </c>
    </row>
    <row r="140">
      <c r="A140" s="384" t="s">
        <v>131</v>
      </c>
      <c r="B140" s="384" t="s">
        <v>261</v>
      </c>
      <c r="C140" s="389"/>
      <c r="D140" s="389">
        <v>2.25</v>
      </c>
      <c r="E140" s="384"/>
      <c r="F140" s="389"/>
      <c r="G140" s="389"/>
      <c r="R140" s="384" t="s">
        <v>268</v>
      </c>
      <c r="T140" s="384" t="str">
        <f>IFERROR(__xludf.DUMMYFUNCTION("""COMPUTED_VALUE"""),"Зверюга")</f>
        <v>Зверюга</v>
      </c>
      <c r="U140" s="385"/>
      <c r="W140" s="384" t="str">
        <f>IFERROR(__xludf.DUMMYFUNCTION("""COMPUTED_VALUE"""),"Cristo")</f>
        <v>Cristo</v>
      </c>
      <c r="X140" s="385">
        <f>IFERROR(__xludf.DUMMYFUNCTION("""COMPUTED_VALUE"""),22.25)</f>
        <v>22.25</v>
      </c>
    </row>
    <row r="141">
      <c r="A141" s="384" t="s">
        <v>117</v>
      </c>
      <c r="B141" s="384" t="s">
        <v>261</v>
      </c>
      <c r="C141" s="389"/>
      <c r="D141" s="389">
        <v>2.75</v>
      </c>
      <c r="E141" s="384" t="s">
        <v>11</v>
      </c>
      <c r="F141" s="389">
        <v>0.5</v>
      </c>
      <c r="G141" s="389">
        <v>0.5</v>
      </c>
      <c r="R141" s="384" t="s">
        <v>258</v>
      </c>
      <c r="T141" s="384" t="str">
        <f>IFERROR(__xludf.DUMMYFUNCTION("""COMPUTED_VALUE"""),"Инсомнич")</f>
        <v>Инсомнич</v>
      </c>
      <c r="U141" s="385"/>
      <c r="W141" s="384" t="str">
        <f>IFERROR(__xludf.DUMMYFUNCTION("""COMPUTED_VALUE"""),"Крестный отец (BLR)")</f>
        <v>Крестный отец (BLR)</v>
      </c>
      <c r="X141" s="385">
        <f>IFERROR(__xludf.DUMMYFUNCTION("""COMPUTED_VALUE"""),22.25)</f>
        <v>22.25</v>
      </c>
    </row>
    <row r="142">
      <c r="A142" s="384" t="s">
        <v>136</v>
      </c>
      <c r="B142" s="384" t="s">
        <v>261</v>
      </c>
      <c r="C142" s="389"/>
      <c r="D142" s="389">
        <v>2.75</v>
      </c>
      <c r="E142" s="384"/>
      <c r="F142" s="389"/>
      <c r="G142" s="389"/>
      <c r="R142" s="384" t="s">
        <v>272</v>
      </c>
      <c r="T142" s="384" t="str">
        <f>IFERROR(__xludf.DUMMYFUNCTION("""COMPUTED_VALUE"""),"Красавчик")</f>
        <v>Красавчик</v>
      </c>
      <c r="U142" s="385"/>
      <c r="W142" s="384" t="str">
        <f>IFERROR(__xludf.DUMMYFUNCTION("""COMPUTED_VALUE"""),"Артик")</f>
        <v>Артик</v>
      </c>
      <c r="X142" s="385">
        <f>IFERROR(__xludf.DUMMYFUNCTION("""COMPUTED_VALUE"""),22.25)</f>
        <v>22.25</v>
      </c>
    </row>
    <row r="143">
      <c r="A143" s="384" t="s">
        <v>91</v>
      </c>
      <c r="B143" s="384" t="s">
        <v>269</v>
      </c>
      <c r="C143" s="389">
        <v>2.5</v>
      </c>
      <c r="D143" s="389">
        <v>3.25</v>
      </c>
      <c r="E143" s="384"/>
      <c r="F143" s="389"/>
      <c r="G143" s="389"/>
      <c r="R143" s="384" t="s">
        <v>259</v>
      </c>
      <c r="T143" s="384" t="str">
        <f>IFERROR(__xludf.DUMMYFUNCTION("""COMPUTED_VALUE"""),"Крестный отец (BLR)")</f>
        <v>Крестный отец (BLR)</v>
      </c>
      <c r="U143" s="385"/>
      <c r="W143" s="384" t="str">
        <f>IFERROR(__xludf.DUMMYFUNCTION("""COMPUTED_VALUE"""),"Манекен")</f>
        <v>Манекен</v>
      </c>
      <c r="X143" s="385">
        <f>IFERROR(__xludf.DUMMYFUNCTION("""COMPUTED_VALUE"""),22.25)</f>
        <v>22.25</v>
      </c>
    </row>
    <row r="144">
      <c r="A144" s="384" t="s">
        <v>123</v>
      </c>
      <c r="B144" s="384" t="s">
        <v>261</v>
      </c>
      <c r="C144" s="389"/>
      <c r="D144" s="389">
        <v>1.75</v>
      </c>
      <c r="E144" s="384"/>
      <c r="F144" s="389"/>
      <c r="G144" s="389"/>
      <c r="R144" s="384" t="s">
        <v>272</v>
      </c>
      <c r="T144" s="384" t="str">
        <f>IFERROR(__xludf.DUMMYFUNCTION("""COMPUTED_VALUE"""),"Крёстный Отец (RU)")</f>
        <v>Крёстный Отец (RU)</v>
      </c>
      <c r="U144" s="385"/>
      <c r="W144" s="384" t="str">
        <f>IFERROR(__xludf.DUMMYFUNCTION("""COMPUTED_VALUE"""),"Тихий закат")</f>
        <v>Тихий закат</v>
      </c>
      <c r="X144" s="385">
        <f>IFERROR(__xludf.DUMMYFUNCTION("""COMPUTED_VALUE"""),22.25)</f>
        <v>22.25</v>
      </c>
    </row>
    <row r="145">
      <c r="A145" s="384" t="s">
        <v>132</v>
      </c>
      <c r="B145" s="384" t="s">
        <v>261</v>
      </c>
      <c r="C145" s="389"/>
      <c r="D145" s="389">
        <v>1.5</v>
      </c>
      <c r="E145" s="384"/>
      <c r="F145" s="389"/>
      <c r="G145" s="389"/>
      <c r="R145" s="384" t="s">
        <v>267</v>
      </c>
      <c r="T145" s="384" t="str">
        <f>IFERROR(__xludf.DUMMYFUNCTION("""COMPUTED_VALUE"""),"Левша")</f>
        <v>Левша</v>
      </c>
      <c r="U145" s="385"/>
      <c r="W145" s="384" t="str">
        <f>IFERROR(__xludf.DUMMYFUNCTION("""COMPUTED_VALUE"""),"Красавчик")</f>
        <v>Красавчик</v>
      </c>
      <c r="X145" s="385">
        <f>IFERROR(__xludf.DUMMYFUNCTION("""COMPUTED_VALUE"""),22.25)</f>
        <v>22.25</v>
      </c>
    </row>
    <row r="146">
      <c r="A146" s="384" t="s">
        <v>126</v>
      </c>
      <c r="B146" s="384" t="s">
        <v>261</v>
      </c>
      <c r="C146" s="389"/>
      <c r="D146" s="389">
        <v>1.75</v>
      </c>
      <c r="E146" s="384"/>
      <c r="F146" s="389"/>
      <c r="G146" s="389"/>
      <c r="R146" s="384" t="s">
        <v>272</v>
      </c>
      <c r="T146" s="384" t="str">
        <f>IFERROR(__xludf.DUMMYFUNCTION("""COMPUTED_VALUE"""),"Маваши")</f>
        <v>Маваши</v>
      </c>
      <c r="U146" s="385"/>
      <c r="W146" s="384" t="str">
        <f>IFERROR(__xludf.DUMMYFUNCTION("""COMPUTED_VALUE"""),"Маваши")</f>
        <v>Маваши</v>
      </c>
      <c r="X146" s="385">
        <f>IFERROR(__xludf.DUMMYFUNCTION("""COMPUTED_VALUE"""),22.25)</f>
        <v>22.25</v>
      </c>
    </row>
    <row r="147">
      <c r="A147" s="384" t="s">
        <v>118</v>
      </c>
      <c r="B147" s="384" t="s">
        <v>271</v>
      </c>
      <c r="C147" s="389"/>
      <c r="D147" s="389">
        <v>2.5</v>
      </c>
      <c r="E147" s="384" t="s">
        <v>11</v>
      </c>
      <c r="F147" s="389"/>
      <c r="G147" s="389">
        <v>0.5</v>
      </c>
      <c r="R147" s="384" t="s">
        <v>272</v>
      </c>
      <c r="T147" s="384" t="str">
        <f>IFERROR(__xludf.DUMMYFUNCTION("""COMPUTED_VALUE"""),"Манекен")</f>
        <v>Манекен</v>
      </c>
      <c r="U147" s="385"/>
      <c r="W147" s="384" t="str">
        <f>IFERROR(__xludf.DUMMYFUNCTION("""COMPUTED_VALUE"""),"Красавчик")</f>
        <v>Красавчик</v>
      </c>
      <c r="X147" s="385">
        <f>IFERROR(__xludf.DUMMYFUNCTION("""COMPUTED_VALUE"""),22.0)</f>
        <v>22</v>
      </c>
    </row>
    <row r="148">
      <c r="A148" s="384" t="s">
        <v>137</v>
      </c>
      <c r="B148" s="384" t="s">
        <v>261</v>
      </c>
      <c r="C148" s="389"/>
      <c r="D148" s="389">
        <v>2.0</v>
      </c>
      <c r="E148" s="384"/>
      <c r="F148" s="389"/>
      <c r="G148" s="389"/>
      <c r="R148" s="384" t="s">
        <v>268</v>
      </c>
      <c r="T148" s="384" t="str">
        <f>IFERROR(__xludf.DUMMYFUNCTION("""COMPUTED_VALUE"""),"Марго")</f>
        <v>Марго</v>
      </c>
      <c r="U148" s="385"/>
      <c r="W148" s="384" t="str">
        <f>IFERROR(__xludf.DUMMYFUNCTION("""COMPUTED_VALUE"""),"Андерсен")</f>
        <v>Андерсен</v>
      </c>
      <c r="X148" s="385">
        <f>IFERROR(__xludf.DUMMYFUNCTION("""COMPUTED_VALUE"""),22.0)</f>
        <v>22</v>
      </c>
    </row>
    <row r="149">
      <c r="A149" s="384" t="s">
        <v>95</v>
      </c>
      <c r="B149" s="384" t="s">
        <v>265</v>
      </c>
      <c r="C149" s="389">
        <v>2.5</v>
      </c>
      <c r="D149" s="389">
        <v>3.75</v>
      </c>
      <c r="E149" s="384"/>
      <c r="F149" s="389"/>
      <c r="G149" s="389"/>
      <c r="R149" s="384" t="s">
        <v>257</v>
      </c>
      <c r="T149" s="384" t="str">
        <f>IFERROR(__xludf.DUMMYFUNCTION("""COMPUTED_VALUE"""),"Ментик")</f>
        <v>Ментик</v>
      </c>
      <c r="U149" s="385"/>
      <c r="W149" s="384" t="str">
        <f>IFERROR(__xludf.DUMMYFUNCTION("""COMPUTED_VALUE"""),"Morti")</f>
        <v>Morti</v>
      </c>
      <c r="X149" s="385">
        <f>IFERROR(__xludf.DUMMYFUNCTION("""COMPUTED_VALUE"""),22.0)</f>
        <v>22</v>
      </c>
    </row>
    <row r="150">
      <c r="A150" s="384" t="s">
        <v>131</v>
      </c>
      <c r="B150" s="384" t="s">
        <v>269</v>
      </c>
      <c r="C150" s="389">
        <v>2.5</v>
      </c>
      <c r="D150" s="389">
        <v>3.5</v>
      </c>
      <c r="E150" s="384"/>
      <c r="F150" s="389"/>
      <c r="G150" s="389"/>
      <c r="R150" s="384" t="s">
        <v>259</v>
      </c>
      <c r="T150" s="384" t="str">
        <f>IFERROR(__xludf.DUMMYFUNCTION("""COMPUTED_VALUE"""),"Мишель ")</f>
        <v>Мишель </v>
      </c>
      <c r="U150" s="385"/>
      <c r="W150" s="384" t="str">
        <f>IFERROR(__xludf.DUMMYFUNCTION("""COMPUTED_VALUE"""),"Флэш")</f>
        <v>Флэш</v>
      </c>
      <c r="X150" s="385">
        <f>IFERROR(__xludf.DUMMYFUNCTION("""COMPUTED_VALUE"""),22.0)</f>
        <v>22</v>
      </c>
    </row>
    <row r="151">
      <c r="A151" s="384" t="s">
        <v>117</v>
      </c>
      <c r="B151" s="384" t="s">
        <v>261</v>
      </c>
      <c r="C151" s="389"/>
      <c r="D151" s="389">
        <v>2.0</v>
      </c>
      <c r="E151" s="384"/>
      <c r="F151" s="389"/>
      <c r="G151" s="389"/>
      <c r="R151" s="384" t="s">
        <v>272</v>
      </c>
      <c r="T151" s="384" t="str">
        <f>IFERROR(__xludf.DUMMYFUNCTION("""COMPUTED_VALUE"""),"Панда из Руанды")</f>
        <v>Панда из Руанды</v>
      </c>
      <c r="U151" s="385"/>
      <c r="W151" s="384" t="str">
        <f>IFERROR(__xludf.DUMMYFUNCTION("""COMPUTED_VALUE"""),"Инсомнич")</f>
        <v>Инсомнич</v>
      </c>
      <c r="X151" s="385">
        <f>IFERROR(__xludf.DUMMYFUNCTION("""COMPUTED_VALUE"""),22.0)</f>
        <v>22</v>
      </c>
    </row>
    <row r="152">
      <c r="A152" s="384" t="s">
        <v>136</v>
      </c>
      <c r="B152" s="384" t="s">
        <v>261</v>
      </c>
      <c r="C152" s="389"/>
      <c r="D152" s="389">
        <v>2.0</v>
      </c>
      <c r="E152" s="384"/>
      <c r="F152" s="389"/>
      <c r="G152" s="389"/>
      <c r="R152" s="384" t="s">
        <v>264</v>
      </c>
      <c r="T152" s="384" t="str">
        <f>IFERROR(__xludf.DUMMYFUNCTION("""COMPUTED_VALUE"""),"Писатель ")</f>
        <v>Писатель </v>
      </c>
      <c r="U152" s="385"/>
      <c r="W152" s="384" t="str">
        <f>IFERROR(__xludf.DUMMYFUNCTION("""COMPUTED_VALUE"""),"Крот")</f>
        <v>Крот</v>
      </c>
      <c r="X152" s="385">
        <f>IFERROR(__xludf.DUMMYFUNCTION("""COMPUTED_VALUE"""),22.0)</f>
        <v>22</v>
      </c>
    </row>
    <row r="153">
      <c r="A153" s="384" t="s">
        <v>79</v>
      </c>
      <c r="B153" s="384" t="s">
        <v>261</v>
      </c>
      <c r="C153" s="389"/>
      <c r="D153" s="389">
        <v>1.75</v>
      </c>
      <c r="E153" s="384"/>
      <c r="F153" s="389"/>
      <c r="G153" s="389"/>
      <c r="R153" s="384" t="s">
        <v>268</v>
      </c>
      <c r="T153" s="384" t="str">
        <f>IFERROR(__xludf.DUMMYFUNCTION("""COMPUTED_VALUE"""),"Правда ")</f>
        <v>Правда </v>
      </c>
      <c r="U153" s="385"/>
      <c r="W153" s="384" t="str">
        <f>IFERROR(__xludf.DUMMYFUNCTION("""COMPUTED_VALUE"""),"Волга")</f>
        <v>Волга</v>
      </c>
      <c r="X153" s="385">
        <f>IFERROR(__xludf.DUMMYFUNCTION("""COMPUTED_VALUE"""),21.75)</f>
        <v>21.75</v>
      </c>
    </row>
    <row r="154">
      <c r="A154" s="384" t="s">
        <v>122</v>
      </c>
      <c r="B154" s="384" t="s">
        <v>261</v>
      </c>
      <c r="C154" s="389"/>
      <c r="D154" s="389">
        <v>2.5</v>
      </c>
      <c r="E154" s="384" t="s">
        <v>11</v>
      </c>
      <c r="F154" s="389"/>
      <c r="G154" s="389">
        <v>0.5</v>
      </c>
      <c r="R154" s="384" t="s">
        <v>257</v>
      </c>
      <c r="T154" s="384" t="str">
        <f>IFERROR(__xludf.DUMMYFUNCTION("""COMPUTED_VALUE"""),"Продюсер")</f>
        <v>Продюсер</v>
      </c>
      <c r="U154" s="385"/>
      <c r="W154" s="384" t="str">
        <f>IFERROR(__xludf.DUMMYFUNCTION("""COMPUTED_VALUE"""),"Волга")</f>
        <v>Волга</v>
      </c>
      <c r="X154" s="385">
        <f>IFERROR(__xludf.DUMMYFUNCTION("""COMPUTED_VALUE"""),21.75)</f>
        <v>21.75</v>
      </c>
    </row>
    <row r="155">
      <c r="A155" s="384" t="s">
        <v>85</v>
      </c>
      <c r="B155" s="384" t="s">
        <v>261</v>
      </c>
      <c r="C155" s="389"/>
      <c r="D155" s="389">
        <v>2.0</v>
      </c>
      <c r="E155" s="384"/>
      <c r="F155" s="389"/>
      <c r="G155" s="389"/>
      <c r="R155" s="384" t="s">
        <v>272</v>
      </c>
      <c r="T155" s="384" t="str">
        <f>IFERROR(__xludf.DUMMYFUNCTION("""COMPUTED_VALUE"""),"РФ")</f>
        <v>РФ</v>
      </c>
      <c r="U155" s="385"/>
      <c r="W155" s="384" t="str">
        <f>IFERROR(__xludf.DUMMYFUNCTION("""COMPUTED_VALUE"""),"Morti")</f>
        <v>Morti</v>
      </c>
      <c r="X155" s="385">
        <f>IFERROR(__xludf.DUMMYFUNCTION("""COMPUTED_VALUE"""),21.75)</f>
        <v>21.75</v>
      </c>
    </row>
    <row r="156">
      <c r="A156" s="384" t="s">
        <v>133</v>
      </c>
      <c r="B156" s="384" t="s">
        <v>261</v>
      </c>
      <c r="C156" s="389"/>
      <c r="D156" s="389">
        <v>2.0</v>
      </c>
      <c r="E156" s="384"/>
      <c r="F156" s="389"/>
      <c r="G156" s="389"/>
      <c r="R156" s="384" t="s">
        <v>268</v>
      </c>
      <c r="T156" s="384" t="str">
        <f>IFERROR(__xludf.DUMMYFUNCTION("""COMPUTED_VALUE"""),"Старый")</f>
        <v>Старый</v>
      </c>
      <c r="U156" s="385"/>
      <c r="W156" s="384" t="str">
        <f>IFERROR(__xludf.DUMMYFUNCTION("""COMPUTED_VALUE"""),"Градиент")</f>
        <v>Градиент</v>
      </c>
      <c r="X156" s="385">
        <f>IFERROR(__xludf.DUMMYFUNCTION("""COMPUTED_VALUE"""),21.75)</f>
        <v>21.75</v>
      </c>
    </row>
    <row r="157">
      <c r="A157" s="384" t="s">
        <v>94</v>
      </c>
      <c r="B157" s="384" t="s">
        <v>269</v>
      </c>
      <c r="C157" s="389">
        <v>2.5</v>
      </c>
      <c r="D157" s="389">
        <v>2.75</v>
      </c>
      <c r="E157" s="384"/>
      <c r="F157" s="389"/>
      <c r="G157" s="389"/>
      <c r="R157" s="384" t="s">
        <v>267</v>
      </c>
      <c r="T157" s="384" t="str">
        <f>IFERROR(__xludf.DUMMYFUNCTION("""COMPUTED_VALUE"""),"СЭНСЭЙ")</f>
        <v>СЭНСЭЙ</v>
      </c>
      <c r="U157" s="385"/>
      <c r="W157" s="384" t="str">
        <f>IFERROR(__xludf.DUMMYFUNCTION("""COMPUTED_VALUE"""),"Флэш")</f>
        <v>Флэш</v>
      </c>
      <c r="X157" s="385">
        <f>IFERROR(__xludf.DUMMYFUNCTION("""COMPUTED_VALUE"""),21.75)</f>
        <v>21.75</v>
      </c>
    </row>
    <row r="158">
      <c r="A158" s="384" t="s">
        <v>123</v>
      </c>
      <c r="B158" s="384" t="s">
        <v>269</v>
      </c>
      <c r="C158" s="389">
        <v>2.5</v>
      </c>
      <c r="D158" s="389">
        <v>3.75</v>
      </c>
      <c r="E158" s="384"/>
      <c r="F158" s="389"/>
      <c r="G158" s="389"/>
      <c r="R158" s="384" t="s">
        <v>259</v>
      </c>
      <c r="T158" s="384" t="str">
        <f>IFERROR(__xludf.DUMMYFUNCTION("""COMPUTED_VALUE"""),"Coach")</f>
        <v>Coach</v>
      </c>
      <c r="U158" s="385"/>
      <c r="W158" s="384" t="str">
        <f>IFERROR(__xludf.DUMMYFUNCTION("""COMPUTED_VALUE"""),"NLIP")</f>
        <v>NLIP</v>
      </c>
      <c r="X158" s="385">
        <f>IFERROR(__xludf.DUMMYFUNCTION("""COMPUTED_VALUE"""),21.75)</f>
        <v>21.75</v>
      </c>
    </row>
    <row r="159">
      <c r="A159" s="384" t="s">
        <v>96</v>
      </c>
      <c r="B159" s="384" t="s">
        <v>261</v>
      </c>
      <c r="C159" s="389"/>
      <c r="D159" s="389">
        <v>2.5</v>
      </c>
      <c r="E159" s="384"/>
      <c r="F159" s="389"/>
      <c r="G159" s="389"/>
      <c r="R159" s="384" t="s">
        <v>262</v>
      </c>
      <c r="T159" s="384" t="str">
        <f>IFERROR(__xludf.DUMMYFUNCTION("""COMPUTED_VALUE"""),"Тихий закат")</f>
        <v>Тихий закат</v>
      </c>
      <c r="U159" s="385"/>
      <c r="W159" s="384" t="str">
        <f>IFERROR(__xludf.DUMMYFUNCTION("""COMPUTED_VALUE"""),"Физик")</f>
        <v>Физик</v>
      </c>
      <c r="X159" s="385">
        <f>IFERROR(__xludf.DUMMYFUNCTION("""COMPUTED_VALUE"""),21.75)</f>
        <v>21.75</v>
      </c>
    </row>
    <row r="160">
      <c r="A160" s="384" t="s">
        <v>135</v>
      </c>
      <c r="B160" s="384" t="s">
        <v>261</v>
      </c>
      <c r="C160" s="389"/>
      <c r="D160" s="389">
        <v>1.75</v>
      </c>
      <c r="E160" s="384"/>
      <c r="F160" s="389"/>
      <c r="G160" s="389"/>
      <c r="R160" s="384" t="s">
        <v>267</v>
      </c>
      <c r="T160" s="384" t="str">
        <f>IFERROR(__xludf.DUMMYFUNCTION("""COMPUTED_VALUE"""),"Физик")</f>
        <v>Физик</v>
      </c>
      <c r="U160" s="385"/>
      <c r="W160" s="384" t="str">
        <f>IFERROR(__xludf.DUMMYFUNCTION("""COMPUTED_VALUE"""),"Аш")</f>
        <v>Аш</v>
      </c>
      <c r="X160" s="385">
        <f>IFERROR(__xludf.DUMMYFUNCTION("""COMPUTED_VALUE"""),21.75)</f>
        <v>21.75</v>
      </c>
    </row>
    <row r="161">
      <c r="A161" s="384" t="s">
        <v>131</v>
      </c>
      <c r="B161" s="384" t="s">
        <v>271</v>
      </c>
      <c r="C161" s="389"/>
      <c r="D161" s="389">
        <v>2.0</v>
      </c>
      <c r="E161" s="384"/>
      <c r="F161" s="389"/>
      <c r="G161" s="389"/>
      <c r="R161" s="384" t="s">
        <v>259</v>
      </c>
      <c r="T161" s="384" t="str">
        <f>IFERROR(__xludf.DUMMYFUNCTION("""COMPUTED_VALUE"""),"Флэш")</f>
        <v>Флэш</v>
      </c>
      <c r="U161" s="385"/>
      <c r="W161" s="384" t="str">
        <f>IFERROR(__xludf.DUMMYFUNCTION("""COMPUTED_VALUE"""),"Манекен")</f>
        <v>Манекен</v>
      </c>
      <c r="X161" s="385">
        <f>IFERROR(__xludf.DUMMYFUNCTION("""COMPUTED_VALUE"""),21.75)</f>
        <v>21.75</v>
      </c>
    </row>
    <row r="162">
      <c r="A162" s="384" t="s">
        <v>102</v>
      </c>
      <c r="B162" s="384" t="s">
        <v>265</v>
      </c>
      <c r="C162" s="389">
        <v>2.5</v>
      </c>
      <c r="D162" s="389">
        <v>4.0</v>
      </c>
      <c r="E162" s="384"/>
      <c r="F162" s="389"/>
      <c r="G162" s="389"/>
      <c r="R162" s="384" t="s">
        <v>257</v>
      </c>
      <c r="T162" s="384" t="str">
        <f>IFERROR(__xludf.DUMMYFUNCTION("""COMPUTED_VALUE"""),"Фокс")</f>
        <v>Фокс</v>
      </c>
      <c r="U162" s="385"/>
      <c r="W162" s="384" t="str">
        <f>IFERROR(__xludf.DUMMYFUNCTION("""COMPUTED_VALUE"""),"Тихий закат")</f>
        <v>Тихий закат</v>
      </c>
      <c r="X162" s="385">
        <f>IFERROR(__xludf.DUMMYFUNCTION("""COMPUTED_VALUE"""),21.75)</f>
        <v>21.75</v>
      </c>
    </row>
    <row r="163">
      <c r="A163" s="384" t="s">
        <v>79</v>
      </c>
      <c r="B163" s="384" t="s">
        <v>261</v>
      </c>
      <c r="C163" s="389">
        <v>2.5</v>
      </c>
      <c r="D163" s="389">
        <v>3.75</v>
      </c>
      <c r="E163" s="384"/>
      <c r="F163" s="389"/>
      <c r="G163" s="389"/>
      <c r="R163" s="384" t="s">
        <v>268</v>
      </c>
      <c r="T163" s="384" t="str">
        <f>IFERROR(__xludf.DUMMYFUNCTION("""COMPUTED_VALUE"""),"Шоу Бой")</f>
        <v>Шоу Бой</v>
      </c>
      <c r="U163" s="385"/>
      <c r="W163" s="384" t="str">
        <f>IFERROR(__xludf.DUMMYFUNCTION("""COMPUTED_VALUE"""),"Манекен")</f>
        <v>Манекен</v>
      </c>
      <c r="X163" s="385">
        <f>IFERROR(__xludf.DUMMYFUNCTION("""COMPUTED_VALUE"""),21.75)</f>
        <v>21.75</v>
      </c>
    </row>
    <row r="164">
      <c r="A164" s="384" t="s">
        <v>122</v>
      </c>
      <c r="B164" s="384" t="s">
        <v>261</v>
      </c>
      <c r="C164" s="389">
        <v>2.5</v>
      </c>
      <c r="D164" s="389">
        <v>4.25</v>
      </c>
      <c r="E164" s="384"/>
      <c r="F164" s="389"/>
      <c r="G164" s="389"/>
      <c r="R164" s="384" t="s">
        <v>268</v>
      </c>
      <c r="T164" s="384" t="str">
        <f>IFERROR(__xludf.DUMMYFUNCTION("""COMPUTED_VALUE"""),"Шпиц")</f>
        <v>Шпиц</v>
      </c>
      <c r="U164" s="385"/>
      <c r="W164" s="384" t="str">
        <f>IFERROR(__xludf.DUMMYFUNCTION("""COMPUTED_VALUE"""),"Манекен")</f>
        <v>Манекен</v>
      </c>
      <c r="X164" s="385">
        <f>IFERROR(__xludf.DUMMYFUNCTION("""COMPUTED_VALUE"""),21.5)</f>
        <v>21.5</v>
      </c>
    </row>
    <row r="165">
      <c r="A165" s="384" t="s">
        <v>85</v>
      </c>
      <c r="B165" s="384" t="s">
        <v>265</v>
      </c>
      <c r="C165" s="389"/>
      <c r="D165" s="389">
        <v>2.25</v>
      </c>
      <c r="E165" s="384"/>
      <c r="F165" s="389"/>
      <c r="G165" s="389"/>
      <c r="R165" s="384" t="s">
        <v>259</v>
      </c>
      <c r="T165" s="384" t="str">
        <f>IFERROR(__xludf.DUMMYFUNCTION("""COMPUTED_VALUE"""),"Юрия")</f>
        <v>Юрия</v>
      </c>
      <c r="U165" s="385"/>
      <c r="W165" s="384" t="str">
        <f>IFERROR(__xludf.DUMMYFUNCTION("""COMPUTED_VALUE"""),"Зверюга")</f>
        <v>Зверюга</v>
      </c>
      <c r="X165" s="385">
        <f>IFERROR(__xludf.DUMMYFUNCTION("""COMPUTED_VALUE"""),21.5)</f>
        <v>21.5</v>
      </c>
    </row>
    <row r="166">
      <c r="A166" s="384" t="s">
        <v>133</v>
      </c>
      <c r="B166" s="384" t="s">
        <v>271</v>
      </c>
      <c r="C166" s="389">
        <v>2.5</v>
      </c>
      <c r="D166" s="389">
        <v>4.0</v>
      </c>
      <c r="E166" s="384"/>
      <c r="F166" s="389"/>
      <c r="G166" s="389"/>
      <c r="R166" s="384" t="s">
        <v>259</v>
      </c>
      <c r="T166" s="384" t="str">
        <f>IFERROR(__xludf.DUMMYFUNCTION("""COMPUTED_VALUE"""),"A1 ")</f>
        <v>A1 </v>
      </c>
      <c r="U166" s="385"/>
      <c r="W166" s="384" t="str">
        <f>IFERROR(__xludf.DUMMYFUNCTION("""COMPUTED_VALUE"""),"Bublik")</f>
        <v>Bublik</v>
      </c>
      <c r="X166" s="385">
        <f>IFERROR(__xludf.DUMMYFUNCTION("""COMPUTED_VALUE"""),21.5)</f>
        <v>21.5</v>
      </c>
    </row>
    <row r="167">
      <c r="A167" s="384" t="s">
        <v>94</v>
      </c>
      <c r="B167" s="384" t="s">
        <v>269</v>
      </c>
      <c r="C167" s="389"/>
      <c r="D167" s="389">
        <v>2.5</v>
      </c>
      <c r="E167" s="384"/>
      <c r="F167" s="389"/>
      <c r="G167" s="389"/>
      <c r="R167" s="384" t="s">
        <v>272</v>
      </c>
      <c r="T167" s="384" t="str">
        <f>IFERROR(__xludf.DUMMYFUNCTION("""COMPUTED_VALUE"""),"Alice ")</f>
        <v>Alice </v>
      </c>
      <c r="U167" s="385"/>
      <c r="W167" s="384" t="str">
        <f>IFERROR(__xludf.DUMMYFUNCTION("""COMPUTED_VALUE"""),"A1 ")</f>
        <v>A1 </v>
      </c>
      <c r="X167" s="385">
        <f>IFERROR(__xludf.DUMMYFUNCTION("""COMPUTED_VALUE"""),21.5)</f>
        <v>21.5</v>
      </c>
    </row>
    <row r="168">
      <c r="A168" s="384" t="s">
        <v>123</v>
      </c>
      <c r="B168" s="384" t="s">
        <v>261</v>
      </c>
      <c r="C168" s="389">
        <v>2.5</v>
      </c>
      <c r="D168" s="389">
        <v>4.5</v>
      </c>
      <c r="E168" s="384"/>
      <c r="F168" s="389"/>
      <c r="G168" s="389"/>
      <c r="R168" s="384" t="s">
        <v>267</v>
      </c>
      <c r="T168" s="384" t="str">
        <f>IFERROR(__xludf.DUMMYFUNCTION("""COMPUTED_VALUE"""),"Bublik")</f>
        <v>Bublik</v>
      </c>
      <c r="U168" s="385"/>
      <c r="W168" s="384" t="str">
        <f>IFERROR(__xludf.DUMMYFUNCTION("""COMPUTED_VALUE"""),"Продюсер")</f>
        <v>Продюсер</v>
      </c>
      <c r="X168" s="385">
        <f>IFERROR(__xludf.DUMMYFUNCTION("""COMPUTED_VALUE"""),21.5)</f>
        <v>21.5</v>
      </c>
    </row>
    <row r="169">
      <c r="A169" s="384" t="s">
        <v>96</v>
      </c>
      <c r="B169" s="384" t="s">
        <v>261</v>
      </c>
      <c r="C169" s="389">
        <v>2.5</v>
      </c>
      <c r="D169" s="389">
        <v>2.75</v>
      </c>
      <c r="E169" s="384" t="s">
        <v>11</v>
      </c>
      <c r="F169" s="389"/>
      <c r="G169" s="389">
        <v>0.5</v>
      </c>
      <c r="R169" s="384" t="s">
        <v>267</v>
      </c>
      <c r="T169" s="384" t="str">
        <f>IFERROR(__xludf.DUMMYFUNCTION("""COMPUTED_VALUE"""),"BWDMoscow")</f>
        <v>BWDMoscow</v>
      </c>
      <c r="U169" s="385"/>
      <c r="W169" s="384" t="str">
        <f>IFERROR(__xludf.DUMMYFUNCTION("""COMPUTED_VALUE"""),"A1 ")</f>
        <v>A1 </v>
      </c>
      <c r="X169" s="385">
        <f>IFERROR(__xludf.DUMMYFUNCTION("""COMPUTED_VALUE"""),21.5)</f>
        <v>21.5</v>
      </c>
    </row>
    <row r="170">
      <c r="A170" s="384" t="s">
        <v>135</v>
      </c>
      <c r="B170" s="384" t="s">
        <v>269</v>
      </c>
      <c r="C170" s="389"/>
      <c r="D170" s="389">
        <v>1.75</v>
      </c>
      <c r="E170" s="384"/>
      <c r="F170" s="389"/>
      <c r="G170" s="389"/>
      <c r="R170" s="384" t="s">
        <v>258</v>
      </c>
      <c r="T170" s="384" t="str">
        <f>IFERROR(__xludf.DUMMYFUNCTION("""COMPUTED_VALUE"""),"Curly")</f>
        <v>Curly</v>
      </c>
      <c r="U170" s="385"/>
      <c r="W170" s="384" t="str">
        <f>IFERROR(__xludf.DUMMYFUNCTION("""COMPUTED_VALUE"""),"Крестный отец (BLR)")</f>
        <v>Крестный отец (BLR)</v>
      </c>
      <c r="X170" s="385">
        <f>IFERROR(__xludf.DUMMYFUNCTION("""COMPUTED_VALUE"""),21.5)</f>
        <v>21.5</v>
      </c>
    </row>
    <row r="171">
      <c r="A171" s="384" t="s">
        <v>131</v>
      </c>
      <c r="B171" s="384" t="s">
        <v>261</v>
      </c>
      <c r="C171" s="389">
        <v>2.5</v>
      </c>
      <c r="D171" s="389">
        <v>3.0</v>
      </c>
      <c r="E171" s="384"/>
      <c r="F171" s="389"/>
      <c r="G171" s="389"/>
      <c r="R171" s="384" t="s">
        <v>267</v>
      </c>
      <c r="T171" s="384" t="str">
        <f>IFERROR(__xludf.DUMMYFUNCTION("""COMPUTED_VALUE"""),"GALAY")</f>
        <v>GALAY</v>
      </c>
      <c r="U171" s="385"/>
      <c r="W171" s="384" t="str">
        <f>IFERROR(__xludf.DUMMYFUNCTION("""COMPUTED_VALUE"""),"Админ")</f>
        <v>Админ</v>
      </c>
      <c r="X171" s="385">
        <f>IFERROR(__xludf.DUMMYFUNCTION("""COMPUTED_VALUE"""),21.5)</f>
        <v>21.5</v>
      </c>
    </row>
    <row r="172">
      <c r="A172" s="384" t="s">
        <v>102</v>
      </c>
      <c r="B172" s="384" t="s">
        <v>261</v>
      </c>
      <c r="C172" s="389">
        <v>2.5</v>
      </c>
      <c r="D172" s="389">
        <v>3.5</v>
      </c>
      <c r="E172" s="384"/>
      <c r="F172" s="389"/>
      <c r="G172" s="389"/>
      <c r="R172" s="384" t="s">
        <v>262</v>
      </c>
      <c r="T172" s="384" t="str">
        <f>IFERROR(__xludf.DUMMYFUNCTION("""COMPUTED_VALUE"""),"Helga")</f>
        <v>Helga</v>
      </c>
      <c r="U172" s="385"/>
      <c r="W172" s="384" t="str">
        <f>IFERROR(__xludf.DUMMYFUNCTION("""COMPUTED_VALUE"""),"Продюсер")</f>
        <v>Продюсер</v>
      </c>
      <c r="X172" s="385">
        <f>IFERROR(__xludf.DUMMYFUNCTION("""COMPUTED_VALUE"""),21.5)</f>
        <v>21.5</v>
      </c>
    </row>
    <row r="173">
      <c r="A173" s="384" t="s">
        <v>79</v>
      </c>
      <c r="B173" s="384" t="s">
        <v>261</v>
      </c>
      <c r="C173" s="389">
        <v>2.5</v>
      </c>
      <c r="D173" s="389">
        <v>4.0</v>
      </c>
      <c r="E173" s="384"/>
      <c r="F173" s="389"/>
      <c r="G173" s="389"/>
      <c r="R173" s="384" t="s">
        <v>259</v>
      </c>
      <c r="T173" s="384" t="str">
        <f>IFERROR(__xludf.DUMMYFUNCTION("""COMPUTED_VALUE"""),"Infinity ")</f>
        <v>Infinity </v>
      </c>
      <c r="U173" s="385"/>
      <c r="W173" s="384" t="str">
        <f>IFERROR(__xludf.DUMMYFUNCTION("""COMPUTED_VALUE"""),"Физик")</f>
        <v>Физик</v>
      </c>
      <c r="X173" s="385">
        <f>IFERROR(__xludf.DUMMYFUNCTION("""COMPUTED_VALUE"""),21.5)</f>
        <v>21.5</v>
      </c>
    </row>
    <row r="174">
      <c r="A174" s="384" t="s">
        <v>122</v>
      </c>
      <c r="B174" s="384" t="s">
        <v>261</v>
      </c>
      <c r="C174" s="389">
        <v>2.5</v>
      </c>
      <c r="D174" s="389">
        <v>2.5</v>
      </c>
      <c r="E174" s="384"/>
      <c r="F174" s="389"/>
      <c r="G174" s="389"/>
      <c r="R174" s="384" t="s">
        <v>267</v>
      </c>
      <c r="T174" s="384" t="str">
        <f>IFERROR(__xludf.DUMMYFUNCTION("""COMPUTED_VALUE"""),"Ketamin")</f>
        <v>Ketamin</v>
      </c>
      <c r="U174" s="385"/>
      <c r="W174" s="384" t="str">
        <f>IFERROR(__xludf.DUMMYFUNCTION("""COMPUTED_VALUE"""),"Rocket woman ")</f>
        <v>Rocket woman </v>
      </c>
      <c r="X174" s="385">
        <f>IFERROR(__xludf.DUMMYFUNCTION("""COMPUTED_VALUE"""),21.5)</f>
        <v>21.5</v>
      </c>
    </row>
    <row r="175">
      <c r="A175" s="384" t="s">
        <v>85</v>
      </c>
      <c r="B175" s="384" t="s">
        <v>261</v>
      </c>
      <c r="C175" s="389">
        <v>2.5</v>
      </c>
      <c r="D175" s="389">
        <v>5.0</v>
      </c>
      <c r="E175" s="384"/>
      <c r="F175" s="389"/>
      <c r="G175" s="389"/>
      <c r="R175" s="384" t="s">
        <v>272</v>
      </c>
      <c r="T175" s="384" t="str">
        <f>IFERROR(__xludf.DUMMYFUNCTION("""COMPUTED_VALUE"""),"Light")</f>
        <v>Light</v>
      </c>
      <c r="U175" s="385"/>
      <c r="W175" s="384" t="str">
        <f>IFERROR(__xludf.DUMMYFUNCTION("""COMPUTED_VALUE"""),"Старый")</f>
        <v>Старый</v>
      </c>
      <c r="X175" s="385">
        <f>IFERROR(__xludf.DUMMYFUNCTION("""COMPUTED_VALUE"""),21.5)</f>
        <v>21.5</v>
      </c>
    </row>
    <row r="176">
      <c r="A176" s="384" t="s">
        <v>133</v>
      </c>
      <c r="B176" s="384" t="s">
        <v>269</v>
      </c>
      <c r="C176" s="389"/>
      <c r="D176" s="389">
        <v>2.5</v>
      </c>
      <c r="E176" s="384"/>
      <c r="F176" s="389"/>
      <c r="G176" s="389"/>
      <c r="R176" s="384" t="s">
        <v>262</v>
      </c>
      <c r="T176" s="384" t="str">
        <f>IFERROR(__xludf.DUMMYFUNCTION("""COMPUTED_VALUE"""),"Morti")</f>
        <v>Morti</v>
      </c>
      <c r="U176" s="385"/>
      <c r="W176" s="384" t="str">
        <f>IFERROR(__xludf.DUMMYFUNCTION("""COMPUTED_VALUE"""),"Флэш")</f>
        <v>Флэш</v>
      </c>
      <c r="X176" s="385">
        <f>IFERROR(__xludf.DUMMYFUNCTION("""COMPUTED_VALUE"""),21.5)</f>
        <v>21.5</v>
      </c>
    </row>
    <row r="177">
      <c r="A177" s="384" t="s">
        <v>94</v>
      </c>
      <c r="B177" s="384" t="s">
        <v>261</v>
      </c>
      <c r="C177" s="389">
        <v>2.5</v>
      </c>
      <c r="D177" s="389">
        <v>3.0</v>
      </c>
      <c r="E177" s="384"/>
      <c r="F177" s="389"/>
      <c r="G177" s="389"/>
      <c r="R177" s="384" t="s">
        <v>264</v>
      </c>
      <c r="T177" s="384" t="str">
        <f>IFERROR(__xludf.DUMMYFUNCTION("""COMPUTED_VALUE"""),"NLIP")</f>
        <v>NLIP</v>
      </c>
      <c r="U177" s="385"/>
      <c r="W177" s="384" t="str">
        <f>IFERROR(__xludf.DUMMYFUNCTION("""COMPUTED_VALUE"""),"Старый")</f>
        <v>Старый</v>
      </c>
      <c r="X177" s="385">
        <f>IFERROR(__xludf.DUMMYFUNCTION("""COMPUTED_VALUE"""),21.25)</f>
        <v>21.25</v>
      </c>
    </row>
    <row r="178">
      <c r="A178" s="384" t="s">
        <v>123</v>
      </c>
      <c r="B178" s="384" t="s">
        <v>269</v>
      </c>
      <c r="C178" s="389"/>
      <c r="D178" s="389">
        <v>2.5</v>
      </c>
      <c r="E178" s="384"/>
      <c r="F178" s="389"/>
      <c r="G178" s="389"/>
      <c r="R178" s="384" t="s">
        <v>268</v>
      </c>
      <c r="T178" s="384" t="str">
        <f>IFERROR(__xludf.DUMMYFUNCTION("""COMPUTED_VALUE"""),"SCHOKK ")</f>
        <v>SCHOKK </v>
      </c>
      <c r="U178" s="385"/>
      <c r="W178" s="384" t="str">
        <f>IFERROR(__xludf.DUMMYFUNCTION("""COMPUTED_VALUE"""),"СЭНСЭЙ")</f>
        <v>СЭНСЭЙ</v>
      </c>
      <c r="X178" s="385">
        <f>IFERROR(__xludf.DUMMYFUNCTION("""COMPUTED_VALUE"""),21.25)</f>
        <v>21.25</v>
      </c>
    </row>
    <row r="179">
      <c r="A179" s="384" t="s">
        <v>96</v>
      </c>
      <c r="B179" s="384" t="s">
        <v>271</v>
      </c>
      <c r="C179" s="389">
        <v>2.5</v>
      </c>
      <c r="D179" s="389">
        <v>3.25</v>
      </c>
      <c r="E179" s="384"/>
      <c r="F179" s="389"/>
      <c r="G179" s="389"/>
      <c r="R179" s="384" t="s">
        <v>272</v>
      </c>
      <c r="T179" s="384" t="str">
        <f>IFERROR(__xludf.DUMMYFUNCTION("""COMPUTED_VALUE"""),"Stacy")</f>
        <v>Stacy</v>
      </c>
      <c r="U179" s="385"/>
      <c r="W179" s="384" t="str">
        <f>IFERROR(__xludf.DUMMYFUNCTION("""COMPUTED_VALUE"""),"Крестный отец (BLR)")</f>
        <v>Крестный отец (BLR)</v>
      </c>
      <c r="X179" s="385">
        <f>IFERROR(__xludf.DUMMYFUNCTION("""COMPUTED_VALUE"""),21.25)</f>
        <v>21.25</v>
      </c>
    </row>
    <row r="180">
      <c r="A180" s="384" t="s">
        <v>135</v>
      </c>
      <c r="B180" s="384" t="s">
        <v>261</v>
      </c>
      <c r="C180" s="389">
        <v>2.5</v>
      </c>
      <c r="D180" s="389">
        <v>2.5</v>
      </c>
      <c r="E180" s="384"/>
      <c r="F180" s="389"/>
      <c r="G180" s="389"/>
      <c r="R180" s="384" t="s">
        <v>267</v>
      </c>
      <c r="T180" s="384" t="str">
        <f>IFERROR(__xludf.DUMMYFUNCTION("""COMPUTED_VALUE"""),"WhoIsWho")</f>
        <v>WhoIsWho</v>
      </c>
      <c r="U180" s="385"/>
      <c r="W180" s="384" t="str">
        <f>IFERROR(__xludf.DUMMYFUNCTION("""COMPUTED_VALUE"""),"СЭНСЭЙ")</f>
        <v>СЭНСЭЙ</v>
      </c>
      <c r="X180" s="385">
        <f>IFERROR(__xludf.DUMMYFUNCTION("""COMPUTED_VALUE"""),21.25)</f>
        <v>21.25</v>
      </c>
    </row>
    <row r="181">
      <c r="A181" s="384" t="s">
        <v>131</v>
      </c>
      <c r="B181" s="384" t="s">
        <v>261</v>
      </c>
      <c r="C181" s="389">
        <v>2.5</v>
      </c>
      <c r="D181" s="389">
        <v>3.25</v>
      </c>
      <c r="E181" s="384" t="s">
        <v>11</v>
      </c>
      <c r="F181" s="389">
        <v>0.5</v>
      </c>
      <c r="G181" s="389">
        <v>0.5</v>
      </c>
      <c r="R181" s="384" t="s">
        <v>259</v>
      </c>
      <c r="T181" s="384" t="str">
        <f>IFERROR(__xludf.DUMMYFUNCTION("""COMPUTED_VALUE"""),"Young")</f>
        <v>Young</v>
      </c>
      <c r="U181" s="385"/>
      <c r="W181" s="384" t="str">
        <f>IFERROR(__xludf.DUMMYFUNCTION("""COMPUTED_VALUE"""),"Alice ")</f>
        <v>Alice </v>
      </c>
      <c r="X181" s="385">
        <f>IFERROR(__xludf.DUMMYFUNCTION("""COMPUTED_VALUE"""),21.25)</f>
        <v>21.25</v>
      </c>
    </row>
    <row r="182">
      <c r="A182" s="384" t="s">
        <v>102</v>
      </c>
      <c r="B182" s="384" t="s">
        <v>265</v>
      </c>
      <c r="C182" s="389"/>
      <c r="D182" s="389">
        <v>1.5</v>
      </c>
      <c r="E182" s="384"/>
      <c r="F182" s="389"/>
      <c r="G182" s="389"/>
      <c r="R182" s="384" t="s">
        <v>259</v>
      </c>
      <c r="T182" s="384" t="str">
        <f>IFERROR(__xludf.DUMMYFUNCTION("QUERY('Турнирная таблица по Алфавиту'!C7:BG66,""select C,X order by X desc"")"),"Правда ")</f>
        <v>Правда </v>
      </c>
      <c r="U182" s="385">
        <f>IFERROR(__xludf.DUMMYFUNCTION("""COMPUTED_VALUE"""),22.5)</f>
        <v>22.5</v>
      </c>
      <c r="W182" s="384" t="str">
        <f>IFERROR(__xludf.DUMMYFUNCTION("""COMPUTED_VALUE"""),"Крот")</f>
        <v>Крот</v>
      </c>
      <c r="X182" s="385">
        <f>IFERROR(__xludf.DUMMYFUNCTION("""COMPUTED_VALUE"""),21.25)</f>
        <v>21.25</v>
      </c>
    </row>
    <row r="183">
      <c r="A183" s="384" t="s">
        <v>79</v>
      </c>
      <c r="B183" s="384" t="s">
        <v>261</v>
      </c>
      <c r="C183" s="389"/>
      <c r="D183" s="389">
        <v>2.25</v>
      </c>
      <c r="E183" s="384"/>
      <c r="F183" s="389"/>
      <c r="G183" s="389"/>
      <c r="R183" s="384" t="s">
        <v>259</v>
      </c>
      <c r="T183" s="384" t="str">
        <f>IFERROR(__xludf.DUMMYFUNCTION("""COMPUTED_VALUE"""),"Волга")</f>
        <v>Волга</v>
      </c>
      <c r="U183" s="385">
        <f>IFERROR(__xludf.DUMMYFUNCTION("""COMPUTED_VALUE"""),21.75)</f>
        <v>21.75</v>
      </c>
      <c r="W183" s="384" t="str">
        <f>IFERROR(__xludf.DUMMYFUNCTION("""COMPUTED_VALUE"""),"Зверюга")</f>
        <v>Зверюга</v>
      </c>
      <c r="X183" s="385">
        <f>IFERROR(__xludf.DUMMYFUNCTION("""COMPUTED_VALUE"""),21.25)</f>
        <v>21.25</v>
      </c>
    </row>
    <row r="184">
      <c r="A184" s="384" t="s">
        <v>122</v>
      </c>
      <c r="B184" s="384" t="s">
        <v>261</v>
      </c>
      <c r="C184" s="389"/>
      <c r="D184" s="389">
        <v>2.0</v>
      </c>
      <c r="E184" s="384"/>
      <c r="F184" s="389"/>
      <c r="G184" s="389"/>
      <c r="R184" s="384" t="s">
        <v>268</v>
      </c>
      <c r="T184" s="384" t="str">
        <f>IFERROR(__xludf.DUMMYFUNCTION("""COMPUTED_VALUE"""),"Красавчик")</f>
        <v>Красавчик</v>
      </c>
      <c r="U184" s="385">
        <f>IFERROR(__xludf.DUMMYFUNCTION("""COMPUTED_VALUE"""),20.5)</f>
        <v>20.5</v>
      </c>
      <c r="W184" s="384" t="str">
        <f>IFERROR(__xludf.DUMMYFUNCTION("""COMPUTED_VALUE"""),"Физик")</f>
        <v>Физик</v>
      </c>
      <c r="X184" s="385">
        <f>IFERROR(__xludf.DUMMYFUNCTION("""COMPUTED_VALUE"""),21.25)</f>
        <v>21.25</v>
      </c>
    </row>
    <row r="185">
      <c r="A185" s="384" t="s">
        <v>85</v>
      </c>
      <c r="B185" s="384" t="s">
        <v>261</v>
      </c>
      <c r="C185" s="389"/>
      <c r="D185" s="389">
        <v>2.0</v>
      </c>
      <c r="E185" s="384"/>
      <c r="F185" s="389"/>
      <c r="G185" s="389"/>
      <c r="R185" s="384" t="s">
        <v>259</v>
      </c>
      <c r="T185" s="384" t="str">
        <f>IFERROR(__xludf.DUMMYFUNCTION("""COMPUTED_VALUE"""),"Продюсер")</f>
        <v>Продюсер</v>
      </c>
      <c r="U185" s="385">
        <f>IFERROR(__xludf.DUMMYFUNCTION("""COMPUTED_VALUE"""),19.25)</f>
        <v>19.25</v>
      </c>
      <c r="W185" s="384" t="str">
        <f>IFERROR(__xludf.DUMMYFUNCTION("""COMPUTED_VALUE"""),"Писатель ")</f>
        <v>Писатель </v>
      </c>
      <c r="X185" s="385">
        <f>IFERROR(__xludf.DUMMYFUNCTION("""COMPUTED_VALUE"""),21.25)</f>
        <v>21.25</v>
      </c>
    </row>
    <row r="186">
      <c r="A186" s="384" t="s">
        <v>133</v>
      </c>
      <c r="B186" s="384" t="s">
        <v>261</v>
      </c>
      <c r="C186" s="389"/>
      <c r="D186" s="389">
        <v>2.25</v>
      </c>
      <c r="E186" s="384" t="s">
        <v>11</v>
      </c>
      <c r="F186" s="389"/>
      <c r="G186" s="389">
        <v>0.5</v>
      </c>
      <c r="R186" s="384" t="s">
        <v>264</v>
      </c>
      <c r="T186" s="384" t="str">
        <f>IFERROR(__xludf.DUMMYFUNCTION("""COMPUTED_VALUE"""),"Физик")</f>
        <v>Физик</v>
      </c>
      <c r="U186" s="385">
        <f>IFERROR(__xludf.DUMMYFUNCTION("""COMPUTED_VALUE"""),17.5)</f>
        <v>17.5</v>
      </c>
      <c r="W186" s="384" t="str">
        <f>IFERROR(__xludf.DUMMYFUNCTION("""COMPUTED_VALUE"""),"SOVEST")</f>
        <v>SOVEST</v>
      </c>
      <c r="X186" s="385">
        <f>IFERROR(__xludf.DUMMYFUNCTION("""COMPUTED_VALUE"""),21.25)</f>
        <v>21.25</v>
      </c>
    </row>
    <row r="187">
      <c r="A187" s="384" t="s">
        <v>94</v>
      </c>
      <c r="B187" s="384" t="s">
        <v>271</v>
      </c>
      <c r="C187" s="389"/>
      <c r="D187" s="389">
        <v>3.25</v>
      </c>
      <c r="E187" s="384"/>
      <c r="F187" s="389"/>
      <c r="G187" s="389"/>
      <c r="R187" s="384" t="s">
        <v>259</v>
      </c>
      <c r="T187" s="384" t="str">
        <f>IFERROR(__xludf.DUMMYFUNCTION("""COMPUTED_VALUE"""),"MSR")</f>
        <v>MSR</v>
      </c>
      <c r="U187" s="385">
        <f>IFERROR(__xludf.DUMMYFUNCTION("""COMPUTED_VALUE"""),17.0)</f>
        <v>17</v>
      </c>
      <c r="W187" s="384" t="str">
        <f>IFERROR(__xludf.DUMMYFUNCTION("""COMPUTED_VALUE"""),"Лисичка")</f>
        <v>Лисичка</v>
      </c>
      <c r="X187" s="385">
        <f>IFERROR(__xludf.DUMMYFUNCTION("""COMPUTED_VALUE"""),21.25)</f>
        <v>21.25</v>
      </c>
    </row>
    <row r="188">
      <c r="A188" s="384" t="s">
        <v>123</v>
      </c>
      <c r="B188" s="384" t="s">
        <v>265</v>
      </c>
      <c r="C188" s="389">
        <v>2.5</v>
      </c>
      <c r="D188" s="389">
        <v>3.25</v>
      </c>
      <c r="E188" s="384"/>
      <c r="F188" s="389"/>
      <c r="G188" s="389"/>
      <c r="R188" s="384" t="s">
        <v>262</v>
      </c>
      <c r="T188" s="384" t="str">
        <f>IFERROR(__xludf.DUMMYFUNCTION("""COMPUTED_VALUE"""),"Левша")</f>
        <v>Левша</v>
      </c>
      <c r="U188" s="385">
        <f>IFERROR(__xludf.DUMMYFUNCTION("""COMPUTED_VALUE"""),16.75)</f>
        <v>16.75</v>
      </c>
      <c r="W188" s="384" t="str">
        <f>IFERROR(__xludf.DUMMYFUNCTION("""COMPUTED_VALUE"""),"Старый")</f>
        <v>Старый</v>
      </c>
      <c r="X188" s="385">
        <f>IFERROR(__xludf.DUMMYFUNCTION("""COMPUTED_VALUE"""),21.25)</f>
        <v>21.25</v>
      </c>
    </row>
    <row r="189">
      <c r="A189" s="384" t="s">
        <v>96</v>
      </c>
      <c r="B189" s="384" t="s">
        <v>269</v>
      </c>
      <c r="C189" s="389">
        <v>2.5</v>
      </c>
      <c r="D189" s="389">
        <v>2.25</v>
      </c>
      <c r="E189" s="384"/>
      <c r="F189" s="389"/>
      <c r="G189" s="389"/>
      <c r="R189" s="384" t="s">
        <v>267</v>
      </c>
      <c r="T189" s="384" t="str">
        <f>IFERROR(__xludf.DUMMYFUNCTION("""COMPUTED_VALUE"""),"Старый")</f>
        <v>Старый</v>
      </c>
      <c r="U189" s="385">
        <f>IFERROR(__xludf.DUMMYFUNCTION("""COMPUTED_VALUE"""),15.25)</f>
        <v>15.25</v>
      </c>
      <c r="W189" s="384" t="str">
        <f>IFERROR(__xludf.DUMMYFUNCTION("""COMPUTED_VALUE"""),"Curly")</f>
        <v>Curly</v>
      </c>
      <c r="X189" s="385">
        <f>IFERROR(__xludf.DUMMYFUNCTION("""COMPUTED_VALUE"""),21.25)</f>
        <v>21.25</v>
      </c>
    </row>
    <row r="190">
      <c r="A190" s="384" t="s">
        <v>135</v>
      </c>
      <c r="B190" s="384" t="s">
        <v>269</v>
      </c>
      <c r="C190" s="389">
        <v>2.5</v>
      </c>
      <c r="D190" s="389">
        <v>3.5</v>
      </c>
      <c r="E190" s="384" t="s">
        <v>260</v>
      </c>
      <c r="F190" s="389"/>
      <c r="G190" s="389"/>
      <c r="R190" s="384" t="s">
        <v>267</v>
      </c>
      <c r="T190" s="384" t="str">
        <f>IFERROR(__xludf.DUMMYFUNCTION("""COMPUTED_VALUE"""),"Alice ")</f>
        <v>Alice </v>
      </c>
      <c r="U190" s="385">
        <f>IFERROR(__xludf.DUMMYFUNCTION("""COMPUTED_VALUE"""),14.75)</f>
        <v>14.75</v>
      </c>
      <c r="W190" s="384" t="str">
        <f>IFERROR(__xludf.DUMMYFUNCTION("""COMPUTED_VALUE"""),"Астория")</f>
        <v>Астория</v>
      </c>
      <c r="X190" s="385">
        <f>IFERROR(__xludf.DUMMYFUNCTION("""COMPUTED_VALUE"""),21.25)</f>
        <v>21.25</v>
      </c>
    </row>
    <row r="191">
      <c r="A191" s="384" t="s">
        <v>131</v>
      </c>
      <c r="B191" s="384" t="s">
        <v>261</v>
      </c>
      <c r="C191" s="389"/>
      <c r="D191" s="389">
        <v>2.0</v>
      </c>
      <c r="E191" s="384" t="s">
        <v>263</v>
      </c>
      <c r="F191" s="389"/>
      <c r="G191" s="389"/>
      <c r="R191" s="384" t="s">
        <v>259</v>
      </c>
      <c r="T191" s="384" t="str">
        <f>IFERROR(__xludf.DUMMYFUNCTION("""COMPUTED_VALUE"""),"Панда из Руанды")</f>
        <v>Панда из Руанды</v>
      </c>
      <c r="U191" s="385">
        <f>IFERROR(__xludf.DUMMYFUNCTION("""COMPUTED_VALUE"""),14.0)</f>
        <v>14</v>
      </c>
      <c r="W191" s="384" t="str">
        <f>IFERROR(__xludf.DUMMYFUNCTION("""COMPUTED_VALUE"""),"Старый")</f>
        <v>Старый</v>
      </c>
      <c r="X191" s="385">
        <f>IFERROR(__xludf.DUMMYFUNCTION("""COMPUTED_VALUE"""),21.25)</f>
        <v>21.25</v>
      </c>
    </row>
    <row r="192">
      <c r="A192" s="384" t="s">
        <v>102</v>
      </c>
      <c r="B192" s="384" t="s">
        <v>261</v>
      </c>
      <c r="C192" s="389"/>
      <c r="D192" s="389">
        <v>2.0</v>
      </c>
      <c r="E192" s="384" t="s">
        <v>263</v>
      </c>
      <c r="F192" s="389"/>
      <c r="G192" s="389"/>
      <c r="R192" s="384" t="s">
        <v>267</v>
      </c>
      <c r="T192" s="384" t="str">
        <f>IFERROR(__xludf.DUMMYFUNCTION("""COMPUTED_VALUE"""),"Авраам")</f>
        <v>Авраам</v>
      </c>
      <c r="U192" s="385"/>
      <c r="W192" s="384" t="str">
        <f>IFERROR(__xludf.DUMMYFUNCTION("""COMPUTED_VALUE"""),"Андерсен")</f>
        <v>Андерсен</v>
      </c>
      <c r="X192" s="385">
        <f>IFERROR(__xludf.DUMMYFUNCTION("""COMPUTED_VALUE"""),21.25)</f>
        <v>21.25</v>
      </c>
    </row>
    <row r="193">
      <c r="A193" s="384" t="s">
        <v>79</v>
      </c>
      <c r="B193" s="384" t="s">
        <v>261</v>
      </c>
      <c r="C193" s="389">
        <v>2.5</v>
      </c>
      <c r="D193" s="389">
        <v>3.5</v>
      </c>
      <c r="E193" s="384"/>
      <c r="F193" s="389"/>
      <c r="G193" s="389"/>
      <c r="R193" s="384" t="s">
        <v>267</v>
      </c>
      <c r="T193" s="384" t="str">
        <f>IFERROR(__xludf.DUMMYFUNCTION("""COMPUTED_VALUE"""),"Админ")</f>
        <v>Админ</v>
      </c>
      <c r="U193" s="385"/>
      <c r="W193" s="384" t="str">
        <f>IFERROR(__xludf.DUMMYFUNCTION("""COMPUTED_VALUE"""),"Infinity ")</f>
        <v>Infinity </v>
      </c>
      <c r="X193" s="385">
        <f>IFERROR(__xludf.DUMMYFUNCTION("""COMPUTED_VALUE"""),21.0)</f>
        <v>21</v>
      </c>
    </row>
    <row r="194">
      <c r="A194" s="384" t="s">
        <v>122</v>
      </c>
      <c r="B194" s="384" t="s">
        <v>261</v>
      </c>
      <c r="C194" s="389">
        <v>2.5</v>
      </c>
      <c r="D194" s="389">
        <v>1.5</v>
      </c>
      <c r="E194" s="384"/>
      <c r="F194" s="389"/>
      <c r="G194" s="389"/>
      <c r="R194" s="384" t="s">
        <v>262</v>
      </c>
      <c r="T194" s="384" t="str">
        <f>IFERROR(__xludf.DUMMYFUNCTION("""COMPUTED_VALUE"""),"Андерсен")</f>
        <v>Андерсен</v>
      </c>
      <c r="U194" s="385"/>
      <c r="W194" s="384" t="str">
        <f>IFERROR(__xludf.DUMMYFUNCTION("""COMPUTED_VALUE"""),"Мишель ")</f>
        <v>Мишель </v>
      </c>
      <c r="X194" s="385">
        <f>IFERROR(__xludf.DUMMYFUNCTION("""COMPUTED_VALUE"""),21.0)</f>
        <v>21</v>
      </c>
    </row>
    <row r="195">
      <c r="A195" s="384" t="s">
        <v>85</v>
      </c>
      <c r="B195" s="384" t="s">
        <v>269</v>
      </c>
      <c r="C195" s="389"/>
      <c r="D195" s="389">
        <v>2.75</v>
      </c>
      <c r="E195" s="384" t="s">
        <v>263</v>
      </c>
      <c r="F195" s="389"/>
      <c r="G195" s="389"/>
      <c r="R195" s="384" t="s">
        <v>267</v>
      </c>
      <c r="T195" s="384" t="str">
        <f>IFERROR(__xludf.DUMMYFUNCTION("""COMPUTED_VALUE"""),"Артик")</f>
        <v>Артик</v>
      </c>
      <c r="U195" s="385"/>
      <c r="W195" s="384" t="str">
        <f>IFERROR(__xludf.DUMMYFUNCTION("""COMPUTED_VALUE"""),"Alice ")</f>
        <v>Alice </v>
      </c>
      <c r="X195" s="385">
        <f>IFERROR(__xludf.DUMMYFUNCTION("""COMPUTED_VALUE"""),21.0)</f>
        <v>21</v>
      </c>
    </row>
    <row r="196">
      <c r="A196" s="384" t="s">
        <v>133</v>
      </c>
      <c r="B196" s="384" t="s">
        <v>265</v>
      </c>
      <c r="C196" s="389"/>
      <c r="D196" s="389">
        <v>2.75</v>
      </c>
      <c r="E196" s="384"/>
      <c r="F196" s="389"/>
      <c r="G196" s="389"/>
      <c r="R196" s="384" t="s">
        <v>272</v>
      </c>
      <c r="T196" s="384" t="str">
        <f>IFERROR(__xludf.DUMMYFUNCTION("""COMPUTED_VALUE"""),"Астория")</f>
        <v>Астория</v>
      </c>
      <c r="U196" s="385"/>
      <c r="W196" s="384" t="str">
        <f>IFERROR(__xludf.DUMMYFUNCTION("""COMPUTED_VALUE"""),"Писатель ")</f>
        <v>Писатель </v>
      </c>
      <c r="X196" s="385">
        <f>IFERROR(__xludf.DUMMYFUNCTION("""COMPUTED_VALUE"""),21.0)</f>
        <v>21</v>
      </c>
    </row>
    <row r="197">
      <c r="A197" s="384" t="s">
        <v>94</v>
      </c>
      <c r="B197" s="384" t="s">
        <v>269</v>
      </c>
      <c r="C197" s="389"/>
      <c r="D197" s="389">
        <v>1.75</v>
      </c>
      <c r="E197" s="384"/>
      <c r="F197" s="389"/>
      <c r="G197" s="389"/>
      <c r="R197" s="384" t="s">
        <v>257</v>
      </c>
      <c r="T197" s="384" t="str">
        <f>IFERROR(__xludf.DUMMYFUNCTION("""COMPUTED_VALUE"""),"Аш")</f>
        <v>Аш</v>
      </c>
      <c r="U197" s="385"/>
      <c r="W197" s="384" t="str">
        <f>IFERROR(__xludf.DUMMYFUNCTION("""COMPUTED_VALUE"""),"Флэш")</f>
        <v>Флэш</v>
      </c>
      <c r="X197" s="385">
        <f>IFERROR(__xludf.DUMMYFUNCTION("""COMPUTED_VALUE"""),21.0)</f>
        <v>21</v>
      </c>
    </row>
    <row r="198">
      <c r="A198" s="384" t="s">
        <v>123</v>
      </c>
      <c r="B198" s="384" t="s">
        <v>271</v>
      </c>
      <c r="C198" s="389">
        <v>2.5</v>
      </c>
      <c r="D198" s="389">
        <v>2.5</v>
      </c>
      <c r="E198" s="384" t="s">
        <v>260</v>
      </c>
      <c r="F198" s="389"/>
      <c r="G198" s="389"/>
      <c r="R198" s="384" t="s">
        <v>268</v>
      </c>
      <c r="T198" s="384" t="str">
        <f>IFERROR(__xludf.DUMMYFUNCTION("""COMPUTED_VALUE"""),"Бамблби")</f>
        <v>Бамблби</v>
      </c>
      <c r="U198" s="385"/>
      <c r="W198" s="384" t="str">
        <f>IFERROR(__xludf.DUMMYFUNCTION("""COMPUTED_VALUE"""),"Юрия")</f>
        <v>Юрия</v>
      </c>
      <c r="X198" s="385">
        <f>IFERROR(__xludf.DUMMYFUNCTION("""COMPUTED_VALUE"""),21.0)</f>
        <v>21</v>
      </c>
    </row>
    <row r="199">
      <c r="A199" s="384" t="s">
        <v>96</v>
      </c>
      <c r="B199" s="384" t="s">
        <v>261</v>
      </c>
      <c r="C199" s="389">
        <v>2.5</v>
      </c>
      <c r="D199" s="389">
        <v>1.25</v>
      </c>
      <c r="E199" s="384"/>
      <c r="F199" s="389"/>
      <c r="G199" s="389"/>
      <c r="R199" s="384" t="s">
        <v>259</v>
      </c>
      <c r="T199" s="384" t="str">
        <f>IFERROR(__xludf.DUMMYFUNCTION("""COMPUTED_VALUE"""),"Градиент")</f>
        <v>Градиент</v>
      </c>
      <c r="U199" s="385"/>
      <c r="W199" s="384" t="str">
        <f>IFERROR(__xludf.DUMMYFUNCTION("""COMPUTED_VALUE"""),"Писатель ")</f>
        <v>Писатель </v>
      </c>
      <c r="X199" s="385">
        <f>IFERROR(__xludf.DUMMYFUNCTION("""COMPUTED_VALUE"""),21.0)</f>
        <v>21</v>
      </c>
    </row>
    <row r="200">
      <c r="A200" s="384" t="s">
        <v>135</v>
      </c>
      <c r="B200" s="384" t="s">
        <v>261</v>
      </c>
      <c r="C200" s="389">
        <v>2.5</v>
      </c>
      <c r="D200" s="389">
        <v>2.0</v>
      </c>
      <c r="E200" s="384"/>
      <c r="F200" s="389"/>
      <c r="G200" s="389"/>
      <c r="R200" s="384" t="s">
        <v>259</v>
      </c>
      <c r="T200" s="384" t="str">
        <f>IFERROR(__xludf.DUMMYFUNCTION("""COMPUTED_VALUE"""),"Дровосек")</f>
        <v>Дровосек</v>
      </c>
      <c r="U200" s="385"/>
      <c r="W200" s="384" t="str">
        <f>IFERROR(__xludf.DUMMYFUNCTION("""COMPUTED_VALUE"""),"Аш")</f>
        <v>Аш</v>
      </c>
      <c r="X200" s="385">
        <f>IFERROR(__xludf.DUMMYFUNCTION("""COMPUTED_VALUE"""),21.0)</f>
        <v>21</v>
      </c>
    </row>
    <row r="201">
      <c r="A201" s="384" t="s">
        <v>131</v>
      </c>
      <c r="B201" s="384" t="s">
        <v>261</v>
      </c>
      <c r="C201" s="389">
        <v>2.5</v>
      </c>
      <c r="D201" s="389">
        <v>4.5</v>
      </c>
      <c r="E201" s="384" t="s">
        <v>260</v>
      </c>
      <c r="F201" s="389"/>
      <c r="G201" s="389"/>
      <c r="R201" s="384" t="s">
        <v>267</v>
      </c>
      <c r="T201" s="384" t="str">
        <f>IFERROR(__xludf.DUMMYFUNCTION("""COMPUTED_VALUE"""),"Зверюга")</f>
        <v>Зверюга</v>
      </c>
      <c r="U201" s="385"/>
      <c r="W201" s="384" t="str">
        <f>IFERROR(__xludf.DUMMYFUNCTION("""COMPUTED_VALUE"""),"Bublik")</f>
        <v>Bublik</v>
      </c>
      <c r="X201" s="385">
        <f>IFERROR(__xludf.DUMMYFUNCTION("""COMPUTED_VALUE"""),21.0)</f>
        <v>21</v>
      </c>
    </row>
    <row r="202">
      <c r="A202" s="384" t="s">
        <v>102</v>
      </c>
      <c r="B202" s="384" t="s">
        <v>261</v>
      </c>
      <c r="C202" s="389">
        <v>2.5</v>
      </c>
      <c r="D202" s="389">
        <v>4.0</v>
      </c>
      <c r="E202" s="384"/>
      <c r="F202" s="389"/>
      <c r="G202" s="389"/>
      <c r="R202" s="384" t="s">
        <v>267</v>
      </c>
      <c r="T202" s="384" t="str">
        <f>IFERROR(__xludf.DUMMYFUNCTION("""COMPUTED_VALUE"""),"Инсомнич")</f>
        <v>Инсомнич</v>
      </c>
      <c r="U202" s="385"/>
      <c r="W202" s="384" t="str">
        <f>IFERROR(__xludf.DUMMYFUNCTION("""COMPUTED_VALUE"""),"Красавчик")</f>
        <v>Красавчик</v>
      </c>
      <c r="X202" s="385">
        <f>IFERROR(__xludf.DUMMYFUNCTION("""COMPUTED_VALUE"""),21.0)</f>
        <v>21</v>
      </c>
    </row>
    <row r="203">
      <c r="A203" s="384" t="s">
        <v>131</v>
      </c>
      <c r="B203" s="384" t="s">
        <v>261</v>
      </c>
      <c r="C203" s="389"/>
      <c r="D203" s="389">
        <v>1.75</v>
      </c>
      <c r="E203" s="384"/>
      <c r="F203" s="389"/>
      <c r="G203" s="389"/>
      <c r="R203" s="384" t="s">
        <v>267</v>
      </c>
      <c r="T203" s="384" t="str">
        <f>IFERROR(__xludf.DUMMYFUNCTION("""COMPUTED_VALUE"""),"Крестный отец (BLR)")</f>
        <v>Крестный отец (BLR)</v>
      </c>
      <c r="U203" s="385"/>
      <c r="W203" s="384" t="str">
        <f>IFERROR(__xludf.DUMMYFUNCTION("""COMPUTED_VALUE"""),"Ментик")</f>
        <v>Ментик</v>
      </c>
      <c r="X203" s="385">
        <f>IFERROR(__xludf.DUMMYFUNCTION("""COMPUTED_VALUE"""),21.0)</f>
        <v>21</v>
      </c>
    </row>
    <row r="204">
      <c r="A204" s="384" t="s">
        <v>105</v>
      </c>
      <c r="B204" s="384" t="s">
        <v>261</v>
      </c>
      <c r="C204" s="389"/>
      <c r="D204" s="389">
        <v>2.75</v>
      </c>
      <c r="E204" s="384"/>
      <c r="F204" s="389"/>
      <c r="G204" s="389"/>
      <c r="R204" s="384" t="s">
        <v>259</v>
      </c>
      <c r="T204" s="384" t="str">
        <f>IFERROR(__xludf.DUMMYFUNCTION("""COMPUTED_VALUE"""),"Крёстный Отец (RU)")</f>
        <v>Крёстный Отец (RU)</v>
      </c>
      <c r="U204" s="385"/>
      <c r="W204" s="384" t="str">
        <f>IFERROR(__xludf.DUMMYFUNCTION("""COMPUTED_VALUE"""),"Castor Troy ")</f>
        <v>Castor Troy </v>
      </c>
      <c r="X204" s="385">
        <f>IFERROR(__xludf.DUMMYFUNCTION("""COMPUTED_VALUE"""),20.75)</f>
        <v>20.75</v>
      </c>
    </row>
    <row r="205">
      <c r="A205" s="384" t="s">
        <v>103</v>
      </c>
      <c r="B205" s="384" t="s">
        <v>265</v>
      </c>
      <c r="C205" s="389">
        <v>2.5</v>
      </c>
      <c r="D205" s="389">
        <v>3.0</v>
      </c>
      <c r="E205" s="384"/>
      <c r="F205" s="389"/>
      <c r="G205" s="389"/>
      <c r="R205" s="384" t="s">
        <v>267</v>
      </c>
      <c r="T205" s="384" t="str">
        <f>IFERROR(__xludf.DUMMYFUNCTION("""COMPUTED_VALUE"""),"Крот")</f>
        <v>Крот</v>
      </c>
      <c r="U205" s="385"/>
      <c r="W205" s="384" t="str">
        <f>IFERROR(__xludf.DUMMYFUNCTION("""COMPUTED_VALUE"""),"Ketamin")</f>
        <v>Ketamin</v>
      </c>
      <c r="X205" s="385">
        <f>IFERROR(__xludf.DUMMYFUNCTION("""COMPUTED_VALUE"""),20.75)</f>
        <v>20.75</v>
      </c>
    </row>
    <row r="206">
      <c r="A206" s="384" t="s">
        <v>106</v>
      </c>
      <c r="B206" s="384" t="s">
        <v>269</v>
      </c>
      <c r="C206" s="389">
        <v>2.5</v>
      </c>
      <c r="D206" s="389">
        <v>3.5</v>
      </c>
      <c r="E206" s="384"/>
      <c r="F206" s="389"/>
      <c r="G206" s="389"/>
      <c r="R206" s="384" t="s">
        <v>274</v>
      </c>
      <c r="T206" s="384" t="str">
        <f>IFERROR(__xludf.DUMMYFUNCTION("""COMPUTED_VALUE"""),"Лисичка")</f>
        <v>Лисичка</v>
      </c>
      <c r="U206" s="385"/>
      <c r="W206" s="384" t="str">
        <f>IFERROR(__xludf.DUMMYFUNCTION("""COMPUTED_VALUE"""),"GALAY")</f>
        <v>GALAY</v>
      </c>
      <c r="X206" s="385">
        <f>IFERROR(__xludf.DUMMYFUNCTION("""COMPUTED_VALUE"""),20.75)</f>
        <v>20.75</v>
      </c>
    </row>
    <row r="207">
      <c r="A207" s="384" t="s">
        <v>112</v>
      </c>
      <c r="B207" s="384" t="s">
        <v>271</v>
      </c>
      <c r="C207" s="389"/>
      <c r="D207" s="389">
        <v>2.0</v>
      </c>
      <c r="E207" s="384"/>
      <c r="F207" s="389"/>
      <c r="G207" s="389"/>
      <c r="R207" s="384" t="s">
        <v>257</v>
      </c>
      <c r="T207" s="384" t="str">
        <f>IFERROR(__xludf.DUMMYFUNCTION("""COMPUTED_VALUE"""),"Маваши")</f>
        <v>Маваши</v>
      </c>
      <c r="U207" s="385"/>
      <c r="W207" s="384" t="str">
        <f>IFERROR(__xludf.DUMMYFUNCTION("""COMPUTED_VALUE"""),"Авраам")</f>
        <v>Авраам</v>
      </c>
      <c r="X207" s="385">
        <f>IFERROR(__xludf.DUMMYFUNCTION("""COMPUTED_VALUE"""),20.75)</f>
        <v>20.75</v>
      </c>
    </row>
    <row r="208">
      <c r="A208" s="384" t="s">
        <v>108</v>
      </c>
      <c r="B208" s="384" t="s">
        <v>261</v>
      </c>
      <c r="C208" s="389"/>
      <c r="D208" s="389">
        <v>2.25</v>
      </c>
      <c r="E208" s="384"/>
      <c r="F208" s="389"/>
      <c r="G208" s="389"/>
      <c r="R208" s="384" t="s">
        <v>267</v>
      </c>
      <c r="T208" s="384" t="str">
        <f>IFERROR(__xludf.DUMMYFUNCTION("""COMPUTED_VALUE"""),"Манекен")</f>
        <v>Манекен</v>
      </c>
      <c r="U208" s="385"/>
      <c r="W208" s="384" t="str">
        <f>IFERROR(__xludf.DUMMYFUNCTION("""COMPUTED_VALUE"""),"Ketamin")</f>
        <v>Ketamin</v>
      </c>
      <c r="X208" s="385">
        <f>IFERROR(__xludf.DUMMYFUNCTION("""COMPUTED_VALUE"""),20.75)</f>
        <v>20.75</v>
      </c>
    </row>
    <row r="209">
      <c r="A209" s="384" t="s">
        <v>86</v>
      </c>
      <c r="B209" s="384" t="s">
        <v>261</v>
      </c>
      <c r="C209" s="389"/>
      <c r="D209" s="389">
        <v>2.0</v>
      </c>
      <c r="E209" s="384"/>
      <c r="F209" s="389"/>
      <c r="G209" s="389"/>
      <c r="R209" s="384" t="s">
        <v>272</v>
      </c>
      <c r="T209" s="384" t="str">
        <f>IFERROR(__xludf.DUMMYFUNCTION("""COMPUTED_VALUE"""),"Марго")</f>
        <v>Марго</v>
      </c>
      <c r="U209" s="385"/>
      <c r="W209" s="384" t="str">
        <f>IFERROR(__xludf.DUMMYFUNCTION("""COMPUTED_VALUE"""),"Продюсер")</f>
        <v>Продюсер</v>
      </c>
      <c r="X209" s="385">
        <f>IFERROR(__xludf.DUMMYFUNCTION("""COMPUTED_VALUE"""),20.75)</f>
        <v>20.75</v>
      </c>
    </row>
    <row r="210">
      <c r="A210" s="384" t="s">
        <v>95</v>
      </c>
      <c r="B210" s="384" t="s">
        <v>261</v>
      </c>
      <c r="C210" s="389"/>
      <c r="D210" s="389">
        <v>1.75</v>
      </c>
      <c r="E210" s="384"/>
      <c r="F210" s="389"/>
      <c r="G210" s="389"/>
      <c r="R210" s="384" t="s">
        <v>262</v>
      </c>
      <c r="T210" s="384" t="str">
        <f>IFERROR(__xludf.DUMMYFUNCTION("""COMPUTED_VALUE"""),"Ментик")</f>
        <v>Ментик</v>
      </c>
      <c r="U210" s="385"/>
      <c r="W210" s="384" t="str">
        <f>IFERROR(__xludf.DUMMYFUNCTION("""COMPUTED_VALUE"""),"Красавчик")</f>
        <v>Красавчик</v>
      </c>
      <c r="X210" s="385">
        <f>IFERROR(__xludf.DUMMYFUNCTION("""COMPUTED_VALUE"""),20.5)</f>
        <v>20.5</v>
      </c>
    </row>
    <row r="211">
      <c r="A211" s="384" t="s">
        <v>91</v>
      </c>
      <c r="B211" s="384" t="s">
        <v>269</v>
      </c>
      <c r="C211" s="389">
        <v>2.5</v>
      </c>
      <c r="D211" s="389">
        <v>3.5</v>
      </c>
      <c r="E211" s="384"/>
      <c r="F211" s="389"/>
      <c r="G211" s="389"/>
      <c r="R211" s="384" t="s">
        <v>259</v>
      </c>
      <c r="T211" s="384" t="str">
        <f>IFERROR(__xludf.DUMMYFUNCTION("""COMPUTED_VALUE"""),"Мишель ")</f>
        <v>Мишель </v>
      </c>
      <c r="U211" s="385"/>
      <c r="W211" s="384" t="str">
        <f>IFERROR(__xludf.DUMMYFUNCTION("""COMPUTED_VALUE"""),"РФ")</f>
        <v>РФ</v>
      </c>
      <c r="X211" s="385">
        <f>IFERROR(__xludf.DUMMYFUNCTION("""COMPUTED_VALUE"""),20.5)</f>
        <v>20.5</v>
      </c>
    </row>
    <row r="212">
      <c r="A212" s="384" t="s">
        <v>119</v>
      </c>
      <c r="B212" s="384" t="s">
        <v>261</v>
      </c>
      <c r="C212" s="389"/>
      <c r="D212" s="389">
        <v>3.25</v>
      </c>
      <c r="E212" s="384" t="s">
        <v>11</v>
      </c>
      <c r="F212" s="389">
        <v>1.0</v>
      </c>
      <c r="G212" s="389">
        <v>0.5</v>
      </c>
      <c r="R212" s="384" t="s">
        <v>272</v>
      </c>
      <c r="T212" s="384" t="str">
        <f>IFERROR(__xludf.DUMMYFUNCTION("""COMPUTED_VALUE"""),"Наполеон")</f>
        <v>Наполеон</v>
      </c>
      <c r="U212" s="385"/>
      <c r="W212" s="384" t="str">
        <f>IFERROR(__xludf.DUMMYFUNCTION("""COMPUTED_VALUE"""),"Юрия")</f>
        <v>Юрия</v>
      </c>
      <c r="X212" s="385">
        <f>IFERROR(__xludf.DUMMYFUNCTION("""COMPUTED_VALUE"""),20.5)</f>
        <v>20.5</v>
      </c>
    </row>
    <row r="213">
      <c r="A213" s="384" t="s">
        <v>131</v>
      </c>
      <c r="B213" s="384" t="s">
        <v>269</v>
      </c>
      <c r="C213" s="389">
        <v>2.5</v>
      </c>
      <c r="D213" s="389">
        <v>2.5</v>
      </c>
      <c r="E213" s="384"/>
      <c r="F213" s="389"/>
      <c r="G213" s="389"/>
      <c r="R213" s="384" t="s">
        <v>267</v>
      </c>
      <c r="T213" s="384" t="str">
        <f>IFERROR(__xludf.DUMMYFUNCTION("""COMPUTED_VALUE"""),"Писатель ")</f>
        <v>Писатель </v>
      </c>
      <c r="U213" s="385"/>
      <c r="W213" s="384" t="str">
        <f>IFERROR(__xludf.DUMMYFUNCTION("""COMPUTED_VALUE"""),"Helga")</f>
        <v>Helga</v>
      </c>
      <c r="X213" s="385">
        <f>IFERROR(__xludf.DUMMYFUNCTION("""COMPUTED_VALUE"""),20.5)</f>
        <v>20.5</v>
      </c>
    </row>
    <row r="214">
      <c r="A214" s="384" t="s">
        <v>105</v>
      </c>
      <c r="B214" s="384" t="s">
        <v>261</v>
      </c>
      <c r="C214" s="389"/>
      <c r="D214" s="389">
        <v>3.25</v>
      </c>
      <c r="E214" s="384"/>
      <c r="F214" s="389"/>
      <c r="G214" s="389"/>
      <c r="R214" s="384" t="s">
        <v>272</v>
      </c>
      <c r="T214" s="384" t="str">
        <f>IFERROR(__xludf.DUMMYFUNCTION("""COMPUTED_VALUE"""),"РФ")</f>
        <v>РФ</v>
      </c>
      <c r="U214" s="385"/>
      <c r="W214" s="384" t="str">
        <f>IFERROR(__xludf.DUMMYFUNCTION("""COMPUTED_VALUE"""),"Мишель ")</f>
        <v>Мишель </v>
      </c>
      <c r="X214" s="385">
        <f>IFERROR(__xludf.DUMMYFUNCTION("""COMPUTED_VALUE"""),20.5)</f>
        <v>20.5</v>
      </c>
    </row>
    <row r="215">
      <c r="A215" s="384" t="s">
        <v>103</v>
      </c>
      <c r="B215" s="384" t="s">
        <v>261</v>
      </c>
      <c r="C215" s="389"/>
      <c r="D215" s="389">
        <v>0.0</v>
      </c>
      <c r="E215" s="384"/>
      <c r="F215" s="389"/>
      <c r="G215" s="389"/>
      <c r="R215" s="384" t="s">
        <v>259</v>
      </c>
      <c r="T215" s="384" t="str">
        <f>IFERROR(__xludf.DUMMYFUNCTION("""COMPUTED_VALUE"""),"СЭНСЭЙ")</f>
        <v>СЭНСЭЙ</v>
      </c>
      <c r="U215" s="385"/>
      <c r="W215" s="384" t="str">
        <f>IFERROR(__xludf.DUMMYFUNCTION("""COMPUTED_VALUE"""),"NLIP")</f>
        <v>NLIP</v>
      </c>
      <c r="X215" s="385">
        <f>IFERROR(__xludf.DUMMYFUNCTION("""COMPUTED_VALUE"""),20.5)</f>
        <v>20.5</v>
      </c>
    </row>
    <row r="216">
      <c r="A216" s="384" t="s">
        <v>106</v>
      </c>
      <c r="B216" s="384" t="s">
        <v>261</v>
      </c>
      <c r="C216" s="389"/>
      <c r="D216" s="389">
        <v>3.5</v>
      </c>
      <c r="E216" s="384"/>
      <c r="F216" s="389"/>
      <c r="G216" s="389"/>
      <c r="R216" s="384" t="s">
        <v>268</v>
      </c>
      <c r="T216" s="384" t="str">
        <f>IFERROR(__xludf.DUMMYFUNCTION("""COMPUTED_VALUE"""),"Coach")</f>
        <v>Coach</v>
      </c>
      <c r="U216" s="385"/>
      <c r="W216" s="384" t="str">
        <f>IFERROR(__xludf.DUMMYFUNCTION("""COMPUTED_VALUE"""),"Андерсен")</f>
        <v>Андерсен</v>
      </c>
      <c r="X216" s="385">
        <f>IFERROR(__xludf.DUMMYFUNCTION("""COMPUTED_VALUE"""),20.5)</f>
        <v>20.5</v>
      </c>
    </row>
    <row r="217">
      <c r="A217" s="384" t="s">
        <v>112</v>
      </c>
      <c r="B217" s="384" t="s">
        <v>269</v>
      </c>
      <c r="C217" s="389">
        <v>2.5</v>
      </c>
      <c r="D217" s="389">
        <v>2.0</v>
      </c>
      <c r="E217" s="384"/>
      <c r="F217" s="389"/>
      <c r="G217" s="389"/>
      <c r="R217" s="384" t="s">
        <v>267</v>
      </c>
      <c r="T217" s="384" t="str">
        <f>IFERROR(__xludf.DUMMYFUNCTION("""COMPUTED_VALUE"""),"Тихий закат")</f>
        <v>Тихий закат</v>
      </c>
      <c r="U217" s="385"/>
      <c r="W217" s="384" t="str">
        <f>IFERROR(__xludf.DUMMYFUNCTION("""COMPUTED_VALUE"""),"Фокс")</f>
        <v>Фокс</v>
      </c>
      <c r="X217" s="385">
        <f>IFERROR(__xludf.DUMMYFUNCTION("""COMPUTED_VALUE"""),20.5)</f>
        <v>20.5</v>
      </c>
    </row>
    <row r="218">
      <c r="A218" s="384" t="s">
        <v>108</v>
      </c>
      <c r="B218" s="384" t="s">
        <v>261</v>
      </c>
      <c r="C218" s="389"/>
      <c r="D218" s="389">
        <v>2.0</v>
      </c>
      <c r="E218" s="384"/>
      <c r="F218" s="389"/>
      <c r="G218" s="389"/>
      <c r="R218" s="384" t="s">
        <v>268</v>
      </c>
      <c r="T218" s="384" t="str">
        <f>IFERROR(__xludf.DUMMYFUNCTION("""COMPUTED_VALUE"""),"Флэш")</f>
        <v>Флэш</v>
      </c>
      <c r="U218" s="385"/>
      <c r="W218" s="384" t="str">
        <f>IFERROR(__xludf.DUMMYFUNCTION("""COMPUTED_VALUE"""),"Правда ")</f>
        <v>Правда </v>
      </c>
      <c r="X218" s="385">
        <f>IFERROR(__xludf.DUMMYFUNCTION("""COMPUTED_VALUE"""),20.5)</f>
        <v>20.5</v>
      </c>
    </row>
    <row r="219">
      <c r="A219" s="384" t="s">
        <v>86</v>
      </c>
      <c r="B219" s="384" t="s">
        <v>261</v>
      </c>
      <c r="C219" s="389"/>
      <c r="D219" s="389">
        <v>2.25</v>
      </c>
      <c r="E219" s="384" t="s">
        <v>11</v>
      </c>
      <c r="F219" s="389"/>
      <c r="G219" s="389">
        <v>0.5</v>
      </c>
      <c r="R219" s="384" t="s">
        <v>257</v>
      </c>
      <c r="T219" s="384" t="str">
        <f>IFERROR(__xludf.DUMMYFUNCTION("""COMPUTED_VALUE"""),"Фокс")</f>
        <v>Фокс</v>
      </c>
      <c r="U219" s="385"/>
      <c r="W219" s="384" t="str">
        <f>IFERROR(__xludf.DUMMYFUNCTION("""COMPUTED_VALUE"""),"Панда из Руанды")</f>
        <v>Панда из Руанды</v>
      </c>
      <c r="X219" s="385">
        <f>IFERROR(__xludf.DUMMYFUNCTION("""COMPUTED_VALUE"""),20.5)</f>
        <v>20.5</v>
      </c>
    </row>
    <row r="220">
      <c r="A220" s="384" t="s">
        <v>95</v>
      </c>
      <c r="B220" s="384" t="s">
        <v>271</v>
      </c>
      <c r="C220" s="389"/>
      <c r="D220" s="389">
        <v>3.0</v>
      </c>
      <c r="E220" s="384"/>
      <c r="F220" s="389"/>
      <c r="G220" s="389"/>
      <c r="R220" s="384" t="s">
        <v>272</v>
      </c>
      <c r="T220" s="384" t="str">
        <f>IFERROR(__xludf.DUMMYFUNCTION("""COMPUTED_VALUE"""),"Шоу Бой")</f>
        <v>Шоу Бой</v>
      </c>
      <c r="U220" s="385"/>
      <c r="W220" s="384" t="str">
        <f>IFERROR(__xludf.DUMMYFUNCTION("""COMPUTED_VALUE"""),"Флэш")</f>
        <v>Флэш</v>
      </c>
      <c r="X220" s="385">
        <f>IFERROR(__xludf.DUMMYFUNCTION("""COMPUTED_VALUE"""),20.5)</f>
        <v>20.5</v>
      </c>
    </row>
    <row r="221">
      <c r="A221" s="384" t="s">
        <v>91</v>
      </c>
      <c r="B221" s="384" t="s">
        <v>265</v>
      </c>
      <c r="C221" s="389">
        <v>2.5</v>
      </c>
      <c r="D221" s="389">
        <v>2.5</v>
      </c>
      <c r="E221" s="384"/>
      <c r="F221" s="389"/>
      <c r="G221" s="389"/>
      <c r="R221" s="384" t="s">
        <v>259</v>
      </c>
      <c r="T221" s="384" t="str">
        <f>IFERROR(__xludf.DUMMYFUNCTION("""COMPUTED_VALUE"""),"Шпиц")</f>
        <v>Шпиц</v>
      </c>
      <c r="U221" s="385"/>
      <c r="W221" s="384" t="str">
        <f>IFERROR(__xludf.DUMMYFUNCTION("""COMPUTED_VALUE"""),"Coach")</f>
        <v>Coach</v>
      </c>
      <c r="X221" s="385">
        <f>IFERROR(__xludf.DUMMYFUNCTION("""COMPUTED_VALUE"""),20.5)</f>
        <v>20.5</v>
      </c>
    </row>
    <row r="222">
      <c r="A222" s="384" t="s">
        <v>119</v>
      </c>
      <c r="B222" s="384" t="s">
        <v>261</v>
      </c>
      <c r="C222" s="389"/>
      <c r="D222" s="389">
        <v>3.25</v>
      </c>
      <c r="E222" s="384"/>
      <c r="F222" s="389"/>
      <c r="G222" s="389"/>
      <c r="R222" s="384" t="s">
        <v>272</v>
      </c>
      <c r="T222" s="384" t="str">
        <f>IFERROR(__xludf.DUMMYFUNCTION("""COMPUTED_VALUE"""),"Юрия")</f>
        <v>Юрия</v>
      </c>
      <c r="U222" s="385"/>
      <c r="W222" s="384" t="str">
        <f>IFERROR(__xludf.DUMMYFUNCTION("""COMPUTED_VALUE"""),"Авраам")</f>
        <v>Авраам</v>
      </c>
      <c r="X222" s="385">
        <f>IFERROR(__xludf.DUMMYFUNCTION("""COMPUTED_VALUE"""),20.5)</f>
        <v>20.5</v>
      </c>
    </row>
    <row r="223">
      <c r="A223" s="384" t="s">
        <v>131</v>
      </c>
      <c r="B223" s="384" t="s">
        <v>261</v>
      </c>
      <c r="C223" s="389"/>
      <c r="D223" s="389">
        <v>2.25</v>
      </c>
      <c r="E223" s="384" t="s">
        <v>263</v>
      </c>
      <c r="F223" s="389"/>
      <c r="G223" s="389"/>
      <c r="R223" s="384" t="s">
        <v>268</v>
      </c>
      <c r="T223" s="384" t="str">
        <f>IFERROR(__xludf.DUMMYFUNCTION("""COMPUTED_VALUE"""),"A1 ")</f>
        <v>A1 </v>
      </c>
      <c r="U223" s="385"/>
      <c r="W223" s="384" t="str">
        <f>IFERROR(__xludf.DUMMYFUNCTION("""COMPUTED_VALUE"""),"Старый")</f>
        <v>Старый</v>
      </c>
      <c r="X223" s="385">
        <f>IFERROR(__xludf.DUMMYFUNCTION("""COMPUTED_VALUE"""),20.5)</f>
        <v>20.5</v>
      </c>
    </row>
    <row r="224">
      <c r="A224" s="384" t="s">
        <v>105</v>
      </c>
      <c r="B224" s="384" t="s">
        <v>269</v>
      </c>
      <c r="C224" s="389">
        <v>2.5</v>
      </c>
      <c r="D224" s="389">
        <v>2.5</v>
      </c>
      <c r="E224" s="384"/>
      <c r="F224" s="389"/>
      <c r="G224" s="389"/>
      <c r="R224" s="384" t="s">
        <v>257</v>
      </c>
      <c r="T224" s="384" t="str">
        <f>IFERROR(__xludf.DUMMYFUNCTION("""COMPUTED_VALUE"""),"Bublik")</f>
        <v>Bublik</v>
      </c>
      <c r="U224" s="385"/>
      <c r="W224" s="384" t="str">
        <f>IFERROR(__xludf.DUMMYFUNCTION("""COMPUTED_VALUE"""),"WhoIsWho")</f>
        <v>WhoIsWho</v>
      </c>
      <c r="X224" s="385">
        <f>IFERROR(__xludf.DUMMYFUNCTION("""COMPUTED_VALUE"""),20.25)</f>
        <v>20.25</v>
      </c>
    </row>
    <row r="225">
      <c r="A225" s="384" t="s">
        <v>103</v>
      </c>
      <c r="B225" s="384" t="s">
        <v>261</v>
      </c>
      <c r="C225" s="389"/>
      <c r="D225" s="389">
        <v>1.0</v>
      </c>
      <c r="E225" s="384"/>
      <c r="F225" s="389"/>
      <c r="G225" s="389"/>
      <c r="R225" s="384" t="s">
        <v>268</v>
      </c>
      <c r="T225" s="384" t="str">
        <f>IFERROR(__xludf.DUMMYFUNCTION("""COMPUTED_VALUE"""),"BWDMoscow")</f>
        <v>BWDMoscow</v>
      </c>
      <c r="U225" s="385"/>
      <c r="W225" s="384" t="str">
        <f>IFERROR(__xludf.DUMMYFUNCTION("""COMPUTED_VALUE"""),"Curly")</f>
        <v>Curly</v>
      </c>
      <c r="X225" s="385">
        <f>IFERROR(__xludf.DUMMYFUNCTION("""COMPUTED_VALUE"""),20.25)</f>
        <v>20.25</v>
      </c>
    </row>
    <row r="226">
      <c r="A226" s="384" t="s">
        <v>106</v>
      </c>
      <c r="B226" s="384" t="s">
        <v>269</v>
      </c>
      <c r="C226" s="389">
        <v>2.5</v>
      </c>
      <c r="D226" s="389">
        <v>3.0</v>
      </c>
      <c r="E226" s="384"/>
      <c r="F226" s="389"/>
      <c r="G226" s="389"/>
      <c r="R226" s="384" t="s">
        <v>272</v>
      </c>
      <c r="T226" s="384" t="str">
        <f>IFERROR(__xludf.DUMMYFUNCTION("""COMPUTED_VALUE"""),"Castor Troy ")</f>
        <v>Castor Troy </v>
      </c>
      <c r="U226" s="385"/>
      <c r="W226" s="384" t="str">
        <f>IFERROR(__xludf.DUMMYFUNCTION("""COMPUTED_VALUE"""),"NLIP")</f>
        <v>NLIP</v>
      </c>
      <c r="X226" s="385">
        <f>IFERROR(__xludf.DUMMYFUNCTION("""COMPUTED_VALUE"""),20.25)</f>
        <v>20.25</v>
      </c>
    </row>
    <row r="227">
      <c r="A227" s="384" t="s">
        <v>112</v>
      </c>
      <c r="B227" s="384" t="s">
        <v>261</v>
      </c>
      <c r="C227" s="389"/>
      <c r="D227" s="389">
        <v>3.0</v>
      </c>
      <c r="E227" s="384"/>
      <c r="F227" s="389"/>
      <c r="G227" s="389"/>
      <c r="R227" s="384" t="s">
        <v>267</v>
      </c>
      <c r="T227" s="384" t="str">
        <f>IFERROR(__xludf.DUMMYFUNCTION("""COMPUTED_VALUE"""),"Cristo")</f>
        <v>Cristo</v>
      </c>
      <c r="U227" s="385"/>
      <c r="W227" s="384" t="str">
        <f>IFERROR(__xludf.DUMMYFUNCTION("""COMPUTED_VALUE"""),"Alice ")</f>
        <v>Alice </v>
      </c>
      <c r="X227" s="385">
        <f>IFERROR(__xludf.DUMMYFUNCTION("""COMPUTED_VALUE"""),20.25)</f>
        <v>20.25</v>
      </c>
    </row>
    <row r="228">
      <c r="A228" s="384" t="s">
        <v>108</v>
      </c>
      <c r="B228" s="384" t="s">
        <v>271</v>
      </c>
      <c r="C228" s="389"/>
      <c r="D228" s="389">
        <v>2.0</v>
      </c>
      <c r="E228" s="384"/>
      <c r="F228" s="389"/>
      <c r="G228" s="389"/>
      <c r="R228" s="384" t="s">
        <v>267</v>
      </c>
      <c r="T228" s="384" t="str">
        <f>IFERROR(__xludf.DUMMYFUNCTION("""COMPUTED_VALUE"""),"Curly")</f>
        <v>Curly</v>
      </c>
      <c r="U228" s="385"/>
      <c r="W228" s="384" t="str">
        <f>IFERROR(__xludf.DUMMYFUNCTION("""COMPUTED_VALUE"""),"Крот")</f>
        <v>Крот</v>
      </c>
      <c r="X228" s="385">
        <f>IFERROR(__xludf.DUMMYFUNCTION("""COMPUTED_VALUE"""),20.25)</f>
        <v>20.25</v>
      </c>
    </row>
    <row r="229">
      <c r="A229" s="384" t="s">
        <v>86</v>
      </c>
      <c r="B229" s="384" t="s">
        <v>265</v>
      </c>
      <c r="C229" s="389">
        <v>2.5</v>
      </c>
      <c r="D229" s="389">
        <v>3.5</v>
      </c>
      <c r="E229" s="384" t="s">
        <v>260</v>
      </c>
      <c r="F229" s="389"/>
      <c r="G229" s="389"/>
      <c r="R229" s="384" t="s">
        <v>268</v>
      </c>
      <c r="T229" s="384" t="str">
        <f>IFERROR(__xludf.DUMMYFUNCTION("""COMPUTED_VALUE"""),"GALAY")</f>
        <v>GALAY</v>
      </c>
      <c r="U229" s="385"/>
      <c r="W229" s="384" t="str">
        <f>IFERROR(__xludf.DUMMYFUNCTION("""COMPUTED_VALUE"""),"Андерсен")</f>
        <v>Андерсен</v>
      </c>
      <c r="X229" s="385">
        <f>IFERROR(__xludf.DUMMYFUNCTION("""COMPUTED_VALUE"""),20.0)</f>
        <v>20</v>
      </c>
    </row>
    <row r="230">
      <c r="A230" s="384" t="s">
        <v>95</v>
      </c>
      <c r="B230" s="384" t="s">
        <v>261</v>
      </c>
      <c r="C230" s="389"/>
      <c r="D230" s="389">
        <v>2.75</v>
      </c>
      <c r="E230" s="384" t="s">
        <v>11</v>
      </c>
      <c r="F230" s="389">
        <v>0.5</v>
      </c>
      <c r="G230" s="389">
        <v>0.5</v>
      </c>
      <c r="R230" s="384" t="s">
        <v>258</v>
      </c>
      <c r="T230" s="384" t="str">
        <f>IFERROR(__xludf.DUMMYFUNCTION("""COMPUTED_VALUE"""),"Helga")</f>
        <v>Helga</v>
      </c>
      <c r="U230" s="385"/>
      <c r="W230" s="384" t="str">
        <f>IFERROR(__xludf.DUMMYFUNCTION("""COMPUTED_VALUE"""),"Infinity ")</f>
        <v>Infinity </v>
      </c>
      <c r="X230" s="385">
        <f>IFERROR(__xludf.DUMMYFUNCTION("""COMPUTED_VALUE"""),20.0)</f>
        <v>20</v>
      </c>
    </row>
    <row r="231">
      <c r="A231" s="384" t="s">
        <v>91</v>
      </c>
      <c r="B231" s="384" t="s">
        <v>261</v>
      </c>
      <c r="C231" s="389"/>
      <c r="D231" s="389">
        <v>2.75</v>
      </c>
      <c r="E231" s="384"/>
      <c r="F231" s="389"/>
      <c r="G231" s="389"/>
      <c r="R231" s="384" t="s">
        <v>264</v>
      </c>
      <c r="T231" s="384" t="str">
        <f>IFERROR(__xludf.DUMMYFUNCTION("""COMPUTED_VALUE"""),"Infinity ")</f>
        <v>Infinity </v>
      </c>
      <c r="U231" s="385"/>
      <c r="W231" s="384" t="str">
        <f>IFERROR(__xludf.DUMMYFUNCTION("""COMPUTED_VALUE"""),"Продюсер")</f>
        <v>Продюсер</v>
      </c>
      <c r="X231" s="385">
        <f>IFERROR(__xludf.DUMMYFUNCTION("""COMPUTED_VALUE"""),20.0)</f>
        <v>20</v>
      </c>
    </row>
    <row r="232">
      <c r="A232" s="384" t="s">
        <v>119</v>
      </c>
      <c r="B232" s="384" t="s">
        <v>261</v>
      </c>
      <c r="C232" s="389"/>
      <c r="D232" s="389">
        <v>1.75</v>
      </c>
      <c r="E232" s="384" t="s">
        <v>263</v>
      </c>
      <c r="F232" s="389"/>
      <c r="G232" s="389"/>
      <c r="R232" s="384" t="s">
        <v>257</v>
      </c>
      <c r="T232" s="384" t="str">
        <f>IFERROR(__xludf.DUMMYFUNCTION("""COMPUTED_VALUE"""),"Ketamin")</f>
        <v>Ketamin</v>
      </c>
      <c r="U232" s="385"/>
      <c r="W232" s="384" t="str">
        <f>IFERROR(__xludf.DUMMYFUNCTION("""COMPUTED_VALUE"""),"Ketamin")</f>
        <v>Ketamin</v>
      </c>
      <c r="X232" s="385">
        <f>IFERROR(__xludf.DUMMYFUNCTION("""COMPUTED_VALUE"""),20.0)</f>
        <v>20</v>
      </c>
    </row>
    <row r="233">
      <c r="A233" s="384" t="s">
        <v>131</v>
      </c>
      <c r="B233" s="384" t="s">
        <v>261</v>
      </c>
      <c r="C233" s="389"/>
      <c r="D233" s="389">
        <v>1.5</v>
      </c>
      <c r="E233" s="384"/>
      <c r="F233" s="389"/>
      <c r="G233" s="389"/>
      <c r="R233" s="384" t="s">
        <v>268</v>
      </c>
      <c r="T233" s="384" t="str">
        <f>IFERROR(__xludf.DUMMYFUNCTION("""COMPUTED_VALUE"""),"Light")</f>
        <v>Light</v>
      </c>
      <c r="U233" s="385"/>
      <c r="W233" s="384" t="str">
        <f>IFERROR(__xludf.DUMMYFUNCTION("""COMPUTED_VALUE"""),"Helga")</f>
        <v>Helga</v>
      </c>
      <c r="X233" s="385">
        <f>IFERROR(__xludf.DUMMYFUNCTION("""COMPUTED_VALUE"""),20.0)</f>
        <v>20</v>
      </c>
    </row>
    <row r="234">
      <c r="A234" s="384" t="s">
        <v>105</v>
      </c>
      <c r="B234" s="384" t="s">
        <v>265</v>
      </c>
      <c r="C234" s="389">
        <v>2.5</v>
      </c>
      <c r="D234" s="389">
        <v>4.0</v>
      </c>
      <c r="E234" s="384"/>
      <c r="F234" s="389"/>
      <c r="G234" s="389"/>
      <c r="R234" s="384" t="s">
        <v>268</v>
      </c>
      <c r="T234" s="384" t="str">
        <f>IFERROR(__xludf.DUMMYFUNCTION("""COMPUTED_VALUE"""),"Morti")</f>
        <v>Morti</v>
      </c>
      <c r="U234" s="385"/>
      <c r="W234" s="384" t="str">
        <f>IFERROR(__xludf.DUMMYFUNCTION("""COMPUTED_VALUE"""),"Morti")</f>
        <v>Morti</v>
      </c>
      <c r="X234" s="385">
        <f>IFERROR(__xludf.DUMMYFUNCTION("""COMPUTED_VALUE"""),20.0)</f>
        <v>20</v>
      </c>
    </row>
    <row r="235">
      <c r="A235" s="384" t="s">
        <v>103</v>
      </c>
      <c r="B235" s="384" t="s">
        <v>261</v>
      </c>
      <c r="C235" s="389"/>
      <c r="D235" s="389">
        <v>2.25</v>
      </c>
      <c r="E235" s="384"/>
      <c r="F235" s="389"/>
      <c r="G235" s="389"/>
      <c r="R235" s="384" t="s">
        <v>267</v>
      </c>
      <c r="T235" s="384" t="str">
        <f>IFERROR(__xludf.DUMMYFUNCTION("""COMPUTED_VALUE"""),"NLIP")</f>
        <v>NLIP</v>
      </c>
      <c r="U235" s="385"/>
      <c r="W235" s="384" t="str">
        <f>IFERROR(__xludf.DUMMYFUNCTION("""COMPUTED_VALUE"""),"WhoIsWho")</f>
        <v>WhoIsWho</v>
      </c>
      <c r="X235" s="385">
        <f>IFERROR(__xludf.DUMMYFUNCTION("""COMPUTED_VALUE"""),20.0)</f>
        <v>20</v>
      </c>
    </row>
    <row r="236">
      <c r="A236" s="384" t="s">
        <v>106</v>
      </c>
      <c r="B236" s="384" t="s">
        <v>261</v>
      </c>
      <c r="C236" s="389"/>
      <c r="D236" s="389">
        <v>1.75</v>
      </c>
      <c r="E236" s="384"/>
      <c r="F236" s="389"/>
      <c r="G236" s="389"/>
      <c r="R236" s="384" t="s">
        <v>272</v>
      </c>
      <c r="T236" s="384" t="str">
        <f>IFERROR(__xludf.DUMMYFUNCTION("""COMPUTED_VALUE"""),"Rocket woman ")</f>
        <v>Rocket woman </v>
      </c>
      <c r="U236" s="385"/>
      <c r="W236" s="384" t="str">
        <f>IFERROR(__xludf.DUMMYFUNCTION("""COMPUTED_VALUE"""),"Тихий закат")</f>
        <v>Тихий закат</v>
      </c>
      <c r="X236" s="385">
        <f>IFERROR(__xludf.DUMMYFUNCTION("""COMPUTED_VALUE"""),20.0)</f>
        <v>20</v>
      </c>
    </row>
    <row r="237">
      <c r="A237" s="384" t="s">
        <v>112</v>
      </c>
      <c r="B237" s="384" t="s">
        <v>271</v>
      </c>
      <c r="C237" s="389"/>
      <c r="D237" s="389">
        <v>2.25</v>
      </c>
      <c r="E237" s="384"/>
      <c r="F237" s="389"/>
      <c r="G237" s="389"/>
      <c r="R237" s="384" t="s">
        <v>267</v>
      </c>
      <c r="T237" s="384" t="str">
        <f>IFERROR(__xludf.DUMMYFUNCTION("""COMPUTED_VALUE"""),"SCHOKK ")</f>
        <v>SCHOKK </v>
      </c>
      <c r="U237" s="385"/>
      <c r="W237" s="384" t="str">
        <f>IFERROR(__xludf.DUMMYFUNCTION("""COMPUTED_VALUE"""),"Bublik")</f>
        <v>Bublik</v>
      </c>
      <c r="X237" s="385">
        <f>IFERROR(__xludf.DUMMYFUNCTION("""COMPUTED_VALUE"""),20.0)</f>
        <v>20</v>
      </c>
    </row>
    <row r="238">
      <c r="A238" s="384" t="s">
        <v>108</v>
      </c>
      <c r="B238" s="384" t="s">
        <v>261</v>
      </c>
      <c r="C238" s="389"/>
      <c r="D238" s="389">
        <v>2.5</v>
      </c>
      <c r="E238" s="384"/>
      <c r="F238" s="389"/>
      <c r="G238" s="389">
        <v>0.5</v>
      </c>
      <c r="R238" s="384" t="s">
        <v>259</v>
      </c>
      <c r="T238" s="384" t="str">
        <f>IFERROR(__xludf.DUMMYFUNCTION("""COMPUTED_VALUE"""),"SOVEST")</f>
        <v>SOVEST</v>
      </c>
      <c r="U238" s="385"/>
      <c r="W238" s="384" t="str">
        <f>IFERROR(__xludf.DUMMYFUNCTION("""COMPUTED_VALUE"""),"A1 ")</f>
        <v>A1 </v>
      </c>
      <c r="X238" s="385">
        <f>IFERROR(__xludf.DUMMYFUNCTION("""COMPUTED_VALUE"""),19.75)</f>
        <v>19.75</v>
      </c>
    </row>
    <row r="239">
      <c r="A239" s="384" t="s">
        <v>86</v>
      </c>
      <c r="B239" s="384" t="s">
        <v>269</v>
      </c>
      <c r="C239" s="389">
        <v>2.5</v>
      </c>
      <c r="D239" s="389">
        <v>3.5</v>
      </c>
      <c r="E239" s="384"/>
      <c r="F239" s="389"/>
      <c r="G239" s="389"/>
      <c r="R239" s="384" t="s">
        <v>267</v>
      </c>
      <c r="T239" s="384" t="str">
        <f>IFERROR(__xludf.DUMMYFUNCTION("""COMPUTED_VALUE"""),"Stacy")</f>
        <v>Stacy</v>
      </c>
      <c r="U239" s="385"/>
      <c r="W239" s="384" t="str">
        <f>IFERROR(__xludf.DUMMYFUNCTION("""COMPUTED_VALUE"""),"Дровосек")</f>
        <v>Дровосек</v>
      </c>
      <c r="X239" s="385">
        <f>IFERROR(__xludf.DUMMYFUNCTION("""COMPUTED_VALUE"""),19.75)</f>
        <v>19.75</v>
      </c>
    </row>
    <row r="240">
      <c r="A240" s="384" t="s">
        <v>95</v>
      </c>
      <c r="B240" s="384" t="s">
        <v>269</v>
      </c>
      <c r="C240" s="389">
        <v>2.5</v>
      </c>
      <c r="D240" s="389">
        <v>3.5</v>
      </c>
      <c r="E240" s="384"/>
      <c r="F240" s="389"/>
      <c r="G240" s="389"/>
      <c r="R240" s="384" t="s">
        <v>267</v>
      </c>
      <c r="T240" s="384" t="str">
        <f>IFERROR(__xludf.DUMMYFUNCTION("""COMPUTED_VALUE"""),"WhoIsWho")</f>
        <v>WhoIsWho</v>
      </c>
      <c r="U240" s="385"/>
      <c r="W240" s="384" t="str">
        <f>IFERROR(__xludf.DUMMYFUNCTION("""COMPUTED_VALUE"""),"A1 ")</f>
        <v>A1 </v>
      </c>
      <c r="X240" s="385">
        <f>IFERROR(__xludf.DUMMYFUNCTION("""COMPUTED_VALUE"""),19.75)</f>
        <v>19.75</v>
      </c>
    </row>
    <row r="241">
      <c r="A241" s="384" t="s">
        <v>91</v>
      </c>
      <c r="B241" s="384" t="s">
        <v>261</v>
      </c>
      <c r="C241" s="389"/>
      <c r="D241" s="389">
        <v>1.5</v>
      </c>
      <c r="E241" s="384"/>
      <c r="F241" s="389"/>
      <c r="G241" s="389"/>
      <c r="R241" s="384" t="s">
        <v>262</v>
      </c>
      <c r="T241" s="384" t="str">
        <f>IFERROR(__xludf.DUMMYFUNCTION("""COMPUTED_VALUE"""),"Young")</f>
        <v>Young</v>
      </c>
      <c r="U241" s="385"/>
      <c r="W241" s="384" t="str">
        <f>IFERROR(__xludf.DUMMYFUNCTION("""COMPUTED_VALUE"""),"Bublik")</f>
        <v>Bublik</v>
      </c>
      <c r="X241" s="385">
        <f>IFERROR(__xludf.DUMMYFUNCTION("""COMPUTED_VALUE"""),19.75)</f>
        <v>19.75</v>
      </c>
    </row>
    <row r="242">
      <c r="A242" s="384" t="s">
        <v>119</v>
      </c>
      <c r="B242" s="384" t="s">
        <v>261</v>
      </c>
      <c r="C242" s="389"/>
      <c r="D242" s="389">
        <v>2.75</v>
      </c>
      <c r="E242" s="384"/>
      <c r="F242" s="389"/>
      <c r="G242" s="389"/>
      <c r="R242" s="384" t="s">
        <v>267</v>
      </c>
      <c r="T242" s="384" t="str">
        <f>IFERROR(__xludf.DUMMYFUNCTION("QUERY('Турнирная таблица по Алфавиту'!C7:BG66,""select C,Y order by Y desc"")"),"Шпиц")</f>
        <v>Шпиц</v>
      </c>
      <c r="U242" s="385">
        <f>IFERROR(__xludf.DUMMYFUNCTION("""COMPUTED_VALUE"""),29.0)</f>
        <v>29</v>
      </c>
      <c r="W242" s="384" t="str">
        <f>IFERROR(__xludf.DUMMYFUNCTION("""COMPUTED_VALUE"""),"Правда ")</f>
        <v>Правда </v>
      </c>
      <c r="X242" s="385">
        <f>IFERROR(__xludf.DUMMYFUNCTION("""COMPUTED_VALUE"""),19.75)</f>
        <v>19.75</v>
      </c>
    </row>
    <row r="243">
      <c r="A243" s="384" t="s">
        <v>131</v>
      </c>
      <c r="B243" s="384" t="s">
        <v>261</v>
      </c>
      <c r="C243" s="389">
        <v>2.5</v>
      </c>
      <c r="D243" s="389">
        <v>4.0</v>
      </c>
      <c r="E243" s="384" t="s">
        <v>260</v>
      </c>
      <c r="F243" s="389"/>
      <c r="G243" s="389"/>
      <c r="R243" s="384" t="s">
        <v>259</v>
      </c>
      <c r="T243" s="384" t="str">
        <f>IFERROR(__xludf.DUMMYFUNCTION("""COMPUTED_VALUE"""),"Мишель ")</f>
        <v>Мишель </v>
      </c>
      <c r="U243" s="385">
        <f>IFERROR(__xludf.DUMMYFUNCTION("""COMPUTED_VALUE"""),21.0)</f>
        <v>21</v>
      </c>
      <c r="W243" s="384" t="str">
        <f>IFERROR(__xludf.DUMMYFUNCTION("""COMPUTED_VALUE"""),"Марго")</f>
        <v>Марго</v>
      </c>
      <c r="X243" s="385">
        <f>IFERROR(__xludf.DUMMYFUNCTION("""COMPUTED_VALUE"""),19.75)</f>
        <v>19.75</v>
      </c>
    </row>
    <row r="244">
      <c r="A244" s="384" t="s">
        <v>105</v>
      </c>
      <c r="B244" s="384" t="s">
        <v>261</v>
      </c>
      <c r="C244" s="389">
        <v>2.5</v>
      </c>
      <c r="D244" s="389">
        <v>2.5</v>
      </c>
      <c r="E244" s="384"/>
      <c r="F244" s="389"/>
      <c r="G244" s="389"/>
      <c r="R244" s="384" t="s">
        <v>259</v>
      </c>
      <c r="T244" s="384" t="str">
        <f>IFERROR(__xludf.DUMMYFUNCTION("""COMPUTED_VALUE"""),"Волга")</f>
        <v>Волга</v>
      </c>
      <c r="U244" s="385">
        <f>IFERROR(__xludf.DUMMYFUNCTION("""COMPUTED_VALUE"""),19.5)</f>
        <v>19.5</v>
      </c>
      <c r="W244" s="384" t="str">
        <f>IFERROR(__xludf.DUMMYFUNCTION("""COMPUTED_VALUE"""),"Cristo")</f>
        <v>Cristo</v>
      </c>
      <c r="X244" s="385">
        <f>IFERROR(__xludf.DUMMYFUNCTION("""COMPUTED_VALUE"""),19.75)</f>
        <v>19.75</v>
      </c>
    </row>
    <row r="245">
      <c r="A245" s="384" t="s">
        <v>103</v>
      </c>
      <c r="B245" s="384" t="s">
        <v>271</v>
      </c>
      <c r="C245" s="389">
        <v>2.5</v>
      </c>
      <c r="D245" s="389">
        <v>2.75</v>
      </c>
      <c r="E245" s="384"/>
      <c r="F245" s="389"/>
      <c r="G245" s="389"/>
      <c r="R245" s="384" t="s">
        <v>268</v>
      </c>
      <c r="T245" s="384" t="str">
        <f>IFERROR(__xludf.DUMMYFUNCTION("""COMPUTED_VALUE"""),"Старый")</f>
        <v>Старый</v>
      </c>
      <c r="U245" s="385">
        <f>IFERROR(__xludf.DUMMYFUNCTION("""COMPUTED_VALUE"""),19.0)</f>
        <v>19</v>
      </c>
      <c r="W245" s="384" t="str">
        <f>IFERROR(__xludf.DUMMYFUNCTION("""COMPUTED_VALUE"""),"NLIP")</f>
        <v>NLIP</v>
      </c>
      <c r="X245" s="385">
        <f>IFERROR(__xludf.DUMMYFUNCTION("""COMPUTED_VALUE"""),19.75)</f>
        <v>19.75</v>
      </c>
    </row>
    <row r="246">
      <c r="A246" s="384" t="s">
        <v>106</v>
      </c>
      <c r="B246" s="384" t="s">
        <v>269</v>
      </c>
      <c r="C246" s="389"/>
      <c r="D246" s="389">
        <v>2.5</v>
      </c>
      <c r="E246" s="384" t="s">
        <v>263</v>
      </c>
      <c r="F246" s="389"/>
      <c r="G246" s="389"/>
      <c r="R246" s="384" t="s">
        <v>272</v>
      </c>
      <c r="T246" s="384" t="str">
        <f>IFERROR(__xludf.DUMMYFUNCTION("""COMPUTED_VALUE"""),"Curly")</f>
        <v>Curly</v>
      </c>
      <c r="U246" s="385">
        <f>IFERROR(__xludf.DUMMYFUNCTION("""COMPUTED_VALUE"""),17.5)</f>
        <v>17.5</v>
      </c>
      <c r="W246" s="384" t="str">
        <f>IFERROR(__xludf.DUMMYFUNCTION("""COMPUTED_VALUE"""),"Alice ")</f>
        <v>Alice </v>
      </c>
      <c r="X246" s="385">
        <f>IFERROR(__xludf.DUMMYFUNCTION("""COMPUTED_VALUE"""),19.75)</f>
        <v>19.75</v>
      </c>
    </row>
    <row r="247">
      <c r="A247" s="384" t="s">
        <v>112</v>
      </c>
      <c r="B247" s="384" t="s">
        <v>261</v>
      </c>
      <c r="C247" s="389">
        <v>2.5</v>
      </c>
      <c r="D247" s="389">
        <v>3.25</v>
      </c>
      <c r="E247" s="384"/>
      <c r="F247" s="389"/>
      <c r="G247" s="389"/>
      <c r="R247" s="384" t="s">
        <v>259</v>
      </c>
      <c r="T247" s="384" t="str">
        <f>IFERROR(__xludf.DUMMYFUNCTION("""COMPUTED_VALUE"""),"MSR")</f>
        <v>MSR</v>
      </c>
      <c r="U247" s="385">
        <f>IFERROR(__xludf.DUMMYFUNCTION("""COMPUTED_VALUE"""),17.0)</f>
        <v>17</v>
      </c>
      <c r="W247" s="384" t="str">
        <f>IFERROR(__xludf.DUMMYFUNCTION("""COMPUTED_VALUE"""),"Волга")</f>
        <v>Волга</v>
      </c>
      <c r="X247" s="385">
        <f>IFERROR(__xludf.DUMMYFUNCTION("""COMPUTED_VALUE"""),19.75)</f>
        <v>19.75</v>
      </c>
    </row>
    <row r="248">
      <c r="A248" s="384" t="s">
        <v>108</v>
      </c>
      <c r="B248" s="384" t="s">
        <v>261</v>
      </c>
      <c r="C248" s="389">
        <v>2.5</v>
      </c>
      <c r="D248" s="389">
        <v>3.5</v>
      </c>
      <c r="E248" s="384"/>
      <c r="F248" s="389"/>
      <c r="G248" s="389"/>
      <c r="R248" s="384" t="s">
        <v>262</v>
      </c>
      <c r="T248" s="384" t="str">
        <f>IFERROR(__xludf.DUMMYFUNCTION("""COMPUTED_VALUE"""),"Rocket woman ")</f>
        <v>Rocket woman </v>
      </c>
      <c r="U248" s="385">
        <f>IFERROR(__xludf.DUMMYFUNCTION("""COMPUTED_VALUE"""),16.0)</f>
        <v>16</v>
      </c>
      <c r="W248" s="384" t="str">
        <f>IFERROR(__xludf.DUMMYFUNCTION("""COMPUTED_VALUE"""),"Волга")</f>
        <v>Волга</v>
      </c>
      <c r="X248" s="385">
        <f>IFERROR(__xludf.DUMMYFUNCTION("""COMPUTED_VALUE"""),19.75)</f>
        <v>19.75</v>
      </c>
    </row>
    <row r="249">
      <c r="A249" s="384" t="s">
        <v>86</v>
      </c>
      <c r="B249" s="384" t="s">
        <v>261</v>
      </c>
      <c r="C249" s="389">
        <v>2.5</v>
      </c>
      <c r="D249" s="389">
        <v>2.5</v>
      </c>
      <c r="E249" s="384" t="s">
        <v>260</v>
      </c>
      <c r="F249" s="389"/>
      <c r="G249" s="389"/>
      <c r="R249" s="384" t="s">
        <v>259</v>
      </c>
      <c r="T249" s="384" t="str">
        <f>IFERROR(__xludf.DUMMYFUNCTION("""COMPUTED_VALUE"""),"Бамблби")</f>
        <v>Бамблби</v>
      </c>
      <c r="U249" s="385">
        <f>IFERROR(__xludf.DUMMYFUNCTION("""COMPUTED_VALUE"""),15.75)</f>
        <v>15.75</v>
      </c>
      <c r="W249" s="384" t="str">
        <f>IFERROR(__xludf.DUMMYFUNCTION("""COMPUTED_VALUE"""),"Волга")</f>
        <v>Волга</v>
      </c>
      <c r="X249" s="385">
        <f>IFERROR(__xludf.DUMMYFUNCTION("""COMPUTED_VALUE"""),19.5)</f>
        <v>19.5</v>
      </c>
    </row>
    <row r="250">
      <c r="A250" s="384" t="s">
        <v>95</v>
      </c>
      <c r="B250" s="384" t="s">
        <v>265</v>
      </c>
      <c r="C250" s="389"/>
      <c r="D250" s="389">
        <v>2.25</v>
      </c>
      <c r="E250" s="384"/>
      <c r="F250" s="389"/>
      <c r="G250" s="389"/>
      <c r="R250" s="384" t="s">
        <v>268</v>
      </c>
      <c r="T250" s="384" t="str">
        <f>IFERROR(__xludf.DUMMYFUNCTION("""COMPUTED_VALUE"""),"Артик")</f>
        <v>Артик</v>
      </c>
      <c r="U250" s="385">
        <f>IFERROR(__xludf.DUMMYFUNCTION("""COMPUTED_VALUE"""),15.5)</f>
        <v>15.5</v>
      </c>
      <c r="W250" s="384" t="str">
        <f>IFERROR(__xludf.DUMMYFUNCTION("""COMPUTED_VALUE"""),"Панда из Руанды")</f>
        <v>Панда из Руанды</v>
      </c>
      <c r="X250" s="385">
        <f>IFERROR(__xludf.DUMMYFUNCTION("""COMPUTED_VALUE"""),19.5)</f>
        <v>19.5</v>
      </c>
    </row>
    <row r="251">
      <c r="A251" s="384" t="s">
        <v>91</v>
      </c>
      <c r="B251" s="384" t="s">
        <v>261</v>
      </c>
      <c r="C251" s="389">
        <v>2.5</v>
      </c>
      <c r="D251" s="389">
        <v>2.25</v>
      </c>
      <c r="E251" s="384" t="s">
        <v>11</v>
      </c>
      <c r="F251" s="389"/>
      <c r="G251" s="389">
        <v>0.5</v>
      </c>
      <c r="R251" s="384" t="s">
        <v>267</v>
      </c>
      <c r="T251" s="384" t="str">
        <f>IFERROR(__xludf.DUMMYFUNCTION("""COMPUTED_VALUE"""),"Крот")</f>
        <v>Крот</v>
      </c>
      <c r="U251" s="385">
        <f>IFERROR(__xludf.DUMMYFUNCTION("""COMPUTED_VALUE"""),14.25)</f>
        <v>14.25</v>
      </c>
      <c r="W251" s="384" t="str">
        <f>IFERROR(__xludf.DUMMYFUNCTION("""COMPUTED_VALUE"""),"Ketamin")</f>
        <v>Ketamin</v>
      </c>
      <c r="X251" s="385">
        <f>IFERROR(__xludf.DUMMYFUNCTION("""COMPUTED_VALUE"""),19.5)</f>
        <v>19.5</v>
      </c>
    </row>
    <row r="252">
      <c r="A252" s="384" t="s">
        <v>119</v>
      </c>
      <c r="B252" s="384" t="s">
        <v>269</v>
      </c>
      <c r="C252" s="389"/>
      <c r="D252" s="389">
        <v>2.25</v>
      </c>
      <c r="E252" s="384"/>
      <c r="F252" s="389"/>
      <c r="G252" s="389"/>
      <c r="R252" s="384" t="s">
        <v>267</v>
      </c>
      <c r="T252" s="384" t="str">
        <f>IFERROR(__xludf.DUMMYFUNCTION("""COMPUTED_VALUE"""),"Авраам")</f>
        <v>Авраам</v>
      </c>
      <c r="U252" s="385"/>
      <c r="W252" s="384" t="str">
        <f>IFERROR(__xludf.DUMMYFUNCTION("""COMPUTED_VALUE"""),"Астория")</f>
        <v>Астория</v>
      </c>
      <c r="X252" s="385">
        <f>IFERROR(__xludf.DUMMYFUNCTION("""COMPUTED_VALUE"""),19.5)</f>
        <v>19.5</v>
      </c>
    </row>
    <row r="253">
      <c r="A253" s="384" t="s">
        <v>133</v>
      </c>
      <c r="B253" s="384" t="s">
        <v>269</v>
      </c>
      <c r="C253" s="389"/>
      <c r="D253" s="389">
        <v>2.5</v>
      </c>
      <c r="E253" s="384"/>
      <c r="F253" s="389"/>
      <c r="G253" s="389"/>
      <c r="R253" s="384" t="s">
        <v>259</v>
      </c>
      <c r="T253" s="384" t="str">
        <f>IFERROR(__xludf.DUMMYFUNCTION("""COMPUTED_VALUE"""),"Админ")</f>
        <v>Админ</v>
      </c>
      <c r="U253" s="385"/>
      <c r="W253" s="384" t="str">
        <f>IFERROR(__xludf.DUMMYFUNCTION("""COMPUTED_VALUE"""),"Аш")</f>
        <v>Аш</v>
      </c>
      <c r="X253" s="385">
        <f>IFERROR(__xludf.DUMMYFUNCTION("""COMPUTED_VALUE"""),19.5)</f>
        <v>19.5</v>
      </c>
    </row>
    <row r="254">
      <c r="A254" s="384" t="s">
        <v>82</v>
      </c>
      <c r="B254" s="384" t="s">
        <v>261</v>
      </c>
      <c r="C254" s="389">
        <v>2.5</v>
      </c>
      <c r="D254" s="389">
        <v>3.0</v>
      </c>
      <c r="E254" s="384" t="s">
        <v>11</v>
      </c>
      <c r="F254" s="389">
        <v>0.5</v>
      </c>
      <c r="G254" s="389">
        <v>0.5</v>
      </c>
      <c r="R254" s="384" t="s">
        <v>259</v>
      </c>
      <c r="T254" s="384" t="str">
        <f>IFERROR(__xludf.DUMMYFUNCTION("""COMPUTED_VALUE"""),"Андерсен")</f>
        <v>Андерсен</v>
      </c>
      <c r="U254" s="385"/>
      <c r="W254" s="384" t="str">
        <f>IFERROR(__xludf.DUMMYFUNCTION("""COMPUTED_VALUE"""),"Флэш")</f>
        <v>Флэш</v>
      </c>
      <c r="X254" s="385">
        <f>IFERROR(__xludf.DUMMYFUNCTION("""COMPUTED_VALUE"""),19.5)</f>
        <v>19.5</v>
      </c>
    </row>
    <row r="255">
      <c r="A255" s="384" t="s">
        <v>94</v>
      </c>
      <c r="B255" s="384" t="s">
        <v>269</v>
      </c>
      <c r="C255" s="389"/>
      <c r="D255" s="389">
        <v>2.0</v>
      </c>
      <c r="E255" s="384"/>
      <c r="F255" s="389"/>
      <c r="G255" s="389"/>
      <c r="R255" s="384" t="s">
        <v>268</v>
      </c>
      <c r="T255" s="384" t="str">
        <f>IFERROR(__xludf.DUMMYFUNCTION("""COMPUTED_VALUE"""),"Астория")</f>
        <v>Астория</v>
      </c>
      <c r="U255" s="385"/>
      <c r="W255" s="384" t="str">
        <f>IFERROR(__xludf.DUMMYFUNCTION("""COMPUTED_VALUE"""),"Morti")</f>
        <v>Morti</v>
      </c>
      <c r="X255" s="385">
        <f>IFERROR(__xludf.DUMMYFUNCTION("""COMPUTED_VALUE"""),19.5)</f>
        <v>19.5</v>
      </c>
    </row>
    <row r="256">
      <c r="A256" s="384" t="s">
        <v>116</v>
      </c>
      <c r="B256" s="384" t="s">
        <v>261</v>
      </c>
      <c r="C256" s="389">
        <v>2.5</v>
      </c>
      <c r="D256" s="389">
        <v>4.0</v>
      </c>
      <c r="E256" s="384"/>
      <c r="F256" s="389"/>
      <c r="G256" s="389"/>
      <c r="R256" s="384" t="s">
        <v>267</v>
      </c>
      <c r="T256" s="384" t="str">
        <f>IFERROR(__xludf.DUMMYFUNCTION("""COMPUTED_VALUE"""),"Аш")</f>
        <v>Аш</v>
      </c>
      <c r="U256" s="385"/>
      <c r="W256" s="384" t="str">
        <f>IFERROR(__xludf.DUMMYFUNCTION("""COMPUTED_VALUE"""),"Марго")</f>
        <v>Марго</v>
      </c>
      <c r="X256" s="385">
        <f>IFERROR(__xludf.DUMMYFUNCTION("""COMPUTED_VALUE"""),19.5)</f>
        <v>19.5</v>
      </c>
    </row>
    <row r="257">
      <c r="A257" s="384" t="s">
        <v>131</v>
      </c>
      <c r="B257" s="384" t="s">
        <v>261</v>
      </c>
      <c r="C257" s="389">
        <v>2.5</v>
      </c>
      <c r="D257" s="389">
        <v>4.25</v>
      </c>
      <c r="E257" s="384"/>
      <c r="F257" s="389"/>
      <c r="G257" s="389"/>
      <c r="R257" s="384" t="s">
        <v>259</v>
      </c>
      <c r="T257" s="384" t="str">
        <f>IFERROR(__xludf.DUMMYFUNCTION("""COMPUTED_VALUE"""),"Градиент")</f>
        <v>Градиент</v>
      </c>
      <c r="U257" s="385"/>
      <c r="W257" s="384" t="str">
        <f>IFERROR(__xludf.DUMMYFUNCTION("""COMPUTED_VALUE"""),"Light")</f>
        <v>Light</v>
      </c>
      <c r="X257" s="385">
        <f>IFERROR(__xludf.DUMMYFUNCTION("""COMPUTED_VALUE"""),19.5)</f>
        <v>19.5</v>
      </c>
    </row>
    <row r="258">
      <c r="A258" s="384" t="s">
        <v>86</v>
      </c>
      <c r="B258" s="384" t="s">
        <v>265</v>
      </c>
      <c r="C258" s="389"/>
      <c r="D258" s="389">
        <v>1.75</v>
      </c>
      <c r="E258" s="384"/>
      <c r="F258" s="389"/>
      <c r="G258" s="389"/>
      <c r="R258" s="384" t="s">
        <v>262</v>
      </c>
      <c r="T258" s="384" t="str">
        <f>IFERROR(__xludf.DUMMYFUNCTION("""COMPUTED_VALUE"""),"Дровосек")</f>
        <v>Дровосек</v>
      </c>
      <c r="U258" s="385"/>
      <c r="W258" s="384" t="str">
        <f>IFERROR(__xludf.DUMMYFUNCTION("""COMPUTED_VALUE"""),"SOVEST")</f>
        <v>SOVEST</v>
      </c>
      <c r="X258" s="385">
        <f>IFERROR(__xludf.DUMMYFUNCTION("""COMPUTED_VALUE"""),19.5)</f>
        <v>19.5</v>
      </c>
    </row>
    <row r="259">
      <c r="A259" s="384" t="s">
        <v>85</v>
      </c>
      <c r="B259" s="384" t="s">
        <v>271</v>
      </c>
      <c r="C259" s="389">
        <v>2.5</v>
      </c>
      <c r="D259" s="389">
        <v>4.0</v>
      </c>
      <c r="E259" s="384"/>
      <c r="F259" s="389"/>
      <c r="G259" s="389"/>
      <c r="R259" s="384" t="s">
        <v>267</v>
      </c>
      <c r="T259" s="384" t="str">
        <f>IFERROR(__xludf.DUMMYFUNCTION("""COMPUTED_VALUE"""),"Зверюга")</f>
        <v>Зверюга</v>
      </c>
      <c r="U259" s="385"/>
      <c r="W259" s="384" t="str">
        <f>IFERROR(__xludf.DUMMYFUNCTION("""COMPUTED_VALUE"""),"Cristo")</f>
        <v>Cristo</v>
      </c>
      <c r="X259" s="385">
        <f>IFERROR(__xludf.DUMMYFUNCTION("""COMPUTED_VALUE"""),19.5)</f>
        <v>19.5</v>
      </c>
    </row>
    <row r="260">
      <c r="A260" s="384" t="s">
        <v>124</v>
      </c>
      <c r="B260" s="384" t="s">
        <v>261</v>
      </c>
      <c r="C260" s="389">
        <v>2.5</v>
      </c>
      <c r="D260" s="389">
        <v>3.75</v>
      </c>
      <c r="E260" s="384"/>
      <c r="F260" s="389"/>
      <c r="G260" s="389"/>
      <c r="R260" s="384" t="s">
        <v>268</v>
      </c>
      <c r="T260" s="384" t="str">
        <f>IFERROR(__xludf.DUMMYFUNCTION("""COMPUTED_VALUE"""),"Инсомнич")</f>
        <v>Инсомнич</v>
      </c>
      <c r="U260" s="385"/>
      <c r="W260" s="384" t="str">
        <f>IFERROR(__xludf.DUMMYFUNCTION("""COMPUTED_VALUE"""),"Продюсер")</f>
        <v>Продюсер</v>
      </c>
      <c r="X260" s="385">
        <f>IFERROR(__xludf.DUMMYFUNCTION("""COMPUTED_VALUE"""),19.25)</f>
        <v>19.25</v>
      </c>
    </row>
    <row r="261">
      <c r="A261" s="384" t="s">
        <v>108</v>
      </c>
      <c r="B261" s="384" t="s">
        <v>261</v>
      </c>
      <c r="C261" s="389">
        <v>2.5</v>
      </c>
      <c r="D261" s="389">
        <v>3.25</v>
      </c>
      <c r="E261" s="384"/>
      <c r="F261" s="389"/>
      <c r="G261" s="389"/>
      <c r="R261" s="384" t="s">
        <v>272</v>
      </c>
      <c r="T261" s="384" t="str">
        <f>IFERROR(__xludf.DUMMYFUNCTION("""COMPUTED_VALUE"""),"Красавчик")</f>
        <v>Красавчик</v>
      </c>
      <c r="U261" s="385"/>
      <c r="W261" s="384" t="str">
        <f>IFERROR(__xludf.DUMMYFUNCTION("""COMPUTED_VALUE"""),"A1 ")</f>
        <v>A1 </v>
      </c>
      <c r="X261" s="385">
        <f>IFERROR(__xludf.DUMMYFUNCTION("""COMPUTED_VALUE"""),19.25)</f>
        <v>19.25</v>
      </c>
    </row>
    <row r="262">
      <c r="A262" s="384" t="s">
        <v>101</v>
      </c>
      <c r="B262" s="384" t="s">
        <v>261</v>
      </c>
      <c r="C262" s="389">
        <v>2.5</v>
      </c>
      <c r="D262" s="389">
        <v>3.5</v>
      </c>
      <c r="E262" s="384"/>
      <c r="F262" s="389"/>
      <c r="G262" s="389"/>
      <c r="R262" s="384" t="s">
        <v>272</v>
      </c>
      <c r="T262" s="384" t="str">
        <f>IFERROR(__xludf.DUMMYFUNCTION("""COMPUTED_VALUE"""),"Крестный отец (BLR)")</f>
        <v>Крестный отец (BLR)</v>
      </c>
      <c r="U262" s="385"/>
      <c r="W262" s="384" t="str">
        <f>IFERROR(__xludf.DUMMYFUNCTION("""COMPUTED_VALUE"""),"Наполеон")</f>
        <v>Наполеон</v>
      </c>
      <c r="X262" s="385">
        <f>IFERROR(__xludf.DUMMYFUNCTION("""COMPUTED_VALUE"""),19.25)</f>
        <v>19.25</v>
      </c>
    </row>
    <row r="263">
      <c r="A263" s="384" t="s">
        <v>133</v>
      </c>
      <c r="B263" s="384" t="s">
        <v>261</v>
      </c>
      <c r="C263" s="389"/>
      <c r="D263" s="389">
        <v>3.0</v>
      </c>
      <c r="E263" s="384" t="s">
        <v>263</v>
      </c>
      <c r="F263" s="389"/>
      <c r="G263" s="389"/>
      <c r="R263" s="384" t="s">
        <v>272</v>
      </c>
      <c r="T263" s="384" t="str">
        <f>IFERROR(__xludf.DUMMYFUNCTION("""COMPUTED_VALUE"""),"Крёстный Отец (RU)")</f>
        <v>Крёстный Отец (RU)</v>
      </c>
      <c r="U263" s="385"/>
      <c r="W263" s="384" t="str">
        <f>IFERROR(__xludf.DUMMYFUNCTION("""COMPUTED_VALUE"""),"Фокс")</f>
        <v>Фокс</v>
      </c>
      <c r="X263" s="385">
        <f>IFERROR(__xludf.DUMMYFUNCTION("""COMPUTED_VALUE"""),19.25)</f>
        <v>19.25</v>
      </c>
    </row>
    <row r="264">
      <c r="A264" s="384" t="s">
        <v>82</v>
      </c>
      <c r="B264" s="384" t="s">
        <v>261</v>
      </c>
      <c r="C264" s="389"/>
      <c r="D264" s="389">
        <v>2.25</v>
      </c>
      <c r="E264" s="384"/>
      <c r="F264" s="389"/>
      <c r="G264" s="389"/>
      <c r="R264" s="384" t="s">
        <v>272</v>
      </c>
      <c r="T264" s="384" t="str">
        <f>IFERROR(__xludf.DUMMYFUNCTION("""COMPUTED_VALUE"""),"Левша")</f>
        <v>Левша</v>
      </c>
      <c r="U264" s="385"/>
      <c r="W264" s="384" t="str">
        <f>IFERROR(__xludf.DUMMYFUNCTION("""COMPUTED_VALUE"""),"Бамблби")</f>
        <v>Бамблби</v>
      </c>
      <c r="X264" s="385">
        <f>IFERROR(__xludf.DUMMYFUNCTION("""COMPUTED_VALUE"""),19.25)</f>
        <v>19.25</v>
      </c>
    </row>
    <row r="265">
      <c r="A265" s="384" t="s">
        <v>94</v>
      </c>
      <c r="B265" s="384" t="s">
        <v>261</v>
      </c>
      <c r="C265" s="389"/>
      <c r="D265" s="389">
        <v>3.0</v>
      </c>
      <c r="E265" s="384"/>
      <c r="F265" s="389"/>
      <c r="G265" s="389"/>
      <c r="R265" s="384" t="s">
        <v>267</v>
      </c>
      <c r="T265" s="384" t="str">
        <f>IFERROR(__xludf.DUMMYFUNCTION("""COMPUTED_VALUE"""),"Лисичка")</f>
        <v>Лисичка</v>
      </c>
      <c r="U265" s="385"/>
      <c r="W265" s="384" t="str">
        <f>IFERROR(__xludf.DUMMYFUNCTION("""COMPUTED_VALUE"""),"Андерсен")</f>
        <v>Андерсен</v>
      </c>
      <c r="X265" s="385">
        <f>IFERROR(__xludf.DUMMYFUNCTION("""COMPUTED_VALUE"""),19.25)</f>
        <v>19.25</v>
      </c>
    </row>
    <row r="266">
      <c r="A266" s="384" t="s">
        <v>116</v>
      </c>
      <c r="B266" s="384" t="s">
        <v>269</v>
      </c>
      <c r="C266" s="389">
        <v>2.5</v>
      </c>
      <c r="D266" s="389">
        <v>2.5</v>
      </c>
      <c r="E266" s="384"/>
      <c r="F266" s="389"/>
      <c r="G266" s="389"/>
      <c r="R266" s="384" t="s">
        <v>268</v>
      </c>
      <c r="T266" s="384" t="str">
        <f>IFERROR(__xludf.DUMMYFUNCTION("""COMPUTED_VALUE"""),"Маваши")</f>
        <v>Маваши</v>
      </c>
      <c r="U266" s="385"/>
      <c r="W266" s="384" t="str">
        <f>IFERROR(__xludf.DUMMYFUNCTION("""COMPUTED_VALUE"""),"Крестный отец (BLR)")</f>
        <v>Крестный отец (BLR)</v>
      </c>
      <c r="X266" s="385">
        <f>IFERROR(__xludf.DUMMYFUNCTION("""COMPUTED_VALUE"""),19.25)</f>
        <v>19.25</v>
      </c>
    </row>
    <row r="267">
      <c r="A267" s="384" t="s">
        <v>131</v>
      </c>
      <c r="B267" s="384" t="s">
        <v>261</v>
      </c>
      <c r="C267" s="389"/>
      <c r="D267" s="389">
        <v>2.25</v>
      </c>
      <c r="E267" s="384"/>
      <c r="F267" s="389"/>
      <c r="G267" s="389"/>
      <c r="R267" s="384" t="s">
        <v>267</v>
      </c>
      <c r="T267" s="384" t="str">
        <f>IFERROR(__xludf.DUMMYFUNCTION("""COMPUTED_VALUE"""),"Манекен")</f>
        <v>Манекен</v>
      </c>
      <c r="U267" s="385"/>
      <c r="W267" s="384" t="str">
        <f>IFERROR(__xludf.DUMMYFUNCTION("""COMPUTED_VALUE"""),"Infinity ")</f>
        <v>Infinity </v>
      </c>
      <c r="X267" s="385">
        <f>IFERROR(__xludf.DUMMYFUNCTION("""COMPUTED_VALUE"""),19.25)</f>
        <v>19.25</v>
      </c>
    </row>
    <row r="268">
      <c r="A268" s="384" t="s">
        <v>86</v>
      </c>
      <c r="B268" s="384" t="s">
        <v>265</v>
      </c>
      <c r="C268" s="389">
        <v>2.5</v>
      </c>
      <c r="D268" s="389">
        <v>4.0</v>
      </c>
      <c r="E268" s="384" t="s">
        <v>260</v>
      </c>
      <c r="F268" s="389"/>
      <c r="G268" s="389"/>
      <c r="R268" s="384" t="s">
        <v>268</v>
      </c>
      <c r="T268" s="384" t="str">
        <f>IFERROR(__xludf.DUMMYFUNCTION("""COMPUTED_VALUE"""),"Марго")</f>
        <v>Марго</v>
      </c>
      <c r="U268" s="385"/>
      <c r="W268" s="384" t="str">
        <f>IFERROR(__xludf.DUMMYFUNCTION("""COMPUTED_VALUE"""),"Астория")</f>
        <v>Астория</v>
      </c>
      <c r="X268" s="385">
        <f>IFERROR(__xludf.DUMMYFUNCTION("""COMPUTED_VALUE"""),19.25)</f>
        <v>19.25</v>
      </c>
    </row>
    <row r="269">
      <c r="A269" s="384" t="s">
        <v>85</v>
      </c>
      <c r="B269" s="384" t="s">
        <v>261</v>
      </c>
      <c r="C269" s="389"/>
      <c r="D269" s="389">
        <v>1.5</v>
      </c>
      <c r="E269" s="384"/>
      <c r="F269" s="389"/>
      <c r="G269" s="389"/>
      <c r="R269" s="384" t="s">
        <v>257</v>
      </c>
      <c r="T269" s="384" t="str">
        <f>IFERROR(__xludf.DUMMYFUNCTION("""COMPUTED_VALUE"""),"Ментик")</f>
        <v>Ментик</v>
      </c>
      <c r="U269" s="385"/>
      <c r="W269" s="384" t="str">
        <f>IFERROR(__xludf.DUMMYFUNCTION("""COMPUTED_VALUE"""),"SOVEST")</f>
        <v>SOVEST</v>
      </c>
      <c r="X269" s="385">
        <f>IFERROR(__xludf.DUMMYFUNCTION("""COMPUTED_VALUE"""),19.0)</f>
        <v>19</v>
      </c>
    </row>
    <row r="270">
      <c r="A270" s="384" t="s">
        <v>124</v>
      </c>
      <c r="B270" s="384" t="s">
        <v>261</v>
      </c>
      <c r="C270" s="389"/>
      <c r="D270" s="389">
        <v>2.0</v>
      </c>
      <c r="E270" s="384" t="s">
        <v>263</v>
      </c>
      <c r="F270" s="389"/>
      <c r="G270" s="389"/>
      <c r="R270" s="384" t="s">
        <v>257</v>
      </c>
      <c r="T270" s="384" t="str">
        <f>IFERROR(__xludf.DUMMYFUNCTION("""COMPUTED_VALUE"""),"Наполеон")</f>
        <v>Наполеон</v>
      </c>
      <c r="U270" s="385"/>
      <c r="W270" s="384" t="str">
        <f>IFERROR(__xludf.DUMMYFUNCTION("""COMPUTED_VALUE"""),"Старый")</f>
        <v>Старый</v>
      </c>
      <c r="X270" s="385">
        <f>IFERROR(__xludf.DUMMYFUNCTION("""COMPUTED_VALUE"""),19.0)</f>
        <v>19</v>
      </c>
    </row>
    <row r="271">
      <c r="A271" s="384" t="s">
        <v>108</v>
      </c>
      <c r="B271" s="384" t="s">
        <v>271</v>
      </c>
      <c r="C271" s="389"/>
      <c r="D271" s="389">
        <v>3.25</v>
      </c>
      <c r="E271" s="384" t="s">
        <v>11</v>
      </c>
      <c r="F271" s="389">
        <v>0.5</v>
      </c>
      <c r="G271" s="389">
        <v>0.5</v>
      </c>
      <c r="R271" s="384" t="s">
        <v>259</v>
      </c>
      <c r="T271" s="384" t="str">
        <f>IFERROR(__xludf.DUMMYFUNCTION("""COMPUTED_VALUE"""),"Панда из Руанды")</f>
        <v>Панда из Руанды</v>
      </c>
      <c r="U271" s="385"/>
      <c r="W271" s="384" t="str">
        <f>IFERROR(__xludf.DUMMYFUNCTION("""COMPUTED_VALUE"""),"РФ")</f>
        <v>РФ</v>
      </c>
      <c r="X271" s="385">
        <f>IFERROR(__xludf.DUMMYFUNCTION("""COMPUTED_VALUE"""),19.0)</f>
        <v>19</v>
      </c>
    </row>
    <row r="272">
      <c r="A272" s="384" t="s">
        <v>101</v>
      </c>
      <c r="B272" s="384" t="s">
        <v>269</v>
      </c>
      <c r="C272" s="389">
        <v>2.5</v>
      </c>
      <c r="D272" s="389">
        <v>2.25</v>
      </c>
      <c r="E272" s="384"/>
      <c r="F272" s="389"/>
      <c r="G272" s="389"/>
      <c r="R272" s="384" t="s">
        <v>257</v>
      </c>
      <c r="T272" s="384" t="str">
        <f>IFERROR(__xludf.DUMMYFUNCTION("""COMPUTED_VALUE"""),"Писатель ")</f>
        <v>Писатель </v>
      </c>
      <c r="U272" s="385"/>
      <c r="W272" s="384" t="str">
        <f>IFERROR(__xludf.DUMMYFUNCTION("""COMPUTED_VALUE"""),"Марго")</f>
        <v>Марго</v>
      </c>
      <c r="X272" s="385">
        <f>IFERROR(__xludf.DUMMYFUNCTION("""COMPUTED_VALUE"""),19.0)</f>
        <v>19</v>
      </c>
    </row>
    <row r="273">
      <c r="A273" s="384" t="s">
        <v>133</v>
      </c>
      <c r="B273" s="384" t="s">
        <v>261</v>
      </c>
      <c r="C273" s="389"/>
      <c r="D273" s="389">
        <v>2.25</v>
      </c>
      <c r="E273" s="384"/>
      <c r="F273" s="389"/>
      <c r="G273" s="389"/>
      <c r="R273" s="384" t="s">
        <v>267</v>
      </c>
      <c r="T273" s="384" t="str">
        <f>IFERROR(__xludf.DUMMYFUNCTION("""COMPUTED_VALUE"""),"Правда ")</f>
        <v>Правда </v>
      </c>
      <c r="U273" s="385"/>
      <c r="W273" s="384" t="str">
        <f>IFERROR(__xludf.DUMMYFUNCTION("""COMPUTED_VALUE"""),"Шпиц")</f>
        <v>Шпиц</v>
      </c>
      <c r="X273" s="385">
        <f>IFERROR(__xludf.DUMMYFUNCTION("""COMPUTED_VALUE"""),19.0)</f>
        <v>19</v>
      </c>
    </row>
    <row r="274">
      <c r="A274" s="384" t="s">
        <v>82</v>
      </c>
      <c r="B274" s="384" t="s">
        <v>261</v>
      </c>
      <c r="C274" s="389"/>
      <c r="D274" s="389">
        <v>1.75</v>
      </c>
      <c r="E274" s="384"/>
      <c r="F274" s="389"/>
      <c r="G274" s="389"/>
      <c r="R274" s="384" t="s">
        <v>257</v>
      </c>
      <c r="T274" s="384" t="str">
        <f>IFERROR(__xludf.DUMMYFUNCTION("""COMPUTED_VALUE"""),"Продюсер")</f>
        <v>Продюсер</v>
      </c>
      <c r="U274" s="385"/>
      <c r="W274" s="384" t="str">
        <f>IFERROR(__xludf.DUMMYFUNCTION("""COMPUTED_VALUE"""),"GALAY")</f>
        <v>GALAY</v>
      </c>
      <c r="X274" s="385">
        <f>IFERROR(__xludf.DUMMYFUNCTION("""COMPUTED_VALUE"""),19.0)</f>
        <v>19</v>
      </c>
    </row>
    <row r="275">
      <c r="A275" s="384" t="s">
        <v>94</v>
      </c>
      <c r="B275" s="384" t="s">
        <v>271</v>
      </c>
      <c r="C275" s="389"/>
      <c r="D275" s="389">
        <v>2.0</v>
      </c>
      <c r="E275" s="384"/>
      <c r="F275" s="389"/>
      <c r="G275" s="389"/>
      <c r="R275" s="384" t="s">
        <v>272</v>
      </c>
      <c r="T275" s="384" t="str">
        <f>IFERROR(__xludf.DUMMYFUNCTION("""COMPUTED_VALUE"""),"РФ")</f>
        <v>РФ</v>
      </c>
      <c r="U275" s="385"/>
      <c r="W275" s="384" t="str">
        <f>IFERROR(__xludf.DUMMYFUNCTION("""COMPUTED_VALUE"""),"Дровосек")</f>
        <v>Дровосек</v>
      </c>
      <c r="X275" s="385">
        <f>IFERROR(__xludf.DUMMYFUNCTION("""COMPUTED_VALUE"""),19.0)</f>
        <v>19</v>
      </c>
    </row>
    <row r="276">
      <c r="A276" s="384" t="s">
        <v>116</v>
      </c>
      <c r="B276" s="384" t="s">
        <v>269</v>
      </c>
      <c r="C276" s="389">
        <v>2.5</v>
      </c>
      <c r="D276" s="389">
        <v>4.0</v>
      </c>
      <c r="E276" s="384"/>
      <c r="F276" s="389"/>
      <c r="G276" s="389"/>
      <c r="R276" s="384" t="s">
        <v>267</v>
      </c>
      <c r="T276" s="384" t="str">
        <f>IFERROR(__xludf.DUMMYFUNCTION("""COMPUTED_VALUE"""),"СЭНСЭЙ")</f>
        <v>СЭНСЭЙ</v>
      </c>
      <c r="U276" s="385"/>
      <c r="W276" s="384" t="str">
        <f>IFERROR(__xludf.DUMMYFUNCTION("""COMPUTED_VALUE"""),"Панда из Руанды")</f>
        <v>Панда из Руанды</v>
      </c>
      <c r="X276" s="385">
        <f>IFERROR(__xludf.DUMMYFUNCTION("""COMPUTED_VALUE"""),19.0)</f>
        <v>19</v>
      </c>
    </row>
    <row r="277">
      <c r="A277" s="384" t="s">
        <v>131</v>
      </c>
      <c r="B277" s="384" t="s">
        <v>261</v>
      </c>
      <c r="C277" s="389"/>
      <c r="D277" s="389">
        <v>1.75</v>
      </c>
      <c r="E277" s="384" t="s">
        <v>11</v>
      </c>
      <c r="F277" s="389"/>
      <c r="G277" s="389">
        <v>0.5</v>
      </c>
      <c r="R277" s="384" t="s">
        <v>258</v>
      </c>
      <c r="T277" s="384" t="str">
        <f>IFERROR(__xludf.DUMMYFUNCTION("""COMPUTED_VALUE"""),"Coach")</f>
        <v>Coach</v>
      </c>
      <c r="U277" s="385"/>
      <c r="W277" s="384" t="str">
        <f>IFERROR(__xludf.DUMMYFUNCTION("""COMPUTED_VALUE"""),"Young")</f>
        <v>Young</v>
      </c>
      <c r="X277" s="385">
        <f>IFERROR(__xludf.DUMMYFUNCTION("""COMPUTED_VALUE"""),19.0)</f>
        <v>19</v>
      </c>
    </row>
    <row r="278">
      <c r="A278" s="384" t="s">
        <v>86</v>
      </c>
      <c r="B278" s="384" t="s">
        <v>261</v>
      </c>
      <c r="C278" s="389"/>
      <c r="D278" s="389">
        <v>1.75</v>
      </c>
      <c r="E278" s="384"/>
      <c r="F278" s="389"/>
      <c r="G278" s="389"/>
      <c r="R278" s="384" t="s">
        <v>267</v>
      </c>
      <c r="T278" s="384" t="str">
        <f>IFERROR(__xludf.DUMMYFUNCTION("""COMPUTED_VALUE"""),"Тихий закат")</f>
        <v>Тихий закат</v>
      </c>
      <c r="U278" s="385"/>
      <c r="W278" s="384" t="str">
        <f>IFERROR(__xludf.DUMMYFUNCTION("""COMPUTED_VALUE"""),"Писатель ")</f>
        <v>Писатель </v>
      </c>
      <c r="X278" s="385">
        <f>IFERROR(__xludf.DUMMYFUNCTION("""COMPUTED_VALUE"""),19.0)</f>
        <v>19</v>
      </c>
    </row>
    <row r="279">
      <c r="A279" s="384" t="s">
        <v>85</v>
      </c>
      <c r="B279" s="384" t="s">
        <v>261</v>
      </c>
      <c r="C279" s="389"/>
      <c r="D279" s="389">
        <v>2.25</v>
      </c>
      <c r="E279" s="384"/>
      <c r="F279" s="389"/>
      <c r="G279" s="389"/>
      <c r="R279" s="384" t="s">
        <v>267</v>
      </c>
      <c r="T279" s="384" t="str">
        <f>IFERROR(__xludf.DUMMYFUNCTION("""COMPUTED_VALUE"""),"Физик")</f>
        <v>Физик</v>
      </c>
      <c r="U279" s="385"/>
      <c r="W279" s="384" t="str">
        <f>IFERROR(__xludf.DUMMYFUNCTION("""COMPUTED_VALUE"""),"Coach")</f>
        <v>Coach</v>
      </c>
      <c r="X279" s="385">
        <f>IFERROR(__xludf.DUMMYFUNCTION("""COMPUTED_VALUE"""),18.75)</f>
        <v>18.75</v>
      </c>
    </row>
    <row r="280">
      <c r="A280" s="384" t="s">
        <v>124</v>
      </c>
      <c r="B280" s="384" t="s">
        <v>269</v>
      </c>
      <c r="C280" s="389">
        <v>2.5</v>
      </c>
      <c r="D280" s="389">
        <v>3.75</v>
      </c>
      <c r="E280" s="384"/>
      <c r="F280" s="389"/>
      <c r="G280" s="389"/>
      <c r="R280" s="384" t="s">
        <v>259</v>
      </c>
      <c r="T280" s="384" t="str">
        <f>IFERROR(__xludf.DUMMYFUNCTION("""COMPUTED_VALUE"""),"Флэш")</f>
        <v>Флэш</v>
      </c>
      <c r="U280" s="385"/>
      <c r="W280" s="384" t="str">
        <f>IFERROR(__xludf.DUMMYFUNCTION("""COMPUTED_VALUE"""),"Infinity ")</f>
        <v>Infinity </v>
      </c>
      <c r="X280" s="385">
        <f>IFERROR(__xludf.DUMMYFUNCTION("""COMPUTED_VALUE"""),18.75)</f>
        <v>18.75</v>
      </c>
    </row>
    <row r="281">
      <c r="A281" s="384" t="s">
        <v>108</v>
      </c>
      <c r="B281" s="384" t="s">
        <v>265</v>
      </c>
      <c r="C281" s="389">
        <v>2.5</v>
      </c>
      <c r="D281" s="389">
        <v>3.75</v>
      </c>
      <c r="E281" s="384"/>
      <c r="F281" s="389"/>
      <c r="G281" s="389"/>
      <c r="R281" s="384" t="s">
        <v>259</v>
      </c>
      <c r="T281" s="384" t="str">
        <f>IFERROR(__xludf.DUMMYFUNCTION("""COMPUTED_VALUE"""),"Фокс")</f>
        <v>Фокс</v>
      </c>
      <c r="U281" s="385"/>
      <c r="W281" s="384" t="str">
        <f>IFERROR(__xludf.DUMMYFUNCTION("""COMPUTED_VALUE"""),"SCHOKK ")</f>
        <v>SCHOKK </v>
      </c>
      <c r="X281" s="385">
        <f>IFERROR(__xludf.DUMMYFUNCTION("""COMPUTED_VALUE"""),18.75)</f>
        <v>18.75</v>
      </c>
    </row>
    <row r="282">
      <c r="A282" s="384" t="s">
        <v>101</v>
      </c>
      <c r="B282" s="384" t="s">
        <v>261</v>
      </c>
      <c r="C282" s="389"/>
      <c r="D282" s="389">
        <v>2.25</v>
      </c>
      <c r="E282" s="384"/>
      <c r="F282" s="389"/>
      <c r="G282" s="389"/>
      <c r="R282" s="384" t="s">
        <v>259</v>
      </c>
      <c r="T282" s="384" t="str">
        <f>IFERROR(__xludf.DUMMYFUNCTION("""COMPUTED_VALUE"""),"Шоу Бой")</f>
        <v>Шоу Бой</v>
      </c>
      <c r="U282" s="385"/>
      <c r="W282" s="384" t="str">
        <f>IFERROR(__xludf.DUMMYFUNCTION("""COMPUTED_VALUE"""),"Тихий закат")</f>
        <v>Тихий закат</v>
      </c>
      <c r="X282" s="385">
        <f>IFERROR(__xludf.DUMMYFUNCTION("""COMPUTED_VALUE"""),18.75)</f>
        <v>18.75</v>
      </c>
    </row>
    <row r="283">
      <c r="A283" s="384" t="s">
        <v>133</v>
      </c>
      <c r="B283" s="384" t="s">
        <v>261</v>
      </c>
      <c r="C283" s="389"/>
      <c r="D283" s="389">
        <v>2.0</v>
      </c>
      <c r="E283" s="384"/>
      <c r="F283" s="389"/>
      <c r="G283" s="389"/>
      <c r="R283" s="384" t="s">
        <v>267</v>
      </c>
      <c r="T283" s="384" t="str">
        <f>IFERROR(__xludf.DUMMYFUNCTION("""COMPUTED_VALUE"""),"Юрия")</f>
        <v>Юрия</v>
      </c>
      <c r="U283" s="385"/>
      <c r="W283" s="384" t="str">
        <f>IFERROR(__xludf.DUMMYFUNCTION("""COMPUTED_VALUE"""),"GALAY")</f>
        <v>GALAY</v>
      </c>
      <c r="X283" s="385">
        <f>IFERROR(__xludf.DUMMYFUNCTION("""COMPUTED_VALUE"""),18.75)</f>
        <v>18.75</v>
      </c>
    </row>
    <row r="284">
      <c r="A284" s="384" t="s">
        <v>82</v>
      </c>
      <c r="B284" s="384" t="s">
        <v>261</v>
      </c>
      <c r="C284" s="389"/>
      <c r="D284" s="389">
        <v>1.75</v>
      </c>
      <c r="E284" s="384"/>
      <c r="F284" s="389"/>
      <c r="G284" s="389"/>
      <c r="R284" s="384" t="s">
        <v>272</v>
      </c>
      <c r="T284" s="384" t="str">
        <f>IFERROR(__xludf.DUMMYFUNCTION("""COMPUTED_VALUE"""),"A1 ")</f>
        <v>A1 </v>
      </c>
      <c r="U284" s="385"/>
      <c r="W284" s="384" t="str">
        <f>IFERROR(__xludf.DUMMYFUNCTION("""COMPUTED_VALUE"""),"Young")</f>
        <v>Young</v>
      </c>
      <c r="X284" s="385">
        <f>IFERROR(__xludf.DUMMYFUNCTION("""COMPUTED_VALUE"""),18.75)</f>
        <v>18.75</v>
      </c>
    </row>
    <row r="285">
      <c r="A285" s="384" t="s">
        <v>94</v>
      </c>
      <c r="B285" s="384" t="s">
        <v>269</v>
      </c>
      <c r="C285" s="389">
        <v>2.5</v>
      </c>
      <c r="D285" s="389">
        <v>3.75</v>
      </c>
      <c r="E285" s="384"/>
      <c r="F285" s="389"/>
      <c r="G285" s="389"/>
      <c r="R285" s="384" t="s">
        <v>259</v>
      </c>
      <c r="T285" s="384" t="str">
        <f>IFERROR(__xludf.DUMMYFUNCTION("""COMPUTED_VALUE"""),"Alice ")</f>
        <v>Alice </v>
      </c>
      <c r="U285" s="385"/>
      <c r="W285" s="384" t="str">
        <f>IFERROR(__xludf.DUMMYFUNCTION("""COMPUTED_VALUE"""),"Флэш")</f>
        <v>Флэш</v>
      </c>
      <c r="X285" s="385">
        <f>IFERROR(__xludf.DUMMYFUNCTION("""COMPUTED_VALUE"""),18.75)</f>
        <v>18.75</v>
      </c>
    </row>
    <row r="286">
      <c r="A286" s="384" t="s">
        <v>116</v>
      </c>
      <c r="B286" s="384" t="s">
        <v>261</v>
      </c>
      <c r="C286" s="389"/>
      <c r="D286" s="389">
        <v>3.5</v>
      </c>
      <c r="E286" s="384" t="s">
        <v>11</v>
      </c>
      <c r="F286" s="389">
        <v>0.5</v>
      </c>
      <c r="G286" s="389">
        <v>0.5</v>
      </c>
      <c r="R286" s="384" t="s">
        <v>272</v>
      </c>
      <c r="T286" s="384" t="str">
        <f>IFERROR(__xludf.DUMMYFUNCTION("""COMPUTED_VALUE"""),"Bublik")</f>
        <v>Bublik</v>
      </c>
      <c r="U286" s="385"/>
      <c r="W286" s="384" t="str">
        <f>IFERROR(__xludf.DUMMYFUNCTION("""COMPUTED_VALUE"""),"Панда из Руанды")</f>
        <v>Панда из Руанды</v>
      </c>
      <c r="X286" s="385">
        <f>IFERROR(__xludf.DUMMYFUNCTION("""COMPUTED_VALUE"""),18.75)</f>
        <v>18.75</v>
      </c>
    </row>
    <row r="287">
      <c r="A287" s="384" t="s">
        <v>131</v>
      </c>
      <c r="B287" s="384" t="s">
        <v>261</v>
      </c>
      <c r="C287" s="389"/>
      <c r="D287" s="389">
        <v>1.75</v>
      </c>
      <c r="E287" s="384"/>
      <c r="F287" s="389"/>
      <c r="G287" s="389"/>
      <c r="R287" s="384" t="s">
        <v>259</v>
      </c>
      <c r="T287" s="384" t="str">
        <f>IFERROR(__xludf.DUMMYFUNCTION("""COMPUTED_VALUE"""),"BWDMoscow")</f>
        <v>BWDMoscow</v>
      </c>
      <c r="U287" s="385"/>
      <c r="W287" s="384" t="str">
        <f>IFERROR(__xludf.DUMMYFUNCTION("""COMPUTED_VALUE"""),"СЭНСЭЙ")</f>
        <v>СЭНСЭЙ</v>
      </c>
      <c r="X287" s="385">
        <f>IFERROR(__xludf.DUMMYFUNCTION("""COMPUTED_VALUE"""),18.75)</f>
        <v>18.75</v>
      </c>
    </row>
    <row r="288">
      <c r="A288" s="384" t="s">
        <v>86</v>
      </c>
      <c r="B288" s="384" t="s">
        <v>261</v>
      </c>
      <c r="C288" s="389"/>
      <c r="D288" s="389">
        <v>2.5</v>
      </c>
      <c r="E288" s="384"/>
      <c r="F288" s="389"/>
      <c r="G288" s="389"/>
      <c r="R288" s="384" t="s">
        <v>259</v>
      </c>
      <c r="T288" s="384" t="str">
        <f>IFERROR(__xludf.DUMMYFUNCTION("""COMPUTED_VALUE"""),"Castor Troy ")</f>
        <v>Castor Troy </v>
      </c>
      <c r="U288" s="385"/>
      <c r="W288" s="384" t="str">
        <f>IFERROR(__xludf.DUMMYFUNCTION("""COMPUTED_VALUE"""),"Шоу Бой")</f>
        <v>Шоу Бой</v>
      </c>
      <c r="X288" s="385">
        <f>IFERROR(__xludf.DUMMYFUNCTION("""COMPUTED_VALUE"""),18.75)</f>
        <v>18.75</v>
      </c>
    </row>
    <row r="289">
      <c r="A289" s="384" t="s">
        <v>85</v>
      </c>
      <c r="B289" s="384" t="s">
        <v>265</v>
      </c>
      <c r="C289" s="389">
        <v>2.5</v>
      </c>
      <c r="D289" s="389">
        <v>2.0</v>
      </c>
      <c r="E289" s="384"/>
      <c r="F289" s="389"/>
      <c r="G289" s="389"/>
      <c r="R289" s="384" t="s">
        <v>267</v>
      </c>
      <c r="T289" s="384" t="str">
        <f>IFERROR(__xludf.DUMMYFUNCTION("""COMPUTED_VALUE"""),"Cristo")</f>
        <v>Cristo</v>
      </c>
      <c r="U289" s="385"/>
      <c r="W289" s="384" t="str">
        <f>IFERROR(__xludf.DUMMYFUNCTION("""COMPUTED_VALUE"""),"Андерсен")</f>
        <v>Андерсен</v>
      </c>
      <c r="X289" s="385">
        <f>IFERROR(__xludf.DUMMYFUNCTION("""COMPUTED_VALUE"""),18.75)</f>
        <v>18.75</v>
      </c>
    </row>
    <row r="290">
      <c r="A290" s="384" t="s">
        <v>124</v>
      </c>
      <c r="B290" s="384" t="s">
        <v>261</v>
      </c>
      <c r="C290" s="389"/>
      <c r="D290" s="389">
        <v>2.0</v>
      </c>
      <c r="E290" s="384"/>
      <c r="F290" s="389"/>
      <c r="G290" s="389"/>
      <c r="R290" s="384" t="s">
        <v>259</v>
      </c>
      <c r="T290" s="384" t="str">
        <f>IFERROR(__xludf.DUMMYFUNCTION("""COMPUTED_VALUE"""),"GALAY")</f>
        <v>GALAY</v>
      </c>
      <c r="U290" s="385"/>
      <c r="W290" s="384" t="str">
        <f>IFERROR(__xludf.DUMMYFUNCTION("""COMPUTED_VALUE"""),"Левша")</f>
        <v>Левша</v>
      </c>
      <c r="X290" s="385">
        <f>IFERROR(__xludf.DUMMYFUNCTION("""COMPUTED_VALUE"""),18.75)</f>
        <v>18.75</v>
      </c>
    </row>
    <row r="291">
      <c r="A291" s="384" t="s">
        <v>108</v>
      </c>
      <c r="B291" s="384" t="s">
        <v>271</v>
      </c>
      <c r="C291" s="389"/>
      <c r="D291" s="389">
        <v>1.75</v>
      </c>
      <c r="E291" s="384"/>
      <c r="F291" s="389"/>
      <c r="G291" s="389"/>
      <c r="R291" s="384" t="s">
        <v>268</v>
      </c>
      <c r="T291" s="384" t="str">
        <f>IFERROR(__xludf.DUMMYFUNCTION("""COMPUTED_VALUE"""),"Helga")</f>
        <v>Helga</v>
      </c>
      <c r="U291" s="385"/>
      <c r="W291" s="384" t="str">
        <f>IFERROR(__xludf.DUMMYFUNCTION("""COMPUTED_VALUE"""),"Юрия")</f>
        <v>Юрия</v>
      </c>
      <c r="X291" s="385">
        <f>IFERROR(__xludf.DUMMYFUNCTION("""COMPUTED_VALUE"""),18.75)</f>
        <v>18.75</v>
      </c>
    </row>
    <row r="292">
      <c r="A292" s="384" t="s">
        <v>101</v>
      </c>
      <c r="B292" s="384" t="s">
        <v>269</v>
      </c>
      <c r="C292" s="389">
        <v>2.5</v>
      </c>
      <c r="D292" s="389">
        <v>3.5</v>
      </c>
      <c r="E292" s="384"/>
      <c r="F292" s="389"/>
      <c r="G292" s="389"/>
      <c r="R292" s="384" t="s">
        <v>264</v>
      </c>
      <c r="T292" s="384" t="str">
        <f>IFERROR(__xludf.DUMMYFUNCTION("""COMPUTED_VALUE"""),"Infinity ")</f>
        <v>Infinity </v>
      </c>
      <c r="U292" s="385"/>
      <c r="W292" s="384" t="str">
        <f>IFERROR(__xludf.DUMMYFUNCTION("""COMPUTED_VALUE"""),"Light")</f>
        <v>Light</v>
      </c>
      <c r="X292" s="385">
        <f>IFERROR(__xludf.DUMMYFUNCTION("""COMPUTED_VALUE"""),18.75)</f>
        <v>18.75</v>
      </c>
    </row>
    <row r="293">
      <c r="A293" s="384" t="s">
        <v>133</v>
      </c>
      <c r="B293" s="384" t="s">
        <v>269</v>
      </c>
      <c r="C293" s="389">
        <v>2.5</v>
      </c>
      <c r="D293" s="389">
        <v>3.75</v>
      </c>
      <c r="E293" s="384"/>
      <c r="F293" s="389"/>
      <c r="G293" s="389"/>
      <c r="R293" s="384" t="s">
        <v>272</v>
      </c>
      <c r="T293" s="384" t="str">
        <f>IFERROR(__xludf.DUMMYFUNCTION("""COMPUTED_VALUE"""),"Ketamin")</f>
        <v>Ketamin</v>
      </c>
      <c r="U293" s="385"/>
      <c r="W293" s="384" t="str">
        <f>IFERROR(__xludf.DUMMYFUNCTION("""COMPUTED_VALUE"""),"Helga")</f>
        <v>Helga</v>
      </c>
      <c r="X293" s="385">
        <f>IFERROR(__xludf.DUMMYFUNCTION("""COMPUTED_VALUE"""),18.5)</f>
        <v>18.5</v>
      </c>
    </row>
    <row r="294">
      <c r="A294" s="384" t="s">
        <v>82</v>
      </c>
      <c r="B294" s="384" t="s">
        <v>261</v>
      </c>
      <c r="C294" s="389"/>
      <c r="D294" s="389">
        <v>2.25</v>
      </c>
      <c r="E294" s="384" t="s">
        <v>11</v>
      </c>
      <c r="F294" s="389"/>
      <c r="G294" s="389">
        <v>1.0</v>
      </c>
      <c r="R294" s="384" t="s">
        <v>272</v>
      </c>
      <c r="T294" s="384" t="str">
        <f>IFERROR(__xludf.DUMMYFUNCTION("""COMPUTED_VALUE"""),"Light")</f>
        <v>Light</v>
      </c>
      <c r="U294" s="385"/>
      <c r="W294" s="384" t="str">
        <f>IFERROR(__xludf.DUMMYFUNCTION("""COMPUTED_VALUE"""),"Маваши")</f>
        <v>Маваши</v>
      </c>
      <c r="X294" s="385">
        <f>IFERROR(__xludf.DUMMYFUNCTION("""COMPUTED_VALUE"""),18.5)</f>
        <v>18.5</v>
      </c>
    </row>
    <row r="295">
      <c r="A295" s="384" t="s">
        <v>94</v>
      </c>
      <c r="B295" s="384" t="s">
        <v>261</v>
      </c>
      <c r="C295" s="389"/>
      <c r="D295" s="389">
        <v>1.0</v>
      </c>
      <c r="E295" s="384"/>
      <c r="F295" s="389"/>
      <c r="G295" s="389"/>
      <c r="R295" s="384" t="s">
        <v>264</v>
      </c>
      <c r="T295" s="384" t="str">
        <f>IFERROR(__xludf.DUMMYFUNCTION("""COMPUTED_VALUE"""),"Morti")</f>
        <v>Morti</v>
      </c>
      <c r="U295" s="385"/>
      <c r="W295" s="384" t="str">
        <f>IFERROR(__xludf.DUMMYFUNCTION("""COMPUTED_VALUE"""),"Light")</f>
        <v>Light</v>
      </c>
      <c r="X295" s="385">
        <f>IFERROR(__xludf.DUMMYFUNCTION("""COMPUTED_VALUE"""),18.5)</f>
        <v>18.5</v>
      </c>
    </row>
    <row r="296">
      <c r="A296" s="384" t="s">
        <v>116</v>
      </c>
      <c r="B296" s="384" t="s">
        <v>269</v>
      </c>
      <c r="C296" s="389">
        <v>2.5</v>
      </c>
      <c r="D296" s="389">
        <v>4.0</v>
      </c>
      <c r="E296" s="384"/>
      <c r="F296" s="389"/>
      <c r="G296" s="389"/>
      <c r="R296" s="384" t="s">
        <v>257</v>
      </c>
      <c r="T296" s="384" t="str">
        <f>IFERROR(__xludf.DUMMYFUNCTION("""COMPUTED_VALUE"""),"NLIP")</f>
        <v>NLIP</v>
      </c>
      <c r="U296" s="385"/>
      <c r="W296" s="384" t="str">
        <f>IFERROR(__xludf.DUMMYFUNCTION("""COMPUTED_VALUE"""),"Старый")</f>
        <v>Старый</v>
      </c>
      <c r="X296" s="385">
        <f>IFERROR(__xludf.DUMMYFUNCTION("""COMPUTED_VALUE"""),18.5)</f>
        <v>18.5</v>
      </c>
    </row>
    <row r="297">
      <c r="A297" s="384" t="s">
        <v>131</v>
      </c>
      <c r="B297" s="384" t="s">
        <v>261</v>
      </c>
      <c r="C297" s="389"/>
      <c r="D297" s="389">
        <v>4.0</v>
      </c>
      <c r="E297" s="384"/>
      <c r="F297" s="389"/>
      <c r="G297" s="389"/>
      <c r="R297" s="384" t="s">
        <v>267</v>
      </c>
      <c r="T297" s="384" t="str">
        <f>IFERROR(__xludf.DUMMYFUNCTION("""COMPUTED_VALUE"""),"SCHOKK ")</f>
        <v>SCHOKK </v>
      </c>
      <c r="U297" s="385"/>
      <c r="W297" s="384" t="str">
        <f>IFERROR(__xludf.DUMMYFUNCTION("""COMPUTED_VALUE"""),"WhoIsWho")</f>
        <v>WhoIsWho</v>
      </c>
      <c r="X297" s="385">
        <f>IFERROR(__xludf.DUMMYFUNCTION("""COMPUTED_VALUE"""),18.5)</f>
        <v>18.5</v>
      </c>
    </row>
    <row r="298">
      <c r="A298" s="384" t="s">
        <v>86</v>
      </c>
      <c r="B298" s="384" t="s">
        <v>265</v>
      </c>
      <c r="C298" s="389">
        <v>2.5</v>
      </c>
      <c r="D298" s="389">
        <v>4.5</v>
      </c>
      <c r="E298" s="384"/>
      <c r="F298" s="389"/>
      <c r="G298" s="389"/>
      <c r="R298" s="384" t="s">
        <v>272</v>
      </c>
      <c r="T298" s="384" t="str">
        <f>IFERROR(__xludf.DUMMYFUNCTION("""COMPUTED_VALUE"""),"SOVEST")</f>
        <v>SOVEST</v>
      </c>
      <c r="U298" s="385"/>
      <c r="W298" s="384" t="str">
        <f>IFERROR(__xludf.DUMMYFUNCTION("""COMPUTED_VALUE"""),"Bublik")</f>
        <v>Bublik</v>
      </c>
      <c r="X298" s="385">
        <f>IFERROR(__xludf.DUMMYFUNCTION("""COMPUTED_VALUE"""),18.5)</f>
        <v>18.5</v>
      </c>
    </row>
    <row r="299">
      <c r="A299" s="384" t="s">
        <v>85</v>
      </c>
      <c r="B299" s="384" t="s">
        <v>261</v>
      </c>
      <c r="C299" s="389"/>
      <c r="D299" s="389">
        <v>1.0</v>
      </c>
      <c r="E299" s="384"/>
      <c r="F299" s="389"/>
      <c r="G299" s="389"/>
      <c r="R299" s="384" t="s">
        <v>264</v>
      </c>
      <c r="T299" s="384" t="str">
        <f>IFERROR(__xludf.DUMMYFUNCTION("""COMPUTED_VALUE"""),"Stacy")</f>
        <v>Stacy</v>
      </c>
      <c r="U299" s="385"/>
      <c r="W299" s="384" t="str">
        <f>IFERROR(__xludf.DUMMYFUNCTION("""COMPUTED_VALUE"""),"Мишель ")</f>
        <v>Мишель </v>
      </c>
      <c r="X299" s="385">
        <f>IFERROR(__xludf.DUMMYFUNCTION("""COMPUTED_VALUE"""),18.5)</f>
        <v>18.5</v>
      </c>
    </row>
    <row r="300">
      <c r="A300" s="384" t="s">
        <v>124</v>
      </c>
      <c r="B300" s="384" t="s">
        <v>261</v>
      </c>
      <c r="C300" s="389"/>
      <c r="D300" s="389">
        <v>1.0</v>
      </c>
      <c r="E300" s="384"/>
      <c r="F300" s="389"/>
      <c r="G300" s="389"/>
      <c r="R300" s="384" t="s">
        <v>264</v>
      </c>
      <c r="T300" s="384" t="str">
        <f>IFERROR(__xludf.DUMMYFUNCTION("""COMPUTED_VALUE"""),"WhoIsWho")</f>
        <v>WhoIsWho</v>
      </c>
      <c r="U300" s="385"/>
      <c r="W300" s="384" t="str">
        <f>IFERROR(__xludf.DUMMYFUNCTION("""COMPUTED_VALUE"""),"Крот")</f>
        <v>Крот</v>
      </c>
      <c r="X300" s="385">
        <f>IFERROR(__xludf.DUMMYFUNCTION("""COMPUTED_VALUE"""),18.25)</f>
        <v>18.25</v>
      </c>
    </row>
    <row r="301">
      <c r="A301" s="384" t="s">
        <v>108</v>
      </c>
      <c r="B301" s="384" t="s">
        <v>261</v>
      </c>
      <c r="C301" s="389"/>
      <c r="D301" s="389">
        <v>1.0</v>
      </c>
      <c r="E301" s="384"/>
      <c r="F301" s="389"/>
      <c r="G301" s="389"/>
      <c r="R301" s="384" t="s">
        <v>272</v>
      </c>
      <c r="T301" s="384" t="str">
        <f>IFERROR(__xludf.DUMMYFUNCTION("""COMPUTED_VALUE"""),"Young")</f>
        <v>Young</v>
      </c>
      <c r="U301" s="385"/>
      <c r="W301" s="384" t="str">
        <f>IFERROR(__xludf.DUMMYFUNCTION("""COMPUTED_VALUE"""),"Продюсер")</f>
        <v>Продюсер</v>
      </c>
      <c r="X301" s="385">
        <f>IFERROR(__xludf.DUMMYFUNCTION("""COMPUTED_VALUE"""),18.25)</f>
        <v>18.25</v>
      </c>
    </row>
    <row r="302">
      <c r="A302" s="384" t="s">
        <v>101</v>
      </c>
      <c r="B302" s="384" t="s">
        <v>271</v>
      </c>
      <c r="C302" s="389"/>
      <c r="D302" s="389">
        <v>2.0</v>
      </c>
      <c r="E302" s="384"/>
      <c r="F302" s="389"/>
      <c r="G302" s="389"/>
      <c r="T302" s="384" t="str">
        <f>IFERROR(__xludf.DUMMYFUNCTION("QUERY('Турнирная таблица по Алфавиту'!C7:BG66,""select C,Z order by Z desc"")"),"РФ")</f>
        <v>РФ</v>
      </c>
      <c r="U302" s="385">
        <f>IFERROR(__xludf.DUMMYFUNCTION("""COMPUTED_VALUE"""),30.75)</f>
        <v>30.75</v>
      </c>
      <c r="W302" s="384" t="str">
        <f>IFERROR(__xludf.DUMMYFUNCTION("""COMPUTED_VALUE"""),"Градиент")</f>
        <v>Градиент</v>
      </c>
      <c r="X302" s="385">
        <f>IFERROR(__xludf.DUMMYFUNCTION("""COMPUTED_VALUE"""),18.25)</f>
        <v>18.25</v>
      </c>
    </row>
    <row r="303">
      <c r="A303" s="384" t="s">
        <v>118</v>
      </c>
      <c r="B303" s="384" t="s">
        <v>261</v>
      </c>
      <c r="C303" s="389">
        <v>2.5</v>
      </c>
      <c r="D303" s="389">
        <v>2.25</v>
      </c>
      <c r="E303" s="384"/>
      <c r="F303" s="389"/>
      <c r="G303" s="389"/>
      <c r="T303" s="384" t="str">
        <f>IFERROR(__xludf.DUMMYFUNCTION("""COMPUTED_VALUE"""),"Инсомнич")</f>
        <v>Инсомнич</v>
      </c>
      <c r="U303" s="385">
        <f>IFERROR(__xludf.DUMMYFUNCTION("""COMPUTED_VALUE"""),25.0)</f>
        <v>25</v>
      </c>
      <c r="W303" s="384" t="str">
        <f>IFERROR(__xludf.DUMMYFUNCTION("""COMPUTED_VALUE"""),"GALAY")</f>
        <v>GALAY</v>
      </c>
      <c r="X303" s="385">
        <f>IFERROR(__xludf.DUMMYFUNCTION("""COMPUTED_VALUE"""),18.25)</f>
        <v>18.25</v>
      </c>
    </row>
    <row r="304">
      <c r="A304" s="384" t="s">
        <v>91</v>
      </c>
      <c r="B304" s="384" t="s">
        <v>261</v>
      </c>
      <c r="C304" s="389">
        <v>2.5</v>
      </c>
      <c r="D304" s="389">
        <v>3.5</v>
      </c>
      <c r="E304" s="384"/>
      <c r="F304" s="389"/>
      <c r="G304" s="389"/>
      <c r="T304" s="384" t="str">
        <f>IFERROR(__xludf.DUMMYFUNCTION("""COMPUTED_VALUE"""),"Зверюга")</f>
        <v>Зверюга</v>
      </c>
      <c r="U304" s="385">
        <f>IFERROR(__xludf.DUMMYFUNCTION("""COMPUTED_VALUE"""),24.0)</f>
        <v>24</v>
      </c>
      <c r="W304" s="384" t="str">
        <f>IFERROR(__xludf.DUMMYFUNCTION("""COMPUTED_VALUE"""),"Красавчик")</f>
        <v>Красавчик</v>
      </c>
      <c r="X304" s="385">
        <f>IFERROR(__xludf.DUMMYFUNCTION("""COMPUTED_VALUE"""),18.25)</f>
        <v>18.25</v>
      </c>
    </row>
    <row r="305">
      <c r="A305" s="384" t="s">
        <v>103</v>
      </c>
      <c r="B305" s="384" t="s">
        <v>265</v>
      </c>
      <c r="C305" s="389"/>
      <c r="D305" s="389">
        <v>2.75</v>
      </c>
      <c r="E305" s="384" t="s">
        <v>263</v>
      </c>
      <c r="F305" s="389"/>
      <c r="G305" s="389"/>
      <c r="T305" s="384" t="str">
        <f>IFERROR(__xludf.DUMMYFUNCTION("""COMPUTED_VALUE"""),"Cristo")</f>
        <v>Cristo</v>
      </c>
      <c r="U305" s="385">
        <f>IFERROR(__xludf.DUMMYFUNCTION("""COMPUTED_VALUE"""),23.75)</f>
        <v>23.75</v>
      </c>
      <c r="W305" s="384" t="str">
        <f>IFERROR(__xludf.DUMMYFUNCTION("""COMPUTED_VALUE"""),"Фокс")</f>
        <v>Фокс</v>
      </c>
      <c r="X305" s="385">
        <f>IFERROR(__xludf.DUMMYFUNCTION("""COMPUTED_VALUE"""),18.25)</f>
        <v>18.25</v>
      </c>
    </row>
    <row r="306">
      <c r="A306" s="384" t="s">
        <v>90</v>
      </c>
      <c r="B306" s="384" t="s">
        <v>261</v>
      </c>
      <c r="C306" s="389">
        <v>2.5</v>
      </c>
      <c r="D306" s="389">
        <v>4.25</v>
      </c>
      <c r="E306" s="384"/>
      <c r="F306" s="389"/>
      <c r="G306" s="389"/>
      <c r="T306" s="384" t="str">
        <f>IFERROR(__xludf.DUMMYFUNCTION("""COMPUTED_VALUE"""),"Красавчик")</f>
        <v>Красавчик</v>
      </c>
      <c r="U306" s="385">
        <f>IFERROR(__xludf.DUMMYFUNCTION("""COMPUTED_VALUE"""),22.0)</f>
        <v>22</v>
      </c>
      <c r="W306" s="384" t="str">
        <f>IFERROR(__xludf.DUMMYFUNCTION("""COMPUTED_VALUE"""),"SCHOKK ")</f>
        <v>SCHOKK </v>
      </c>
      <c r="X306" s="385">
        <f>IFERROR(__xludf.DUMMYFUNCTION("""COMPUTED_VALUE"""),18.25)</f>
        <v>18.25</v>
      </c>
    </row>
    <row r="307">
      <c r="A307" s="384" t="s">
        <v>107</v>
      </c>
      <c r="B307" s="384" t="s">
        <v>261</v>
      </c>
      <c r="C307" s="389">
        <v>2.5</v>
      </c>
      <c r="D307" s="389">
        <v>4.0</v>
      </c>
      <c r="E307" s="384" t="s">
        <v>260</v>
      </c>
      <c r="F307" s="389"/>
      <c r="G307" s="389"/>
      <c r="T307" s="384" t="str">
        <f>IFERROR(__xludf.DUMMYFUNCTION("""COMPUTED_VALUE"""),"Ketamin")</f>
        <v>Ketamin</v>
      </c>
      <c r="U307" s="385">
        <f>IFERROR(__xludf.DUMMYFUNCTION("""COMPUTED_VALUE"""),20.75)</f>
        <v>20.75</v>
      </c>
      <c r="W307" s="384" t="str">
        <f>IFERROR(__xludf.DUMMYFUNCTION("""COMPUTED_VALUE"""),"Мишель ")</f>
        <v>Мишель </v>
      </c>
      <c r="X307" s="385">
        <f>IFERROR(__xludf.DUMMYFUNCTION("""COMPUTED_VALUE"""),18.25)</f>
        <v>18.25</v>
      </c>
    </row>
    <row r="308">
      <c r="A308" s="384" t="s">
        <v>128</v>
      </c>
      <c r="B308" s="384" t="s">
        <v>261</v>
      </c>
      <c r="C308" s="389">
        <v>2.5</v>
      </c>
      <c r="D308" s="389">
        <v>2.75</v>
      </c>
      <c r="E308" s="384" t="s">
        <v>260</v>
      </c>
      <c r="F308" s="389"/>
      <c r="G308" s="389"/>
      <c r="T308" s="384" t="str">
        <f>IFERROR(__xludf.DUMMYFUNCTION("""COMPUTED_VALUE"""),"A1 ")</f>
        <v>A1 </v>
      </c>
      <c r="U308" s="385">
        <f>IFERROR(__xludf.DUMMYFUNCTION("""COMPUTED_VALUE"""),19.75)</f>
        <v>19.75</v>
      </c>
      <c r="W308" s="384" t="str">
        <f>IFERROR(__xludf.DUMMYFUNCTION("""COMPUTED_VALUE"""),"Писатель ")</f>
        <v>Писатель </v>
      </c>
      <c r="X308" s="385">
        <f>IFERROR(__xludf.DUMMYFUNCTION("""COMPUTED_VALUE"""),18.25)</f>
        <v>18.25</v>
      </c>
    </row>
    <row r="309">
      <c r="A309" s="384" t="s">
        <v>89</v>
      </c>
      <c r="B309" s="384" t="s">
        <v>261</v>
      </c>
      <c r="C309" s="389">
        <v>2.5</v>
      </c>
      <c r="D309" s="389">
        <v>2.5</v>
      </c>
      <c r="E309" s="384"/>
      <c r="F309" s="389"/>
      <c r="G309" s="389"/>
      <c r="T309" s="384" t="str">
        <f>IFERROR(__xludf.DUMMYFUNCTION("""COMPUTED_VALUE"""),"Панда из Руанды")</f>
        <v>Панда из Руанды</v>
      </c>
      <c r="U309" s="385">
        <f>IFERROR(__xludf.DUMMYFUNCTION("""COMPUTED_VALUE"""),19.5)</f>
        <v>19.5</v>
      </c>
      <c r="W309" s="384" t="str">
        <f>IFERROR(__xludf.DUMMYFUNCTION("""COMPUTED_VALUE"""),"Марго")</f>
        <v>Марго</v>
      </c>
      <c r="X309" s="385">
        <f>IFERROR(__xludf.DUMMYFUNCTION("""COMPUTED_VALUE"""),18.25)</f>
        <v>18.25</v>
      </c>
    </row>
    <row r="310">
      <c r="A310" s="384" t="s">
        <v>120</v>
      </c>
      <c r="B310" s="384" t="s">
        <v>269</v>
      </c>
      <c r="C310" s="389"/>
      <c r="D310" s="389">
        <v>1.75</v>
      </c>
      <c r="E310" s="384"/>
      <c r="F310" s="389"/>
      <c r="G310" s="389"/>
      <c r="T310" s="384" t="str">
        <f>IFERROR(__xludf.DUMMYFUNCTION("""COMPUTED_VALUE"""),"Coach")</f>
        <v>Coach</v>
      </c>
      <c r="U310" s="385">
        <f>IFERROR(__xludf.DUMMYFUNCTION("""COMPUTED_VALUE"""),18.75)</f>
        <v>18.75</v>
      </c>
      <c r="W310" s="384" t="str">
        <f>IFERROR(__xludf.DUMMYFUNCTION("""COMPUTED_VALUE"""),"Castor Troy ")</f>
        <v>Castor Troy </v>
      </c>
      <c r="X310" s="385">
        <f>IFERROR(__xludf.DUMMYFUNCTION("""COMPUTED_VALUE"""),18.25)</f>
        <v>18.25</v>
      </c>
    </row>
    <row r="311">
      <c r="A311" s="384" t="s">
        <v>110</v>
      </c>
      <c r="B311" s="384" t="s">
        <v>269</v>
      </c>
      <c r="C311" s="389"/>
      <c r="D311" s="389">
        <v>1.75</v>
      </c>
      <c r="E311" s="384"/>
      <c r="F311" s="389"/>
      <c r="G311" s="389"/>
      <c r="T311" s="384" t="str">
        <f>IFERROR(__xludf.DUMMYFUNCTION("""COMPUTED_VALUE"""),"Bublik")</f>
        <v>Bublik</v>
      </c>
      <c r="U311" s="385">
        <f>IFERROR(__xludf.DUMMYFUNCTION("""COMPUTED_VALUE"""),13.5)</f>
        <v>13.5</v>
      </c>
      <c r="W311" s="384" t="str">
        <f>IFERROR(__xludf.DUMMYFUNCTION("""COMPUTED_VALUE"""),"Авраам")</f>
        <v>Авраам</v>
      </c>
      <c r="X311" s="385">
        <f>IFERROR(__xludf.DUMMYFUNCTION("""COMPUTED_VALUE"""),18.25)</f>
        <v>18.25</v>
      </c>
    </row>
    <row r="312">
      <c r="A312" s="384" t="s">
        <v>123</v>
      </c>
      <c r="B312" s="384" t="s">
        <v>271</v>
      </c>
      <c r="C312" s="389">
        <v>2.5</v>
      </c>
      <c r="D312" s="389">
        <v>2.5</v>
      </c>
      <c r="E312" s="384" t="s">
        <v>11</v>
      </c>
      <c r="F312" s="389"/>
      <c r="G312" s="389">
        <v>0.5</v>
      </c>
      <c r="T312" s="384" t="str">
        <f>IFERROR(__xludf.DUMMYFUNCTION("""COMPUTED_VALUE"""),"Авраам")</f>
        <v>Авраам</v>
      </c>
      <c r="U312" s="385"/>
      <c r="W312" s="384" t="str">
        <f>IFERROR(__xludf.DUMMYFUNCTION("""COMPUTED_VALUE"""),"Stacy")</f>
        <v>Stacy</v>
      </c>
      <c r="X312" s="385">
        <f>IFERROR(__xludf.DUMMYFUNCTION("""COMPUTED_VALUE"""),18.25)</f>
        <v>18.25</v>
      </c>
    </row>
    <row r="313">
      <c r="A313" s="384" t="s">
        <v>118</v>
      </c>
      <c r="B313" s="384" t="s">
        <v>261</v>
      </c>
      <c r="C313" s="389">
        <v>2.5</v>
      </c>
      <c r="D313" s="389">
        <v>2.5</v>
      </c>
      <c r="E313" s="384"/>
      <c r="F313" s="389"/>
      <c r="G313" s="389"/>
      <c r="T313" s="384" t="str">
        <f>IFERROR(__xludf.DUMMYFUNCTION("""COMPUTED_VALUE"""),"Админ")</f>
        <v>Админ</v>
      </c>
      <c r="U313" s="385"/>
      <c r="W313" s="384" t="str">
        <f>IFERROR(__xludf.DUMMYFUNCTION("""COMPUTED_VALUE"""),"SOVEST")</f>
        <v>SOVEST</v>
      </c>
      <c r="X313" s="385">
        <f>IFERROR(__xludf.DUMMYFUNCTION("""COMPUTED_VALUE"""),18.0)</f>
        <v>18</v>
      </c>
    </row>
    <row r="314">
      <c r="A314" s="384" t="s">
        <v>91</v>
      </c>
      <c r="B314" s="384" t="s">
        <v>265</v>
      </c>
      <c r="C314" s="389"/>
      <c r="D314" s="389">
        <v>1.75</v>
      </c>
      <c r="E314" s="384"/>
      <c r="F314" s="389"/>
      <c r="G314" s="389"/>
      <c r="T314" s="384" t="str">
        <f>IFERROR(__xludf.DUMMYFUNCTION("""COMPUTED_VALUE"""),"Андерсен")</f>
        <v>Андерсен</v>
      </c>
      <c r="U314" s="385"/>
      <c r="W314" s="384" t="str">
        <f>IFERROR(__xludf.DUMMYFUNCTION("""COMPUTED_VALUE"""),"Helga")</f>
        <v>Helga</v>
      </c>
      <c r="X314" s="385">
        <f>IFERROR(__xludf.DUMMYFUNCTION("""COMPUTED_VALUE"""),18.0)</f>
        <v>18</v>
      </c>
    </row>
    <row r="315">
      <c r="A315" s="384" t="s">
        <v>103</v>
      </c>
      <c r="B315" s="384" t="s">
        <v>261</v>
      </c>
      <c r="C315" s="389">
        <v>2.5</v>
      </c>
      <c r="D315" s="389">
        <v>2.25</v>
      </c>
      <c r="E315" s="384"/>
      <c r="F315" s="389"/>
      <c r="G315" s="389"/>
      <c r="T315" s="384" t="str">
        <f>IFERROR(__xludf.DUMMYFUNCTION("""COMPUTED_VALUE"""),"Артик")</f>
        <v>Артик</v>
      </c>
      <c r="U315" s="385"/>
      <c r="W315" s="384" t="str">
        <f>IFERROR(__xludf.DUMMYFUNCTION("""COMPUTED_VALUE"""),"Градиент")</f>
        <v>Градиент</v>
      </c>
      <c r="X315" s="385">
        <f>IFERROR(__xludf.DUMMYFUNCTION("""COMPUTED_VALUE"""),18.0)</f>
        <v>18</v>
      </c>
    </row>
    <row r="316">
      <c r="A316" s="384" t="s">
        <v>90</v>
      </c>
      <c r="B316" s="384" t="s">
        <v>261</v>
      </c>
      <c r="C316" s="389">
        <v>2.5</v>
      </c>
      <c r="D316" s="389">
        <v>2.75</v>
      </c>
      <c r="E316" s="384" t="s">
        <v>11</v>
      </c>
      <c r="F316" s="389"/>
      <c r="G316" s="389">
        <v>0.5</v>
      </c>
      <c r="T316" s="384" t="str">
        <f>IFERROR(__xludf.DUMMYFUNCTION("""COMPUTED_VALUE"""),"Астория")</f>
        <v>Астория</v>
      </c>
      <c r="U316" s="385"/>
      <c r="W316" s="384" t="str">
        <f>IFERROR(__xludf.DUMMYFUNCTION("""COMPUTED_VALUE"""),"Маваши")</f>
        <v>Маваши</v>
      </c>
      <c r="X316" s="385">
        <f>IFERROR(__xludf.DUMMYFUNCTION("""COMPUTED_VALUE"""),18.0)</f>
        <v>18</v>
      </c>
    </row>
    <row r="317">
      <c r="A317" s="384" t="s">
        <v>107</v>
      </c>
      <c r="B317" s="384" t="s">
        <v>271</v>
      </c>
      <c r="C317" s="389">
        <v>2.5</v>
      </c>
      <c r="D317" s="389">
        <v>5.0</v>
      </c>
      <c r="E317" s="384"/>
      <c r="F317" s="389"/>
      <c r="G317" s="389"/>
      <c r="T317" s="384" t="str">
        <f>IFERROR(__xludf.DUMMYFUNCTION("""COMPUTED_VALUE"""),"Аш")</f>
        <v>Аш</v>
      </c>
      <c r="U317" s="385"/>
      <c r="W317" s="384" t="str">
        <f>IFERROR(__xludf.DUMMYFUNCTION("""COMPUTED_VALUE"""),"Админ")</f>
        <v>Админ</v>
      </c>
      <c r="X317" s="385">
        <f>IFERROR(__xludf.DUMMYFUNCTION("""COMPUTED_VALUE"""),18.0)</f>
        <v>18</v>
      </c>
    </row>
    <row r="318">
      <c r="A318" s="384" t="s">
        <v>128</v>
      </c>
      <c r="B318" s="384" t="s">
        <v>261</v>
      </c>
      <c r="C318" s="389">
        <v>2.5</v>
      </c>
      <c r="D318" s="389">
        <v>3.5</v>
      </c>
      <c r="E318" s="384"/>
      <c r="F318" s="389"/>
      <c r="G318" s="389"/>
      <c r="T318" s="384" t="str">
        <f>IFERROR(__xludf.DUMMYFUNCTION("""COMPUTED_VALUE"""),"Бамблби")</f>
        <v>Бамблби</v>
      </c>
      <c r="U318" s="385"/>
      <c r="W318" s="384" t="str">
        <f>IFERROR(__xludf.DUMMYFUNCTION("""COMPUTED_VALUE"""),"Alice ")</f>
        <v>Alice </v>
      </c>
      <c r="X318" s="385">
        <f>IFERROR(__xludf.DUMMYFUNCTION("""COMPUTED_VALUE"""),18.0)</f>
        <v>18</v>
      </c>
    </row>
    <row r="319">
      <c r="A319" s="384" t="s">
        <v>89</v>
      </c>
      <c r="B319" s="384" t="s">
        <v>261</v>
      </c>
      <c r="C319" s="389">
        <v>2.5</v>
      </c>
      <c r="D319" s="389">
        <v>3.75</v>
      </c>
      <c r="E319" s="384"/>
      <c r="F319" s="389"/>
      <c r="G319" s="389"/>
      <c r="T319" s="384" t="str">
        <f>IFERROR(__xludf.DUMMYFUNCTION("""COMPUTED_VALUE"""),"Волга")</f>
        <v>Волга</v>
      </c>
      <c r="U319" s="385"/>
      <c r="W319" s="384" t="str">
        <f>IFERROR(__xludf.DUMMYFUNCTION("""COMPUTED_VALUE"""),"Крёстный Отец (RU)")</f>
        <v>Крёстный Отец (RU)</v>
      </c>
      <c r="X319" s="385">
        <f>IFERROR(__xludf.DUMMYFUNCTION("""COMPUTED_VALUE"""),18.0)</f>
        <v>18</v>
      </c>
    </row>
    <row r="320">
      <c r="A320" s="384" t="s">
        <v>120</v>
      </c>
      <c r="B320" s="384" t="s">
        <v>269</v>
      </c>
      <c r="C320" s="389"/>
      <c r="D320" s="389">
        <v>1.5</v>
      </c>
      <c r="E320" s="384"/>
      <c r="F320" s="389"/>
      <c r="G320" s="389"/>
      <c r="T320" s="384" t="str">
        <f>IFERROR(__xludf.DUMMYFUNCTION("""COMPUTED_VALUE"""),"Градиент")</f>
        <v>Градиент</v>
      </c>
      <c r="U320" s="385"/>
      <c r="W320" s="384" t="str">
        <f>IFERROR(__xludf.DUMMYFUNCTION("""COMPUTED_VALUE"""),"Инсомнич")</f>
        <v>Инсомнич</v>
      </c>
      <c r="X320" s="385">
        <f>IFERROR(__xludf.DUMMYFUNCTION("""COMPUTED_VALUE"""),18.0)</f>
        <v>18</v>
      </c>
    </row>
    <row r="321">
      <c r="A321" s="384" t="s">
        <v>110</v>
      </c>
      <c r="B321" s="384" t="s">
        <v>269</v>
      </c>
      <c r="C321" s="389"/>
      <c r="D321" s="389">
        <v>2.0</v>
      </c>
      <c r="E321" s="384"/>
      <c r="F321" s="389"/>
      <c r="G321" s="389"/>
      <c r="T321" s="384" t="str">
        <f>IFERROR(__xludf.DUMMYFUNCTION("""COMPUTED_VALUE"""),"Дровосек")</f>
        <v>Дровосек</v>
      </c>
      <c r="U321" s="385"/>
      <c r="W321" s="384" t="str">
        <f>IFERROR(__xludf.DUMMYFUNCTION("""COMPUTED_VALUE"""),"СЭНСЭЙ")</f>
        <v>СЭНСЭЙ</v>
      </c>
      <c r="X321" s="385">
        <f>IFERROR(__xludf.DUMMYFUNCTION("""COMPUTED_VALUE"""),18.0)</f>
        <v>18</v>
      </c>
    </row>
    <row r="322">
      <c r="A322" s="384" t="s">
        <v>123</v>
      </c>
      <c r="B322" s="384" t="s">
        <v>261</v>
      </c>
      <c r="C322" s="389">
        <v>2.5</v>
      </c>
      <c r="D322" s="389">
        <v>3.75</v>
      </c>
      <c r="E322" s="384"/>
      <c r="F322" s="389"/>
      <c r="G322" s="389"/>
      <c r="T322" s="384" t="str">
        <f>IFERROR(__xludf.DUMMYFUNCTION("""COMPUTED_VALUE"""),"Крестный отец (BLR)")</f>
        <v>Крестный отец (BLR)</v>
      </c>
      <c r="U322" s="385"/>
      <c r="W322" s="384" t="str">
        <f>IFERROR(__xludf.DUMMYFUNCTION("""COMPUTED_VALUE"""),"WhoIsWho")</f>
        <v>WhoIsWho</v>
      </c>
      <c r="X322" s="385">
        <f>IFERROR(__xludf.DUMMYFUNCTION("""COMPUTED_VALUE"""),18.0)</f>
        <v>18</v>
      </c>
    </row>
    <row r="323">
      <c r="A323" s="384" t="s">
        <v>118</v>
      </c>
      <c r="B323" s="384" t="s">
        <v>269</v>
      </c>
      <c r="C323" s="389">
        <v>2.5</v>
      </c>
      <c r="D323" s="389">
        <v>2.5</v>
      </c>
      <c r="E323" s="384"/>
      <c r="F323" s="389"/>
      <c r="G323" s="389"/>
      <c r="T323" s="384" t="str">
        <f>IFERROR(__xludf.DUMMYFUNCTION("""COMPUTED_VALUE"""),"Крёстный Отец (RU)")</f>
        <v>Крёстный Отец (RU)</v>
      </c>
      <c r="U323" s="385"/>
      <c r="W323" s="384" t="str">
        <f>IFERROR(__xludf.DUMMYFUNCTION("""COMPUTED_VALUE"""),"Зверюга")</f>
        <v>Зверюга</v>
      </c>
      <c r="X323" s="385">
        <f>IFERROR(__xludf.DUMMYFUNCTION("""COMPUTED_VALUE"""),17.75)</f>
        <v>17.75</v>
      </c>
    </row>
    <row r="324">
      <c r="A324" s="384" t="s">
        <v>91</v>
      </c>
      <c r="B324" s="384" t="s">
        <v>261</v>
      </c>
      <c r="C324" s="389"/>
      <c r="D324" s="389">
        <v>2.5</v>
      </c>
      <c r="E324" s="384"/>
      <c r="F324" s="389"/>
      <c r="G324" s="389"/>
      <c r="T324" s="384" t="str">
        <f>IFERROR(__xludf.DUMMYFUNCTION("""COMPUTED_VALUE"""),"Крот")</f>
        <v>Крот</v>
      </c>
      <c r="U324" s="385"/>
      <c r="W324" s="384" t="str">
        <f>IFERROR(__xludf.DUMMYFUNCTION("""COMPUTED_VALUE"""),"Young")</f>
        <v>Young</v>
      </c>
      <c r="X324" s="385">
        <f>IFERROR(__xludf.DUMMYFUNCTION("""COMPUTED_VALUE"""),17.75)</f>
        <v>17.75</v>
      </c>
    </row>
    <row r="325">
      <c r="A325" s="384" t="s">
        <v>103</v>
      </c>
      <c r="B325" s="384" t="s">
        <v>271</v>
      </c>
      <c r="C325" s="389"/>
      <c r="D325" s="389">
        <v>0.5</v>
      </c>
      <c r="E325" s="384"/>
      <c r="F325" s="389"/>
      <c r="G325" s="389"/>
      <c r="T325" s="384" t="str">
        <f>IFERROR(__xludf.DUMMYFUNCTION("""COMPUTED_VALUE"""),"Левша")</f>
        <v>Левша</v>
      </c>
      <c r="U325" s="385"/>
      <c r="W325" s="384" t="str">
        <f>IFERROR(__xludf.DUMMYFUNCTION("""COMPUTED_VALUE"""),"Астория")</f>
        <v>Астория</v>
      </c>
      <c r="X325" s="385">
        <f>IFERROR(__xludf.DUMMYFUNCTION("""COMPUTED_VALUE"""),17.75)</f>
        <v>17.75</v>
      </c>
    </row>
    <row r="326">
      <c r="A326" s="384" t="s">
        <v>90</v>
      </c>
      <c r="B326" s="384" t="s">
        <v>269</v>
      </c>
      <c r="C326" s="389">
        <v>2.5</v>
      </c>
      <c r="D326" s="389">
        <v>2.25</v>
      </c>
      <c r="E326" s="384"/>
      <c r="F326" s="389"/>
      <c r="G326" s="389"/>
      <c r="T326" s="384" t="str">
        <f>IFERROR(__xludf.DUMMYFUNCTION("""COMPUTED_VALUE"""),"Лисичка")</f>
        <v>Лисичка</v>
      </c>
      <c r="U326" s="385"/>
      <c r="W326" s="384" t="str">
        <f>IFERROR(__xludf.DUMMYFUNCTION("""COMPUTED_VALUE"""),"Аш")</f>
        <v>Аш</v>
      </c>
      <c r="X326" s="385">
        <f>IFERROR(__xludf.DUMMYFUNCTION("""COMPUTED_VALUE"""),17.75)</f>
        <v>17.75</v>
      </c>
    </row>
    <row r="327">
      <c r="A327" s="384" t="s">
        <v>107</v>
      </c>
      <c r="B327" s="384" t="s">
        <v>265</v>
      </c>
      <c r="C327" s="389">
        <v>2.5</v>
      </c>
      <c r="D327" s="389">
        <v>3.0</v>
      </c>
      <c r="E327" s="384"/>
      <c r="F327" s="389"/>
      <c r="G327" s="389"/>
      <c r="T327" s="384" t="str">
        <f>IFERROR(__xludf.DUMMYFUNCTION("""COMPUTED_VALUE"""),"Маваши")</f>
        <v>Маваши</v>
      </c>
      <c r="U327" s="385"/>
      <c r="W327" s="384" t="str">
        <f>IFERROR(__xludf.DUMMYFUNCTION("""COMPUTED_VALUE"""),"Физик")</f>
        <v>Физик</v>
      </c>
      <c r="X327" s="385">
        <f>IFERROR(__xludf.DUMMYFUNCTION("""COMPUTED_VALUE"""),17.75)</f>
        <v>17.75</v>
      </c>
    </row>
    <row r="328">
      <c r="A328" s="384" t="s">
        <v>128</v>
      </c>
      <c r="B328" s="384" t="s">
        <v>261</v>
      </c>
      <c r="C328" s="389"/>
      <c r="D328" s="389">
        <v>2.5</v>
      </c>
      <c r="E328" s="384"/>
      <c r="F328" s="389"/>
      <c r="G328" s="389"/>
      <c r="T328" s="384" t="str">
        <f>IFERROR(__xludf.DUMMYFUNCTION("""COMPUTED_VALUE"""),"Манекен")</f>
        <v>Манекен</v>
      </c>
      <c r="U328" s="385"/>
      <c r="W328" s="384" t="str">
        <f>IFERROR(__xludf.DUMMYFUNCTION("""COMPUTED_VALUE"""),"Аш")</f>
        <v>Аш</v>
      </c>
      <c r="X328" s="385">
        <f>IFERROR(__xludf.DUMMYFUNCTION("""COMPUTED_VALUE"""),17.75)</f>
        <v>17.75</v>
      </c>
    </row>
    <row r="329">
      <c r="A329" s="384" t="s">
        <v>89</v>
      </c>
      <c r="B329" s="384" t="s">
        <v>261</v>
      </c>
      <c r="C329" s="389"/>
      <c r="D329" s="389">
        <v>2.5</v>
      </c>
      <c r="E329" s="384"/>
      <c r="F329" s="389"/>
      <c r="G329" s="389"/>
      <c r="T329" s="384" t="str">
        <f>IFERROR(__xludf.DUMMYFUNCTION("""COMPUTED_VALUE"""),"Марго")</f>
        <v>Марго</v>
      </c>
      <c r="U329" s="385"/>
      <c r="W329" s="384" t="str">
        <f>IFERROR(__xludf.DUMMYFUNCTION("""COMPUTED_VALUE"""),"Castor Troy ")</f>
        <v>Castor Troy </v>
      </c>
      <c r="X329" s="385">
        <f>IFERROR(__xludf.DUMMYFUNCTION("""COMPUTED_VALUE"""),17.75)</f>
        <v>17.75</v>
      </c>
    </row>
    <row r="330">
      <c r="A330" s="384" t="s">
        <v>120</v>
      </c>
      <c r="B330" s="384" t="s">
        <v>261</v>
      </c>
      <c r="C330" s="389"/>
      <c r="D330" s="389">
        <v>2.75</v>
      </c>
      <c r="E330" s="384"/>
      <c r="F330" s="389"/>
      <c r="G330" s="389"/>
      <c r="T330" s="384" t="str">
        <f>IFERROR(__xludf.DUMMYFUNCTION("""COMPUTED_VALUE"""),"Ментик")</f>
        <v>Ментик</v>
      </c>
      <c r="U330" s="385"/>
      <c r="W330" s="384" t="str">
        <f>IFERROR(__xludf.DUMMYFUNCTION("""COMPUTED_VALUE"""),"A1 ")</f>
        <v>A1 </v>
      </c>
      <c r="X330" s="385">
        <f>IFERROR(__xludf.DUMMYFUNCTION("""COMPUTED_VALUE"""),17.5)</f>
        <v>17.5</v>
      </c>
    </row>
    <row r="331">
      <c r="A331" s="384" t="s">
        <v>110</v>
      </c>
      <c r="B331" s="384" t="s">
        <v>261</v>
      </c>
      <c r="C331" s="389"/>
      <c r="D331" s="389">
        <v>2.5</v>
      </c>
      <c r="E331" s="384" t="s">
        <v>11</v>
      </c>
      <c r="F331" s="389"/>
      <c r="G331" s="389">
        <v>0.5</v>
      </c>
      <c r="T331" s="384" t="str">
        <f>IFERROR(__xludf.DUMMYFUNCTION("""COMPUTED_VALUE"""),"Мишель ")</f>
        <v>Мишель </v>
      </c>
      <c r="U331" s="385"/>
      <c r="W331" s="384" t="str">
        <f>IFERROR(__xludf.DUMMYFUNCTION("""COMPUTED_VALUE"""),"WhoIsWho")</f>
        <v>WhoIsWho</v>
      </c>
      <c r="X331" s="385">
        <f>IFERROR(__xludf.DUMMYFUNCTION("""COMPUTED_VALUE"""),17.5)</f>
        <v>17.5</v>
      </c>
    </row>
    <row r="332">
      <c r="A332" s="384" t="s">
        <v>123</v>
      </c>
      <c r="B332" s="384" t="s">
        <v>261</v>
      </c>
      <c r="C332" s="389"/>
      <c r="D332" s="389">
        <v>2.5</v>
      </c>
      <c r="E332" s="384"/>
      <c r="F332" s="389"/>
      <c r="G332" s="389"/>
      <c r="T332" s="384" t="str">
        <f>IFERROR(__xludf.DUMMYFUNCTION("""COMPUTED_VALUE"""),"Наполеон")</f>
        <v>Наполеон</v>
      </c>
      <c r="U332" s="385"/>
      <c r="W332" s="384" t="str">
        <f>IFERROR(__xludf.DUMMYFUNCTION("""COMPUTED_VALUE"""),"Физик")</f>
        <v>Физик</v>
      </c>
      <c r="X332" s="385">
        <f>IFERROR(__xludf.DUMMYFUNCTION("""COMPUTED_VALUE"""),17.5)</f>
        <v>17.5</v>
      </c>
    </row>
    <row r="333">
      <c r="A333" s="384" t="s">
        <v>118</v>
      </c>
      <c r="B333" s="384" t="s">
        <v>269</v>
      </c>
      <c r="C333" s="389"/>
      <c r="D333" s="389">
        <v>2.25</v>
      </c>
      <c r="E333" s="384"/>
      <c r="F333" s="389"/>
      <c r="G333" s="389"/>
      <c r="T333" s="384" t="str">
        <f>IFERROR(__xludf.DUMMYFUNCTION("""COMPUTED_VALUE"""),"Писатель ")</f>
        <v>Писатель </v>
      </c>
      <c r="U333" s="385"/>
      <c r="W333" s="384" t="str">
        <f>IFERROR(__xludf.DUMMYFUNCTION("""COMPUTED_VALUE"""),"Curly")</f>
        <v>Curly</v>
      </c>
      <c r="X333" s="385">
        <f>IFERROR(__xludf.DUMMYFUNCTION("""COMPUTED_VALUE"""),17.5)</f>
        <v>17.5</v>
      </c>
    </row>
    <row r="334">
      <c r="A334" s="384" t="s">
        <v>91</v>
      </c>
      <c r="B334" s="384" t="s">
        <v>261</v>
      </c>
      <c r="C334" s="389">
        <v>2.5</v>
      </c>
      <c r="D334" s="389">
        <v>3.5</v>
      </c>
      <c r="E334" s="384" t="s">
        <v>260</v>
      </c>
      <c r="F334" s="389"/>
      <c r="G334" s="389"/>
      <c r="T334" s="384" t="str">
        <f>IFERROR(__xludf.DUMMYFUNCTION("""COMPUTED_VALUE"""),"Правда ")</f>
        <v>Правда </v>
      </c>
      <c r="U334" s="385"/>
      <c r="W334" s="384" t="str">
        <f>IFERROR(__xludf.DUMMYFUNCTION("""COMPUTED_VALUE"""),"Ketamin")</f>
        <v>Ketamin</v>
      </c>
      <c r="X334" s="385">
        <f>IFERROR(__xludf.DUMMYFUNCTION("""COMPUTED_VALUE"""),17.5)</f>
        <v>17.5</v>
      </c>
    </row>
    <row r="335">
      <c r="A335" s="384" t="s">
        <v>103</v>
      </c>
      <c r="B335" s="384" t="s">
        <v>261</v>
      </c>
      <c r="C335" s="389">
        <v>2.5</v>
      </c>
      <c r="D335" s="389">
        <v>2.75</v>
      </c>
      <c r="E335" s="384" t="s">
        <v>260</v>
      </c>
      <c r="F335" s="389"/>
      <c r="G335" s="389"/>
      <c r="T335" s="384" t="str">
        <f>IFERROR(__xludf.DUMMYFUNCTION("""COMPUTED_VALUE"""),"Продюсер")</f>
        <v>Продюсер</v>
      </c>
      <c r="U335" s="385"/>
      <c r="W335" s="384" t="str">
        <f>IFERROR(__xludf.DUMMYFUNCTION("""COMPUTED_VALUE"""),"GALAY")</f>
        <v>GALAY</v>
      </c>
      <c r="X335" s="385">
        <f>IFERROR(__xludf.DUMMYFUNCTION("""COMPUTED_VALUE"""),17.5)</f>
        <v>17.5</v>
      </c>
    </row>
    <row r="336">
      <c r="A336" s="384" t="s">
        <v>90</v>
      </c>
      <c r="B336" s="384" t="s">
        <v>261</v>
      </c>
      <c r="C336" s="389">
        <v>2.5</v>
      </c>
      <c r="D336" s="389">
        <v>2.75</v>
      </c>
      <c r="E336" s="384"/>
      <c r="F336" s="389"/>
      <c r="G336" s="389"/>
      <c r="T336" s="384" t="str">
        <f>IFERROR(__xludf.DUMMYFUNCTION("""COMPUTED_VALUE"""),"Старый")</f>
        <v>Старый</v>
      </c>
      <c r="U336" s="385"/>
      <c r="W336" s="384" t="str">
        <f>IFERROR(__xludf.DUMMYFUNCTION("""COMPUTED_VALUE"""),"Левша")</f>
        <v>Левша</v>
      </c>
      <c r="X336" s="385">
        <f>IFERROR(__xludf.DUMMYFUNCTION("""COMPUTED_VALUE"""),17.5)</f>
        <v>17.5</v>
      </c>
    </row>
    <row r="337">
      <c r="A337" s="384" t="s">
        <v>107</v>
      </c>
      <c r="B337" s="384" t="s">
        <v>261</v>
      </c>
      <c r="C337" s="389">
        <v>2.5</v>
      </c>
      <c r="D337" s="389">
        <v>3.5</v>
      </c>
      <c r="E337" s="384" t="s">
        <v>260</v>
      </c>
      <c r="F337" s="389"/>
      <c r="G337" s="389"/>
      <c r="T337" s="384" t="str">
        <f>IFERROR(__xludf.DUMMYFUNCTION("""COMPUTED_VALUE"""),"СЭНСЭЙ")</f>
        <v>СЭНСЭЙ</v>
      </c>
      <c r="U337" s="385"/>
      <c r="W337" s="384" t="str">
        <f>IFERROR(__xludf.DUMMYFUNCTION("""COMPUTED_VALUE"""),"Инсомнич")</f>
        <v>Инсомнич</v>
      </c>
      <c r="X337" s="385">
        <f>IFERROR(__xludf.DUMMYFUNCTION("""COMPUTED_VALUE"""),17.5)</f>
        <v>17.5</v>
      </c>
    </row>
    <row r="338">
      <c r="A338" s="384" t="s">
        <v>128</v>
      </c>
      <c r="B338" s="384" t="s">
        <v>261</v>
      </c>
      <c r="C338" s="389">
        <v>2.5</v>
      </c>
      <c r="D338" s="389">
        <v>3.25</v>
      </c>
      <c r="E338" s="384"/>
      <c r="F338" s="389"/>
      <c r="G338" s="389"/>
      <c r="T338" s="384" t="str">
        <f>IFERROR(__xludf.DUMMYFUNCTION("""COMPUTED_VALUE"""),"Тихий закат")</f>
        <v>Тихий закат</v>
      </c>
      <c r="U338" s="385"/>
      <c r="W338" s="384" t="str">
        <f>IFERROR(__xludf.DUMMYFUNCTION("""COMPUTED_VALUE"""),"Маваши")</f>
        <v>Маваши</v>
      </c>
      <c r="X338" s="385">
        <f>IFERROR(__xludf.DUMMYFUNCTION("""COMPUTED_VALUE"""),17.5)</f>
        <v>17.5</v>
      </c>
    </row>
    <row r="339">
      <c r="A339" s="384" t="s">
        <v>89</v>
      </c>
      <c r="B339" s="384" t="s">
        <v>261</v>
      </c>
      <c r="C339" s="389">
        <v>2.5</v>
      </c>
      <c r="D339" s="389">
        <v>2.75</v>
      </c>
      <c r="E339" s="384"/>
      <c r="F339" s="389"/>
      <c r="G339" s="389"/>
      <c r="T339" s="384" t="str">
        <f>IFERROR(__xludf.DUMMYFUNCTION("""COMPUTED_VALUE"""),"Физик")</f>
        <v>Физик</v>
      </c>
      <c r="U339" s="385"/>
      <c r="W339" s="384" t="str">
        <f>IFERROR(__xludf.DUMMYFUNCTION("""COMPUTED_VALUE"""),"Мишель ")</f>
        <v>Мишель </v>
      </c>
      <c r="X339" s="385">
        <f>IFERROR(__xludf.DUMMYFUNCTION("""COMPUTED_VALUE"""),17.5)</f>
        <v>17.5</v>
      </c>
    </row>
    <row r="340">
      <c r="A340" s="384" t="s">
        <v>120</v>
      </c>
      <c r="B340" s="384" t="s">
        <v>265</v>
      </c>
      <c r="C340" s="389"/>
      <c r="D340" s="389">
        <v>2.0</v>
      </c>
      <c r="E340" s="384" t="s">
        <v>263</v>
      </c>
      <c r="F340" s="389"/>
      <c r="G340" s="389"/>
      <c r="T340" s="384" t="str">
        <f>IFERROR(__xludf.DUMMYFUNCTION("""COMPUTED_VALUE"""),"Флэш")</f>
        <v>Флэш</v>
      </c>
      <c r="U340" s="385"/>
      <c r="W340" s="384" t="str">
        <f>IFERROR(__xludf.DUMMYFUNCTION("""COMPUTED_VALUE"""),"Авраам")</f>
        <v>Авраам</v>
      </c>
      <c r="X340" s="385">
        <f>IFERROR(__xludf.DUMMYFUNCTION("""COMPUTED_VALUE"""),17.5)</f>
        <v>17.5</v>
      </c>
    </row>
    <row r="341">
      <c r="A341" s="384" t="s">
        <v>110</v>
      </c>
      <c r="B341" s="384" t="s">
        <v>271</v>
      </c>
      <c r="C341" s="389">
        <v>2.5</v>
      </c>
      <c r="D341" s="389">
        <v>3.25</v>
      </c>
      <c r="E341" s="384" t="s">
        <v>11</v>
      </c>
      <c r="F341" s="389">
        <v>0.5</v>
      </c>
      <c r="G341" s="389">
        <v>1.0</v>
      </c>
      <c r="T341" s="384" t="str">
        <f>IFERROR(__xludf.DUMMYFUNCTION("""COMPUTED_VALUE"""),"Фокс")</f>
        <v>Фокс</v>
      </c>
      <c r="U341" s="385"/>
      <c r="W341" s="384" t="str">
        <f>IFERROR(__xludf.DUMMYFUNCTION("""COMPUTED_VALUE"""),"Дровосек")</f>
        <v>Дровосек</v>
      </c>
      <c r="X341" s="385">
        <f>IFERROR(__xludf.DUMMYFUNCTION("""COMPUTED_VALUE"""),17.25)</f>
        <v>17.25</v>
      </c>
    </row>
    <row r="342">
      <c r="A342" s="384" t="s">
        <v>123</v>
      </c>
      <c r="B342" s="384" t="s">
        <v>269</v>
      </c>
      <c r="C342" s="389"/>
      <c r="D342" s="389">
        <v>2.5</v>
      </c>
      <c r="E342" s="384"/>
      <c r="F342" s="389"/>
      <c r="G342" s="389"/>
      <c r="T342" s="384" t="str">
        <f>IFERROR(__xludf.DUMMYFUNCTION("""COMPUTED_VALUE"""),"Шоу Бой")</f>
        <v>Шоу Бой</v>
      </c>
      <c r="U342" s="385"/>
      <c r="W342" s="384" t="str">
        <f>IFERROR(__xludf.DUMMYFUNCTION("""COMPUTED_VALUE"""),"SOVEST")</f>
        <v>SOVEST</v>
      </c>
      <c r="X342" s="385">
        <f>IFERROR(__xludf.DUMMYFUNCTION("""COMPUTED_VALUE"""),17.25)</f>
        <v>17.25</v>
      </c>
    </row>
    <row r="343">
      <c r="A343" s="384" t="s">
        <v>118</v>
      </c>
      <c r="B343" s="384" t="s">
        <v>269</v>
      </c>
      <c r="C343" s="389"/>
      <c r="D343" s="389">
        <v>2.75</v>
      </c>
      <c r="E343" s="384" t="s">
        <v>263</v>
      </c>
      <c r="F343" s="389"/>
      <c r="G343" s="389"/>
      <c r="T343" s="384" t="str">
        <f>IFERROR(__xludf.DUMMYFUNCTION("""COMPUTED_VALUE"""),"Шпиц")</f>
        <v>Шпиц</v>
      </c>
      <c r="U343" s="385"/>
      <c r="W343" s="384" t="str">
        <f>IFERROR(__xludf.DUMMYFUNCTION("""COMPUTED_VALUE"""),"Зверюга")</f>
        <v>Зверюга</v>
      </c>
      <c r="X343" s="385">
        <f>IFERROR(__xludf.DUMMYFUNCTION("""COMPUTED_VALUE"""),17.25)</f>
        <v>17.25</v>
      </c>
    </row>
    <row r="344">
      <c r="A344" s="384" t="s">
        <v>91</v>
      </c>
      <c r="B344" s="384" t="s">
        <v>261</v>
      </c>
      <c r="C344" s="389">
        <v>2.5</v>
      </c>
      <c r="D344" s="389">
        <v>3.25</v>
      </c>
      <c r="E344" s="384" t="s">
        <v>260</v>
      </c>
      <c r="F344" s="389"/>
      <c r="G344" s="389"/>
      <c r="T344" s="384" t="str">
        <f>IFERROR(__xludf.DUMMYFUNCTION("""COMPUTED_VALUE"""),"Юрия")</f>
        <v>Юрия</v>
      </c>
      <c r="U344" s="385"/>
      <c r="W344" s="384" t="str">
        <f>IFERROR(__xludf.DUMMYFUNCTION("""COMPUTED_VALUE"""),"Light")</f>
        <v>Light</v>
      </c>
      <c r="X344" s="385">
        <f>IFERROR(__xludf.DUMMYFUNCTION("""COMPUTED_VALUE"""),17.25)</f>
        <v>17.25</v>
      </c>
    </row>
    <row r="345">
      <c r="A345" s="384" t="s">
        <v>103</v>
      </c>
      <c r="B345" s="384" t="s">
        <v>261</v>
      </c>
      <c r="C345" s="389">
        <v>2.5</v>
      </c>
      <c r="D345" s="389">
        <v>3.75</v>
      </c>
      <c r="E345" s="384" t="s">
        <v>260</v>
      </c>
      <c r="F345" s="389"/>
      <c r="G345" s="389"/>
      <c r="T345" s="384" t="str">
        <f>IFERROR(__xludf.DUMMYFUNCTION("""COMPUTED_VALUE"""),"Alice ")</f>
        <v>Alice </v>
      </c>
      <c r="U345" s="385"/>
      <c r="W345" s="384" t="str">
        <f>IFERROR(__xludf.DUMMYFUNCTION("""COMPUTED_VALUE"""),"Аш")</f>
        <v>Аш</v>
      </c>
      <c r="X345" s="385">
        <f>IFERROR(__xludf.DUMMYFUNCTION("""COMPUTED_VALUE"""),17.25)</f>
        <v>17.25</v>
      </c>
    </row>
    <row r="346">
      <c r="A346" s="384" t="s">
        <v>90</v>
      </c>
      <c r="B346" s="384" t="s">
        <v>269</v>
      </c>
      <c r="C346" s="389"/>
      <c r="D346" s="389">
        <v>2.5</v>
      </c>
      <c r="E346" s="384"/>
      <c r="F346" s="389"/>
      <c r="G346" s="389"/>
      <c r="T346" s="384" t="str">
        <f>IFERROR(__xludf.DUMMYFUNCTION("""COMPUTED_VALUE"""),"BWDMoscow")</f>
        <v>BWDMoscow</v>
      </c>
      <c r="U346" s="385"/>
      <c r="W346" s="384" t="str">
        <f>IFERROR(__xludf.DUMMYFUNCTION("""COMPUTED_VALUE"""),"Крёстный Отец (RU)")</f>
        <v>Крёстный Отец (RU)</v>
      </c>
      <c r="X346" s="385">
        <f>IFERROR(__xludf.DUMMYFUNCTION("""COMPUTED_VALUE"""),17.25)</f>
        <v>17.25</v>
      </c>
    </row>
    <row r="347">
      <c r="A347" s="384" t="s">
        <v>107</v>
      </c>
      <c r="B347" s="384" t="s">
        <v>261</v>
      </c>
      <c r="C347" s="389">
        <v>2.5</v>
      </c>
      <c r="D347" s="389">
        <v>2.75</v>
      </c>
      <c r="E347" s="384"/>
      <c r="F347" s="389"/>
      <c r="G347" s="389"/>
      <c r="T347" s="384" t="str">
        <f>IFERROR(__xludf.DUMMYFUNCTION("""COMPUTED_VALUE"""),"Castor Troy ")</f>
        <v>Castor Troy </v>
      </c>
      <c r="U347" s="385"/>
      <c r="W347" s="384" t="str">
        <f>IFERROR(__xludf.DUMMYFUNCTION("""COMPUTED_VALUE"""),"Шоу Бой")</f>
        <v>Шоу Бой</v>
      </c>
      <c r="X347" s="385">
        <f>IFERROR(__xludf.DUMMYFUNCTION("""COMPUTED_VALUE"""),17.25)</f>
        <v>17.25</v>
      </c>
    </row>
    <row r="348">
      <c r="A348" s="384" t="s">
        <v>128</v>
      </c>
      <c r="B348" s="384" t="s">
        <v>265</v>
      </c>
      <c r="C348" s="389"/>
      <c r="D348" s="389">
        <v>1.25</v>
      </c>
      <c r="E348" s="384"/>
      <c r="F348" s="389"/>
      <c r="G348" s="389"/>
      <c r="T348" s="384" t="str">
        <f>IFERROR(__xludf.DUMMYFUNCTION("""COMPUTED_VALUE"""),"Curly")</f>
        <v>Curly</v>
      </c>
      <c r="U348" s="385"/>
      <c r="W348" s="384" t="str">
        <f>IFERROR(__xludf.DUMMYFUNCTION("""COMPUTED_VALUE"""),"Правда ")</f>
        <v>Правда </v>
      </c>
      <c r="X348" s="385">
        <f>IFERROR(__xludf.DUMMYFUNCTION("""COMPUTED_VALUE"""),17.25)</f>
        <v>17.25</v>
      </c>
    </row>
    <row r="349">
      <c r="A349" s="384" t="s">
        <v>89</v>
      </c>
      <c r="B349" s="384" t="s">
        <v>261</v>
      </c>
      <c r="C349" s="389">
        <v>2.5</v>
      </c>
      <c r="D349" s="389">
        <v>2.0</v>
      </c>
      <c r="E349" s="384" t="s">
        <v>11</v>
      </c>
      <c r="F349" s="389"/>
      <c r="G349" s="389">
        <v>0.5</v>
      </c>
      <c r="T349" s="384" t="str">
        <f>IFERROR(__xludf.DUMMYFUNCTION("""COMPUTED_VALUE"""),"GALAY")</f>
        <v>GALAY</v>
      </c>
      <c r="U349" s="385"/>
      <c r="W349" s="384" t="str">
        <f>IFERROR(__xludf.DUMMYFUNCTION("""COMPUTED_VALUE"""),"Писатель ")</f>
        <v>Писатель </v>
      </c>
      <c r="X349" s="385">
        <f>IFERROR(__xludf.DUMMYFUNCTION("""COMPUTED_VALUE"""),17.25)</f>
        <v>17.25</v>
      </c>
    </row>
    <row r="350">
      <c r="A350" s="384" t="s">
        <v>120</v>
      </c>
      <c r="B350" s="384" t="s">
        <v>271</v>
      </c>
      <c r="C350" s="389">
        <v>2.5</v>
      </c>
      <c r="D350" s="389">
        <v>3.0</v>
      </c>
      <c r="E350" s="384"/>
      <c r="F350" s="389"/>
      <c r="G350" s="389"/>
      <c r="T350" s="384" t="str">
        <f>IFERROR(__xludf.DUMMYFUNCTION("""COMPUTED_VALUE"""),"Helga")</f>
        <v>Helga</v>
      </c>
      <c r="U350" s="385"/>
      <c r="W350" s="384" t="str">
        <f>IFERROR(__xludf.DUMMYFUNCTION("""COMPUTED_VALUE"""),"Лисичка")</f>
        <v>Лисичка</v>
      </c>
      <c r="X350" s="385">
        <f>IFERROR(__xludf.DUMMYFUNCTION("""COMPUTED_VALUE"""),17.25)</f>
        <v>17.25</v>
      </c>
    </row>
    <row r="351">
      <c r="A351" s="384" t="s">
        <v>110</v>
      </c>
      <c r="B351" s="384" t="s">
        <v>261</v>
      </c>
      <c r="C351" s="389">
        <v>2.5</v>
      </c>
      <c r="D351" s="389">
        <v>2.25</v>
      </c>
      <c r="E351" s="384" t="s">
        <v>260</v>
      </c>
      <c r="F351" s="389"/>
      <c r="G351" s="389"/>
      <c r="T351" s="384" t="str">
        <f>IFERROR(__xludf.DUMMYFUNCTION("""COMPUTED_VALUE"""),"Infinity ")</f>
        <v>Infinity </v>
      </c>
      <c r="U351" s="385"/>
      <c r="W351" s="384" t="str">
        <f>IFERROR(__xludf.DUMMYFUNCTION("""COMPUTED_VALUE"""),"MSR")</f>
        <v>MSR</v>
      </c>
      <c r="X351" s="385">
        <f>IFERROR(__xludf.DUMMYFUNCTION("""COMPUTED_VALUE"""),17.0)</f>
        <v>17</v>
      </c>
    </row>
    <row r="352">
      <c r="A352" s="384" t="s">
        <v>123</v>
      </c>
      <c r="B352" s="384" t="s">
        <v>261</v>
      </c>
      <c r="C352" s="389">
        <v>2.5</v>
      </c>
      <c r="D352" s="389">
        <v>4.5</v>
      </c>
      <c r="E352" s="384"/>
      <c r="F352" s="389"/>
      <c r="G352" s="389"/>
      <c r="T352" s="384" t="str">
        <f>IFERROR(__xludf.DUMMYFUNCTION("""COMPUTED_VALUE"""),"Light")</f>
        <v>Light</v>
      </c>
      <c r="U352" s="385"/>
      <c r="W352" s="384" t="str">
        <f>IFERROR(__xludf.DUMMYFUNCTION("""COMPUTED_VALUE"""),"MSR")</f>
        <v>MSR</v>
      </c>
      <c r="X352" s="385">
        <f>IFERROR(__xludf.DUMMYFUNCTION("""COMPUTED_VALUE"""),17.0)</f>
        <v>17</v>
      </c>
    </row>
    <row r="353">
      <c r="A353" s="384" t="s">
        <v>138</v>
      </c>
      <c r="B353" s="384" t="s">
        <v>261</v>
      </c>
      <c r="C353" s="389"/>
      <c r="D353" s="389">
        <v>2.5</v>
      </c>
      <c r="E353" s="384"/>
      <c r="F353" s="389"/>
      <c r="G353" s="389"/>
      <c r="T353" s="384" t="str">
        <f>IFERROR(__xludf.DUMMYFUNCTION("""COMPUTED_VALUE"""),"Morti")</f>
        <v>Morti</v>
      </c>
      <c r="U353" s="385"/>
      <c r="W353" s="384" t="str">
        <f>IFERROR(__xludf.DUMMYFUNCTION("""COMPUTED_VALUE"""),"Coach")</f>
        <v>Coach</v>
      </c>
      <c r="X353" s="385">
        <f>IFERROR(__xludf.DUMMYFUNCTION("""COMPUTED_VALUE"""),17.0)</f>
        <v>17</v>
      </c>
    </row>
    <row r="354">
      <c r="A354" s="384" t="s">
        <v>88</v>
      </c>
      <c r="B354" s="384" t="s">
        <v>261</v>
      </c>
      <c r="C354" s="389"/>
      <c r="D354" s="389">
        <v>2.75</v>
      </c>
      <c r="E354" s="384"/>
      <c r="F354" s="389"/>
      <c r="G354" s="389"/>
      <c r="T354" s="384" t="str">
        <f>IFERROR(__xludf.DUMMYFUNCTION("""COMPUTED_VALUE"""),"MSR")</f>
        <v>MSR</v>
      </c>
      <c r="U354" s="385"/>
      <c r="W354" s="384" t="str">
        <f>IFERROR(__xludf.DUMMYFUNCTION("""COMPUTED_VALUE"""),"Rocket woman ")</f>
        <v>Rocket woman </v>
      </c>
      <c r="X354" s="385">
        <f>IFERROR(__xludf.DUMMYFUNCTION("""COMPUTED_VALUE"""),17.0)</f>
        <v>17</v>
      </c>
    </row>
    <row r="355">
      <c r="A355" s="384" t="s">
        <v>116</v>
      </c>
      <c r="B355" s="384" t="s">
        <v>269</v>
      </c>
      <c r="C355" s="389">
        <v>2.5</v>
      </c>
      <c r="D355" s="389">
        <v>3.25</v>
      </c>
      <c r="E355" s="384"/>
      <c r="F355" s="389"/>
      <c r="G355" s="389"/>
      <c r="T355" s="384" t="str">
        <f>IFERROR(__xludf.DUMMYFUNCTION("""COMPUTED_VALUE"""),"NLIP")</f>
        <v>NLIP</v>
      </c>
      <c r="U355" s="385"/>
      <c r="W355" s="384" t="str">
        <f>IFERROR(__xludf.DUMMYFUNCTION("""COMPUTED_VALUE"""),"Мишель ")</f>
        <v>Мишель </v>
      </c>
      <c r="X355" s="385">
        <f>IFERROR(__xludf.DUMMYFUNCTION("""COMPUTED_VALUE"""),17.0)</f>
        <v>17</v>
      </c>
    </row>
    <row r="356">
      <c r="A356" s="384" t="s">
        <v>122</v>
      </c>
      <c r="B356" s="384" t="s">
        <v>261</v>
      </c>
      <c r="C356" s="389"/>
      <c r="D356" s="389">
        <v>3.75</v>
      </c>
      <c r="E356" s="384"/>
      <c r="F356" s="389"/>
      <c r="G356" s="389"/>
      <c r="T356" s="384" t="str">
        <f>IFERROR(__xludf.DUMMYFUNCTION("""COMPUTED_VALUE"""),"Rocket woman ")</f>
        <v>Rocket woman </v>
      </c>
      <c r="U356" s="385"/>
      <c r="W356" s="384" t="str">
        <f>IFERROR(__xludf.DUMMYFUNCTION("""COMPUTED_VALUE"""),"Helga")</f>
        <v>Helga</v>
      </c>
      <c r="X356" s="385">
        <f>IFERROR(__xludf.DUMMYFUNCTION("""COMPUTED_VALUE"""),17.0)</f>
        <v>17</v>
      </c>
    </row>
    <row r="357">
      <c r="A357" s="384" t="s">
        <v>96</v>
      </c>
      <c r="B357" s="384" t="s">
        <v>261</v>
      </c>
      <c r="C357" s="389"/>
      <c r="D357" s="389">
        <v>1.5</v>
      </c>
      <c r="E357" s="384"/>
      <c r="F357" s="389"/>
      <c r="G357" s="389"/>
      <c r="T357" s="384" t="str">
        <f>IFERROR(__xludf.DUMMYFUNCTION("""COMPUTED_VALUE"""),"SCHOKK ")</f>
        <v>SCHOKK </v>
      </c>
      <c r="U357" s="385"/>
      <c r="W357" s="384" t="str">
        <f>IFERROR(__xludf.DUMMYFUNCTION("""COMPUTED_VALUE"""),"Крот")</f>
        <v>Крот</v>
      </c>
      <c r="X357" s="385">
        <f>IFERROR(__xludf.DUMMYFUNCTION("""COMPUTED_VALUE"""),17.0)</f>
        <v>17</v>
      </c>
    </row>
    <row r="358">
      <c r="A358" s="384" t="s">
        <v>97</v>
      </c>
      <c r="B358" s="384" t="s">
        <v>261</v>
      </c>
      <c r="C358" s="389"/>
      <c r="D358" s="389">
        <v>1.5</v>
      </c>
      <c r="E358" s="384"/>
      <c r="F358" s="389"/>
      <c r="G358" s="389"/>
      <c r="T358" s="384" t="str">
        <f>IFERROR(__xludf.DUMMYFUNCTION("""COMPUTED_VALUE"""),"SOVEST")</f>
        <v>SOVEST</v>
      </c>
      <c r="U358" s="385"/>
      <c r="W358" s="384" t="str">
        <f>IFERROR(__xludf.DUMMYFUNCTION("""COMPUTED_VALUE"""),"Bublik")</f>
        <v>Bublik</v>
      </c>
      <c r="X358" s="385">
        <f>IFERROR(__xludf.DUMMYFUNCTION("""COMPUTED_VALUE"""),17.0)</f>
        <v>17</v>
      </c>
    </row>
    <row r="359">
      <c r="A359" s="384" t="s">
        <v>99</v>
      </c>
      <c r="B359" s="384" t="s">
        <v>271</v>
      </c>
      <c r="C359" s="389"/>
      <c r="D359" s="389">
        <v>2.5</v>
      </c>
      <c r="E359" s="384"/>
      <c r="F359" s="389"/>
      <c r="G359" s="389"/>
      <c r="T359" s="384" t="str">
        <f>IFERROR(__xludf.DUMMYFUNCTION("""COMPUTED_VALUE"""),"Stacy")</f>
        <v>Stacy</v>
      </c>
      <c r="U359" s="385"/>
      <c r="W359" s="384" t="str">
        <f>IFERROR(__xludf.DUMMYFUNCTION("""COMPUTED_VALUE"""),"Юрия")</f>
        <v>Юрия</v>
      </c>
      <c r="X359" s="385">
        <f>IFERROR(__xludf.DUMMYFUNCTION("""COMPUTED_VALUE"""),17.0)</f>
        <v>17</v>
      </c>
    </row>
    <row r="360">
      <c r="A360" s="384" t="s">
        <v>89</v>
      </c>
      <c r="B360" s="384" t="s">
        <v>269</v>
      </c>
      <c r="C360" s="389">
        <v>2.5</v>
      </c>
      <c r="D360" s="389">
        <v>3.5</v>
      </c>
      <c r="E360" s="384"/>
      <c r="F360" s="389"/>
      <c r="G360" s="389"/>
      <c r="T360" s="384" t="str">
        <f>IFERROR(__xludf.DUMMYFUNCTION("""COMPUTED_VALUE"""),"WhoIsWho")</f>
        <v>WhoIsWho</v>
      </c>
      <c r="U360" s="385"/>
      <c r="W360" s="384" t="str">
        <f>IFERROR(__xludf.DUMMYFUNCTION("""COMPUTED_VALUE"""),"Cristo")</f>
        <v>Cristo</v>
      </c>
      <c r="X360" s="385">
        <f>IFERROR(__xludf.DUMMYFUNCTION("""COMPUTED_VALUE"""),17.0)</f>
        <v>17</v>
      </c>
    </row>
    <row r="361">
      <c r="A361" s="384" t="s">
        <v>107</v>
      </c>
      <c r="B361" s="384" t="s">
        <v>265</v>
      </c>
      <c r="C361" s="389">
        <v>2.5</v>
      </c>
      <c r="D361" s="389">
        <v>4.0</v>
      </c>
      <c r="E361" s="384"/>
      <c r="F361" s="389"/>
      <c r="G361" s="389"/>
      <c r="T361" s="384" t="str">
        <f>IFERROR(__xludf.DUMMYFUNCTION("""COMPUTED_VALUE"""),"Young")</f>
        <v>Young</v>
      </c>
      <c r="U361" s="385"/>
      <c r="W361" s="384" t="str">
        <f>IFERROR(__xludf.DUMMYFUNCTION("""COMPUTED_VALUE"""),"Левша")</f>
        <v>Левша</v>
      </c>
      <c r="X361" s="385">
        <f>IFERROR(__xludf.DUMMYFUNCTION("""COMPUTED_VALUE"""),16.75)</f>
        <v>16.75</v>
      </c>
    </row>
    <row r="362">
      <c r="A362" s="384" t="s">
        <v>98</v>
      </c>
      <c r="B362" s="384" t="s">
        <v>261</v>
      </c>
      <c r="C362" s="389"/>
      <c r="D362" s="389">
        <v>1.75</v>
      </c>
      <c r="E362" s="384"/>
      <c r="F362" s="389"/>
      <c r="G362" s="389">
        <v>0.5</v>
      </c>
      <c r="T362" s="384" t="str">
        <f>IFERROR(__xludf.DUMMYFUNCTION("QUERY('Турнирная таблица по Алфавиту'!C7:BG66,""select C,AA order by AA desc"")"),"Шпиц")</f>
        <v>Шпиц</v>
      </c>
      <c r="U362" s="385">
        <f>IFERROR(__xludf.DUMMYFUNCTION("""COMPUTED_VALUE"""),25.25)</f>
        <v>25.25</v>
      </c>
      <c r="W362" s="384" t="str">
        <f>IFERROR(__xludf.DUMMYFUNCTION("""COMPUTED_VALUE"""),"Мишель ")</f>
        <v>Мишель </v>
      </c>
      <c r="X362" s="385">
        <f>IFERROR(__xludf.DUMMYFUNCTION("""COMPUTED_VALUE"""),16.75)</f>
        <v>16.75</v>
      </c>
    </row>
    <row r="363">
      <c r="A363" s="384" t="s">
        <v>138</v>
      </c>
      <c r="B363" s="384" t="s">
        <v>269</v>
      </c>
      <c r="C363" s="389">
        <v>2.5</v>
      </c>
      <c r="D363" s="389">
        <v>3.0</v>
      </c>
      <c r="E363" s="384"/>
      <c r="F363" s="389"/>
      <c r="G363" s="389"/>
      <c r="T363" s="384" t="str">
        <f>IFERROR(__xludf.DUMMYFUNCTION("""COMPUTED_VALUE"""),"Зверюга")</f>
        <v>Зверюга</v>
      </c>
      <c r="U363" s="385">
        <f>IFERROR(__xludf.DUMMYFUNCTION("""COMPUTED_VALUE"""),22.25)</f>
        <v>22.25</v>
      </c>
      <c r="W363" s="384" t="str">
        <f>IFERROR(__xludf.DUMMYFUNCTION("""COMPUTED_VALUE"""),"Авраам")</f>
        <v>Авраам</v>
      </c>
      <c r="X363" s="385">
        <f>IFERROR(__xludf.DUMMYFUNCTION("""COMPUTED_VALUE"""),16.75)</f>
        <v>16.75</v>
      </c>
    </row>
    <row r="364">
      <c r="A364" s="384" t="s">
        <v>88</v>
      </c>
      <c r="B364" s="384" t="s">
        <v>261</v>
      </c>
      <c r="C364" s="389"/>
      <c r="D364" s="389">
        <v>2.0</v>
      </c>
      <c r="E364" s="384"/>
      <c r="F364" s="389"/>
      <c r="G364" s="389"/>
      <c r="T364" s="384" t="str">
        <f>IFERROR(__xludf.DUMMYFUNCTION("""COMPUTED_VALUE"""),"РФ")</f>
        <v>РФ</v>
      </c>
      <c r="U364" s="385">
        <f>IFERROR(__xludf.DUMMYFUNCTION("""COMPUTED_VALUE"""),20.5)</f>
        <v>20.5</v>
      </c>
      <c r="W364" s="384" t="str">
        <f>IFERROR(__xludf.DUMMYFUNCTION("""COMPUTED_VALUE"""),"Юрия")</f>
        <v>Юрия</v>
      </c>
      <c r="X364" s="385">
        <f>IFERROR(__xludf.DUMMYFUNCTION("""COMPUTED_VALUE"""),16.75)</f>
        <v>16.75</v>
      </c>
    </row>
    <row r="365">
      <c r="A365" s="384" t="s">
        <v>116</v>
      </c>
      <c r="B365" s="384" t="s">
        <v>265</v>
      </c>
      <c r="C365" s="389">
        <v>2.5</v>
      </c>
      <c r="D365" s="389">
        <v>2.25</v>
      </c>
      <c r="E365" s="384"/>
      <c r="F365" s="389"/>
      <c r="G365" s="389"/>
      <c r="T365" s="384" t="str">
        <f>IFERROR(__xludf.DUMMYFUNCTION("""COMPUTED_VALUE"""),"Маваши")</f>
        <v>Маваши</v>
      </c>
      <c r="U365" s="385">
        <f>IFERROR(__xludf.DUMMYFUNCTION("""COMPUTED_VALUE"""),18.5)</f>
        <v>18.5</v>
      </c>
      <c r="W365" s="384" t="str">
        <f>IFERROR(__xludf.DUMMYFUNCTION("""COMPUTED_VALUE"""),"Левша")</f>
        <v>Левша</v>
      </c>
      <c r="X365" s="385">
        <f>IFERROR(__xludf.DUMMYFUNCTION("""COMPUTED_VALUE"""),16.75)</f>
        <v>16.75</v>
      </c>
    </row>
    <row r="366">
      <c r="A366" s="384" t="s">
        <v>122</v>
      </c>
      <c r="B366" s="384" t="s">
        <v>271</v>
      </c>
      <c r="C366" s="389"/>
      <c r="D366" s="389">
        <v>2.0</v>
      </c>
      <c r="E366" s="384"/>
      <c r="F366" s="389"/>
      <c r="G366" s="389"/>
      <c r="T366" s="384" t="str">
        <f>IFERROR(__xludf.DUMMYFUNCTION("""COMPUTED_VALUE"""),"Young")</f>
        <v>Young</v>
      </c>
      <c r="U366" s="385">
        <f>IFERROR(__xludf.DUMMYFUNCTION("""COMPUTED_VALUE"""),15.75)</f>
        <v>15.75</v>
      </c>
      <c r="W366" s="384" t="str">
        <f>IFERROR(__xludf.DUMMYFUNCTION("""COMPUTED_VALUE"""),"Бамблби")</f>
        <v>Бамблби</v>
      </c>
      <c r="X366" s="385">
        <f>IFERROR(__xludf.DUMMYFUNCTION("""COMPUTED_VALUE"""),16.5)</f>
        <v>16.5</v>
      </c>
    </row>
    <row r="367">
      <c r="A367" s="384" t="s">
        <v>96</v>
      </c>
      <c r="B367" s="384" t="s">
        <v>261</v>
      </c>
      <c r="C367" s="389"/>
      <c r="D367" s="389">
        <v>2.25</v>
      </c>
      <c r="E367" s="384"/>
      <c r="F367" s="389"/>
      <c r="G367" s="389"/>
      <c r="T367" s="384" t="str">
        <f>IFERROR(__xludf.DUMMYFUNCTION("""COMPUTED_VALUE"""),"Марго")</f>
        <v>Марго</v>
      </c>
      <c r="U367" s="385">
        <f>IFERROR(__xludf.DUMMYFUNCTION("""COMPUTED_VALUE"""),15.25)</f>
        <v>15.25</v>
      </c>
      <c r="W367" s="384" t="str">
        <f>IFERROR(__xludf.DUMMYFUNCTION("""COMPUTED_VALUE"""),"Rocket woman ")</f>
        <v>Rocket woman </v>
      </c>
      <c r="X367" s="385">
        <f>IFERROR(__xludf.DUMMYFUNCTION("""COMPUTED_VALUE"""),16.5)</f>
        <v>16.5</v>
      </c>
    </row>
    <row r="368">
      <c r="A368" s="384" t="s">
        <v>97</v>
      </c>
      <c r="B368" s="384" t="s">
        <v>269</v>
      </c>
      <c r="C368" s="389">
        <v>2.5</v>
      </c>
      <c r="D368" s="389">
        <v>3.75</v>
      </c>
      <c r="E368" s="384"/>
      <c r="F368" s="389"/>
      <c r="G368" s="389"/>
      <c r="T368" s="384" t="str">
        <f>IFERROR(__xludf.DUMMYFUNCTION("""COMPUTED_VALUE"""),"Castor Troy ")</f>
        <v>Castor Troy </v>
      </c>
      <c r="U368" s="385">
        <f>IFERROR(__xludf.DUMMYFUNCTION("""COMPUTED_VALUE"""),15.25)</f>
        <v>15.25</v>
      </c>
      <c r="W368" s="384" t="str">
        <f>IFERROR(__xludf.DUMMYFUNCTION("""COMPUTED_VALUE"""),"Крот")</f>
        <v>Крот</v>
      </c>
      <c r="X368" s="385">
        <f>IFERROR(__xludf.DUMMYFUNCTION("""COMPUTED_VALUE"""),16.5)</f>
        <v>16.5</v>
      </c>
    </row>
    <row r="369">
      <c r="A369" s="384" t="s">
        <v>99</v>
      </c>
      <c r="B369" s="384" t="s">
        <v>261</v>
      </c>
      <c r="C369" s="389"/>
      <c r="D369" s="389">
        <v>2.0</v>
      </c>
      <c r="E369" s="384"/>
      <c r="F369" s="389"/>
      <c r="G369" s="389"/>
      <c r="T369" s="384" t="str">
        <f>IFERROR(__xludf.DUMMYFUNCTION("""COMPUTED_VALUE"""),"Манекен")</f>
        <v>Манекен</v>
      </c>
      <c r="U369" s="385">
        <f>IFERROR(__xludf.DUMMYFUNCTION("""COMPUTED_VALUE"""),13.75)</f>
        <v>13.75</v>
      </c>
      <c r="W369" s="384" t="str">
        <f>IFERROR(__xludf.DUMMYFUNCTION("""COMPUTED_VALUE"""),"Ketamin")</f>
        <v>Ketamin</v>
      </c>
      <c r="X369" s="385">
        <f>IFERROR(__xludf.DUMMYFUNCTION("""COMPUTED_VALUE"""),16.5)</f>
        <v>16.5</v>
      </c>
    </row>
    <row r="370">
      <c r="A370" s="384" t="s">
        <v>89</v>
      </c>
      <c r="B370" s="384" t="s">
        <v>261</v>
      </c>
      <c r="C370" s="389"/>
      <c r="D370" s="389">
        <v>1.5</v>
      </c>
      <c r="E370" s="384"/>
      <c r="F370" s="389"/>
      <c r="G370" s="389"/>
      <c r="T370" s="384" t="str">
        <f>IFERROR(__xludf.DUMMYFUNCTION("""COMPUTED_VALUE"""),"Лисичка")</f>
        <v>Лисичка</v>
      </c>
      <c r="U370" s="385">
        <f>IFERROR(__xludf.DUMMYFUNCTION("""COMPUTED_VALUE"""),13.25)</f>
        <v>13.25</v>
      </c>
      <c r="W370" s="384" t="str">
        <f>IFERROR(__xludf.DUMMYFUNCTION("""COMPUTED_VALUE"""),"Физик")</f>
        <v>Физик</v>
      </c>
      <c r="X370" s="385">
        <f>IFERROR(__xludf.DUMMYFUNCTION("""COMPUTED_VALUE"""),16.5)</f>
        <v>16.5</v>
      </c>
    </row>
    <row r="371">
      <c r="A371" s="384" t="s">
        <v>107</v>
      </c>
      <c r="B371" s="384" t="s">
        <v>261</v>
      </c>
      <c r="C371" s="389"/>
      <c r="D371" s="389">
        <v>4.0</v>
      </c>
      <c r="E371" s="384" t="s">
        <v>11</v>
      </c>
      <c r="F371" s="389">
        <v>0.5</v>
      </c>
      <c r="G371" s="389">
        <v>0.5</v>
      </c>
      <c r="T371" s="384" t="str">
        <f>IFERROR(__xludf.DUMMYFUNCTION("""COMPUTED_VALUE"""),"Дровосек")</f>
        <v>Дровосек</v>
      </c>
      <c r="U371" s="385">
        <f>IFERROR(__xludf.DUMMYFUNCTION("""COMPUTED_VALUE"""),12.0)</f>
        <v>12</v>
      </c>
      <c r="W371" s="384" t="str">
        <f>IFERROR(__xludf.DUMMYFUNCTION("""COMPUTED_VALUE"""),"Наполеон")</f>
        <v>Наполеон</v>
      </c>
      <c r="X371" s="385">
        <f>IFERROR(__xludf.DUMMYFUNCTION("""COMPUTED_VALUE"""),16.5)</f>
        <v>16.5</v>
      </c>
    </row>
    <row r="372">
      <c r="A372" s="384" t="s">
        <v>98</v>
      </c>
      <c r="B372" s="384" t="s">
        <v>261</v>
      </c>
      <c r="C372" s="389"/>
      <c r="D372" s="389">
        <v>2.75</v>
      </c>
      <c r="E372" s="384"/>
      <c r="F372" s="389"/>
      <c r="G372" s="389"/>
      <c r="T372" s="384" t="str">
        <f>IFERROR(__xludf.DUMMYFUNCTION("""COMPUTED_VALUE"""),"Авраам")</f>
        <v>Авраам</v>
      </c>
      <c r="U372" s="385"/>
      <c r="W372" s="384" t="str">
        <f>IFERROR(__xludf.DUMMYFUNCTION("""COMPUTED_VALUE"""),"Лисичка")</f>
        <v>Лисичка</v>
      </c>
      <c r="X372" s="385">
        <f>IFERROR(__xludf.DUMMYFUNCTION("""COMPUTED_VALUE"""),16.5)</f>
        <v>16.5</v>
      </c>
    </row>
    <row r="373">
      <c r="A373" s="384" t="s">
        <v>138</v>
      </c>
      <c r="B373" s="384" t="s">
        <v>261</v>
      </c>
      <c r="C373" s="389"/>
      <c r="D373" s="389">
        <v>2.5</v>
      </c>
      <c r="E373" s="384" t="s">
        <v>11</v>
      </c>
      <c r="F373" s="389"/>
      <c r="G373" s="389">
        <v>0.5</v>
      </c>
      <c r="T373" s="384" t="str">
        <f>IFERROR(__xludf.DUMMYFUNCTION("""COMPUTED_VALUE"""),"Админ")</f>
        <v>Админ</v>
      </c>
      <c r="U373" s="385"/>
      <c r="W373" s="384" t="str">
        <f>IFERROR(__xludf.DUMMYFUNCTION("""COMPUTED_VALUE"""),"Дровосек")</f>
        <v>Дровосек</v>
      </c>
      <c r="X373" s="385">
        <f>IFERROR(__xludf.DUMMYFUNCTION("""COMPUTED_VALUE"""),16.5)</f>
        <v>16.5</v>
      </c>
    </row>
    <row r="374">
      <c r="A374" s="384" t="s">
        <v>88</v>
      </c>
      <c r="B374" s="384" t="s">
        <v>261</v>
      </c>
      <c r="C374" s="389"/>
      <c r="D374" s="389">
        <v>3.75</v>
      </c>
      <c r="E374" s="384"/>
      <c r="F374" s="389"/>
      <c r="G374" s="389"/>
      <c r="T374" s="384" t="str">
        <f>IFERROR(__xludf.DUMMYFUNCTION("""COMPUTED_VALUE"""),"Андерсен")</f>
        <v>Андерсен</v>
      </c>
      <c r="U374" s="385"/>
      <c r="W374" s="384" t="str">
        <f>IFERROR(__xludf.DUMMYFUNCTION("""COMPUTED_VALUE"""),"Дровосек")</f>
        <v>Дровосек</v>
      </c>
      <c r="X374" s="385">
        <f>IFERROR(__xludf.DUMMYFUNCTION("""COMPUTED_VALUE"""),16.5)</f>
        <v>16.5</v>
      </c>
    </row>
    <row r="375">
      <c r="A375" s="384" t="s">
        <v>116</v>
      </c>
      <c r="B375" s="384" t="s">
        <v>265</v>
      </c>
      <c r="C375" s="389">
        <v>2.5</v>
      </c>
      <c r="D375" s="389">
        <v>3.75</v>
      </c>
      <c r="E375" s="384"/>
      <c r="F375" s="389"/>
      <c r="G375" s="389"/>
      <c r="T375" s="384" t="str">
        <f>IFERROR(__xludf.DUMMYFUNCTION("""COMPUTED_VALUE"""),"Артик")</f>
        <v>Артик</v>
      </c>
      <c r="U375" s="385"/>
      <c r="W375" s="384" t="str">
        <f>IFERROR(__xludf.DUMMYFUNCTION("""COMPUTED_VALUE"""),"Наполеон")</f>
        <v>Наполеон</v>
      </c>
      <c r="X375" s="385">
        <f>IFERROR(__xludf.DUMMYFUNCTION("""COMPUTED_VALUE"""),16.5)</f>
        <v>16.5</v>
      </c>
    </row>
    <row r="376">
      <c r="A376" s="384" t="s">
        <v>122</v>
      </c>
      <c r="B376" s="384" t="s">
        <v>269</v>
      </c>
      <c r="C376" s="389">
        <v>2.5</v>
      </c>
      <c r="D376" s="389">
        <v>2.5</v>
      </c>
      <c r="E376" s="384"/>
      <c r="F376" s="389"/>
      <c r="G376" s="389"/>
      <c r="T376" s="384" t="str">
        <f>IFERROR(__xludf.DUMMYFUNCTION("""COMPUTED_VALUE"""),"Астория")</f>
        <v>Астория</v>
      </c>
      <c r="U376" s="385"/>
      <c r="W376" s="384" t="str">
        <f>IFERROR(__xludf.DUMMYFUNCTION("""COMPUTED_VALUE"""),"РФ")</f>
        <v>РФ</v>
      </c>
      <c r="X376" s="385">
        <f>IFERROR(__xludf.DUMMYFUNCTION("""COMPUTED_VALUE"""),16.25)</f>
        <v>16.25</v>
      </c>
    </row>
    <row r="377">
      <c r="A377" s="384" t="s">
        <v>96</v>
      </c>
      <c r="B377" s="384" t="s">
        <v>261</v>
      </c>
      <c r="C377" s="389"/>
      <c r="D377" s="389">
        <v>2.0</v>
      </c>
      <c r="E377" s="384"/>
      <c r="F377" s="389"/>
      <c r="G377" s="389"/>
      <c r="T377" s="384" t="str">
        <f>IFERROR(__xludf.DUMMYFUNCTION("""COMPUTED_VALUE"""),"Аш")</f>
        <v>Аш</v>
      </c>
      <c r="U377" s="385"/>
      <c r="W377" s="384" t="str">
        <f>IFERROR(__xludf.DUMMYFUNCTION("""COMPUTED_VALUE"""),"BWDMoscow")</f>
        <v>BWDMoscow</v>
      </c>
      <c r="X377" s="385">
        <f>IFERROR(__xludf.DUMMYFUNCTION("""COMPUTED_VALUE"""),16.25)</f>
        <v>16.25</v>
      </c>
    </row>
    <row r="378">
      <c r="A378" s="384" t="s">
        <v>97</v>
      </c>
      <c r="B378" s="384" t="s">
        <v>261</v>
      </c>
      <c r="C378" s="389"/>
      <c r="D378" s="389">
        <v>2.75</v>
      </c>
      <c r="E378" s="384"/>
      <c r="F378" s="389"/>
      <c r="G378" s="389"/>
      <c r="T378" s="384" t="str">
        <f>IFERROR(__xludf.DUMMYFUNCTION("""COMPUTED_VALUE"""),"Бамблби")</f>
        <v>Бамблби</v>
      </c>
      <c r="U378" s="385"/>
      <c r="W378" s="384" t="str">
        <f>IFERROR(__xludf.DUMMYFUNCTION("""COMPUTED_VALUE"""),"Curly")</f>
        <v>Curly</v>
      </c>
      <c r="X378" s="385">
        <f>IFERROR(__xludf.DUMMYFUNCTION("""COMPUTED_VALUE"""),16.25)</f>
        <v>16.25</v>
      </c>
    </row>
    <row r="379">
      <c r="A379" s="384" t="s">
        <v>99</v>
      </c>
      <c r="B379" s="384" t="s">
        <v>261</v>
      </c>
      <c r="C379" s="389"/>
      <c r="D379" s="389">
        <v>2.75</v>
      </c>
      <c r="E379" s="384"/>
      <c r="F379" s="389"/>
      <c r="G379" s="389"/>
      <c r="T379" s="384" t="str">
        <f>IFERROR(__xludf.DUMMYFUNCTION("""COMPUTED_VALUE"""),"Волга")</f>
        <v>Волга</v>
      </c>
      <c r="U379" s="385"/>
      <c r="W379" s="384" t="str">
        <f>IFERROR(__xludf.DUMMYFUNCTION("""COMPUTED_VALUE"""),"WhoIsWho")</f>
        <v>WhoIsWho</v>
      </c>
      <c r="X379" s="385">
        <f>IFERROR(__xludf.DUMMYFUNCTION("""COMPUTED_VALUE"""),16.0)</f>
        <v>16</v>
      </c>
    </row>
    <row r="380">
      <c r="A380" s="384" t="s">
        <v>89</v>
      </c>
      <c r="B380" s="384" t="s">
        <v>271</v>
      </c>
      <c r="C380" s="389"/>
      <c r="D380" s="389">
        <v>3.25</v>
      </c>
      <c r="E380" s="384"/>
      <c r="F380" s="389"/>
      <c r="G380" s="389"/>
      <c r="T380" s="384" t="str">
        <f>IFERROR(__xludf.DUMMYFUNCTION("""COMPUTED_VALUE"""),"Градиент")</f>
        <v>Градиент</v>
      </c>
      <c r="U380" s="385"/>
      <c r="W380" s="384" t="str">
        <f>IFERROR(__xludf.DUMMYFUNCTION("""COMPUTED_VALUE"""),"Rocket woman ")</f>
        <v>Rocket woman </v>
      </c>
      <c r="X380" s="385">
        <f>IFERROR(__xludf.DUMMYFUNCTION("""COMPUTED_VALUE"""),16.0)</f>
        <v>16</v>
      </c>
    </row>
    <row r="381">
      <c r="A381" s="384" t="s">
        <v>107</v>
      </c>
      <c r="B381" s="384" t="s">
        <v>261</v>
      </c>
      <c r="C381" s="389"/>
      <c r="D381" s="389">
        <v>3.0</v>
      </c>
      <c r="E381" s="384"/>
      <c r="F381" s="389"/>
      <c r="G381" s="389"/>
      <c r="T381" s="384" t="str">
        <f>IFERROR(__xludf.DUMMYFUNCTION("""COMPUTED_VALUE"""),"Инсомнич")</f>
        <v>Инсомнич</v>
      </c>
      <c r="U381" s="385"/>
      <c r="W381" s="384" t="str">
        <f>IFERROR(__xludf.DUMMYFUNCTION("""COMPUTED_VALUE"""),"NLIP")</f>
        <v>NLIP</v>
      </c>
      <c r="X381" s="385">
        <f>IFERROR(__xludf.DUMMYFUNCTION("""COMPUTED_VALUE"""),16.0)</f>
        <v>16</v>
      </c>
    </row>
    <row r="382">
      <c r="A382" s="384" t="s">
        <v>98</v>
      </c>
      <c r="B382" s="384" t="s">
        <v>269</v>
      </c>
      <c r="C382" s="389">
        <v>2.5</v>
      </c>
      <c r="D382" s="389">
        <v>2.75</v>
      </c>
      <c r="E382" s="384"/>
      <c r="F382" s="389"/>
      <c r="G382" s="389"/>
      <c r="T382" s="384" t="str">
        <f>IFERROR(__xludf.DUMMYFUNCTION("""COMPUTED_VALUE"""),"Красавчик")</f>
        <v>Красавчик</v>
      </c>
      <c r="U382" s="385"/>
      <c r="W382" s="384" t="str">
        <f>IFERROR(__xludf.DUMMYFUNCTION("""COMPUTED_VALUE"""),"Крестный отец (BLR)")</f>
        <v>Крестный отец (BLR)</v>
      </c>
      <c r="X382" s="385">
        <f>IFERROR(__xludf.DUMMYFUNCTION("""COMPUTED_VALUE"""),16.0)</f>
        <v>16</v>
      </c>
    </row>
    <row r="383">
      <c r="A383" s="384" t="s">
        <v>138</v>
      </c>
      <c r="B383" s="384" t="s">
        <v>261</v>
      </c>
      <c r="C383" s="389"/>
      <c r="D383" s="389">
        <v>2.0</v>
      </c>
      <c r="E383" s="384"/>
      <c r="F383" s="389"/>
      <c r="G383" s="389"/>
      <c r="T383" s="384" t="str">
        <f>IFERROR(__xludf.DUMMYFUNCTION("""COMPUTED_VALUE"""),"Крестный отец (BLR)")</f>
        <v>Крестный отец (BLR)</v>
      </c>
      <c r="U383" s="385"/>
      <c r="W383" s="384" t="str">
        <f>IFERROR(__xludf.DUMMYFUNCTION("""COMPUTED_VALUE"""),"Андерсен")</f>
        <v>Андерсен</v>
      </c>
      <c r="X383" s="385">
        <f>IFERROR(__xludf.DUMMYFUNCTION("""COMPUTED_VALUE"""),16.0)</f>
        <v>16</v>
      </c>
    </row>
    <row r="384">
      <c r="A384" s="384" t="s">
        <v>88</v>
      </c>
      <c r="B384" s="384" t="s">
        <v>261</v>
      </c>
      <c r="C384" s="389"/>
      <c r="D384" s="389">
        <v>2.5</v>
      </c>
      <c r="E384" s="384"/>
      <c r="F384" s="389"/>
      <c r="G384" s="389"/>
      <c r="T384" s="384" t="str">
        <f>IFERROR(__xludf.DUMMYFUNCTION("""COMPUTED_VALUE"""),"Крёстный Отец (RU)")</f>
        <v>Крёстный Отец (RU)</v>
      </c>
      <c r="U384" s="385"/>
      <c r="W384" s="384" t="str">
        <f>IFERROR(__xludf.DUMMYFUNCTION("""COMPUTED_VALUE"""),"Наполеон")</f>
        <v>Наполеон</v>
      </c>
      <c r="X384" s="385">
        <f>IFERROR(__xludf.DUMMYFUNCTION("""COMPUTED_VALUE"""),16.0)</f>
        <v>16</v>
      </c>
    </row>
    <row r="385">
      <c r="A385" s="384" t="s">
        <v>116</v>
      </c>
      <c r="B385" s="384" t="s">
        <v>269</v>
      </c>
      <c r="C385" s="389">
        <v>2.5</v>
      </c>
      <c r="D385" s="389">
        <v>3.5</v>
      </c>
      <c r="E385" s="384"/>
      <c r="F385" s="389"/>
      <c r="G385" s="389"/>
      <c r="T385" s="384" t="str">
        <f>IFERROR(__xludf.DUMMYFUNCTION("""COMPUTED_VALUE"""),"Крот")</f>
        <v>Крот</v>
      </c>
      <c r="U385" s="385"/>
      <c r="W385" s="384" t="str">
        <f>IFERROR(__xludf.DUMMYFUNCTION("""COMPUTED_VALUE"""),"Шоу Бой")</f>
        <v>Шоу Бой</v>
      </c>
      <c r="X385" s="385">
        <f>IFERROR(__xludf.DUMMYFUNCTION("""COMPUTED_VALUE"""),16.0)</f>
        <v>16</v>
      </c>
    </row>
    <row r="386">
      <c r="A386" s="384" t="s">
        <v>122</v>
      </c>
      <c r="B386" s="384" t="s">
        <v>261</v>
      </c>
      <c r="C386" s="389"/>
      <c r="D386" s="389">
        <v>2.5</v>
      </c>
      <c r="E386" s="384"/>
      <c r="F386" s="389"/>
      <c r="G386" s="389"/>
      <c r="T386" s="384" t="str">
        <f>IFERROR(__xludf.DUMMYFUNCTION("""COMPUTED_VALUE"""),"Левша")</f>
        <v>Левша</v>
      </c>
      <c r="U386" s="385"/>
      <c r="W386" s="384" t="str">
        <f>IFERROR(__xludf.DUMMYFUNCTION("""COMPUTED_VALUE"""),"Ketamin")</f>
        <v>Ketamin</v>
      </c>
      <c r="X386" s="385">
        <f>IFERROR(__xludf.DUMMYFUNCTION("""COMPUTED_VALUE"""),16.0)</f>
        <v>16</v>
      </c>
    </row>
    <row r="387">
      <c r="A387" s="384" t="s">
        <v>96</v>
      </c>
      <c r="B387" s="384" t="s">
        <v>261</v>
      </c>
      <c r="C387" s="389"/>
      <c r="D387" s="389">
        <v>2.0</v>
      </c>
      <c r="E387" s="384"/>
      <c r="F387" s="389"/>
      <c r="G387" s="389"/>
      <c r="T387" s="384" t="str">
        <f>IFERROR(__xludf.DUMMYFUNCTION("""COMPUTED_VALUE"""),"Ментик")</f>
        <v>Ментик</v>
      </c>
      <c r="U387" s="385"/>
      <c r="W387" s="384" t="str">
        <f>IFERROR(__xludf.DUMMYFUNCTION("""COMPUTED_VALUE"""),"Тихий закат")</f>
        <v>Тихий закат</v>
      </c>
      <c r="X387" s="385">
        <f>IFERROR(__xludf.DUMMYFUNCTION("""COMPUTED_VALUE"""),16.0)</f>
        <v>16</v>
      </c>
    </row>
    <row r="388">
      <c r="A388" s="384" t="s">
        <v>97</v>
      </c>
      <c r="B388" s="384" t="s">
        <v>269</v>
      </c>
      <c r="C388" s="389">
        <v>2.5</v>
      </c>
      <c r="D388" s="389">
        <v>3.0</v>
      </c>
      <c r="E388" s="384"/>
      <c r="F388" s="389"/>
      <c r="G388" s="389"/>
      <c r="T388" s="384" t="str">
        <f>IFERROR(__xludf.DUMMYFUNCTION("""COMPUTED_VALUE"""),"Мишель ")</f>
        <v>Мишель </v>
      </c>
      <c r="U388" s="385"/>
      <c r="W388" s="384" t="str">
        <f>IFERROR(__xludf.DUMMYFUNCTION("""COMPUTED_VALUE"""),"Бамблби")</f>
        <v>Бамблби</v>
      </c>
      <c r="X388" s="385">
        <f>IFERROR(__xludf.DUMMYFUNCTION("""COMPUTED_VALUE"""),15.75)</f>
        <v>15.75</v>
      </c>
    </row>
    <row r="389">
      <c r="A389" s="384" t="s">
        <v>99</v>
      </c>
      <c r="B389" s="384" t="s">
        <v>271</v>
      </c>
      <c r="C389" s="389"/>
      <c r="D389" s="389">
        <v>3.0</v>
      </c>
      <c r="E389" s="384"/>
      <c r="F389" s="389"/>
      <c r="G389" s="389"/>
      <c r="T389" s="384" t="str">
        <f>IFERROR(__xludf.DUMMYFUNCTION("""COMPUTED_VALUE"""),"Наполеон")</f>
        <v>Наполеон</v>
      </c>
      <c r="U389" s="385"/>
      <c r="W389" s="384" t="str">
        <f>IFERROR(__xludf.DUMMYFUNCTION("""COMPUTED_VALUE"""),"Young")</f>
        <v>Young</v>
      </c>
      <c r="X389" s="385">
        <f>IFERROR(__xludf.DUMMYFUNCTION("""COMPUTED_VALUE"""),15.75)</f>
        <v>15.75</v>
      </c>
    </row>
    <row r="390">
      <c r="A390" s="384" t="s">
        <v>89</v>
      </c>
      <c r="B390" s="384" t="s">
        <v>265</v>
      </c>
      <c r="C390" s="389">
        <v>2.5</v>
      </c>
      <c r="D390" s="389">
        <v>4.0</v>
      </c>
      <c r="E390" s="384"/>
      <c r="F390" s="389"/>
      <c r="G390" s="389"/>
      <c r="T390" s="384" t="str">
        <f>IFERROR(__xludf.DUMMYFUNCTION("""COMPUTED_VALUE"""),"Панда из Руанды")</f>
        <v>Панда из Руанды</v>
      </c>
      <c r="U390" s="385"/>
      <c r="W390" s="384" t="str">
        <f>IFERROR(__xludf.DUMMYFUNCTION("""COMPUTED_VALUE"""),"Бамблби")</f>
        <v>Бамблби</v>
      </c>
      <c r="X390" s="385">
        <f>IFERROR(__xludf.DUMMYFUNCTION("""COMPUTED_VALUE"""),15.75)</f>
        <v>15.75</v>
      </c>
    </row>
    <row r="391">
      <c r="A391" s="384" t="s">
        <v>107</v>
      </c>
      <c r="B391" s="384" t="s">
        <v>261</v>
      </c>
      <c r="C391" s="389"/>
      <c r="D391" s="389">
        <v>1.25</v>
      </c>
      <c r="E391" s="384" t="s">
        <v>11</v>
      </c>
      <c r="F391" s="389">
        <v>0.5</v>
      </c>
      <c r="G391" s="389">
        <v>1.0</v>
      </c>
      <c r="T391" s="384" t="str">
        <f>IFERROR(__xludf.DUMMYFUNCTION("""COMPUTED_VALUE"""),"Писатель ")</f>
        <v>Писатель </v>
      </c>
      <c r="U391" s="385"/>
      <c r="W391" s="384" t="str">
        <f>IFERROR(__xludf.DUMMYFUNCTION("""COMPUTED_VALUE"""),"Писатель ")</f>
        <v>Писатель </v>
      </c>
      <c r="X391" s="385">
        <f>IFERROR(__xludf.DUMMYFUNCTION("""COMPUTED_VALUE"""),15.75)</f>
        <v>15.75</v>
      </c>
    </row>
    <row r="392">
      <c r="A392" s="384" t="s">
        <v>98</v>
      </c>
      <c r="B392" s="384" t="s">
        <v>261</v>
      </c>
      <c r="C392" s="389"/>
      <c r="D392" s="389">
        <v>1.75</v>
      </c>
      <c r="E392" s="384"/>
      <c r="F392" s="389"/>
      <c r="G392" s="389"/>
      <c r="T392" s="384" t="str">
        <f>IFERROR(__xludf.DUMMYFUNCTION("""COMPUTED_VALUE"""),"Правда ")</f>
        <v>Правда </v>
      </c>
      <c r="U392" s="385"/>
      <c r="W392" s="384" t="str">
        <f>IFERROR(__xludf.DUMMYFUNCTION("""COMPUTED_VALUE"""),"Ментик")</f>
        <v>Ментик</v>
      </c>
      <c r="X392" s="385">
        <f>IFERROR(__xludf.DUMMYFUNCTION("""COMPUTED_VALUE"""),15.75)</f>
        <v>15.75</v>
      </c>
    </row>
    <row r="393">
      <c r="A393" s="384" t="s">
        <v>138</v>
      </c>
      <c r="B393" s="384" t="s">
        <v>261</v>
      </c>
      <c r="C393" s="389"/>
      <c r="D393" s="389">
        <v>2.75</v>
      </c>
      <c r="E393" s="384" t="s">
        <v>263</v>
      </c>
      <c r="F393" s="389"/>
      <c r="G393" s="389"/>
      <c r="T393" s="384" t="str">
        <f>IFERROR(__xludf.DUMMYFUNCTION("""COMPUTED_VALUE"""),"Продюсер")</f>
        <v>Продюсер</v>
      </c>
      <c r="U393" s="385"/>
      <c r="W393" s="384" t="str">
        <f>IFERROR(__xludf.DUMMYFUNCTION("""COMPUTED_VALUE"""),"A1 ")</f>
        <v>A1 </v>
      </c>
      <c r="X393" s="385">
        <f>IFERROR(__xludf.DUMMYFUNCTION("""COMPUTED_VALUE"""),15.75)</f>
        <v>15.75</v>
      </c>
    </row>
    <row r="394">
      <c r="A394" s="384" t="s">
        <v>88</v>
      </c>
      <c r="B394" s="384" t="s">
        <v>261</v>
      </c>
      <c r="C394" s="389"/>
      <c r="D394" s="389">
        <v>1.0</v>
      </c>
      <c r="E394" s="384"/>
      <c r="F394" s="389"/>
      <c r="G394" s="389"/>
      <c r="T394" s="384" t="str">
        <f>IFERROR(__xludf.DUMMYFUNCTION("""COMPUTED_VALUE"""),"Старый")</f>
        <v>Старый</v>
      </c>
      <c r="U394" s="385"/>
      <c r="W394" s="384" t="str">
        <f>IFERROR(__xludf.DUMMYFUNCTION("""COMPUTED_VALUE"""),"BWDMoscow")</f>
        <v>BWDMoscow</v>
      </c>
      <c r="X394" s="385">
        <f>IFERROR(__xludf.DUMMYFUNCTION("""COMPUTED_VALUE"""),15.75)</f>
        <v>15.75</v>
      </c>
    </row>
    <row r="395">
      <c r="A395" s="384" t="s">
        <v>116</v>
      </c>
      <c r="B395" s="384" t="s">
        <v>271</v>
      </c>
      <c r="C395" s="389"/>
      <c r="D395" s="389">
        <v>2.5</v>
      </c>
      <c r="E395" s="384"/>
      <c r="F395" s="389"/>
      <c r="G395" s="389"/>
      <c r="T395" s="384" t="str">
        <f>IFERROR(__xludf.DUMMYFUNCTION("""COMPUTED_VALUE"""),"СЭНСЭЙ")</f>
        <v>СЭНСЭЙ</v>
      </c>
      <c r="U395" s="385"/>
      <c r="W395" s="384" t="str">
        <f>IFERROR(__xludf.DUMMYFUNCTION("""COMPUTED_VALUE"""),"Авраам")</f>
        <v>Авраам</v>
      </c>
      <c r="X395" s="385">
        <f>IFERROR(__xludf.DUMMYFUNCTION("""COMPUTED_VALUE"""),15.75)</f>
        <v>15.75</v>
      </c>
    </row>
    <row r="396">
      <c r="A396" s="384" t="s">
        <v>122</v>
      </c>
      <c r="B396" s="384" t="s">
        <v>261</v>
      </c>
      <c r="C396" s="389"/>
      <c r="D396" s="389">
        <v>2.0</v>
      </c>
      <c r="E396" s="384" t="s">
        <v>263</v>
      </c>
      <c r="F396" s="389"/>
      <c r="G396" s="389"/>
      <c r="T396" s="384" t="str">
        <f>IFERROR(__xludf.DUMMYFUNCTION("""COMPUTED_VALUE"""),"Coach")</f>
        <v>Coach</v>
      </c>
      <c r="U396" s="385"/>
      <c r="W396" s="384" t="str">
        <f>IFERROR(__xludf.DUMMYFUNCTION("""COMPUTED_VALUE"""),"Мишель ")</f>
        <v>Мишель </v>
      </c>
      <c r="X396" s="385">
        <f>IFERROR(__xludf.DUMMYFUNCTION("""COMPUTED_VALUE"""),15.75)</f>
        <v>15.75</v>
      </c>
    </row>
    <row r="397">
      <c r="A397" s="384" t="s">
        <v>96</v>
      </c>
      <c r="B397" s="384" t="s">
        <v>269</v>
      </c>
      <c r="C397" s="389">
        <v>2.5</v>
      </c>
      <c r="D397" s="389">
        <v>3.0</v>
      </c>
      <c r="E397" s="384" t="s">
        <v>260</v>
      </c>
      <c r="F397" s="389"/>
      <c r="G397" s="389"/>
      <c r="T397" s="384" t="str">
        <f>IFERROR(__xludf.DUMMYFUNCTION("""COMPUTED_VALUE"""),"Тихий закат")</f>
        <v>Тихий закат</v>
      </c>
      <c r="U397" s="385"/>
      <c r="W397" s="384" t="str">
        <f>IFERROR(__xludf.DUMMYFUNCTION("""COMPUTED_VALUE"""),"Helga")</f>
        <v>Helga</v>
      </c>
      <c r="X397" s="385">
        <f>IFERROR(__xludf.DUMMYFUNCTION("""COMPUTED_VALUE"""),15.75)</f>
        <v>15.75</v>
      </c>
    </row>
    <row r="398">
      <c r="A398" s="384" t="s">
        <v>97</v>
      </c>
      <c r="B398" s="384" t="s">
        <v>261</v>
      </c>
      <c r="C398" s="389"/>
      <c r="D398" s="389">
        <v>2.5</v>
      </c>
      <c r="E398" s="384" t="s">
        <v>263</v>
      </c>
      <c r="F398" s="389"/>
      <c r="G398" s="389"/>
      <c r="T398" s="384" t="str">
        <f>IFERROR(__xludf.DUMMYFUNCTION("""COMPUTED_VALUE"""),"Физик")</f>
        <v>Физик</v>
      </c>
      <c r="U398" s="385"/>
      <c r="W398" s="384" t="str">
        <f>IFERROR(__xludf.DUMMYFUNCTION("""COMPUTED_VALUE"""),"Аш")</f>
        <v>Аш</v>
      </c>
      <c r="X398" s="385">
        <f>IFERROR(__xludf.DUMMYFUNCTION("""COMPUTED_VALUE"""),15.75)</f>
        <v>15.75</v>
      </c>
    </row>
    <row r="399">
      <c r="A399" s="384" t="s">
        <v>99</v>
      </c>
      <c r="B399" s="384" t="s">
        <v>265</v>
      </c>
      <c r="C399" s="389">
        <v>2.5</v>
      </c>
      <c r="D399" s="389">
        <v>2.5</v>
      </c>
      <c r="E399" s="384"/>
      <c r="F399" s="389"/>
      <c r="G399" s="389"/>
      <c r="T399" s="384" t="str">
        <f>IFERROR(__xludf.DUMMYFUNCTION("""COMPUTED_VALUE"""),"Флэш")</f>
        <v>Флэш</v>
      </c>
      <c r="U399" s="385"/>
      <c r="W399" s="384" t="str">
        <f>IFERROR(__xludf.DUMMYFUNCTION("""COMPUTED_VALUE"""),"SCHOKK ")</f>
        <v>SCHOKK </v>
      </c>
      <c r="X399" s="385">
        <f>IFERROR(__xludf.DUMMYFUNCTION("""COMPUTED_VALUE"""),15.75)</f>
        <v>15.75</v>
      </c>
    </row>
    <row r="400">
      <c r="A400" s="384" t="s">
        <v>89</v>
      </c>
      <c r="B400" s="384" t="s">
        <v>269</v>
      </c>
      <c r="C400" s="389">
        <v>2.5</v>
      </c>
      <c r="D400" s="389">
        <v>2.5</v>
      </c>
      <c r="E400" s="384"/>
      <c r="F400" s="389"/>
      <c r="G400" s="389"/>
      <c r="T400" s="384" t="str">
        <f>IFERROR(__xludf.DUMMYFUNCTION("""COMPUTED_VALUE"""),"Фокс")</f>
        <v>Фокс</v>
      </c>
      <c r="U400" s="385"/>
      <c r="W400" s="384" t="str">
        <f>IFERROR(__xludf.DUMMYFUNCTION("""COMPUTED_VALUE"""),"Morti")</f>
        <v>Morti</v>
      </c>
      <c r="X400" s="385">
        <f>IFERROR(__xludf.DUMMYFUNCTION("""COMPUTED_VALUE"""),15.75)</f>
        <v>15.75</v>
      </c>
    </row>
    <row r="401">
      <c r="A401" s="384" t="s">
        <v>107</v>
      </c>
      <c r="B401" s="384" t="s">
        <v>261</v>
      </c>
      <c r="C401" s="389"/>
      <c r="D401" s="389">
        <v>3.25</v>
      </c>
      <c r="E401" s="384"/>
      <c r="F401" s="389"/>
      <c r="G401" s="389"/>
      <c r="T401" s="384" t="str">
        <f>IFERROR(__xludf.DUMMYFUNCTION("""COMPUTED_VALUE"""),"Шоу Бой")</f>
        <v>Шоу Бой</v>
      </c>
      <c r="U401" s="385"/>
      <c r="W401" s="384" t="str">
        <f>IFERROR(__xludf.DUMMYFUNCTION("""COMPUTED_VALUE"""),"Левша")</f>
        <v>Левша</v>
      </c>
      <c r="X401" s="385">
        <f>IFERROR(__xludf.DUMMYFUNCTION("""COMPUTED_VALUE"""),15.5)</f>
        <v>15.5</v>
      </c>
    </row>
    <row r="402">
      <c r="A402" s="384" t="s">
        <v>98</v>
      </c>
      <c r="B402" s="384" t="s">
        <v>261</v>
      </c>
      <c r="C402" s="389"/>
      <c r="D402" s="389">
        <v>1.75</v>
      </c>
      <c r="E402" s="384"/>
      <c r="F402" s="389"/>
      <c r="G402" s="389"/>
      <c r="T402" s="384" t="str">
        <f>IFERROR(__xludf.DUMMYFUNCTION("""COMPUTED_VALUE"""),"Юрия")</f>
        <v>Юрия</v>
      </c>
      <c r="U402" s="385"/>
      <c r="W402" s="384" t="str">
        <f>IFERROR(__xludf.DUMMYFUNCTION("""COMPUTED_VALUE"""),"Артик")</f>
        <v>Артик</v>
      </c>
      <c r="X402" s="385">
        <f>IFERROR(__xludf.DUMMYFUNCTION("""COMPUTED_VALUE"""),15.5)</f>
        <v>15.5</v>
      </c>
    </row>
    <row r="403">
      <c r="A403" s="384" t="s">
        <v>79</v>
      </c>
      <c r="B403" s="384" t="s">
        <v>271</v>
      </c>
      <c r="C403" s="389">
        <v>2.5</v>
      </c>
      <c r="D403" s="389">
        <v>3.75</v>
      </c>
      <c r="E403" s="384"/>
      <c r="F403" s="389"/>
      <c r="G403" s="389"/>
      <c r="T403" s="384" t="str">
        <f>IFERROR(__xludf.DUMMYFUNCTION("""COMPUTED_VALUE"""),"A1 ")</f>
        <v>A1 </v>
      </c>
      <c r="U403" s="385"/>
      <c r="W403" s="384" t="str">
        <f>IFERROR(__xludf.DUMMYFUNCTION("""COMPUTED_VALUE"""),"Шпиц")</f>
        <v>Шпиц</v>
      </c>
      <c r="X403" s="385">
        <f>IFERROR(__xludf.DUMMYFUNCTION("""COMPUTED_VALUE"""),15.5)</f>
        <v>15.5</v>
      </c>
    </row>
    <row r="404">
      <c r="A404" s="384" t="s">
        <v>107</v>
      </c>
      <c r="B404" s="384" t="s">
        <v>261</v>
      </c>
      <c r="C404" s="389">
        <v>2.5</v>
      </c>
      <c r="D404" s="389">
        <v>3.75</v>
      </c>
      <c r="E404" s="384"/>
      <c r="F404" s="389"/>
      <c r="G404" s="389"/>
      <c r="T404" s="384" t="str">
        <f>IFERROR(__xludf.DUMMYFUNCTION("""COMPUTED_VALUE"""),"Alice ")</f>
        <v>Alice </v>
      </c>
      <c r="U404" s="385"/>
      <c r="W404" s="384" t="str">
        <f>IFERROR(__xludf.DUMMYFUNCTION("""COMPUTED_VALUE"""),"A1 ")</f>
        <v>A1 </v>
      </c>
      <c r="X404" s="385">
        <f>IFERROR(__xludf.DUMMYFUNCTION("""COMPUTED_VALUE"""),15.5)</f>
        <v>15.5</v>
      </c>
    </row>
    <row r="405">
      <c r="A405" s="384" t="s">
        <v>117</v>
      </c>
      <c r="B405" s="384" t="s">
        <v>261</v>
      </c>
      <c r="C405" s="389">
        <v>2.5</v>
      </c>
      <c r="D405" s="389">
        <v>3.0</v>
      </c>
      <c r="E405" s="384"/>
      <c r="F405" s="389"/>
      <c r="G405" s="389"/>
      <c r="T405" s="384" t="str">
        <f>IFERROR(__xludf.DUMMYFUNCTION("""COMPUTED_VALUE"""),"Bublik")</f>
        <v>Bublik</v>
      </c>
      <c r="U405" s="385"/>
      <c r="W405" s="384" t="str">
        <f>IFERROR(__xludf.DUMMYFUNCTION("""COMPUTED_VALUE"""),"Правда ")</f>
        <v>Правда </v>
      </c>
      <c r="X405" s="385">
        <f>IFERROR(__xludf.DUMMYFUNCTION("""COMPUTED_VALUE"""),15.5)</f>
        <v>15.5</v>
      </c>
    </row>
    <row r="406">
      <c r="A406" s="384" t="s">
        <v>126</v>
      </c>
      <c r="B406" s="384" t="s">
        <v>261</v>
      </c>
      <c r="C406" s="389">
        <v>2.5</v>
      </c>
      <c r="D406" s="389">
        <v>3.75</v>
      </c>
      <c r="E406" s="384"/>
      <c r="F406" s="389"/>
      <c r="G406" s="389"/>
      <c r="T406" s="384" t="str">
        <f>IFERROR(__xludf.DUMMYFUNCTION("""COMPUTED_VALUE"""),"BWDMoscow")</f>
        <v>BWDMoscow</v>
      </c>
      <c r="U406" s="385"/>
      <c r="W406" s="384" t="str">
        <f>IFERROR(__xludf.DUMMYFUNCTION("""COMPUTED_VALUE"""),"Маваши")</f>
        <v>Маваши</v>
      </c>
      <c r="X406" s="385">
        <f>IFERROR(__xludf.DUMMYFUNCTION("""COMPUTED_VALUE"""),15.5)</f>
        <v>15.5</v>
      </c>
    </row>
    <row r="407">
      <c r="A407" s="384" t="s">
        <v>89</v>
      </c>
      <c r="B407" s="384" t="s">
        <v>269</v>
      </c>
      <c r="C407" s="389"/>
      <c r="D407" s="389">
        <v>2.25</v>
      </c>
      <c r="E407" s="384"/>
      <c r="F407" s="389"/>
      <c r="G407" s="389"/>
      <c r="T407" s="384" t="str">
        <f>IFERROR(__xludf.DUMMYFUNCTION("""COMPUTED_VALUE"""),"Cristo")</f>
        <v>Cristo</v>
      </c>
      <c r="U407" s="385"/>
      <c r="W407" s="384" t="str">
        <f>IFERROR(__xludf.DUMMYFUNCTION("""COMPUTED_VALUE"""),"Шоу Бой")</f>
        <v>Шоу Бой</v>
      </c>
      <c r="X407" s="385">
        <f>IFERROR(__xludf.DUMMYFUNCTION("""COMPUTED_VALUE"""),15.5)</f>
        <v>15.5</v>
      </c>
    </row>
    <row r="408">
      <c r="A408" s="384" t="s">
        <v>88</v>
      </c>
      <c r="B408" s="384" t="s">
        <v>269</v>
      </c>
      <c r="C408" s="389"/>
      <c r="D408" s="389">
        <v>2.0</v>
      </c>
      <c r="E408" s="384"/>
      <c r="F408" s="389"/>
      <c r="G408" s="389"/>
      <c r="T408" s="384" t="str">
        <f>IFERROR(__xludf.DUMMYFUNCTION("""COMPUTED_VALUE"""),"Curly")</f>
        <v>Curly</v>
      </c>
      <c r="U408" s="385"/>
      <c r="W408" s="384" t="str">
        <f>IFERROR(__xludf.DUMMYFUNCTION("""COMPUTED_VALUE"""),"Старый")</f>
        <v>Старый</v>
      </c>
      <c r="X408" s="385">
        <f>IFERROR(__xludf.DUMMYFUNCTION("""COMPUTED_VALUE"""),15.25)</f>
        <v>15.25</v>
      </c>
    </row>
    <row r="409">
      <c r="A409" s="384" t="s">
        <v>132</v>
      </c>
      <c r="B409" s="384" t="s">
        <v>261</v>
      </c>
      <c r="C409" s="389">
        <v>2.5</v>
      </c>
      <c r="D409" s="389">
        <v>3.25</v>
      </c>
      <c r="E409" s="384"/>
      <c r="F409" s="389"/>
      <c r="G409" s="389"/>
      <c r="T409" s="384" t="str">
        <f>IFERROR(__xludf.DUMMYFUNCTION("""COMPUTED_VALUE"""),"GALAY")</f>
        <v>GALAY</v>
      </c>
      <c r="U409" s="385"/>
      <c r="W409" s="384" t="str">
        <f>IFERROR(__xludf.DUMMYFUNCTION("""COMPUTED_VALUE"""),"Марго")</f>
        <v>Марго</v>
      </c>
      <c r="X409" s="385">
        <f>IFERROR(__xludf.DUMMYFUNCTION("""COMPUTED_VALUE"""),15.25)</f>
        <v>15.25</v>
      </c>
    </row>
    <row r="410">
      <c r="A410" s="384" t="s">
        <v>119</v>
      </c>
      <c r="B410" s="384" t="s">
        <v>265</v>
      </c>
      <c r="C410" s="389"/>
      <c r="D410" s="389">
        <v>2.0</v>
      </c>
      <c r="E410" s="384"/>
      <c r="F410" s="389"/>
      <c r="G410" s="389"/>
      <c r="T410" s="384" t="str">
        <f>IFERROR(__xludf.DUMMYFUNCTION("""COMPUTED_VALUE"""),"Helga")</f>
        <v>Helga</v>
      </c>
      <c r="U410" s="385"/>
      <c r="W410" s="384" t="str">
        <f>IFERROR(__xludf.DUMMYFUNCTION("""COMPUTED_VALUE"""),"Castor Troy ")</f>
        <v>Castor Troy </v>
      </c>
      <c r="X410" s="385">
        <f>IFERROR(__xludf.DUMMYFUNCTION("""COMPUTED_VALUE"""),15.25)</f>
        <v>15.25</v>
      </c>
    </row>
    <row r="411">
      <c r="A411" s="384" t="s">
        <v>127</v>
      </c>
      <c r="B411" s="384" t="s">
        <v>261</v>
      </c>
      <c r="C411" s="389">
        <v>2.5</v>
      </c>
      <c r="D411" s="389">
        <v>2.75</v>
      </c>
      <c r="E411" s="384" t="s">
        <v>11</v>
      </c>
      <c r="F411" s="389">
        <v>0.5</v>
      </c>
      <c r="G411" s="389">
        <v>0.5</v>
      </c>
      <c r="T411" s="384" t="str">
        <f>IFERROR(__xludf.DUMMYFUNCTION("""COMPUTED_VALUE"""),"Infinity ")</f>
        <v>Infinity </v>
      </c>
      <c r="U411" s="385"/>
      <c r="W411" s="384" t="str">
        <f>IFERROR(__xludf.DUMMYFUNCTION("""COMPUTED_VALUE"""),"Curly")</f>
        <v>Curly</v>
      </c>
      <c r="X411" s="385">
        <f>IFERROR(__xludf.DUMMYFUNCTION("""COMPUTED_VALUE"""),15.25)</f>
        <v>15.25</v>
      </c>
    </row>
    <row r="412">
      <c r="A412" s="384" t="s">
        <v>129</v>
      </c>
      <c r="B412" s="384" t="s">
        <v>261</v>
      </c>
      <c r="C412" s="389">
        <v>2.5</v>
      </c>
      <c r="D412" s="389">
        <v>2.5</v>
      </c>
      <c r="E412" s="384"/>
      <c r="F412" s="389"/>
      <c r="G412" s="389"/>
      <c r="T412" s="384" t="str">
        <f>IFERROR(__xludf.DUMMYFUNCTION("""COMPUTED_VALUE"""),"Ketamin")</f>
        <v>Ketamin</v>
      </c>
      <c r="U412" s="385"/>
      <c r="W412" s="384" t="str">
        <f>IFERROR(__xludf.DUMMYFUNCTION("""COMPUTED_VALUE"""),"GALAY")</f>
        <v>GALAY</v>
      </c>
      <c r="X412" s="385">
        <f>IFERROR(__xludf.DUMMYFUNCTION("""COMPUTED_VALUE"""),15.25)</f>
        <v>15.25</v>
      </c>
    </row>
    <row r="413">
      <c r="A413" s="384" t="s">
        <v>79</v>
      </c>
      <c r="B413" s="384" t="s">
        <v>261</v>
      </c>
      <c r="C413" s="389"/>
      <c r="D413" s="389">
        <v>4.25</v>
      </c>
      <c r="E413" s="384"/>
      <c r="F413" s="389"/>
      <c r="G413" s="389"/>
      <c r="T413" s="384" t="str">
        <f>IFERROR(__xludf.DUMMYFUNCTION("""COMPUTED_VALUE"""),"Light")</f>
        <v>Light</v>
      </c>
      <c r="U413" s="385"/>
      <c r="W413" s="384" t="str">
        <f>IFERROR(__xludf.DUMMYFUNCTION("""COMPUTED_VALUE"""),"СЭНСЭЙ")</f>
        <v>СЭНСЭЙ</v>
      </c>
      <c r="X413" s="385">
        <f>IFERROR(__xludf.DUMMYFUNCTION("""COMPUTED_VALUE"""),15.25)</f>
        <v>15.25</v>
      </c>
    </row>
    <row r="414">
      <c r="A414" s="384" t="s">
        <v>107</v>
      </c>
      <c r="B414" s="384" t="s">
        <v>261</v>
      </c>
      <c r="C414" s="389"/>
      <c r="D414" s="389">
        <v>2.75</v>
      </c>
      <c r="E414" s="384"/>
      <c r="F414" s="389"/>
      <c r="G414" s="389"/>
      <c r="T414" s="384" t="str">
        <f>IFERROR(__xludf.DUMMYFUNCTION("""COMPUTED_VALUE"""),"Morti")</f>
        <v>Morti</v>
      </c>
      <c r="U414" s="385"/>
      <c r="W414" s="384" t="str">
        <f>IFERROR(__xludf.DUMMYFUNCTION("""COMPUTED_VALUE"""),"Helga")</f>
        <v>Helga</v>
      </c>
      <c r="X414" s="385">
        <f>IFERROR(__xludf.DUMMYFUNCTION("""COMPUTED_VALUE"""),15.25)</f>
        <v>15.25</v>
      </c>
    </row>
    <row r="415">
      <c r="A415" s="384" t="s">
        <v>117</v>
      </c>
      <c r="B415" s="384" t="s">
        <v>261</v>
      </c>
      <c r="C415" s="389"/>
      <c r="D415" s="389">
        <v>1.75</v>
      </c>
      <c r="E415" s="384" t="s">
        <v>263</v>
      </c>
      <c r="F415" s="389"/>
      <c r="G415" s="389"/>
      <c r="T415" s="384" t="str">
        <f>IFERROR(__xludf.DUMMYFUNCTION("""COMPUTED_VALUE"""),"MSR")</f>
        <v>MSR</v>
      </c>
      <c r="U415" s="385"/>
      <c r="W415" s="384" t="str">
        <f>IFERROR(__xludf.DUMMYFUNCTION("""COMPUTED_VALUE"""),"MSR")</f>
        <v>MSR</v>
      </c>
      <c r="X415" s="385">
        <f>IFERROR(__xludf.DUMMYFUNCTION("""COMPUTED_VALUE"""),15.0)</f>
        <v>15</v>
      </c>
    </row>
    <row r="416">
      <c r="A416" s="384" t="s">
        <v>126</v>
      </c>
      <c r="B416" s="384" t="s">
        <v>261</v>
      </c>
      <c r="C416" s="389"/>
      <c r="D416" s="389">
        <v>2.0</v>
      </c>
      <c r="E416" s="384"/>
      <c r="F416" s="389"/>
      <c r="G416" s="389"/>
      <c r="T416" s="384" t="str">
        <f>IFERROR(__xludf.DUMMYFUNCTION("""COMPUTED_VALUE"""),"NLIP")</f>
        <v>NLIP</v>
      </c>
      <c r="U416" s="385"/>
      <c r="W416" s="384" t="str">
        <f>IFERROR(__xludf.DUMMYFUNCTION("""COMPUTED_VALUE"""),"GALAY")</f>
        <v>GALAY</v>
      </c>
      <c r="X416" s="385">
        <f>IFERROR(__xludf.DUMMYFUNCTION("""COMPUTED_VALUE"""),15.0)</f>
        <v>15</v>
      </c>
    </row>
    <row r="417">
      <c r="A417" s="384" t="s">
        <v>89</v>
      </c>
      <c r="B417" s="384" t="s">
        <v>269</v>
      </c>
      <c r="C417" s="389">
        <v>2.5</v>
      </c>
      <c r="D417" s="389">
        <v>3.0</v>
      </c>
      <c r="E417" s="384"/>
      <c r="F417" s="389"/>
      <c r="G417" s="389"/>
      <c r="T417" s="384" t="str">
        <f>IFERROR(__xludf.DUMMYFUNCTION("""COMPUTED_VALUE"""),"Rocket woman ")</f>
        <v>Rocket woman </v>
      </c>
      <c r="U417" s="385"/>
      <c r="W417" s="384" t="str">
        <f>IFERROR(__xludf.DUMMYFUNCTION("""COMPUTED_VALUE"""),"GALAY")</f>
        <v>GALAY</v>
      </c>
      <c r="X417" s="385">
        <f>IFERROR(__xludf.DUMMYFUNCTION("""COMPUTED_VALUE"""),15.0)</f>
        <v>15</v>
      </c>
    </row>
    <row r="418">
      <c r="A418" s="384" t="s">
        <v>88</v>
      </c>
      <c r="B418" s="384" t="s">
        <v>265</v>
      </c>
      <c r="C418" s="389">
        <v>2.5</v>
      </c>
      <c r="D418" s="389">
        <v>2.75</v>
      </c>
      <c r="E418" s="384"/>
      <c r="F418" s="389"/>
      <c r="G418" s="389"/>
      <c r="T418" s="384" t="str">
        <f>IFERROR(__xludf.DUMMYFUNCTION("""COMPUTED_VALUE"""),"SCHOKK ")</f>
        <v>SCHOKK </v>
      </c>
      <c r="U418" s="385"/>
      <c r="W418" s="384" t="str">
        <f>IFERROR(__xludf.DUMMYFUNCTION("""COMPUTED_VALUE"""),"Манекен")</f>
        <v>Манекен</v>
      </c>
      <c r="X418" s="385">
        <f>IFERROR(__xludf.DUMMYFUNCTION("""COMPUTED_VALUE"""),15.0)</f>
        <v>15</v>
      </c>
    </row>
    <row r="419">
      <c r="A419" s="384" t="s">
        <v>132</v>
      </c>
      <c r="B419" s="384" t="s">
        <v>261</v>
      </c>
      <c r="C419" s="389"/>
      <c r="D419" s="389">
        <v>2.75</v>
      </c>
      <c r="E419" s="384" t="s">
        <v>263</v>
      </c>
      <c r="F419" s="389"/>
      <c r="G419" s="389"/>
      <c r="T419" s="384" t="str">
        <f>IFERROR(__xludf.DUMMYFUNCTION("""COMPUTED_VALUE"""),"SOVEST")</f>
        <v>SOVEST</v>
      </c>
      <c r="U419" s="385"/>
      <c r="W419" s="384" t="str">
        <f>IFERROR(__xludf.DUMMYFUNCTION("""COMPUTED_VALUE"""),"Coach")</f>
        <v>Coach</v>
      </c>
      <c r="X419" s="385">
        <f>IFERROR(__xludf.DUMMYFUNCTION("""COMPUTED_VALUE"""),15.0)</f>
        <v>15</v>
      </c>
    </row>
    <row r="420">
      <c r="A420" s="384" t="s">
        <v>119</v>
      </c>
      <c r="B420" s="384" t="s">
        <v>261</v>
      </c>
      <c r="C420" s="389"/>
      <c r="D420" s="389">
        <v>1.75</v>
      </c>
      <c r="E420" s="384"/>
      <c r="F420" s="389"/>
      <c r="G420" s="389"/>
      <c r="T420" s="384" t="str">
        <f>IFERROR(__xludf.DUMMYFUNCTION("""COMPUTED_VALUE"""),"Stacy")</f>
        <v>Stacy</v>
      </c>
      <c r="U420" s="385"/>
      <c r="W420" s="384" t="str">
        <f>IFERROR(__xludf.DUMMYFUNCTION("""COMPUTED_VALUE"""),"Маваши")</f>
        <v>Маваши</v>
      </c>
      <c r="X420" s="385">
        <f>IFERROR(__xludf.DUMMYFUNCTION("""COMPUTED_VALUE"""),15.0)</f>
        <v>15</v>
      </c>
    </row>
    <row r="421">
      <c r="A421" s="384" t="s">
        <v>127</v>
      </c>
      <c r="B421" s="384" t="s">
        <v>271</v>
      </c>
      <c r="C421" s="389"/>
      <c r="D421" s="389">
        <v>2.25</v>
      </c>
      <c r="E421" s="384" t="s">
        <v>11</v>
      </c>
      <c r="F421" s="389"/>
      <c r="G421" s="389">
        <v>1.0</v>
      </c>
      <c r="T421" s="384" t="str">
        <f>IFERROR(__xludf.DUMMYFUNCTION("""COMPUTED_VALUE"""),"WhoIsWho")</f>
        <v>WhoIsWho</v>
      </c>
      <c r="U421" s="385"/>
      <c r="W421" s="384" t="str">
        <f>IFERROR(__xludf.DUMMYFUNCTION("""COMPUTED_VALUE"""),"Красавчик")</f>
        <v>Красавчик</v>
      </c>
      <c r="X421" s="385">
        <f>IFERROR(__xludf.DUMMYFUNCTION("""COMPUTED_VALUE"""),15.0)</f>
        <v>15</v>
      </c>
    </row>
    <row r="422">
      <c r="A422" s="384" t="s">
        <v>129</v>
      </c>
      <c r="B422" s="384" t="s">
        <v>269</v>
      </c>
      <c r="C422" s="389">
        <v>2.5</v>
      </c>
      <c r="D422" s="389">
        <v>4.25</v>
      </c>
      <c r="E422" s="384" t="s">
        <v>260</v>
      </c>
      <c r="F422" s="389"/>
      <c r="G422" s="389"/>
      <c r="T422" s="384" t="str">
        <f>IFERROR(__xludf.DUMMYFUNCTION("QUERY('Турнирная таблица по Алфавиту'!C7:BG66,""select C,AB order by AB desc"")"),"Авраам")</f>
        <v>Авраам</v>
      </c>
      <c r="U422" s="385">
        <f>IFERROR(__xludf.DUMMYFUNCTION("""COMPUTED_VALUE"""),27.0)</f>
        <v>27</v>
      </c>
      <c r="W422" s="384" t="str">
        <f>IFERROR(__xludf.DUMMYFUNCTION("""COMPUTED_VALUE"""),"Alice ")</f>
        <v>Alice </v>
      </c>
      <c r="X422" s="385">
        <f>IFERROR(__xludf.DUMMYFUNCTION("""COMPUTED_VALUE"""),14.75)</f>
        <v>14.75</v>
      </c>
    </row>
    <row r="423">
      <c r="A423" s="384" t="s">
        <v>79</v>
      </c>
      <c r="B423" s="384" t="s">
        <v>265</v>
      </c>
      <c r="C423" s="389">
        <v>2.5</v>
      </c>
      <c r="D423" s="389">
        <v>2.0</v>
      </c>
      <c r="E423" s="384"/>
      <c r="F423" s="389"/>
      <c r="G423" s="389"/>
      <c r="T423" s="384" t="str">
        <f>IFERROR(__xludf.DUMMYFUNCTION("""COMPUTED_VALUE"""),"Light")</f>
        <v>Light</v>
      </c>
      <c r="U423" s="385">
        <f>IFERROR(__xludf.DUMMYFUNCTION("""COMPUTED_VALUE"""),25.25)</f>
        <v>25.25</v>
      </c>
      <c r="W423" s="384" t="str">
        <f>IFERROR(__xludf.DUMMYFUNCTION("""COMPUTED_VALUE"""),"Флэш")</f>
        <v>Флэш</v>
      </c>
      <c r="X423" s="385">
        <f>IFERROR(__xludf.DUMMYFUNCTION("""COMPUTED_VALUE"""),14.75)</f>
        <v>14.75</v>
      </c>
    </row>
    <row r="424">
      <c r="A424" s="384" t="s">
        <v>107</v>
      </c>
      <c r="B424" s="384" t="s">
        <v>271</v>
      </c>
      <c r="C424" s="389"/>
      <c r="D424" s="389">
        <v>2.0</v>
      </c>
      <c r="E424" s="384" t="s">
        <v>11</v>
      </c>
      <c r="F424" s="389"/>
      <c r="G424" s="389">
        <v>0.5</v>
      </c>
      <c r="T424" s="384" t="str">
        <f>IFERROR(__xludf.DUMMYFUNCTION("""COMPUTED_VALUE"""),"Дровосек")</f>
        <v>Дровосек</v>
      </c>
      <c r="U424" s="385">
        <f>IFERROR(__xludf.DUMMYFUNCTION("""COMPUTED_VALUE"""),25.0)</f>
        <v>25</v>
      </c>
      <c r="W424" s="384" t="str">
        <f>IFERROR(__xludf.DUMMYFUNCTION("""COMPUTED_VALUE"""),"Правда ")</f>
        <v>Правда </v>
      </c>
      <c r="X424" s="385">
        <f>IFERROR(__xludf.DUMMYFUNCTION("""COMPUTED_VALUE"""),14.75)</f>
        <v>14.75</v>
      </c>
    </row>
    <row r="425">
      <c r="A425" s="384" t="s">
        <v>117</v>
      </c>
      <c r="B425" s="384" t="s">
        <v>261</v>
      </c>
      <c r="C425" s="389"/>
      <c r="D425" s="389">
        <v>2.25</v>
      </c>
      <c r="E425" s="384"/>
      <c r="F425" s="389"/>
      <c r="G425" s="389"/>
      <c r="T425" s="384" t="str">
        <f>IFERROR(__xludf.DUMMYFUNCTION("""COMPUTED_VALUE"""),"РФ")</f>
        <v>РФ</v>
      </c>
      <c r="U425" s="385">
        <f>IFERROR(__xludf.DUMMYFUNCTION("""COMPUTED_VALUE"""),24.75)</f>
        <v>24.75</v>
      </c>
      <c r="W425" s="384" t="str">
        <f>IFERROR(__xludf.DUMMYFUNCTION("""COMPUTED_VALUE"""),"Stacy")</f>
        <v>Stacy</v>
      </c>
      <c r="X425" s="385">
        <f>IFERROR(__xludf.DUMMYFUNCTION("""COMPUTED_VALUE"""),14.75)</f>
        <v>14.75</v>
      </c>
    </row>
    <row r="426">
      <c r="A426" s="384" t="s">
        <v>126</v>
      </c>
      <c r="B426" s="384" t="s">
        <v>261</v>
      </c>
      <c r="C426" s="389"/>
      <c r="D426" s="389">
        <v>2.0</v>
      </c>
      <c r="E426" s="384"/>
      <c r="F426" s="389"/>
      <c r="G426" s="389"/>
      <c r="T426" s="384" t="str">
        <f>IFERROR(__xludf.DUMMYFUNCTION("""COMPUTED_VALUE"""),"Юрия")</f>
        <v>Юрия</v>
      </c>
      <c r="U426" s="385">
        <f>IFERROR(__xludf.DUMMYFUNCTION("""COMPUTED_VALUE"""),20.5)</f>
        <v>20.5</v>
      </c>
      <c r="W426" s="384" t="str">
        <f>IFERROR(__xludf.DUMMYFUNCTION("""COMPUTED_VALUE"""),"SOVEST")</f>
        <v>SOVEST</v>
      </c>
      <c r="X426" s="385">
        <f>IFERROR(__xludf.DUMMYFUNCTION("""COMPUTED_VALUE"""),14.75)</f>
        <v>14.75</v>
      </c>
    </row>
    <row r="427">
      <c r="A427" s="384" t="s">
        <v>89</v>
      </c>
      <c r="B427" s="384" t="s">
        <v>269</v>
      </c>
      <c r="C427" s="389">
        <v>2.5</v>
      </c>
      <c r="D427" s="389">
        <v>4.5</v>
      </c>
      <c r="E427" s="384"/>
      <c r="F427" s="389"/>
      <c r="G427" s="389"/>
      <c r="T427" s="384" t="str">
        <f>IFERROR(__xludf.DUMMYFUNCTION("""COMPUTED_VALUE"""),"Helga")</f>
        <v>Helga</v>
      </c>
      <c r="U427" s="385">
        <f>IFERROR(__xludf.DUMMYFUNCTION("""COMPUTED_VALUE"""),20.5)</f>
        <v>20.5</v>
      </c>
      <c r="W427" s="384" t="str">
        <f>IFERROR(__xludf.DUMMYFUNCTION("""COMPUTED_VALUE"""),"Юрия")</f>
        <v>Юрия</v>
      </c>
      <c r="X427" s="385">
        <f>IFERROR(__xludf.DUMMYFUNCTION("""COMPUTED_VALUE"""),14.75)</f>
        <v>14.75</v>
      </c>
    </row>
    <row r="428">
      <c r="A428" s="384" t="s">
        <v>88</v>
      </c>
      <c r="B428" s="384" t="s">
        <v>269</v>
      </c>
      <c r="C428" s="389">
        <v>2.5</v>
      </c>
      <c r="D428" s="389">
        <v>2.75</v>
      </c>
      <c r="E428" s="384"/>
      <c r="F428" s="389"/>
      <c r="G428" s="389"/>
      <c r="T428" s="384" t="str">
        <f>IFERROR(__xludf.DUMMYFUNCTION("""COMPUTED_VALUE"""),"Infinity ")</f>
        <v>Infinity </v>
      </c>
      <c r="U428" s="385">
        <f>IFERROR(__xludf.DUMMYFUNCTION("""COMPUTED_VALUE"""),18.75)</f>
        <v>18.75</v>
      </c>
      <c r="W428" s="384" t="str">
        <f>IFERROR(__xludf.DUMMYFUNCTION("""COMPUTED_VALUE"""),"Крёстный Отец (RU)")</f>
        <v>Крёстный Отец (RU)</v>
      </c>
      <c r="X428" s="385">
        <f>IFERROR(__xludf.DUMMYFUNCTION("""COMPUTED_VALUE"""),14.75)</f>
        <v>14.75</v>
      </c>
    </row>
    <row r="429">
      <c r="A429" s="384" t="s">
        <v>132</v>
      </c>
      <c r="B429" s="384" t="s">
        <v>261</v>
      </c>
      <c r="C429" s="389"/>
      <c r="D429" s="389">
        <v>2.5</v>
      </c>
      <c r="E429" s="384"/>
      <c r="F429" s="389"/>
      <c r="G429" s="389"/>
      <c r="T429" s="384" t="str">
        <f>IFERROR(__xludf.DUMMYFUNCTION("""COMPUTED_VALUE"""),"Зверюга")</f>
        <v>Зверюга</v>
      </c>
      <c r="U429" s="385">
        <f>IFERROR(__xludf.DUMMYFUNCTION("""COMPUTED_VALUE"""),17.75)</f>
        <v>17.75</v>
      </c>
      <c r="W429" s="384" t="str">
        <f>IFERROR(__xludf.DUMMYFUNCTION("""COMPUTED_VALUE"""),"Юрия")</f>
        <v>Юрия</v>
      </c>
      <c r="X429" s="385">
        <f>IFERROR(__xludf.DUMMYFUNCTION("""COMPUTED_VALUE"""),14.5)</f>
        <v>14.5</v>
      </c>
    </row>
    <row r="430">
      <c r="A430" s="384" t="s">
        <v>119</v>
      </c>
      <c r="B430" s="384" t="s">
        <v>261</v>
      </c>
      <c r="C430" s="389"/>
      <c r="D430" s="389">
        <v>2.25</v>
      </c>
      <c r="E430" s="384"/>
      <c r="F430" s="389"/>
      <c r="G430" s="389"/>
      <c r="T430" s="384" t="str">
        <f>IFERROR(__xludf.DUMMYFUNCTION("""COMPUTED_VALUE"""),"NLIP")</f>
        <v>NLIP</v>
      </c>
      <c r="U430" s="385">
        <f>IFERROR(__xludf.DUMMYFUNCTION("""COMPUTED_VALUE"""),16.0)</f>
        <v>16</v>
      </c>
      <c r="W430" s="384" t="str">
        <f>IFERROR(__xludf.DUMMYFUNCTION("""COMPUTED_VALUE"""),"Stacy")</f>
        <v>Stacy</v>
      </c>
      <c r="X430" s="385">
        <f>IFERROR(__xludf.DUMMYFUNCTION("""COMPUTED_VALUE"""),14.5)</f>
        <v>14.5</v>
      </c>
    </row>
    <row r="431">
      <c r="A431" s="384" t="s">
        <v>127</v>
      </c>
      <c r="B431" s="384" t="s">
        <v>261</v>
      </c>
      <c r="C431" s="389"/>
      <c r="D431" s="389">
        <v>1.5</v>
      </c>
      <c r="E431" s="384"/>
      <c r="F431" s="389"/>
      <c r="G431" s="389"/>
      <c r="T431" s="384" t="str">
        <f>IFERROR(__xludf.DUMMYFUNCTION("""COMPUTED_VALUE"""),"Alice ")</f>
        <v>Alice </v>
      </c>
      <c r="U431" s="385">
        <f>IFERROR(__xludf.DUMMYFUNCTION("""COMPUTED_VALUE"""),12.0)</f>
        <v>12</v>
      </c>
      <c r="W431" s="384" t="str">
        <f>IFERROR(__xludf.DUMMYFUNCTION("""COMPUTED_VALUE"""),"Маваши")</f>
        <v>Маваши</v>
      </c>
      <c r="X431" s="385">
        <f>IFERROR(__xludf.DUMMYFUNCTION("""COMPUTED_VALUE"""),14.5)</f>
        <v>14.5</v>
      </c>
    </row>
    <row r="432">
      <c r="A432" s="384" t="s">
        <v>129</v>
      </c>
      <c r="B432" s="384" t="s">
        <v>261</v>
      </c>
      <c r="C432" s="389"/>
      <c r="D432" s="389">
        <v>1.25</v>
      </c>
      <c r="E432" s="384"/>
      <c r="F432" s="389"/>
      <c r="G432" s="389"/>
      <c r="T432" s="384" t="str">
        <f>IFERROR(__xludf.DUMMYFUNCTION("""COMPUTED_VALUE"""),"Админ")</f>
        <v>Админ</v>
      </c>
      <c r="U432" s="385"/>
      <c r="W432" s="384" t="str">
        <f>IFERROR(__xludf.DUMMYFUNCTION("""COMPUTED_VALUE"""),"Градиент")</f>
        <v>Градиент</v>
      </c>
      <c r="X432" s="385">
        <f>IFERROR(__xludf.DUMMYFUNCTION("""COMPUTED_VALUE"""),14.5)</f>
        <v>14.5</v>
      </c>
    </row>
    <row r="433">
      <c r="A433" s="384" t="s">
        <v>79</v>
      </c>
      <c r="B433" s="384" t="s">
        <v>261</v>
      </c>
      <c r="C433" s="389">
        <v>2.5</v>
      </c>
      <c r="D433" s="389">
        <v>3.0</v>
      </c>
      <c r="E433" s="384"/>
      <c r="F433" s="389"/>
      <c r="G433" s="389"/>
      <c r="T433" s="384" t="str">
        <f>IFERROR(__xludf.DUMMYFUNCTION("""COMPUTED_VALUE"""),"Андерсен")</f>
        <v>Андерсен</v>
      </c>
      <c r="U433" s="385"/>
      <c r="W433" s="384" t="str">
        <f>IFERROR(__xludf.DUMMYFUNCTION("""COMPUTED_VALUE"""),"Бамблби")</f>
        <v>Бамблби</v>
      </c>
      <c r="X433" s="385">
        <f>IFERROR(__xludf.DUMMYFUNCTION("""COMPUTED_VALUE"""),14.25)</f>
        <v>14.25</v>
      </c>
    </row>
    <row r="434">
      <c r="A434" s="384" t="s">
        <v>107</v>
      </c>
      <c r="B434" s="384" t="s">
        <v>261</v>
      </c>
      <c r="C434" s="389">
        <v>2.5</v>
      </c>
      <c r="D434" s="389">
        <v>2.75</v>
      </c>
      <c r="E434" s="384" t="s">
        <v>11</v>
      </c>
      <c r="F434" s="389"/>
      <c r="G434" s="389">
        <v>1.0</v>
      </c>
      <c r="T434" s="384" t="str">
        <f>IFERROR(__xludf.DUMMYFUNCTION("""COMPUTED_VALUE"""),"Артик")</f>
        <v>Артик</v>
      </c>
      <c r="U434" s="385"/>
      <c r="W434" s="384" t="str">
        <f>IFERROR(__xludf.DUMMYFUNCTION("""COMPUTED_VALUE"""),"Крот")</f>
        <v>Крот</v>
      </c>
      <c r="X434" s="385">
        <f>IFERROR(__xludf.DUMMYFUNCTION("""COMPUTED_VALUE"""),14.25)</f>
        <v>14.25</v>
      </c>
    </row>
    <row r="435">
      <c r="A435" s="384" t="s">
        <v>117</v>
      </c>
      <c r="B435" s="384" t="s">
        <v>261</v>
      </c>
      <c r="C435" s="389">
        <v>2.5</v>
      </c>
      <c r="D435" s="389">
        <v>2.5</v>
      </c>
      <c r="E435" s="384"/>
      <c r="F435" s="389"/>
      <c r="G435" s="389"/>
      <c r="T435" s="384" t="str">
        <f>IFERROR(__xludf.DUMMYFUNCTION("""COMPUTED_VALUE"""),"Астория")</f>
        <v>Астория</v>
      </c>
      <c r="U435" s="385"/>
      <c r="W435" s="384" t="str">
        <f>IFERROR(__xludf.DUMMYFUNCTION("""COMPUTED_VALUE"""),"Бамблби")</f>
        <v>Бамблби</v>
      </c>
      <c r="X435" s="385">
        <f>IFERROR(__xludf.DUMMYFUNCTION("""COMPUTED_VALUE"""),14.25)</f>
        <v>14.25</v>
      </c>
    </row>
    <row r="436">
      <c r="A436" s="384" t="s">
        <v>126</v>
      </c>
      <c r="B436" s="384" t="s">
        <v>261</v>
      </c>
      <c r="C436" s="389">
        <v>2.5</v>
      </c>
      <c r="D436" s="389">
        <v>2.5</v>
      </c>
      <c r="E436" s="384"/>
      <c r="F436" s="389"/>
      <c r="G436" s="389"/>
      <c r="T436" s="384" t="str">
        <f>IFERROR(__xludf.DUMMYFUNCTION("""COMPUTED_VALUE"""),"Аш")</f>
        <v>Аш</v>
      </c>
      <c r="U436" s="385"/>
      <c r="W436" s="384" t="str">
        <f>IFERROR(__xludf.DUMMYFUNCTION("""COMPUTED_VALUE"""),"Красавчик")</f>
        <v>Красавчик</v>
      </c>
      <c r="X436" s="385">
        <f>IFERROR(__xludf.DUMMYFUNCTION("""COMPUTED_VALUE"""),14.25)</f>
        <v>14.25</v>
      </c>
    </row>
    <row r="437">
      <c r="A437" s="384" t="s">
        <v>89</v>
      </c>
      <c r="B437" s="384" t="s">
        <v>265</v>
      </c>
      <c r="C437" s="389"/>
      <c r="D437" s="389">
        <v>1.0</v>
      </c>
      <c r="E437" s="384"/>
      <c r="F437" s="389"/>
      <c r="G437" s="389"/>
      <c r="T437" s="384" t="str">
        <f>IFERROR(__xludf.DUMMYFUNCTION("""COMPUTED_VALUE"""),"Бамблби")</f>
        <v>Бамблби</v>
      </c>
      <c r="U437" s="385"/>
      <c r="W437" s="384" t="str">
        <f>IFERROR(__xludf.DUMMYFUNCTION("""COMPUTED_VALUE"""),"A1 ")</f>
        <v>A1 </v>
      </c>
      <c r="X437" s="385">
        <f>IFERROR(__xludf.DUMMYFUNCTION("""COMPUTED_VALUE"""),14.25)</f>
        <v>14.25</v>
      </c>
    </row>
    <row r="438">
      <c r="A438" s="384" t="s">
        <v>88</v>
      </c>
      <c r="B438" s="384" t="s">
        <v>261</v>
      </c>
      <c r="C438" s="389">
        <v>2.5</v>
      </c>
      <c r="D438" s="389">
        <v>3.25</v>
      </c>
      <c r="E438" s="384"/>
      <c r="F438" s="389"/>
      <c r="G438" s="389"/>
      <c r="T438" s="384" t="str">
        <f>IFERROR(__xludf.DUMMYFUNCTION("""COMPUTED_VALUE"""),"Волга")</f>
        <v>Волга</v>
      </c>
      <c r="U438" s="385"/>
      <c r="W438" s="384" t="str">
        <f>IFERROR(__xludf.DUMMYFUNCTION("""COMPUTED_VALUE"""),"Админ")</f>
        <v>Админ</v>
      </c>
      <c r="X438" s="385">
        <f>IFERROR(__xludf.DUMMYFUNCTION("""COMPUTED_VALUE"""),14.25)</f>
        <v>14.25</v>
      </c>
    </row>
    <row r="439">
      <c r="A439" s="384" t="s">
        <v>132</v>
      </c>
      <c r="B439" s="384" t="s">
        <v>269</v>
      </c>
      <c r="C439" s="389"/>
      <c r="D439" s="389">
        <v>3.0</v>
      </c>
      <c r="E439" s="384"/>
      <c r="F439" s="389"/>
      <c r="G439" s="389"/>
      <c r="T439" s="384" t="str">
        <f>IFERROR(__xludf.DUMMYFUNCTION("""COMPUTED_VALUE"""),"Градиент")</f>
        <v>Градиент</v>
      </c>
      <c r="U439" s="385"/>
      <c r="W439" s="384" t="str">
        <f>IFERROR(__xludf.DUMMYFUNCTION("""COMPUTED_VALUE"""),"Дровосек")</f>
        <v>Дровосек</v>
      </c>
      <c r="X439" s="385">
        <f>IFERROR(__xludf.DUMMYFUNCTION("""COMPUTED_VALUE"""),14.25)</f>
        <v>14.25</v>
      </c>
    </row>
    <row r="440">
      <c r="A440" s="384" t="s">
        <v>119</v>
      </c>
      <c r="B440" s="384" t="s">
        <v>269</v>
      </c>
      <c r="C440" s="389"/>
      <c r="D440" s="389">
        <v>0.0</v>
      </c>
      <c r="E440" s="384"/>
      <c r="F440" s="389"/>
      <c r="G440" s="389"/>
      <c r="T440" s="384" t="str">
        <f>IFERROR(__xludf.DUMMYFUNCTION("""COMPUTED_VALUE"""),"Инсомнич")</f>
        <v>Инсомнич</v>
      </c>
      <c r="U440" s="385"/>
      <c r="W440" s="384" t="str">
        <f>IFERROR(__xludf.DUMMYFUNCTION("""COMPUTED_VALUE"""),"Крот")</f>
        <v>Крот</v>
      </c>
      <c r="X440" s="385">
        <f>IFERROR(__xludf.DUMMYFUNCTION("""COMPUTED_VALUE"""),14.25)</f>
        <v>14.25</v>
      </c>
    </row>
    <row r="441">
      <c r="A441" s="384" t="s">
        <v>127</v>
      </c>
      <c r="B441" s="384" t="s">
        <v>271</v>
      </c>
      <c r="C441" s="389">
        <v>2.5</v>
      </c>
      <c r="D441" s="389">
        <v>3.25</v>
      </c>
      <c r="E441" s="384"/>
      <c r="F441" s="389"/>
      <c r="G441" s="389"/>
      <c r="T441" s="384" t="str">
        <f>IFERROR(__xludf.DUMMYFUNCTION("""COMPUTED_VALUE"""),"Красавчик")</f>
        <v>Красавчик</v>
      </c>
      <c r="U441" s="385"/>
      <c r="W441" s="384" t="str">
        <f>IFERROR(__xludf.DUMMYFUNCTION("""COMPUTED_VALUE"""),"Лисичка")</f>
        <v>Лисичка</v>
      </c>
      <c r="X441" s="385">
        <f>IFERROR(__xludf.DUMMYFUNCTION("""COMPUTED_VALUE"""),14.25)</f>
        <v>14.25</v>
      </c>
    </row>
    <row r="442">
      <c r="A442" s="384" t="s">
        <v>129</v>
      </c>
      <c r="B442" s="384" t="s">
        <v>261</v>
      </c>
      <c r="C442" s="389">
        <v>2.5</v>
      </c>
      <c r="D442" s="389">
        <v>3.25</v>
      </c>
      <c r="E442" s="384"/>
      <c r="F442" s="389"/>
      <c r="G442" s="389"/>
      <c r="T442" s="384" t="str">
        <f>IFERROR(__xludf.DUMMYFUNCTION("""COMPUTED_VALUE"""),"Крестный отец (BLR)")</f>
        <v>Крестный отец (BLR)</v>
      </c>
      <c r="U442" s="385"/>
      <c r="W442" s="384" t="str">
        <f>IFERROR(__xludf.DUMMYFUNCTION("""COMPUTED_VALUE"""),"MSR")</f>
        <v>MSR</v>
      </c>
      <c r="X442" s="385">
        <f>IFERROR(__xludf.DUMMYFUNCTION("""COMPUTED_VALUE"""),14.25)</f>
        <v>14.25</v>
      </c>
    </row>
    <row r="443">
      <c r="A443" s="384" t="s">
        <v>79</v>
      </c>
      <c r="B443" s="384" t="s">
        <v>261</v>
      </c>
      <c r="C443" s="389">
        <v>2.5</v>
      </c>
      <c r="D443" s="389">
        <v>3.0</v>
      </c>
      <c r="E443" s="384" t="s">
        <v>11</v>
      </c>
      <c r="F443" s="389">
        <v>0.5</v>
      </c>
      <c r="G443" s="389">
        <v>0.5</v>
      </c>
      <c r="T443" s="384" t="str">
        <f>IFERROR(__xludf.DUMMYFUNCTION("""COMPUTED_VALUE"""),"Крёстный Отец (RU)")</f>
        <v>Крёстный Отец (RU)</v>
      </c>
      <c r="U443" s="385"/>
      <c r="W443" s="384" t="str">
        <f>IFERROR(__xludf.DUMMYFUNCTION("""COMPUTED_VALUE"""),"Панда из Руанды")</f>
        <v>Панда из Руанды</v>
      </c>
      <c r="X443" s="385">
        <f>IFERROR(__xludf.DUMMYFUNCTION("""COMPUTED_VALUE"""),14.0)</f>
        <v>14</v>
      </c>
    </row>
    <row r="444">
      <c r="A444" s="384" t="s">
        <v>107</v>
      </c>
      <c r="B444" s="384" t="s">
        <v>261</v>
      </c>
      <c r="C444" s="389">
        <v>2.5</v>
      </c>
      <c r="D444" s="389">
        <v>4.5</v>
      </c>
      <c r="E444" s="384"/>
      <c r="F444" s="389"/>
      <c r="G444" s="389"/>
      <c r="T444" s="384" t="str">
        <f>IFERROR(__xludf.DUMMYFUNCTION("""COMPUTED_VALUE"""),"Крот")</f>
        <v>Крот</v>
      </c>
      <c r="U444" s="385"/>
      <c r="W444" s="384" t="str">
        <f>IFERROR(__xludf.DUMMYFUNCTION("""COMPUTED_VALUE"""),"Левша")</f>
        <v>Левша</v>
      </c>
      <c r="X444" s="385">
        <f>IFERROR(__xludf.DUMMYFUNCTION("""COMPUTED_VALUE"""),14.0)</f>
        <v>14</v>
      </c>
    </row>
    <row r="445">
      <c r="A445" s="384" t="s">
        <v>117</v>
      </c>
      <c r="B445" s="384" t="s">
        <v>261</v>
      </c>
      <c r="C445" s="389">
        <v>2.5</v>
      </c>
      <c r="D445" s="389">
        <v>3.5</v>
      </c>
      <c r="E445" s="384"/>
      <c r="F445" s="389"/>
      <c r="G445" s="389"/>
      <c r="T445" s="384" t="str">
        <f>IFERROR(__xludf.DUMMYFUNCTION("""COMPUTED_VALUE"""),"Левша")</f>
        <v>Левша</v>
      </c>
      <c r="U445" s="385"/>
      <c r="W445" s="384" t="str">
        <f>IFERROR(__xludf.DUMMYFUNCTION("""COMPUTED_VALUE"""),"Light")</f>
        <v>Light</v>
      </c>
      <c r="X445" s="385">
        <f>IFERROR(__xludf.DUMMYFUNCTION("""COMPUTED_VALUE"""),14.0)</f>
        <v>14</v>
      </c>
    </row>
    <row r="446">
      <c r="A446" s="384" t="s">
        <v>126</v>
      </c>
      <c r="B446" s="384" t="s">
        <v>271</v>
      </c>
      <c r="C446" s="389">
        <v>2.5</v>
      </c>
      <c r="D446" s="389">
        <v>2.75</v>
      </c>
      <c r="E446" s="384"/>
      <c r="F446" s="389"/>
      <c r="G446" s="389"/>
      <c r="T446" s="384" t="str">
        <f>IFERROR(__xludf.DUMMYFUNCTION("""COMPUTED_VALUE"""),"Лисичка")</f>
        <v>Лисичка</v>
      </c>
      <c r="U446" s="385"/>
      <c r="W446" s="384" t="str">
        <f>IFERROR(__xludf.DUMMYFUNCTION("""COMPUTED_VALUE"""),"WhoIsWho")</f>
        <v>WhoIsWho</v>
      </c>
      <c r="X446" s="385">
        <f>IFERROR(__xludf.DUMMYFUNCTION("""COMPUTED_VALUE"""),14.0)</f>
        <v>14</v>
      </c>
    </row>
    <row r="447">
      <c r="A447" s="384" t="s">
        <v>89</v>
      </c>
      <c r="B447" s="384" t="s">
        <v>269</v>
      </c>
      <c r="C447" s="389"/>
      <c r="D447" s="389">
        <v>2.0</v>
      </c>
      <c r="E447" s="384"/>
      <c r="F447" s="389"/>
      <c r="G447" s="389"/>
      <c r="T447" s="384" t="str">
        <f>IFERROR(__xludf.DUMMYFUNCTION("""COMPUTED_VALUE"""),"Маваши")</f>
        <v>Маваши</v>
      </c>
      <c r="U447" s="385"/>
      <c r="W447" s="384" t="str">
        <f>IFERROR(__xludf.DUMMYFUNCTION("""COMPUTED_VALUE"""),"СЭНСЭЙ")</f>
        <v>СЭНСЭЙ</v>
      </c>
      <c r="X447" s="385">
        <f>IFERROR(__xludf.DUMMYFUNCTION("""COMPUTED_VALUE"""),14.0)</f>
        <v>14</v>
      </c>
    </row>
    <row r="448">
      <c r="A448" s="384" t="s">
        <v>88</v>
      </c>
      <c r="B448" s="384" t="s">
        <v>261</v>
      </c>
      <c r="C448" s="389">
        <v>2.5</v>
      </c>
      <c r="D448" s="389">
        <v>4.25</v>
      </c>
      <c r="E448" s="384"/>
      <c r="F448" s="389"/>
      <c r="G448" s="389"/>
      <c r="T448" s="384" t="str">
        <f>IFERROR(__xludf.DUMMYFUNCTION("""COMPUTED_VALUE"""),"Манекен")</f>
        <v>Манекен</v>
      </c>
      <c r="U448" s="385"/>
      <c r="W448" s="384" t="str">
        <f>IFERROR(__xludf.DUMMYFUNCTION("""COMPUTED_VALUE"""),"Админ")</f>
        <v>Админ</v>
      </c>
      <c r="X448" s="385">
        <f>IFERROR(__xludf.DUMMYFUNCTION("""COMPUTED_VALUE"""),14.0)</f>
        <v>14</v>
      </c>
    </row>
    <row r="449">
      <c r="A449" s="384" t="s">
        <v>132</v>
      </c>
      <c r="B449" s="384" t="s">
        <v>265</v>
      </c>
      <c r="C449" s="389"/>
      <c r="D449" s="389">
        <v>2.0</v>
      </c>
      <c r="E449" s="384"/>
      <c r="F449" s="389"/>
      <c r="G449" s="389"/>
      <c r="T449" s="384" t="str">
        <f>IFERROR(__xludf.DUMMYFUNCTION("""COMPUTED_VALUE"""),"Марго")</f>
        <v>Марго</v>
      </c>
      <c r="U449" s="385"/>
      <c r="W449" s="384" t="str">
        <f>IFERROR(__xludf.DUMMYFUNCTION("""COMPUTED_VALUE"""),"Young")</f>
        <v>Young</v>
      </c>
      <c r="X449" s="385">
        <f>IFERROR(__xludf.DUMMYFUNCTION("""COMPUTED_VALUE"""),14.0)</f>
        <v>14</v>
      </c>
    </row>
    <row r="450">
      <c r="A450" s="384" t="s">
        <v>119</v>
      </c>
      <c r="B450" s="384" t="s">
        <v>261</v>
      </c>
      <c r="C450" s="389">
        <v>2.5</v>
      </c>
      <c r="D450" s="389">
        <v>3.5</v>
      </c>
      <c r="E450" s="384"/>
      <c r="F450" s="389"/>
      <c r="G450" s="389"/>
      <c r="T450" s="384" t="str">
        <f>IFERROR(__xludf.DUMMYFUNCTION("""COMPUTED_VALUE"""),"Ментик")</f>
        <v>Ментик</v>
      </c>
      <c r="U450" s="385"/>
      <c r="W450" s="384" t="str">
        <f>IFERROR(__xludf.DUMMYFUNCTION("""COMPUTED_VALUE"""),"Дровосек")</f>
        <v>Дровосек</v>
      </c>
      <c r="X450" s="385">
        <f>IFERROR(__xludf.DUMMYFUNCTION("""COMPUTED_VALUE"""),14.0)</f>
        <v>14</v>
      </c>
    </row>
    <row r="451">
      <c r="A451" s="384" t="s">
        <v>127</v>
      </c>
      <c r="B451" s="384" t="s">
        <v>269</v>
      </c>
      <c r="C451" s="389"/>
      <c r="D451" s="389">
        <v>2.0</v>
      </c>
      <c r="E451" s="384"/>
      <c r="F451" s="389"/>
      <c r="G451" s="389"/>
      <c r="T451" s="384" t="str">
        <f>IFERROR(__xludf.DUMMYFUNCTION("""COMPUTED_VALUE"""),"Мишель ")</f>
        <v>Мишель </v>
      </c>
      <c r="U451" s="385"/>
      <c r="W451" s="384" t="str">
        <f>IFERROR(__xludf.DUMMYFUNCTION("""COMPUTED_VALUE"""),"Манекен")</f>
        <v>Манекен</v>
      </c>
      <c r="X451" s="385">
        <f>IFERROR(__xludf.DUMMYFUNCTION("""COMPUTED_VALUE"""),13.75)</f>
        <v>13.75</v>
      </c>
    </row>
    <row r="452">
      <c r="A452" s="384" t="s">
        <v>129</v>
      </c>
      <c r="B452" s="384" t="s">
        <v>261</v>
      </c>
      <c r="C452" s="389">
        <v>2.5</v>
      </c>
      <c r="D452" s="389">
        <v>4.0</v>
      </c>
      <c r="E452" s="384"/>
      <c r="F452" s="389"/>
      <c r="G452" s="389"/>
      <c r="T452" s="384" t="str">
        <f>IFERROR(__xludf.DUMMYFUNCTION("""COMPUTED_VALUE"""),"Наполеон")</f>
        <v>Наполеон</v>
      </c>
      <c r="U452" s="385"/>
      <c r="W452" s="384" t="str">
        <f>IFERROR(__xludf.DUMMYFUNCTION("""COMPUTED_VALUE"""),"Тихий закат")</f>
        <v>Тихий закат</v>
      </c>
      <c r="X452" s="385">
        <f>IFERROR(__xludf.DUMMYFUNCTION("""COMPUTED_VALUE"""),13.75)</f>
        <v>13.75</v>
      </c>
    </row>
    <row r="453">
      <c r="A453" s="384" t="s">
        <v>118</v>
      </c>
      <c r="B453" s="384" t="s">
        <v>269</v>
      </c>
      <c r="C453" s="389">
        <v>2.5</v>
      </c>
      <c r="D453" s="389">
        <v>2.5</v>
      </c>
      <c r="E453" s="384"/>
      <c r="F453" s="389"/>
      <c r="G453" s="389"/>
      <c r="T453" s="384" t="str">
        <f>IFERROR(__xludf.DUMMYFUNCTION("""COMPUTED_VALUE"""),"Панда из Руанды")</f>
        <v>Панда из Руанды</v>
      </c>
      <c r="U453" s="385"/>
      <c r="W453" s="384" t="str">
        <f>IFERROR(__xludf.DUMMYFUNCTION("""COMPUTED_VALUE"""),"Curly")</f>
        <v>Curly</v>
      </c>
      <c r="X453" s="385">
        <f>IFERROR(__xludf.DUMMYFUNCTION("""COMPUTED_VALUE"""),13.75)</f>
        <v>13.75</v>
      </c>
    </row>
    <row r="454">
      <c r="A454" s="384" t="s">
        <v>85</v>
      </c>
      <c r="B454" s="384" t="s">
        <v>261</v>
      </c>
      <c r="C454" s="389"/>
      <c r="D454" s="389">
        <v>1.75</v>
      </c>
      <c r="E454" s="384"/>
      <c r="F454" s="389"/>
      <c r="G454" s="389"/>
      <c r="T454" s="384" t="str">
        <f>IFERROR(__xludf.DUMMYFUNCTION("""COMPUTED_VALUE"""),"Писатель ")</f>
        <v>Писатель </v>
      </c>
      <c r="U454" s="385"/>
      <c r="W454" s="384" t="str">
        <f>IFERROR(__xludf.DUMMYFUNCTION("""COMPUTED_VALUE"""),"СЭНСЭЙ")</f>
        <v>СЭНСЭЙ</v>
      </c>
      <c r="X454" s="385">
        <f>IFERROR(__xludf.DUMMYFUNCTION("""COMPUTED_VALUE"""),13.75)</f>
        <v>13.75</v>
      </c>
    </row>
    <row r="455">
      <c r="A455" s="384" t="s">
        <v>88</v>
      </c>
      <c r="B455" s="384" t="s">
        <v>271</v>
      </c>
      <c r="C455" s="389"/>
      <c r="D455" s="389">
        <v>1.75</v>
      </c>
      <c r="E455" s="384"/>
      <c r="F455" s="389"/>
      <c r="G455" s="389"/>
      <c r="T455" s="384" t="str">
        <f>IFERROR(__xludf.DUMMYFUNCTION("""COMPUTED_VALUE"""),"Правда ")</f>
        <v>Правда </v>
      </c>
      <c r="U455" s="385"/>
      <c r="W455" s="384" t="str">
        <f>IFERROR(__xludf.DUMMYFUNCTION("""COMPUTED_VALUE"""),"Волга")</f>
        <v>Волга</v>
      </c>
      <c r="X455" s="385">
        <f>IFERROR(__xludf.DUMMYFUNCTION("""COMPUTED_VALUE"""),13.75)</f>
        <v>13.75</v>
      </c>
    </row>
    <row r="456">
      <c r="A456" s="384" t="s">
        <v>89</v>
      </c>
      <c r="B456" s="384" t="s">
        <v>261</v>
      </c>
      <c r="C456" s="389"/>
      <c r="D456" s="389">
        <v>2.75</v>
      </c>
      <c r="E456" s="384"/>
      <c r="F456" s="389"/>
      <c r="G456" s="389"/>
      <c r="T456" s="384" t="str">
        <f>IFERROR(__xludf.DUMMYFUNCTION("""COMPUTED_VALUE"""),"Продюсер")</f>
        <v>Продюсер</v>
      </c>
      <c r="U456" s="385"/>
      <c r="W456" s="384" t="str">
        <f>IFERROR(__xludf.DUMMYFUNCTION("""COMPUTED_VALUE"""),"Аш")</f>
        <v>Аш</v>
      </c>
      <c r="X456" s="385">
        <f>IFERROR(__xludf.DUMMYFUNCTION("""COMPUTED_VALUE"""),13.75)</f>
        <v>13.75</v>
      </c>
    </row>
    <row r="457">
      <c r="A457" s="384" t="s">
        <v>81</v>
      </c>
      <c r="B457" s="384" t="s">
        <v>261</v>
      </c>
      <c r="C457" s="389"/>
      <c r="D457" s="389">
        <v>2.75</v>
      </c>
      <c r="E457" s="384" t="s">
        <v>263</v>
      </c>
      <c r="F457" s="389"/>
      <c r="G457" s="389"/>
      <c r="T457" s="384" t="str">
        <f>IFERROR(__xludf.DUMMYFUNCTION("""COMPUTED_VALUE"""),"Старый")</f>
        <v>Старый</v>
      </c>
      <c r="U457" s="385"/>
      <c r="W457" s="384" t="str">
        <f>IFERROR(__xludf.DUMMYFUNCTION("""COMPUTED_VALUE"""),"Бамблби")</f>
        <v>Бамблби</v>
      </c>
      <c r="X457" s="385">
        <f>IFERROR(__xludf.DUMMYFUNCTION("""COMPUTED_VALUE"""),13.75)</f>
        <v>13.75</v>
      </c>
    </row>
    <row r="458">
      <c r="A458" s="384" t="s">
        <v>103</v>
      </c>
      <c r="B458" s="384" t="s">
        <v>261</v>
      </c>
      <c r="C458" s="389"/>
      <c r="D458" s="389">
        <v>2.0</v>
      </c>
      <c r="E458" s="384" t="s">
        <v>263</v>
      </c>
      <c r="F458" s="389"/>
      <c r="G458" s="389"/>
      <c r="T458" s="384" t="str">
        <f>IFERROR(__xludf.DUMMYFUNCTION("""COMPUTED_VALUE"""),"СЭНСЭЙ")</f>
        <v>СЭНСЭЙ</v>
      </c>
      <c r="U458" s="385"/>
      <c r="W458" s="384" t="str">
        <f>IFERROR(__xludf.DUMMYFUNCTION("""COMPUTED_VALUE"""),"Продюсер")</f>
        <v>Продюсер</v>
      </c>
      <c r="X458" s="385">
        <f>IFERROR(__xludf.DUMMYFUNCTION("""COMPUTED_VALUE"""),13.75)</f>
        <v>13.75</v>
      </c>
    </row>
    <row r="459">
      <c r="A459" s="384" t="s">
        <v>136</v>
      </c>
      <c r="B459" s="384" t="s">
        <v>265</v>
      </c>
      <c r="C459" s="389">
        <v>2.5</v>
      </c>
      <c r="D459" s="389">
        <v>2.5</v>
      </c>
      <c r="E459" s="384"/>
      <c r="F459" s="389"/>
      <c r="G459" s="389"/>
      <c r="T459" s="384" t="str">
        <f>IFERROR(__xludf.DUMMYFUNCTION("""COMPUTED_VALUE"""),"Coach")</f>
        <v>Coach</v>
      </c>
      <c r="U459" s="385"/>
      <c r="W459" s="384" t="str">
        <f>IFERROR(__xludf.DUMMYFUNCTION("""COMPUTED_VALUE"""),"Light")</f>
        <v>Light</v>
      </c>
      <c r="X459" s="385">
        <f>IFERROR(__xludf.DUMMYFUNCTION("""COMPUTED_VALUE"""),13.75)</f>
        <v>13.75</v>
      </c>
    </row>
    <row r="460">
      <c r="A460" s="384" t="s">
        <v>129</v>
      </c>
      <c r="B460" s="384" t="s">
        <v>269</v>
      </c>
      <c r="C460" s="389">
        <v>2.5</v>
      </c>
      <c r="D460" s="389">
        <v>3.75</v>
      </c>
      <c r="E460" s="384" t="s">
        <v>260</v>
      </c>
      <c r="F460" s="389"/>
      <c r="G460" s="389"/>
      <c r="T460" s="384" t="str">
        <f>IFERROR(__xludf.DUMMYFUNCTION("""COMPUTED_VALUE"""),"Тихий закат")</f>
        <v>Тихий закат</v>
      </c>
      <c r="U460" s="385"/>
      <c r="W460" s="384" t="str">
        <f>IFERROR(__xludf.DUMMYFUNCTION("""COMPUTED_VALUE"""),"Bublik")</f>
        <v>Bublik</v>
      </c>
      <c r="X460" s="385">
        <f>IFERROR(__xludf.DUMMYFUNCTION("""COMPUTED_VALUE"""),13.5)</f>
        <v>13.5</v>
      </c>
    </row>
    <row r="461">
      <c r="A461" s="384" t="s">
        <v>125</v>
      </c>
      <c r="B461" s="384" t="s">
        <v>261</v>
      </c>
      <c r="C461" s="389"/>
      <c r="D461" s="389">
        <v>2.0</v>
      </c>
      <c r="E461" s="384"/>
      <c r="F461" s="389"/>
      <c r="G461" s="389"/>
      <c r="T461" s="384" t="str">
        <f>IFERROR(__xludf.DUMMYFUNCTION("""COMPUTED_VALUE"""),"Физик")</f>
        <v>Физик</v>
      </c>
      <c r="U461" s="385"/>
      <c r="W461" s="384" t="str">
        <f>IFERROR(__xludf.DUMMYFUNCTION("""COMPUTED_VALUE"""),"Панда из Руанды")</f>
        <v>Панда из Руанды</v>
      </c>
      <c r="X461" s="385">
        <f>IFERROR(__xludf.DUMMYFUNCTION("""COMPUTED_VALUE"""),13.5)</f>
        <v>13.5</v>
      </c>
    </row>
    <row r="462">
      <c r="A462" s="384" t="s">
        <v>107</v>
      </c>
      <c r="B462" s="384" t="s">
        <v>261</v>
      </c>
      <c r="C462" s="389"/>
      <c r="D462" s="389">
        <v>2.0</v>
      </c>
      <c r="E462" s="384" t="s">
        <v>11</v>
      </c>
      <c r="F462" s="389"/>
      <c r="G462" s="389">
        <v>0.5</v>
      </c>
      <c r="T462" s="384" t="str">
        <f>IFERROR(__xludf.DUMMYFUNCTION("""COMPUTED_VALUE"""),"Флэш")</f>
        <v>Флэш</v>
      </c>
      <c r="U462" s="385"/>
      <c r="W462" s="384" t="str">
        <f>IFERROR(__xludf.DUMMYFUNCTION("""COMPUTED_VALUE"""),"Лисичка")</f>
        <v>Лисичка</v>
      </c>
      <c r="X462" s="385">
        <f>IFERROR(__xludf.DUMMYFUNCTION("""COMPUTED_VALUE"""),13.25)</f>
        <v>13.25</v>
      </c>
    </row>
    <row r="463">
      <c r="A463" s="384" t="s">
        <v>118</v>
      </c>
      <c r="B463" s="384" t="s">
        <v>269</v>
      </c>
      <c r="C463" s="389">
        <v>2.5</v>
      </c>
      <c r="D463" s="389">
        <v>3.0</v>
      </c>
      <c r="E463" s="384"/>
      <c r="F463" s="389"/>
      <c r="G463" s="389"/>
      <c r="T463" s="384" t="str">
        <f>IFERROR(__xludf.DUMMYFUNCTION("""COMPUTED_VALUE"""),"Фокс")</f>
        <v>Фокс</v>
      </c>
      <c r="U463" s="385"/>
      <c r="W463" s="384" t="str">
        <f>IFERROR(__xludf.DUMMYFUNCTION("""COMPUTED_VALUE"""),"WhoIsWho")</f>
        <v>WhoIsWho</v>
      </c>
      <c r="X463" s="385">
        <f>IFERROR(__xludf.DUMMYFUNCTION("""COMPUTED_VALUE"""),13.25)</f>
        <v>13.25</v>
      </c>
    </row>
    <row r="464">
      <c r="A464" s="384" t="s">
        <v>85</v>
      </c>
      <c r="B464" s="384" t="s">
        <v>261</v>
      </c>
      <c r="C464" s="389"/>
      <c r="D464" s="389">
        <v>3.0</v>
      </c>
      <c r="E464" s="384"/>
      <c r="F464" s="389"/>
      <c r="G464" s="389"/>
      <c r="T464" s="384" t="str">
        <f>IFERROR(__xludf.DUMMYFUNCTION("""COMPUTED_VALUE"""),"Шоу Бой")</f>
        <v>Шоу Бой</v>
      </c>
      <c r="U464" s="385"/>
      <c r="W464" s="384" t="str">
        <f>IFERROR(__xludf.DUMMYFUNCTION("""COMPUTED_VALUE"""),"Андерсен")</f>
        <v>Андерсен</v>
      </c>
      <c r="X464" s="385">
        <f>IFERROR(__xludf.DUMMYFUNCTION("""COMPUTED_VALUE"""),13.25)</f>
        <v>13.25</v>
      </c>
    </row>
    <row r="465">
      <c r="A465" s="384" t="s">
        <v>88</v>
      </c>
      <c r="B465" s="384" t="s">
        <v>261</v>
      </c>
      <c r="C465" s="389"/>
      <c r="D465" s="389">
        <v>1.5</v>
      </c>
      <c r="E465" s="384"/>
      <c r="F465" s="389"/>
      <c r="G465" s="389"/>
      <c r="T465" s="384" t="str">
        <f>IFERROR(__xludf.DUMMYFUNCTION("""COMPUTED_VALUE"""),"Шпиц")</f>
        <v>Шпиц</v>
      </c>
      <c r="U465" s="385"/>
      <c r="W465" s="384" t="str">
        <f>IFERROR(__xludf.DUMMYFUNCTION("""COMPUTED_VALUE"""),"Rocket woman ")</f>
        <v>Rocket woman </v>
      </c>
      <c r="X465" s="385">
        <f>IFERROR(__xludf.DUMMYFUNCTION("""COMPUTED_VALUE"""),13.0)</f>
        <v>13</v>
      </c>
    </row>
    <row r="466">
      <c r="A466" s="384" t="s">
        <v>89</v>
      </c>
      <c r="B466" s="384" t="s">
        <v>271</v>
      </c>
      <c r="C466" s="389"/>
      <c r="D466" s="389">
        <v>2.0</v>
      </c>
      <c r="E466" s="384" t="s">
        <v>11</v>
      </c>
      <c r="F466" s="389"/>
      <c r="G466" s="389">
        <v>0.5</v>
      </c>
      <c r="T466" s="384" t="str">
        <f>IFERROR(__xludf.DUMMYFUNCTION("""COMPUTED_VALUE"""),"A1 ")</f>
        <v>A1 </v>
      </c>
      <c r="U466" s="385"/>
      <c r="W466" s="384" t="str">
        <f>IFERROR(__xludf.DUMMYFUNCTION("""COMPUTED_VALUE"""),"Шпиц")</f>
        <v>Шпиц</v>
      </c>
      <c r="X466" s="385">
        <f>IFERROR(__xludf.DUMMYFUNCTION("""COMPUTED_VALUE"""),13.0)</f>
        <v>13</v>
      </c>
    </row>
    <row r="467">
      <c r="A467" s="384" t="s">
        <v>81</v>
      </c>
      <c r="B467" s="384" t="s">
        <v>265</v>
      </c>
      <c r="C467" s="389">
        <v>2.5</v>
      </c>
      <c r="D467" s="389">
        <v>4.0</v>
      </c>
      <c r="E467" s="384"/>
      <c r="F467" s="389"/>
      <c r="G467" s="389"/>
      <c r="T467" s="384" t="str">
        <f>IFERROR(__xludf.DUMMYFUNCTION("""COMPUTED_VALUE"""),"Bublik")</f>
        <v>Bublik</v>
      </c>
      <c r="U467" s="385"/>
      <c r="W467" s="384" t="str">
        <f>IFERROR(__xludf.DUMMYFUNCTION("""COMPUTED_VALUE"""),"Infinity ")</f>
        <v>Infinity </v>
      </c>
      <c r="X467" s="385">
        <f>IFERROR(__xludf.DUMMYFUNCTION("""COMPUTED_VALUE"""),12.5)</f>
        <v>12.5</v>
      </c>
    </row>
    <row r="468">
      <c r="A468" s="384" t="s">
        <v>103</v>
      </c>
      <c r="B468" s="384" t="s">
        <v>269</v>
      </c>
      <c r="C468" s="389">
        <v>2.5</v>
      </c>
      <c r="D468" s="389">
        <v>3.25</v>
      </c>
      <c r="E468" s="384"/>
      <c r="F468" s="389"/>
      <c r="G468" s="389"/>
      <c r="T468" s="384" t="str">
        <f>IFERROR(__xludf.DUMMYFUNCTION("""COMPUTED_VALUE"""),"BWDMoscow")</f>
        <v>BWDMoscow</v>
      </c>
      <c r="U468" s="385"/>
      <c r="W468" s="384" t="str">
        <f>IFERROR(__xludf.DUMMYFUNCTION("""COMPUTED_VALUE"""),"Дровосек")</f>
        <v>Дровосек</v>
      </c>
      <c r="X468" s="385">
        <f>IFERROR(__xludf.DUMMYFUNCTION("""COMPUTED_VALUE"""),12.0)</f>
        <v>12</v>
      </c>
    </row>
    <row r="469">
      <c r="A469" s="384" t="s">
        <v>136</v>
      </c>
      <c r="B469" s="384" t="s">
        <v>261</v>
      </c>
      <c r="C469" s="389"/>
      <c r="D469" s="389">
        <v>2.75</v>
      </c>
      <c r="E469" s="384"/>
      <c r="F469" s="389"/>
      <c r="G469" s="389"/>
      <c r="T469" s="384" t="str">
        <f>IFERROR(__xludf.DUMMYFUNCTION("""COMPUTED_VALUE"""),"Castor Troy ")</f>
        <v>Castor Troy </v>
      </c>
      <c r="U469" s="385"/>
      <c r="W469" s="384" t="str">
        <f>IFERROR(__xludf.DUMMYFUNCTION("""COMPUTED_VALUE"""),"Alice ")</f>
        <v>Alice </v>
      </c>
      <c r="X469" s="385">
        <f>IFERROR(__xludf.DUMMYFUNCTION("""COMPUTED_VALUE"""),12.0)</f>
        <v>12</v>
      </c>
    </row>
    <row r="470">
      <c r="A470" s="384" t="s">
        <v>129</v>
      </c>
      <c r="B470" s="384" t="s">
        <v>261</v>
      </c>
      <c r="C470" s="389"/>
      <c r="D470" s="389">
        <v>2.5</v>
      </c>
      <c r="E470" s="384"/>
      <c r="F470" s="389"/>
      <c r="G470" s="389"/>
      <c r="T470" s="384" t="str">
        <f>IFERROR(__xludf.DUMMYFUNCTION("""COMPUTED_VALUE"""),"Cristo")</f>
        <v>Cristo</v>
      </c>
      <c r="U470" s="385"/>
      <c r="W470" s="384" t="str">
        <f>IFERROR(__xludf.DUMMYFUNCTION("""COMPUTED_VALUE"""),"Волга")</f>
        <v>Волга</v>
      </c>
      <c r="X470" s="385">
        <f>IFERROR(__xludf.DUMMYFUNCTION("""COMPUTED_VALUE"""),12.0)</f>
        <v>12</v>
      </c>
    </row>
    <row r="471">
      <c r="A471" s="384" t="s">
        <v>125</v>
      </c>
      <c r="B471" s="384" t="s">
        <v>261</v>
      </c>
      <c r="C471" s="389"/>
      <c r="D471" s="389">
        <v>2.5</v>
      </c>
      <c r="E471" s="384"/>
      <c r="F471" s="389"/>
      <c r="G471" s="389"/>
      <c r="T471" s="384" t="str">
        <f>IFERROR(__xludf.DUMMYFUNCTION("""COMPUTED_VALUE"""),"Curly")</f>
        <v>Curly</v>
      </c>
      <c r="U471" s="385"/>
      <c r="W471" s="384" t="str">
        <f>IFERROR(__xludf.DUMMYFUNCTION("""COMPUTED_VALUE"""),"СЭНСЭЙ")</f>
        <v>СЭНСЭЙ</v>
      </c>
      <c r="X471" s="385">
        <f>IFERROR(__xludf.DUMMYFUNCTION("""COMPUTED_VALUE"""),12.0)</f>
        <v>12</v>
      </c>
    </row>
    <row r="472">
      <c r="A472" s="384" t="s">
        <v>107</v>
      </c>
      <c r="B472" s="384" t="s">
        <v>261</v>
      </c>
      <c r="C472" s="389"/>
      <c r="D472" s="389">
        <v>1.5</v>
      </c>
      <c r="E472" s="384"/>
      <c r="F472" s="389"/>
      <c r="G472" s="389"/>
      <c r="T472" s="384" t="str">
        <f>IFERROR(__xludf.DUMMYFUNCTION("""COMPUTED_VALUE"""),"GALAY")</f>
        <v>GALAY</v>
      </c>
      <c r="U472" s="385"/>
      <c r="W472" s="384" t="str">
        <f>IFERROR(__xludf.DUMMYFUNCTION("""COMPUTED_VALUE"""),"Castor Troy ")</f>
        <v>Castor Troy </v>
      </c>
      <c r="X472" s="385">
        <f>IFERROR(__xludf.DUMMYFUNCTION("""COMPUTED_VALUE"""),11.75)</f>
        <v>11.75</v>
      </c>
    </row>
    <row r="473">
      <c r="A473" s="384" t="s">
        <v>118</v>
      </c>
      <c r="B473" s="384" t="s">
        <v>261</v>
      </c>
      <c r="C473" s="389">
        <v>2.5</v>
      </c>
      <c r="D473" s="389">
        <v>2.5</v>
      </c>
      <c r="E473" s="384"/>
      <c r="F473" s="389"/>
      <c r="G473" s="389"/>
      <c r="T473" s="384" t="str">
        <f>IFERROR(__xludf.DUMMYFUNCTION("""COMPUTED_VALUE"""),"Ketamin")</f>
        <v>Ketamin</v>
      </c>
      <c r="U473" s="385"/>
      <c r="W473" s="384" t="str">
        <f>IFERROR(__xludf.DUMMYFUNCTION("""COMPUTED_VALUE"""),"Morti")</f>
        <v>Morti</v>
      </c>
      <c r="X473" s="385">
        <f>IFERROR(__xludf.DUMMYFUNCTION("""COMPUTED_VALUE"""),11.75)</f>
        <v>11.75</v>
      </c>
    </row>
    <row r="474">
      <c r="A474" s="384" t="s">
        <v>85</v>
      </c>
      <c r="B474" s="384" t="s">
        <v>269</v>
      </c>
      <c r="C474" s="389"/>
      <c r="D474" s="389">
        <v>2.5</v>
      </c>
      <c r="E474" s="384"/>
      <c r="F474" s="389"/>
      <c r="G474" s="389"/>
      <c r="T474" s="384" t="str">
        <f>IFERROR(__xludf.DUMMYFUNCTION("""COMPUTED_VALUE"""),"Morti")</f>
        <v>Morti</v>
      </c>
      <c r="U474" s="385"/>
      <c r="W474" s="384" t="str">
        <f>IFERROR(__xludf.DUMMYFUNCTION("""COMPUTED_VALUE"""),"Ментик")</f>
        <v>Ментик</v>
      </c>
      <c r="X474" s="385">
        <f>IFERROR(__xludf.DUMMYFUNCTION("""COMPUTED_VALUE"""),11.5)</f>
        <v>11.5</v>
      </c>
    </row>
    <row r="475">
      <c r="A475" s="384" t="s">
        <v>88</v>
      </c>
      <c r="B475" s="384" t="s">
        <v>261</v>
      </c>
      <c r="C475" s="389">
        <v>2.5</v>
      </c>
      <c r="D475" s="389">
        <v>2.25</v>
      </c>
      <c r="E475" s="384" t="s">
        <v>11</v>
      </c>
      <c r="F475" s="389"/>
      <c r="G475" s="389">
        <v>0.5</v>
      </c>
      <c r="T475" s="384" t="str">
        <f>IFERROR(__xludf.DUMMYFUNCTION("""COMPUTED_VALUE"""),"MSR")</f>
        <v>MSR</v>
      </c>
      <c r="U475" s="385"/>
      <c r="W475" s="384" t="str">
        <f>IFERROR(__xludf.DUMMYFUNCTION("""COMPUTED_VALUE"""),"Астория")</f>
        <v>Астория</v>
      </c>
      <c r="X475" s="385">
        <f>IFERROR(__xludf.DUMMYFUNCTION("""COMPUTED_VALUE"""),11.25)</f>
        <v>11.25</v>
      </c>
    </row>
    <row r="476">
      <c r="A476" s="384" t="s">
        <v>89</v>
      </c>
      <c r="B476" s="384" t="s">
        <v>261</v>
      </c>
      <c r="C476" s="389">
        <v>2.5</v>
      </c>
      <c r="D476" s="389">
        <v>2.25</v>
      </c>
      <c r="E476" s="384"/>
      <c r="F476" s="389"/>
      <c r="G476" s="389"/>
      <c r="T476" s="384" t="str">
        <f>IFERROR(__xludf.DUMMYFUNCTION("""COMPUTED_VALUE"""),"Rocket woman ")</f>
        <v>Rocket woman </v>
      </c>
      <c r="U476" s="385"/>
      <c r="W476" s="384" t="str">
        <f>IFERROR(__xludf.DUMMYFUNCTION("""COMPUTED_VALUE"""),"GALAY")</f>
        <v>GALAY</v>
      </c>
      <c r="X476" s="385">
        <f>IFERROR(__xludf.DUMMYFUNCTION("""COMPUTED_VALUE"""),11.0)</f>
        <v>11</v>
      </c>
    </row>
    <row r="477">
      <c r="A477" s="384" t="s">
        <v>81</v>
      </c>
      <c r="B477" s="384" t="s">
        <v>261</v>
      </c>
      <c r="C477" s="389">
        <v>2.5</v>
      </c>
      <c r="D477" s="389">
        <v>3.0</v>
      </c>
      <c r="E477" s="384"/>
      <c r="F477" s="389"/>
      <c r="G477" s="389"/>
      <c r="T477" s="384" t="str">
        <f>IFERROR(__xludf.DUMMYFUNCTION("""COMPUTED_VALUE"""),"SCHOKK ")</f>
        <v>SCHOKK </v>
      </c>
      <c r="U477" s="385"/>
      <c r="W477" s="384" t="str">
        <f>IFERROR(__xludf.DUMMYFUNCTION("""COMPUTED_VALUE"""),"Правда ")</f>
        <v>Правда </v>
      </c>
      <c r="X477" s="385">
        <f>IFERROR(__xludf.DUMMYFUNCTION("""COMPUTED_VALUE"""),10.75)</f>
        <v>10.75</v>
      </c>
    </row>
    <row r="478">
      <c r="A478" s="384" t="s">
        <v>103</v>
      </c>
      <c r="B478" s="384" t="s">
        <v>269</v>
      </c>
      <c r="C478" s="389"/>
      <c r="D478" s="389">
        <v>1.25</v>
      </c>
      <c r="E478" s="384" t="s">
        <v>263</v>
      </c>
      <c r="F478" s="389"/>
      <c r="G478" s="389"/>
      <c r="T478" s="384" t="str">
        <f>IFERROR(__xludf.DUMMYFUNCTION("""COMPUTED_VALUE"""),"SOVEST")</f>
        <v>SOVEST</v>
      </c>
      <c r="U478" s="385"/>
      <c r="W478" s="384" t="str">
        <f>IFERROR(__xludf.DUMMYFUNCTION("""COMPUTED_VALUE"""),"Morti")</f>
        <v>Morti</v>
      </c>
      <c r="X478" s="385">
        <f>IFERROR(__xludf.DUMMYFUNCTION("""COMPUTED_VALUE"""),10.75)</f>
        <v>10.75</v>
      </c>
    </row>
    <row r="479">
      <c r="A479" s="384" t="s">
        <v>136</v>
      </c>
      <c r="B479" s="384" t="s">
        <v>261</v>
      </c>
      <c r="C479" s="389">
        <v>2.5</v>
      </c>
      <c r="D479" s="389">
        <v>3.5</v>
      </c>
      <c r="E479" s="384" t="s">
        <v>260</v>
      </c>
      <c r="F479" s="389"/>
      <c r="G479" s="389"/>
      <c r="T479" s="384" t="str">
        <f>IFERROR(__xludf.DUMMYFUNCTION("""COMPUTED_VALUE"""),"Stacy")</f>
        <v>Stacy</v>
      </c>
      <c r="U479" s="385"/>
      <c r="W479" s="384" t="str">
        <f>IFERROR(__xludf.DUMMYFUNCTION("""COMPUTED_VALUE"""),"Helga")</f>
        <v>Helga</v>
      </c>
      <c r="X479" s="385">
        <f>IFERROR(__xludf.DUMMYFUNCTION("""COMPUTED_VALUE"""),10.5)</f>
        <v>10.5</v>
      </c>
    </row>
    <row r="480">
      <c r="A480" s="384" t="s">
        <v>129</v>
      </c>
      <c r="B480" s="384" t="s">
        <v>265</v>
      </c>
      <c r="C480" s="389"/>
      <c r="D480" s="389">
        <v>2.0</v>
      </c>
      <c r="E480" s="384"/>
      <c r="F480" s="389"/>
      <c r="G480" s="389"/>
      <c r="T480" s="384" t="str">
        <f>IFERROR(__xludf.DUMMYFUNCTION("""COMPUTED_VALUE"""),"WhoIsWho")</f>
        <v>WhoIsWho</v>
      </c>
      <c r="U480" s="385"/>
      <c r="W480" s="384" t="str">
        <f>IFERROR(__xludf.DUMMYFUNCTION("""COMPUTED_VALUE"""),"SCHOKK ")</f>
        <v>SCHOKK </v>
      </c>
      <c r="X480" s="385">
        <f>IFERROR(__xludf.DUMMYFUNCTION("""COMPUTED_VALUE"""),9.25)</f>
        <v>9.25</v>
      </c>
    </row>
    <row r="481">
      <c r="A481" s="384" t="s">
        <v>125</v>
      </c>
      <c r="B481" s="384" t="s">
        <v>271</v>
      </c>
      <c r="C481" s="389">
        <v>2.5</v>
      </c>
      <c r="D481" s="389">
        <v>2.5</v>
      </c>
      <c r="E481" s="384"/>
      <c r="F481" s="389"/>
      <c r="G481" s="389"/>
      <c r="T481" s="384" t="str">
        <f>IFERROR(__xludf.DUMMYFUNCTION("""COMPUTED_VALUE"""),"Young")</f>
        <v>Young</v>
      </c>
      <c r="U481" s="385"/>
      <c r="W481" s="384" t="str">
        <f>IFERROR(__xludf.DUMMYFUNCTION("""COMPUTED_VALUE"""),"Infinity ")</f>
        <v>Infinity </v>
      </c>
      <c r="X481" s="385">
        <f>IFERROR(__xludf.DUMMYFUNCTION("""COMPUTED_VALUE"""),7.75)</f>
        <v>7.75</v>
      </c>
    </row>
    <row r="482">
      <c r="A482" s="384" t="s">
        <v>107</v>
      </c>
      <c r="B482" s="384" t="s">
        <v>261</v>
      </c>
      <c r="C482" s="389">
        <v>2.5</v>
      </c>
      <c r="D482" s="389">
        <v>3.5</v>
      </c>
      <c r="E482" s="384" t="s">
        <v>260</v>
      </c>
      <c r="F482" s="389"/>
      <c r="G482" s="389"/>
      <c r="T482" s="384" t="str">
        <f>IFERROR(__xludf.DUMMYFUNCTION("QUERY('Турнирная таблица по Алфавиту'!C7:BG66,""select C,AC order by AC desc"")"),"Stacy")</f>
        <v>Stacy</v>
      </c>
      <c r="U482" s="385">
        <f>IFERROR(__xludf.DUMMYFUNCTION("""COMPUTED_VALUE"""),23.75)</f>
        <v>23.75</v>
      </c>
      <c r="W482" s="384" t="str">
        <f>IFERROR(__xludf.DUMMYFUNCTION("""COMPUTED_VALUE"""),"Авраам")</f>
        <v>Авраам</v>
      </c>
      <c r="X482" s="385"/>
    </row>
    <row r="483">
      <c r="A483" s="384" t="s">
        <v>118</v>
      </c>
      <c r="B483" s="384" t="s">
        <v>265</v>
      </c>
      <c r="C483" s="389"/>
      <c r="D483" s="389">
        <v>2.75</v>
      </c>
      <c r="E483" s="384" t="s">
        <v>263</v>
      </c>
      <c r="F483" s="389"/>
      <c r="G483" s="389"/>
      <c r="T483" s="384" t="str">
        <f>IFERROR(__xludf.DUMMYFUNCTION("""COMPUTED_VALUE"""),"A1 ")</f>
        <v>A1 </v>
      </c>
      <c r="U483" s="385">
        <f>IFERROR(__xludf.DUMMYFUNCTION("""COMPUTED_VALUE"""),23.5)</f>
        <v>23.5</v>
      </c>
      <c r="W483" s="384" t="str">
        <f>IFERROR(__xludf.DUMMYFUNCTION("""COMPUTED_VALUE"""),"Админ")</f>
        <v>Админ</v>
      </c>
      <c r="X483" s="385"/>
    </row>
    <row r="484">
      <c r="A484" s="384" t="s">
        <v>85</v>
      </c>
      <c r="B484" s="384" t="s">
        <v>261</v>
      </c>
      <c r="C484" s="389">
        <v>2.5</v>
      </c>
      <c r="D484" s="389">
        <v>3.5</v>
      </c>
      <c r="E484" s="384"/>
      <c r="F484" s="389"/>
      <c r="G484" s="389"/>
      <c r="T484" s="384" t="str">
        <f>IFERROR(__xludf.DUMMYFUNCTION("""COMPUTED_VALUE"""),"Панда из Руанды")</f>
        <v>Панда из Руанды</v>
      </c>
      <c r="U484" s="385">
        <f>IFERROR(__xludf.DUMMYFUNCTION("""COMPUTED_VALUE"""),22.5)</f>
        <v>22.5</v>
      </c>
      <c r="W484" s="384" t="str">
        <f>IFERROR(__xludf.DUMMYFUNCTION("""COMPUTED_VALUE"""),"Артик")</f>
        <v>Артик</v>
      </c>
      <c r="X484" s="385"/>
    </row>
    <row r="485">
      <c r="A485" s="384" t="s">
        <v>88</v>
      </c>
      <c r="B485" s="384" t="s">
        <v>261</v>
      </c>
      <c r="C485" s="389">
        <v>2.5</v>
      </c>
      <c r="D485" s="389">
        <v>4.0</v>
      </c>
      <c r="E485" s="384"/>
      <c r="F485" s="389"/>
      <c r="G485" s="389"/>
      <c r="T485" s="384" t="str">
        <f>IFERROR(__xludf.DUMMYFUNCTION("""COMPUTED_VALUE"""),"Андерсен")</f>
        <v>Андерсен</v>
      </c>
      <c r="U485" s="385">
        <f>IFERROR(__xludf.DUMMYFUNCTION("""COMPUTED_VALUE"""),22.0)</f>
        <v>22</v>
      </c>
      <c r="W485" s="384" t="str">
        <f>IFERROR(__xludf.DUMMYFUNCTION("""COMPUTED_VALUE"""),"Астория")</f>
        <v>Астория</v>
      </c>
      <c r="X485" s="385"/>
    </row>
    <row r="486">
      <c r="A486" s="384" t="s">
        <v>89</v>
      </c>
      <c r="B486" s="384" t="s">
        <v>261</v>
      </c>
      <c r="C486" s="389">
        <v>2.5</v>
      </c>
      <c r="D486" s="389">
        <v>3.0</v>
      </c>
      <c r="E486" s="384" t="s">
        <v>260</v>
      </c>
      <c r="F486" s="389"/>
      <c r="G486" s="389"/>
      <c r="T486" s="384" t="str">
        <f>IFERROR(__xludf.DUMMYFUNCTION("""COMPUTED_VALUE"""),"Зверюга")</f>
        <v>Зверюга</v>
      </c>
      <c r="U486" s="385">
        <f>IFERROR(__xludf.DUMMYFUNCTION("""COMPUTED_VALUE"""),21.5)</f>
        <v>21.5</v>
      </c>
      <c r="W486" s="384" t="str">
        <f>IFERROR(__xludf.DUMMYFUNCTION("""COMPUTED_VALUE"""),"Аш")</f>
        <v>Аш</v>
      </c>
      <c r="X486" s="385"/>
    </row>
    <row r="487">
      <c r="A487" s="384" t="s">
        <v>81</v>
      </c>
      <c r="B487" s="384" t="s">
        <v>269</v>
      </c>
      <c r="C487" s="389"/>
      <c r="D487" s="389">
        <v>2.5</v>
      </c>
      <c r="E487" s="384"/>
      <c r="F487" s="389"/>
      <c r="G487" s="389"/>
      <c r="T487" s="384" t="str">
        <f>IFERROR(__xludf.DUMMYFUNCTION("""COMPUTED_VALUE"""),"GALAY")</f>
        <v>GALAY</v>
      </c>
      <c r="U487" s="385">
        <f>IFERROR(__xludf.DUMMYFUNCTION("""COMPUTED_VALUE"""),20.75)</f>
        <v>20.75</v>
      </c>
      <c r="W487" s="384" t="str">
        <f>IFERROR(__xludf.DUMMYFUNCTION("""COMPUTED_VALUE"""),"Волга")</f>
        <v>Волга</v>
      </c>
      <c r="X487" s="385"/>
    </row>
    <row r="488">
      <c r="A488" s="384" t="s">
        <v>103</v>
      </c>
      <c r="B488" s="384" t="s">
        <v>261</v>
      </c>
      <c r="C488" s="389">
        <v>2.5</v>
      </c>
      <c r="D488" s="389">
        <v>4.0</v>
      </c>
      <c r="E488" s="384"/>
      <c r="F488" s="389"/>
      <c r="G488" s="389"/>
      <c r="T488" s="384" t="str">
        <f>IFERROR(__xludf.DUMMYFUNCTION("""COMPUTED_VALUE"""),"РФ")</f>
        <v>РФ</v>
      </c>
      <c r="U488" s="385">
        <f>IFERROR(__xludf.DUMMYFUNCTION("""COMPUTED_VALUE"""),19.0)</f>
        <v>19</v>
      </c>
      <c r="W488" s="384" t="str">
        <f>IFERROR(__xludf.DUMMYFUNCTION("""COMPUTED_VALUE"""),"Градиент")</f>
        <v>Градиент</v>
      </c>
      <c r="X488" s="385"/>
    </row>
    <row r="489">
      <c r="A489" s="384" t="s">
        <v>136</v>
      </c>
      <c r="B489" s="384" t="s">
        <v>271</v>
      </c>
      <c r="C489" s="389">
        <v>2.5</v>
      </c>
      <c r="D489" s="389">
        <v>2.5</v>
      </c>
      <c r="E489" s="384"/>
      <c r="F489" s="389"/>
      <c r="G489" s="389"/>
      <c r="T489" s="384" t="str">
        <f>IFERROR(__xludf.DUMMYFUNCTION("""COMPUTED_VALUE"""),"Light")</f>
        <v>Light</v>
      </c>
      <c r="U489" s="385">
        <f>IFERROR(__xludf.DUMMYFUNCTION("""COMPUTED_VALUE"""),18.5)</f>
        <v>18.5</v>
      </c>
      <c r="W489" s="384" t="str">
        <f>IFERROR(__xludf.DUMMYFUNCTION("""COMPUTED_VALUE"""),"Дровосек")</f>
        <v>Дровосек</v>
      </c>
      <c r="X489" s="385"/>
    </row>
    <row r="490">
      <c r="A490" s="384" t="s">
        <v>129</v>
      </c>
      <c r="B490" s="384" t="s">
        <v>261</v>
      </c>
      <c r="C490" s="389">
        <v>2.5</v>
      </c>
      <c r="D490" s="389">
        <v>2.5</v>
      </c>
      <c r="E490" s="384" t="s">
        <v>11</v>
      </c>
      <c r="F490" s="389"/>
      <c r="G490" s="389">
        <v>0.5</v>
      </c>
      <c r="T490" s="384" t="str">
        <f>IFERROR(__xludf.DUMMYFUNCTION("""COMPUTED_VALUE"""),"Дровосек")</f>
        <v>Дровосек</v>
      </c>
      <c r="U490" s="385">
        <f>IFERROR(__xludf.DUMMYFUNCTION("""COMPUTED_VALUE"""),17.25)</f>
        <v>17.25</v>
      </c>
      <c r="W490" s="384" t="str">
        <f>IFERROR(__xludf.DUMMYFUNCTION("""COMPUTED_VALUE"""),"Зверюга")</f>
        <v>Зверюга</v>
      </c>
      <c r="X490" s="385"/>
    </row>
    <row r="491">
      <c r="A491" s="384" t="s">
        <v>125</v>
      </c>
      <c r="B491" s="384" t="s">
        <v>261</v>
      </c>
      <c r="C491" s="389">
        <v>2.5</v>
      </c>
      <c r="D491" s="389">
        <v>2.25</v>
      </c>
      <c r="E491" s="384" t="s">
        <v>260</v>
      </c>
      <c r="F491" s="389"/>
      <c r="G491" s="389"/>
      <c r="T491" s="384" t="str">
        <f>IFERROR(__xludf.DUMMYFUNCTION("""COMPUTED_VALUE"""),"Бамблби")</f>
        <v>Бамблби</v>
      </c>
      <c r="U491" s="385">
        <f>IFERROR(__xludf.DUMMYFUNCTION("""COMPUTED_VALUE"""),15.75)</f>
        <v>15.75</v>
      </c>
      <c r="W491" s="384" t="str">
        <f>IFERROR(__xludf.DUMMYFUNCTION("""COMPUTED_VALUE"""),"Инсомнич")</f>
        <v>Инсомнич</v>
      </c>
      <c r="X491" s="385"/>
    </row>
    <row r="492">
      <c r="A492" s="384" t="s">
        <v>107</v>
      </c>
      <c r="B492" s="384" t="s">
        <v>269</v>
      </c>
      <c r="C492" s="389"/>
      <c r="D492" s="389">
        <v>2.25</v>
      </c>
      <c r="E492" s="384"/>
      <c r="F492" s="389"/>
      <c r="G492" s="389"/>
      <c r="T492" s="384" t="str">
        <f>IFERROR(__xludf.DUMMYFUNCTION("""COMPUTED_VALUE"""),"Авраам")</f>
        <v>Авраам</v>
      </c>
      <c r="U492" s="385"/>
      <c r="W492" s="384" t="str">
        <f>IFERROR(__xludf.DUMMYFUNCTION("""COMPUTED_VALUE"""),"Красавчик")</f>
        <v>Красавчик</v>
      </c>
      <c r="X492" s="385"/>
    </row>
    <row r="493">
      <c r="A493" s="384" t="s">
        <v>118</v>
      </c>
      <c r="B493" s="384" t="s">
        <v>271</v>
      </c>
      <c r="C493" s="389">
        <v>2.5</v>
      </c>
      <c r="D493" s="389">
        <v>2.75</v>
      </c>
      <c r="E493" s="384"/>
      <c r="F493" s="389"/>
      <c r="G493" s="389"/>
      <c r="T493" s="384" t="str">
        <f>IFERROR(__xludf.DUMMYFUNCTION("""COMPUTED_VALUE"""),"Админ")</f>
        <v>Админ</v>
      </c>
      <c r="U493" s="385"/>
      <c r="W493" s="384" t="str">
        <f>IFERROR(__xludf.DUMMYFUNCTION("""COMPUTED_VALUE"""),"Крестный отец (BLR)")</f>
        <v>Крестный отец (BLR)</v>
      </c>
      <c r="X493" s="385"/>
    </row>
    <row r="494">
      <c r="A494" s="384" t="s">
        <v>85</v>
      </c>
      <c r="B494" s="384" t="s">
        <v>269</v>
      </c>
      <c r="C494" s="389"/>
      <c r="D494" s="389">
        <v>2.5</v>
      </c>
      <c r="E494" s="384"/>
      <c r="F494" s="389"/>
      <c r="G494" s="389"/>
      <c r="T494" s="384" t="str">
        <f>IFERROR(__xludf.DUMMYFUNCTION("""COMPUTED_VALUE"""),"Артик")</f>
        <v>Артик</v>
      </c>
      <c r="U494" s="385"/>
      <c r="W494" s="384" t="str">
        <f>IFERROR(__xludf.DUMMYFUNCTION("""COMPUTED_VALUE"""),"Крёстный Отец (RU)")</f>
        <v>Крёстный Отец (RU)</v>
      </c>
      <c r="X494" s="385"/>
    </row>
    <row r="495">
      <c r="A495" s="384" t="s">
        <v>88</v>
      </c>
      <c r="B495" s="384" t="s">
        <v>269</v>
      </c>
      <c r="C495" s="389"/>
      <c r="D495" s="389">
        <v>2.25</v>
      </c>
      <c r="E495" s="384"/>
      <c r="F495" s="389"/>
      <c r="G495" s="389"/>
      <c r="T495" s="384" t="str">
        <f>IFERROR(__xludf.DUMMYFUNCTION("""COMPUTED_VALUE"""),"Астория")</f>
        <v>Астория</v>
      </c>
      <c r="U495" s="385"/>
      <c r="W495" s="384" t="str">
        <f>IFERROR(__xludf.DUMMYFUNCTION("""COMPUTED_VALUE"""),"Крот")</f>
        <v>Крот</v>
      </c>
      <c r="X495" s="385"/>
    </row>
    <row r="496">
      <c r="A496" s="384" t="s">
        <v>89</v>
      </c>
      <c r="B496" s="384" t="s">
        <v>261</v>
      </c>
      <c r="C496" s="389">
        <v>2.5</v>
      </c>
      <c r="D496" s="389">
        <v>3.5</v>
      </c>
      <c r="E496" s="384"/>
      <c r="F496" s="389"/>
      <c r="G496" s="389"/>
      <c r="T496" s="384" t="str">
        <f>IFERROR(__xludf.DUMMYFUNCTION("""COMPUTED_VALUE"""),"Аш")</f>
        <v>Аш</v>
      </c>
      <c r="U496" s="385"/>
      <c r="W496" s="384" t="str">
        <f>IFERROR(__xludf.DUMMYFUNCTION("""COMPUTED_VALUE"""),"Левша")</f>
        <v>Левша</v>
      </c>
      <c r="X496" s="385"/>
    </row>
    <row r="497">
      <c r="A497" s="384" t="s">
        <v>81</v>
      </c>
      <c r="B497" s="384" t="s">
        <v>261</v>
      </c>
      <c r="C497" s="389">
        <v>2.5</v>
      </c>
      <c r="D497" s="389">
        <v>2.25</v>
      </c>
      <c r="E497" s="384"/>
      <c r="F497" s="389"/>
      <c r="G497" s="389"/>
      <c r="T497" s="384" t="str">
        <f>IFERROR(__xludf.DUMMYFUNCTION("""COMPUTED_VALUE"""),"Волга")</f>
        <v>Волга</v>
      </c>
      <c r="U497" s="385"/>
      <c r="W497" s="384" t="str">
        <f>IFERROR(__xludf.DUMMYFUNCTION("""COMPUTED_VALUE"""),"Лисичка")</f>
        <v>Лисичка</v>
      </c>
      <c r="X497" s="385"/>
    </row>
    <row r="498">
      <c r="A498" s="384" t="s">
        <v>103</v>
      </c>
      <c r="B498" s="384" t="s">
        <v>261</v>
      </c>
      <c r="C498" s="389">
        <v>2.5</v>
      </c>
      <c r="D498" s="389">
        <v>4.5</v>
      </c>
      <c r="E498" s="384"/>
      <c r="F498" s="389"/>
      <c r="G498" s="389"/>
      <c r="T498" s="384" t="str">
        <f>IFERROR(__xludf.DUMMYFUNCTION("""COMPUTED_VALUE"""),"Градиент")</f>
        <v>Градиент</v>
      </c>
      <c r="U498" s="385"/>
      <c r="W498" s="384" t="str">
        <f>IFERROR(__xludf.DUMMYFUNCTION("""COMPUTED_VALUE"""),"Маваши")</f>
        <v>Маваши</v>
      </c>
      <c r="X498" s="385"/>
    </row>
    <row r="499">
      <c r="A499" s="384" t="s">
        <v>136</v>
      </c>
      <c r="B499" s="384" t="s">
        <v>261</v>
      </c>
      <c r="C499" s="389">
        <v>2.5</v>
      </c>
      <c r="D499" s="389">
        <v>2.5</v>
      </c>
      <c r="E499" s="384"/>
      <c r="F499" s="389"/>
      <c r="G499" s="389"/>
      <c r="T499" s="384" t="str">
        <f>IFERROR(__xludf.DUMMYFUNCTION("""COMPUTED_VALUE"""),"Инсомнич")</f>
        <v>Инсомнич</v>
      </c>
      <c r="U499" s="385"/>
      <c r="W499" s="384" t="str">
        <f>IFERROR(__xludf.DUMMYFUNCTION("""COMPUTED_VALUE"""),"Марго")</f>
        <v>Марго</v>
      </c>
      <c r="X499" s="385"/>
    </row>
    <row r="500">
      <c r="A500" s="384" t="s">
        <v>129</v>
      </c>
      <c r="B500" s="384" t="s">
        <v>265</v>
      </c>
      <c r="C500" s="389"/>
      <c r="D500" s="389">
        <v>2.25</v>
      </c>
      <c r="E500" s="384"/>
      <c r="F500" s="389"/>
      <c r="G500" s="389"/>
      <c r="T500" s="384" t="str">
        <f>IFERROR(__xludf.DUMMYFUNCTION("""COMPUTED_VALUE"""),"Красавчик")</f>
        <v>Красавчик</v>
      </c>
      <c r="U500" s="385"/>
      <c r="W500" s="384" t="str">
        <f>IFERROR(__xludf.DUMMYFUNCTION("""COMPUTED_VALUE"""),"Ментик")</f>
        <v>Ментик</v>
      </c>
      <c r="X500" s="385"/>
    </row>
    <row r="501">
      <c r="A501" s="384" t="s">
        <v>125</v>
      </c>
      <c r="B501" s="384" t="s">
        <v>261</v>
      </c>
      <c r="C501" s="389">
        <v>2.5</v>
      </c>
      <c r="D501" s="389">
        <v>3.5</v>
      </c>
      <c r="E501" s="384" t="s">
        <v>11</v>
      </c>
      <c r="F501" s="389"/>
      <c r="G501" s="389">
        <v>0.5</v>
      </c>
      <c r="T501" s="384" t="str">
        <f>IFERROR(__xludf.DUMMYFUNCTION("""COMPUTED_VALUE"""),"Крестный отец (BLR)")</f>
        <v>Крестный отец (BLR)</v>
      </c>
      <c r="U501" s="385"/>
      <c r="W501" s="384" t="str">
        <f>IFERROR(__xludf.DUMMYFUNCTION("""COMPUTED_VALUE"""),"Мишель ")</f>
        <v>Мишель </v>
      </c>
      <c r="X501" s="385"/>
    </row>
    <row r="502">
      <c r="A502" s="384" t="s">
        <v>107</v>
      </c>
      <c r="B502" s="384" t="s">
        <v>261</v>
      </c>
      <c r="C502" s="389">
        <v>2.5</v>
      </c>
      <c r="D502" s="389">
        <v>4.25</v>
      </c>
      <c r="E502" s="384"/>
      <c r="F502" s="389"/>
      <c r="G502" s="389"/>
      <c r="T502" s="384" t="str">
        <f>IFERROR(__xludf.DUMMYFUNCTION("""COMPUTED_VALUE"""),"Крёстный Отец (RU)")</f>
        <v>Крёстный Отец (RU)</v>
      </c>
      <c r="U502" s="385"/>
      <c r="W502" s="384" t="str">
        <f>IFERROR(__xludf.DUMMYFUNCTION("""COMPUTED_VALUE"""),"Панда из Руанды")</f>
        <v>Панда из Руанды</v>
      </c>
      <c r="X502" s="385"/>
    </row>
    <row r="503">
      <c r="A503" s="384" t="s">
        <v>128</v>
      </c>
      <c r="B503" s="384" t="s">
        <v>261</v>
      </c>
      <c r="C503" s="389"/>
      <c r="D503" s="389">
        <v>2.75</v>
      </c>
      <c r="E503" s="384" t="s">
        <v>263</v>
      </c>
      <c r="F503" s="389"/>
      <c r="G503" s="389"/>
      <c r="T503" s="384" t="str">
        <f>IFERROR(__xludf.DUMMYFUNCTION("""COMPUTED_VALUE"""),"Крот")</f>
        <v>Крот</v>
      </c>
      <c r="U503" s="385"/>
      <c r="W503" s="384" t="str">
        <f>IFERROR(__xludf.DUMMYFUNCTION("""COMPUTED_VALUE"""),"Писатель ")</f>
        <v>Писатель </v>
      </c>
      <c r="X503" s="385"/>
    </row>
    <row r="504">
      <c r="A504" s="384" t="s">
        <v>107</v>
      </c>
      <c r="B504" s="384" t="s">
        <v>269</v>
      </c>
      <c r="C504" s="389">
        <v>2.5</v>
      </c>
      <c r="D504" s="389">
        <v>2.0</v>
      </c>
      <c r="E504" s="384"/>
      <c r="F504" s="389"/>
      <c r="G504" s="389"/>
      <c r="T504" s="384" t="str">
        <f>IFERROR(__xludf.DUMMYFUNCTION("""COMPUTED_VALUE"""),"Левша")</f>
        <v>Левша</v>
      </c>
      <c r="U504" s="385"/>
      <c r="W504" s="384" t="str">
        <f>IFERROR(__xludf.DUMMYFUNCTION("""COMPUTED_VALUE"""),"Правда ")</f>
        <v>Правда </v>
      </c>
      <c r="X504" s="385"/>
    </row>
    <row r="505">
      <c r="A505" s="384" t="s">
        <v>138</v>
      </c>
      <c r="B505" s="384" t="s">
        <v>261</v>
      </c>
      <c r="C505" s="389"/>
      <c r="D505" s="389">
        <v>2.0</v>
      </c>
      <c r="E505" s="384"/>
      <c r="F505" s="389"/>
      <c r="G505" s="389"/>
      <c r="T505" s="384" t="str">
        <f>IFERROR(__xludf.DUMMYFUNCTION("""COMPUTED_VALUE"""),"Лисичка")</f>
        <v>Лисичка</v>
      </c>
      <c r="U505" s="385"/>
      <c r="W505" s="384" t="str">
        <f>IFERROR(__xludf.DUMMYFUNCTION("""COMPUTED_VALUE"""),"Продюсер")</f>
        <v>Продюсер</v>
      </c>
      <c r="X505" s="385"/>
    </row>
    <row r="506">
      <c r="A506" s="384" t="s">
        <v>88</v>
      </c>
      <c r="B506" s="384" t="s">
        <v>261</v>
      </c>
      <c r="C506" s="389"/>
      <c r="D506" s="389">
        <v>1.75</v>
      </c>
      <c r="E506" s="384" t="s">
        <v>263</v>
      </c>
      <c r="F506" s="389"/>
      <c r="G506" s="389"/>
      <c r="T506" s="384" t="str">
        <f>IFERROR(__xludf.DUMMYFUNCTION("""COMPUTED_VALUE"""),"Маваши")</f>
        <v>Маваши</v>
      </c>
      <c r="U506" s="385"/>
      <c r="W506" s="384" t="str">
        <f>IFERROR(__xludf.DUMMYFUNCTION("""COMPUTED_VALUE"""),"РФ")</f>
        <v>РФ</v>
      </c>
      <c r="X506" s="385"/>
    </row>
    <row r="507">
      <c r="A507" s="384" t="s">
        <v>97</v>
      </c>
      <c r="B507" s="384" t="s">
        <v>269</v>
      </c>
      <c r="C507" s="389">
        <v>2.5</v>
      </c>
      <c r="D507" s="389">
        <v>3.25</v>
      </c>
      <c r="E507" s="384" t="s">
        <v>260</v>
      </c>
      <c r="F507" s="389"/>
      <c r="G507" s="389"/>
      <c r="T507" s="384" t="str">
        <f>IFERROR(__xludf.DUMMYFUNCTION("""COMPUTED_VALUE"""),"Манекен")</f>
        <v>Манекен</v>
      </c>
      <c r="U507" s="385"/>
      <c r="W507" s="384" t="str">
        <f>IFERROR(__xludf.DUMMYFUNCTION("""COMPUTED_VALUE"""),"Старый")</f>
        <v>Старый</v>
      </c>
      <c r="X507" s="385"/>
    </row>
    <row r="508">
      <c r="A508" s="384" t="s">
        <v>96</v>
      </c>
      <c r="B508" s="384" t="s">
        <v>261</v>
      </c>
      <c r="C508" s="389"/>
      <c r="D508" s="389">
        <v>1.75</v>
      </c>
      <c r="E508" s="384"/>
      <c r="F508" s="389"/>
      <c r="G508" s="389"/>
      <c r="T508" s="384" t="str">
        <f>IFERROR(__xludf.DUMMYFUNCTION("""COMPUTED_VALUE"""),"Марго")</f>
        <v>Марго</v>
      </c>
      <c r="U508" s="385"/>
      <c r="W508" s="384" t="str">
        <f>IFERROR(__xludf.DUMMYFUNCTION("""COMPUTED_VALUE"""),"СЭНСЭЙ")</f>
        <v>СЭНСЭЙ</v>
      </c>
      <c r="X508" s="385"/>
    </row>
    <row r="509">
      <c r="A509" s="384" t="s">
        <v>87</v>
      </c>
      <c r="B509" s="384" t="s">
        <v>261</v>
      </c>
      <c r="C509" s="389"/>
      <c r="D509" s="389">
        <v>2.5</v>
      </c>
      <c r="E509" s="384" t="s">
        <v>263</v>
      </c>
      <c r="F509" s="389"/>
      <c r="G509" s="389"/>
      <c r="T509" s="384" t="str">
        <f>IFERROR(__xludf.DUMMYFUNCTION("""COMPUTED_VALUE"""),"Ментик")</f>
        <v>Ментик</v>
      </c>
      <c r="U509" s="385"/>
      <c r="W509" s="384" t="str">
        <f>IFERROR(__xludf.DUMMYFUNCTION("""COMPUTED_VALUE"""),"Тихий закат")</f>
        <v>Тихий закат</v>
      </c>
      <c r="X509" s="385"/>
    </row>
    <row r="510">
      <c r="A510" s="384" t="s">
        <v>106</v>
      </c>
      <c r="B510" s="384" t="s">
        <v>261</v>
      </c>
      <c r="C510" s="389"/>
      <c r="D510" s="389">
        <v>2.5</v>
      </c>
      <c r="E510" s="384" t="s">
        <v>11</v>
      </c>
      <c r="F510" s="389"/>
      <c r="G510" s="389">
        <v>0.5</v>
      </c>
      <c r="T510" s="384" t="str">
        <f>IFERROR(__xludf.DUMMYFUNCTION("""COMPUTED_VALUE"""),"Мишель ")</f>
        <v>Мишель </v>
      </c>
      <c r="U510" s="385"/>
      <c r="W510" s="384" t="str">
        <f>IFERROR(__xludf.DUMMYFUNCTION("""COMPUTED_VALUE"""),"Физик")</f>
        <v>Физик</v>
      </c>
      <c r="X510" s="385"/>
    </row>
    <row r="511">
      <c r="A511" s="384" t="s">
        <v>95</v>
      </c>
      <c r="B511" s="384" t="s">
        <v>271</v>
      </c>
      <c r="C511" s="389"/>
      <c r="D511" s="389">
        <v>2.5</v>
      </c>
      <c r="E511" s="384"/>
      <c r="F511" s="389"/>
      <c r="G511" s="389"/>
      <c r="T511" s="384" t="str">
        <f>IFERROR(__xludf.DUMMYFUNCTION("""COMPUTED_VALUE"""),"Наполеон")</f>
        <v>Наполеон</v>
      </c>
      <c r="U511" s="385"/>
      <c r="W511" s="384" t="str">
        <f>IFERROR(__xludf.DUMMYFUNCTION("""COMPUTED_VALUE"""),"Флэш")</f>
        <v>Флэш</v>
      </c>
      <c r="X511" s="385"/>
    </row>
    <row r="512">
      <c r="A512" s="384" t="s">
        <v>81</v>
      </c>
      <c r="B512" s="384" t="s">
        <v>265</v>
      </c>
      <c r="C512" s="389">
        <v>2.5</v>
      </c>
      <c r="D512" s="389">
        <v>2.5</v>
      </c>
      <c r="E512" s="384"/>
      <c r="F512" s="389"/>
      <c r="G512" s="389"/>
      <c r="T512" s="384" t="str">
        <f>IFERROR(__xludf.DUMMYFUNCTION("""COMPUTED_VALUE"""),"Писатель ")</f>
        <v>Писатель </v>
      </c>
      <c r="U512" s="385"/>
      <c r="W512" s="384" t="str">
        <f>IFERROR(__xludf.DUMMYFUNCTION("""COMPUTED_VALUE"""),"Фокс")</f>
        <v>Фокс</v>
      </c>
      <c r="X512" s="385"/>
    </row>
    <row r="513">
      <c r="A513" s="384" t="s">
        <v>128</v>
      </c>
      <c r="B513" s="384" t="s">
        <v>269</v>
      </c>
      <c r="C513" s="389"/>
      <c r="D513" s="389">
        <v>2.25</v>
      </c>
      <c r="E513" s="384"/>
      <c r="F513" s="389"/>
      <c r="G513" s="389"/>
      <c r="T513" s="384" t="str">
        <f>IFERROR(__xludf.DUMMYFUNCTION("""COMPUTED_VALUE"""),"Правда ")</f>
        <v>Правда </v>
      </c>
      <c r="U513" s="385"/>
      <c r="W513" s="384" t="str">
        <f>IFERROR(__xludf.DUMMYFUNCTION("""COMPUTED_VALUE"""),"Шоу Бой")</f>
        <v>Шоу Бой</v>
      </c>
      <c r="X513" s="385"/>
    </row>
    <row r="514">
      <c r="A514" s="384" t="s">
        <v>107</v>
      </c>
      <c r="B514" s="384" t="s">
        <v>271</v>
      </c>
      <c r="C514" s="389">
        <v>2.5</v>
      </c>
      <c r="D514" s="389">
        <v>3.5</v>
      </c>
      <c r="E514" s="384" t="s">
        <v>11</v>
      </c>
      <c r="F514" s="389">
        <v>1.0</v>
      </c>
      <c r="G514" s="389">
        <v>0.5</v>
      </c>
      <c r="T514" s="384" t="str">
        <f>IFERROR(__xludf.DUMMYFUNCTION("""COMPUTED_VALUE"""),"Продюсер")</f>
        <v>Продюсер</v>
      </c>
      <c r="U514" s="385"/>
      <c r="W514" s="384" t="str">
        <f>IFERROR(__xludf.DUMMYFUNCTION("""COMPUTED_VALUE"""),"Юрия")</f>
        <v>Юрия</v>
      </c>
      <c r="X514" s="385"/>
    </row>
    <row r="515">
      <c r="A515" s="384" t="s">
        <v>138</v>
      </c>
      <c r="B515" s="384" t="s">
        <v>261</v>
      </c>
      <c r="C515" s="389">
        <v>2.5</v>
      </c>
      <c r="D515" s="389">
        <v>3.25</v>
      </c>
      <c r="E515" s="384"/>
      <c r="F515" s="389"/>
      <c r="G515" s="389"/>
      <c r="T515" s="384" t="str">
        <f>IFERROR(__xludf.DUMMYFUNCTION("""COMPUTED_VALUE"""),"Старый")</f>
        <v>Старый</v>
      </c>
      <c r="U515" s="385"/>
      <c r="W515" s="384" t="str">
        <f>IFERROR(__xludf.DUMMYFUNCTION("""COMPUTED_VALUE"""),"A1 ")</f>
        <v>A1 </v>
      </c>
      <c r="X515" s="385"/>
    </row>
    <row r="516">
      <c r="A516" s="384" t="s">
        <v>88</v>
      </c>
      <c r="B516" s="384" t="s">
        <v>261</v>
      </c>
      <c r="C516" s="389">
        <v>2.5</v>
      </c>
      <c r="D516" s="389">
        <v>3.75</v>
      </c>
      <c r="E516" s="384"/>
      <c r="F516" s="389"/>
      <c r="G516" s="389"/>
      <c r="T516" s="384" t="str">
        <f>IFERROR(__xludf.DUMMYFUNCTION("""COMPUTED_VALUE"""),"СЭНСЭЙ")</f>
        <v>СЭНСЭЙ</v>
      </c>
      <c r="U516" s="385"/>
      <c r="W516" s="384" t="str">
        <f>IFERROR(__xludf.DUMMYFUNCTION("""COMPUTED_VALUE"""),"Alice ")</f>
        <v>Alice </v>
      </c>
      <c r="X516" s="385"/>
    </row>
    <row r="517">
      <c r="A517" s="384" t="s">
        <v>97</v>
      </c>
      <c r="B517" s="384" t="s">
        <v>265</v>
      </c>
      <c r="C517" s="389"/>
      <c r="D517" s="389">
        <v>2.75</v>
      </c>
      <c r="E517" s="384"/>
      <c r="F517" s="389"/>
      <c r="G517" s="389"/>
      <c r="T517" s="384" t="str">
        <f>IFERROR(__xludf.DUMMYFUNCTION("""COMPUTED_VALUE"""),"Coach")</f>
        <v>Coach</v>
      </c>
      <c r="U517" s="385"/>
      <c r="W517" s="384" t="str">
        <f>IFERROR(__xludf.DUMMYFUNCTION("""COMPUTED_VALUE"""),"Bublik")</f>
        <v>Bublik</v>
      </c>
      <c r="X517" s="385"/>
    </row>
    <row r="518">
      <c r="A518" s="384" t="s">
        <v>96</v>
      </c>
      <c r="B518" s="384" t="s">
        <v>261</v>
      </c>
      <c r="C518" s="389">
        <v>2.5</v>
      </c>
      <c r="D518" s="389">
        <v>3.5</v>
      </c>
      <c r="E518" s="384"/>
      <c r="F518" s="389"/>
      <c r="G518" s="389"/>
      <c r="T518" s="384" t="str">
        <f>IFERROR(__xludf.DUMMYFUNCTION("""COMPUTED_VALUE"""),"Тихий закат")</f>
        <v>Тихий закат</v>
      </c>
      <c r="U518" s="385"/>
      <c r="W518" s="384" t="str">
        <f>IFERROR(__xludf.DUMMYFUNCTION("""COMPUTED_VALUE"""),"BWDMoscow")</f>
        <v>BWDMoscow</v>
      </c>
      <c r="X518" s="385"/>
    </row>
    <row r="519">
      <c r="A519" s="384" t="s">
        <v>87</v>
      </c>
      <c r="B519" s="384" t="s">
        <v>261</v>
      </c>
      <c r="C519" s="389">
        <v>2.5</v>
      </c>
      <c r="D519" s="389">
        <v>4.5</v>
      </c>
      <c r="E519" s="384"/>
      <c r="F519" s="389"/>
      <c r="G519" s="389"/>
      <c r="T519" s="384" t="str">
        <f>IFERROR(__xludf.DUMMYFUNCTION("""COMPUTED_VALUE"""),"Физик")</f>
        <v>Физик</v>
      </c>
      <c r="U519" s="385"/>
      <c r="W519" s="384" t="str">
        <f>IFERROR(__xludf.DUMMYFUNCTION("""COMPUTED_VALUE"""),"Castor Troy ")</f>
        <v>Castor Troy </v>
      </c>
      <c r="X519" s="385"/>
    </row>
    <row r="520">
      <c r="A520" s="384" t="s">
        <v>106</v>
      </c>
      <c r="B520" s="384" t="s">
        <v>269</v>
      </c>
      <c r="C520" s="389"/>
      <c r="D520" s="389">
        <v>1.75</v>
      </c>
      <c r="E520" s="384"/>
      <c r="F520" s="389"/>
      <c r="G520" s="389"/>
      <c r="T520" s="384" t="str">
        <f>IFERROR(__xludf.DUMMYFUNCTION("""COMPUTED_VALUE"""),"Флэш")</f>
        <v>Флэш</v>
      </c>
      <c r="U520" s="385"/>
      <c r="W520" s="384" t="str">
        <f>IFERROR(__xludf.DUMMYFUNCTION("""COMPUTED_VALUE"""),"Cristo")</f>
        <v>Cristo</v>
      </c>
      <c r="X520" s="385"/>
    </row>
    <row r="521">
      <c r="A521" s="384" t="s">
        <v>95</v>
      </c>
      <c r="B521" s="384" t="s">
        <v>261</v>
      </c>
      <c r="C521" s="389">
        <v>2.5</v>
      </c>
      <c r="D521" s="389">
        <v>2.0</v>
      </c>
      <c r="E521" s="384"/>
      <c r="F521" s="389"/>
      <c r="G521" s="389"/>
      <c r="T521" s="384" t="str">
        <f>IFERROR(__xludf.DUMMYFUNCTION("""COMPUTED_VALUE"""),"Фокс")</f>
        <v>Фокс</v>
      </c>
      <c r="U521" s="385"/>
      <c r="W521" s="384" t="str">
        <f>IFERROR(__xludf.DUMMYFUNCTION("""COMPUTED_VALUE"""),"Curly")</f>
        <v>Curly</v>
      </c>
      <c r="X521" s="385"/>
    </row>
    <row r="522">
      <c r="A522" s="384" t="s">
        <v>81</v>
      </c>
      <c r="B522" s="384" t="s">
        <v>261</v>
      </c>
      <c r="C522" s="389">
        <v>2.5</v>
      </c>
      <c r="D522" s="389">
        <v>2.0</v>
      </c>
      <c r="E522" s="384"/>
      <c r="F522" s="389"/>
      <c r="G522" s="389"/>
      <c r="T522" s="384" t="str">
        <f>IFERROR(__xludf.DUMMYFUNCTION("""COMPUTED_VALUE"""),"Шоу Бой")</f>
        <v>Шоу Бой</v>
      </c>
      <c r="U522" s="385"/>
      <c r="W522" s="384" t="str">
        <f>IFERROR(__xludf.DUMMYFUNCTION("""COMPUTED_VALUE"""),"GALAY")</f>
        <v>GALAY</v>
      </c>
      <c r="X522" s="385"/>
    </row>
    <row r="523">
      <c r="A523" s="384" t="s">
        <v>128</v>
      </c>
      <c r="B523" s="384" t="s">
        <v>265</v>
      </c>
      <c r="C523" s="389"/>
      <c r="D523" s="389">
        <v>2.0</v>
      </c>
      <c r="E523" s="384" t="s">
        <v>263</v>
      </c>
      <c r="F523" s="389"/>
      <c r="G523" s="389"/>
      <c r="T523" s="384" t="str">
        <f>IFERROR(__xludf.DUMMYFUNCTION("""COMPUTED_VALUE"""),"Шпиц")</f>
        <v>Шпиц</v>
      </c>
      <c r="U523" s="385"/>
      <c r="W523" s="384" t="str">
        <f>IFERROR(__xludf.DUMMYFUNCTION("""COMPUTED_VALUE"""),"Helga")</f>
        <v>Helga</v>
      </c>
      <c r="X523" s="385"/>
    </row>
    <row r="524">
      <c r="A524" s="384" t="s">
        <v>107</v>
      </c>
      <c r="B524" s="384" t="s">
        <v>261</v>
      </c>
      <c r="C524" s="389">
        <v>2.5</v>
      </c>
      <c r="D524" s="389">
        <v>3.25</v>
      </c>
      <c r="E524" s="384"/>
      <c r="F524" s="389"/>
      <c r="G524" s="389"/>
      <c r="T524" s="384" t="str">
        <f>IFERROR(__xludf.DUMMYFUNCTION("""COMPUTED_VALUE"""),"Юрия")</f>
        <v>Юрия</v>
      </c>
      <c r="U524" s="385"/>
      <c r="W524" s="384" t="str">
        <f>IFERROR(__xludf.DUMMYFUNCTION("""COMPUTED_VALUE"""),"Ketamin")</f>
        <v>Ketamin</v>
      </c>
      <c r="X524" s="385"/>
    </row>
    <row r="525">
      <c r="A525" s="384" t="s">
        <v>138</v>
      </c>
      <c r="B525" s="384" t="s">
        <v>269</v>
      </c>
      <c r="C525" s="389"/>
      <c r="D525" s="389">
        <v>2.75</v>
      </c>
      <c r="E525" s="384"/>
      <c r="F525" s="389"/>
      <c r="G525" s="389"/>
      <c r="T525" s="384" t="str">
        <f>IFERROR(__xludf.DUMMYFUNCTION("""COMPUTED_VALUE"""),"Alice ")</f>
        <v>Alice </v>
      </c>
      <c r="U525" s="385"/>
      <c r="W525" s="384" t="str">
        <f>IFERROR(__xludf.DUMMYFUNCTION("""COMPUTED_VALUE"""),"Light")</f>
        <v>Light</v>
      </c>
      <c r="X525" s="385"/>
    </row>
    <row r="526">
      <c r="A526" s="384" t="s">
        <v>88</v>
      </c>
      <c r="B526" s="384" t="s">
        <v>261</v>
      </c>
      <c r="C526" s="389">
        <v>2.5</v>
      </c>
      <c r="D526" s="389">
        <v>2.0</v>
      </c>
      <c r="E526" s="384" t="s">
        <v>260</v>
      </c>
      <c r="F526" s="389"/>
      <c r="G526" s="389"/>
      <c r="T526" s="384" t="str">
        <f>IFERROR(__xludf.DUMMYFUNCTION("""COMPUTED_VALUE"""),"Bublik")</f>
        <v>Bublik</v>
      </c>
      <c r="U526" s="385"/>
      <c r="W526" s="384" t="str">
        <f>IFERROR(__xludf.DUMMYFUNCTION("""COMPUTED_VALUE"""),"Morti")</f>
        <v>Morti</v>
      </c>
      <c r="X526" s="385"/>
    </row>
    <row r="527">
      <c r="A527" s="384" t="s">
        <v>97</v>
      </c>
      <c r="B527" s="384" t="s">
        <v>261</v>
      </c>
      <c r="C527" s="389">
        <v>2.5</v>
      </c>
      <c r="D527" s="389">
        <v>3.75</v>
      </c>
      <c r="E527" s="384"/>
      <c r="F527" s="389"/>
      <c r="G527" s="389"/>
      <c r="T527" s="384" t="str">
        <f>IFERROR(__xludf.DUMMYFUNCTION("""COMPUTED_VALUE"""),"BWDMoscow")</f>
        <v>BWDMoscow</v>
      </c>
      <c r="U527" s="385"/>
      <c r="W527" s="384" t="str">
        <f>IFERROR(__xludf.DUMMYFUNCTION("""COMPUTED_VALUE"""),"MSR")</f>
        <v>MSR</v>
      </c>
      <c r="X527" s="385"/>
    </row>
    <row r="528">
      <c r="A528" s="384" t="s">
        <v>96</v>
      </c>
      <c r="B528" s="384" t="s">
        <v>261</v>
      </c>
      <c r="C528" s="389">
        <v>2.5</v>
      </c>
      <c r="D528" s="389">
        <v>2.0</v>
      </c>
      <c r="E528" s="384"/>
      <c r="F528" s="389"/>
      <c r="G528" s="389"/>
      <c r="T528" s="384" t="str">
        <f>IFERROR(__xludf.DUMMYFUNCTION("""COMPUTED_VALUE"""),"Castor Troy ")</f>
        <v>Castor Troy </v>
      </c>
      <c r="U528" s="385"/>
      <c r="W528" s="384" t="str">
        <f>IFERROR(__xludf.DUMMYFUNCTION("""COMPUTED_VALUE"""),"NLIP")</f>
        <v>NLIP</v>
      </c>
      <c r="X528" s="385"/>
    </row>
    <row r="529">
      <c r="A529" s="384" t="s">
        <v>87</v>
      </c>
      <c r="B529" s="384" t="s">
        <v>261</v>
      </c>
      <c r="C529" s="389">
        <v>2.5</v>
      </c>
      <c r="D529" s="389">
        <v>2.0</v>
      </c>
      <c r="E529" s="384" t="s">
        <v>11</v>
      </c>
      <c r="F529" s="389"/>
      <c r="G529" s="389">
        <v>0.5</v>
      </c>
      <c r="T529" s="384" t="str">
        <f>IFERROR(__xludf.DUMMYFUNCTION("""COMPUTED_VALUE"""),"Cristo")</f>
        <v>Cristo</v>
      </c>
      <c r="U529" s="385"/>
      <c r="W529" s="384" t="str">
        <f>IFERROR(__xludf.DUMMYFUNCTION("""COMPUTED_VALUE"""),"Rocket woman ")</f>
        <v>Rocket woman </v>
      </c>
      <c r="X529" s="385"/>
    </row>
    <row r="530">
      <c r="A530" s="384" t="s">
        <v>106</v>
      </c>
      <c r="B530" s="384" t="s">
        <v>271</v>
      </c>
      <c r="C530" s="389">
        <v>2.5</v>
      </c>
      <c r="D530" s="389">
        <v>4.5</v>
      </c>
      <c r="E530" s="384"/>
      <c r="F530" s="389"/>
      <c r="G530" s="389"/>
      <c r="T530" s="384" t="str">
        <f>IFERROR(__xludf.DUMMYFUNCTION("""COMPUTED_VALUE"""),"Curly")</f>
        <v>Curly</v>
      </c>
      <c r="U530" s="385"/>
      <c r="W530" s="384" t="str">
        <f>IFERROR(__xludf.DUMMYFUNCTION("""COMPUTED_VALUE"""),"SCHOKK ")</f>
        <v>SCHOKK </v>
      </c>
      <c r="X530" s="385"/>
    </row>
    <row r="531">
      <c r="A531" s="384" t="s">
        <v>95</v>
      </c>
      <c r="B531" s="384" t="s">
        <v>269</v>
      </c>
      <c r="C531" s="389"/>
      <c r="D531" s="389">
        <v>2.5</v>
      </c>
      <c r="E531" s="384"/>
      <c r="F531" s="389"/>
      <c r="G531" s="389"/>
      <c r="T531" s="384" t="str">
        <f>IFERROR(__xludf.DUMMYFUNCTION("""COMPUTED_VALUE"""),"Helga")</f>
        <v>Helga</v>
      </c>
      <c r="U531" s="385"/>
      <c r="W531" s="384" t="str">
        <f>IFERROR(__xludf.DUMMYFUNCTION("""COMPUTED_VALUE"""),"Stacy")</f>
        <v>Stacy</v>
      </c>
      <c r="X531" s="385"/>
    </row>
    <row r="532">
      <c r="A532" s="384" t="s">
        <v>81</v>
      </c>
      <c r="B532" s="384" t="s">
        <v>261</v>
      </c>
      <c r="C532" s="389">
        <v>2.5</v>
      </c>
      <c r="D532" s="389">
        <v>3.0</v>
      </c>
      <c r="E532" s="384" t="s">
        <v>260</v>
      </c>
      <c r="F532" s="389"/>
      <c r="G532" s="389"/>
      <c r="T532" s="384" t="str">
        <f>IFERROR(__xludf.DUMMYFUNCTION("""COMPUTED_VALUE"""),"Infinity ")</f>
        <v>Infinity </v>
      </c>
      <c r="U532" s="385"/>
      <c r="W532" s="384" t="str">
        <f>IFERROR(__xludf.DUMMYFUNCTION("""COMPUTED_VALUE"""),"Авраам")</f>
        <v>Авраам</v>
      </c>
      <c r="X532" s="385"/>
    </row>
    <row r="533">
      <c r="A533" s="384" t="s">
        <v>128</v>
      </c>
      <c r="B533" s="384" t="s">
        <v>261</v>
      </c>
      <c r="C533" s="389">
        <v>2.5</v>
      </c>
      <c r="D533" s="389">
        <v>2.5</v>
      </c>
      <c r="E533" s="384"/>
      <c r="F533" s="389"/>
      <c r="G533" s="389"/>
      <c r="T533" s="384" t="str">
        <f>IFERROR(__xludf.DUMMYFUNCTION("""COMPUTED_VALUE"""),"Ketamin")</f>
        <v>Ketamin</v>
      </c>
      <c r="U533" s="385"/>
      <c r="W533" s="384" t="str">
        <f>IFERROR(__xludf.DUMMYFUNCTION("""COMPUTED_VALUE"""),"Админ")</f>
        <v>Админ</v>
      </c>
      <c r="X533" s="385"/>
    </row>
    <row r="534">
      <c r="A534" s="384" t="s">
        <v>107</v>
      </c>
      <c r="B534" s="384" t="s">
        <v>271</v>
      </c>
      <c r="C534" s="389">
        <v>2.5</v>
      </c>
      <c r="D534" s="389">
        <v>2.75</v>
      </c>
      <c r="E534" s="384"/>
      <c r="F534" s="389"/>
      <c r="G534" s="389"/>
      <c r="T534" s="384" t="str">
        <f>IFERROR(__xludf.DUMMYFUNCTION("""COMPUTED_VALUE"""),"Morti")</f>
        <v>Morti</v>
      </c>
      <c r="U534" s="385"/>
      <c r="W534" s="384" t="str">
        <f>IFERROR(__xludf.DUMMYFUNCTION("""COMPUTED_VALUE"""),"Андерсен")</f>
        <v>Андерсен</v>
      </c>
      <c r="X534" s="385"/>
    </row>
    <row r="535">
      <c r="A535" s="384" t="s">
        <v>138</v>
      </c>
      <c r="B535" s="384" t="s">
        <v>261</v>
      </c>
      <c r="C535" s="389">
        <v>2.5</v>
      </c>
      <c r="D535" s="389">
        <v>2.5</v>
      </c>
      <c r="E535" s="384" t="s">
        <v>260</v>
      </c>
      <c r="F535" s="389"/>
      <c r="G535" s="389"/>
      <c r="T535" s="384" t="str">
        <f>IFERROR(__xludf.DUMMYFUNCTION("""COMPUTED_VALUE"""),"MSR")</f>
        <v>MSR</v>
      </c>
      <c r="U535" s="385"/>
      <c r="W535" s="384" t="str">
        <f>IFERROR(__xludf.DUMMYFUNCTION("""COMPUTED_VALUE"""),"Артик")</f>
        <v>Артик</v>
      </c>
      <c r="X535" s="385"/>
    </row>
    <row r="536">
      <c r="A536" s="384" t="s">
        <v>88</v>
      </c>
      <c r="B536" s="384" t="s">
        <v>261</v>
      </c>
      <c r="C536" s="389">
        <v>2.5</v>
      </c>
      <c r="D536" s="389">
        <v>2.75</v>
      </c>
      <c r="E536" s="384" t="s">
        <v>260</v>
      </c>
      <c r="F536" s="389"/>
      <c r="G536" s="389"/>
      <c r="T536" s="384" t="str">
        <f>IFERROR(__xludf.DUMMYFUNCTION("""COMPUTED_VALUE"""),"NLIP")</f>
        <v>NLIP</v>
      </c>
      <c r="U536" s="385"/>
      <c r="W536" s="384" t="str">
        <f>IFERROR(__xludf.DUMMYFUNCTION("""COMPUTED_VALUE"""),"Астория")</f>
        <v>Астория</v>
      </c>
      <c r="X536" s="385"/>
    </row>
    <row r="537">
      <c r="A537" s="384" t="s">
        <v>97</v>
      </c>
      <c r="B537" s="384" t="s">
        <v>261</v>
      </c>
      <c r="C537" s="389">
        <v>2.5</v>
      </c>
      <c r="D537" s="389">
        <v>2.75</v>
      </c>
      <c r="E537" s="384"/>
      <c r="F537" s="389"/>
      <c r="G537" s="389"/>
      <c r="T537" s="384" t="str">
        <f>IFERROR(__xludf.DUMMYFUNCTION("""COMPUTED_VALUE"""),"Rocket woman ")</f>
        <v>Rocket woman </v>
      </c>
      <c r="U537" s="385"/>
      <c r="W537" s="384" t="str">
        <f>IFERROR(__xludf.DUMMYFUNCTION("""COMPUTED_VALUE"""),"Аш")</f>
        <v>Аш</v>
      </c>
      <c r="X537" s="385"/>
    </row>
    <row r="538">
      <c r="A538" s="384" t="s">
        <v>96</v>
      </c>
      <c r="B538" s="384" t="s">
        <v>261</v>
      </c>
      <c r="C538" s="389">
        <v>2.5</v>
      </c>
      <c r="D538" s="389">
        <v>2.75</v>
      </c>
      <c r="E538" s="384" t="s">
        <v>260</v>
      </c>
      <c r="F538" s="389"/>
      <c r="G538" s="389"/>
      <c r="T538" s="384" t="str">
        <f>IFERROR(__xludf.DUMMYFUNCTION("""COMPUTED_VALUE"""),"SCHOKK ")</f>
        <v>SCHOKK </v>
      </c>
      <c r="U538" s="385"/>
      <c r="W538" s="384" t="str">
        <f>IFERROR(__xludf.DUMMYFUNCTION("""COMPUTED_VALUE"""),"Бамблби")</f>
        <v>Бамблби</v>
      </c>
      <c r="X538" s="385"/>
    </row>
    <row r="539">
      <c r="A539" s="384" t="s">
        <v>87</v>
      </c>
      <c r="B539" s="384" t="s">
        <v>269</v>
      </c>
      <c r="C539" s="389"/>
      <c r="D539" s="389">
        <v>1.75</v>
      </c>
      <c r="E539" s="384" t="s">
        <v>263</v>
      </c>
      <c r="F539" s="389"/>
      <c r="G539" s="389"/>
      <c r="T539" s="384" t="str">
        <f>IFERROR(__xludf.DUMMYFUNCTION("""COMPUTED_VALUE"""),"SOVEST")</f>
        <v>SOVEST</v>
      </c>
      <c r="U539" s="385"/>
      <c r="W539" s="384" t="str">
        <f>IFERROR(__xludf.DUMMYFUNCTION("""COMPUTED_VALUE"""),"Волга")</f>
        <v>Волга</v>
      </c>
      <c r="X539" s="385"/>
    </row>
    <row r="540">
      <c r="A540" s="384" t="s">
        <v>106</v>
      </c>
      <c r="B540" s="384" t="s">
        <v>269</v>
      </c>
      <c r="C540" s="389"/>
      <c r="D540" s="389">
        <v>1.25</v>
      </c>
      <c r="E540" s="384"/>
      <c r="F540" s="389"/>
      <c r="G540" s="389"/>
      <c r="T540" s="384" t="str">
        <f>IFERROR(__xludf.DUMMYFUNCTION("""COMPUTED_VALUE"""),"WhoIsWho")</f>
        <v>WhoIsWho</v>
      </c>
      <c r="U540" s="385"/>
      <c r="W540" s="384" t="str">
        <f>IFERROR(__xludf.DUMMYFUNCTION("""COMPUTED_VALUE"""),"Градиент")</f>
        <v>Градиент</v>
      </c>
      <c r="X540" s="385"/>
    </row>
    <row r="541">
      <c r="A541" s="384" t="s">
        <v>95</v>
      </c>
      <c r="B541" s="384" t="s">
        <v>265</v>
      </c>
      <c r="C541" s="389"/>
      <c r="D541" s="389">
        <v>2.0</v>
      </c>
      <c r="E541" s="384"/>
      <c r="F541" s="389"/>
      <c r="G541" s="389"/>
      <c r="T541" s="384" t="str">
        <f>IFERROR(__xludf.DUMMYFUNCTION("""COMPUTED_VALUE"""),"Young")</f>
        <v>Young</v>
      </c>
      <c r="U541" s="385"/>
      <c r="W541" s="384" t="str">
        <f>IFERROR(__xludf.DUMMYFUNCTION("""COMPUTED_VALUE"""),"Дровосек")</f>
        <v>Дровосек</v>
      </c>
      <c r="X541" s="385"/>
    </row>
    <row r="542">
      <c r="A542" s="384" t="s">
        <v>81</v>
      </c>
      <c r="B542" s="384" t="s">
        <v>261</v>
      </c>
      <c r="C542" s="389">
        <v>2.5</v>
      </c>
      <c r="D542" s="389">
        <v>2.25</v>
      </c>
      <c r="E542" s="384"/>
      <c r="F542" s="389"/>
      <c r="G542" s="389"/>
      <c r="T542" s="384" t="str">
        <f>IFERROR(__xludf.DUMMYFUNCTION("QUERY('Турнирная таблица по Алфавиту'!C7:BG66,""select C,AD order by AD desc"")"),"РФ")</f>
        <v>РФ</v>
      </c>
      <c r="U542" s="385">
        <f>IFERROR(__xludf.DUMMYFUNCTION("""COMPUTED_VALUE"""),29.0)</f>
        <v>29</v>
      </c>
      <c r="W542" s="384" t="str">
        <f>IFERROR(__xludf.DUMMYFUNCTION("""COMPUTED_VALUE"""),"Зверюга")</f>
        <v>Зверюга</v>
      </c>
      <c r="X542" s="385"/>
    </row>
    <row r="543">
      <c r="A543" s="384" t="s">
        <v>128</v>
      </c>
      <c r="B543" s="384" t="s">
        <v>261</v>
      </c>
      <c r="C543" s="389">
        <v>2.5</v>
      </c>
      <c r="D543" s="389">
        <v>3.0</v>
      </c>
      <c r="E543" s="384"/>
      <c r="F543" s="389"/>
      <c r="G543" s="389"/>
      <c r="T543" s="384" t="str">
        <f>IFERROR(__xludf.DUMMYFUNCTION("""COMPUTED_VALUE"""),"Маваши")</f>
        <v>Маваши</v>
      </c>
      <c r="U543" s="385">
        <f>IFERROR(__xludf.DUMMYFUNCTION("""COMPUTED_VALUE"""),26.75)</f>
        <v>26.75</v>
      </c>
      <c r="W543" s="384" t="str">
        <f>IFERROR(__xludf.DUMMYFUNCTION("""COMPUTED_VALUE"""),"Инсомнич")</f>
        <v>Инсомнич</v>
      </c>
      <c r="X543" s="385"/>
    </row>
    <row r="544">
      <c r="A544" s="384" t="s">
        <v>107</v>
      </c>
      <c r="B544" s="384" t="s">
        <v>261</v>
      </c>
      <c r="C544" s="389">
        <v>2.5</v>
      </c>
      <c r="D544" s="389">
        <v>2.5</v>
      </c>
      <c r="E544" s="384" t="s">
        <v>11</v>
      </c>
      <c r="F544" s="389"/>
      <c r="G544" s="389">
        <v>1.0</v>
      </c>
      <c r="T544" s="384" t="str">
        <f>IFERROR(__xludf.DUMMYFUNCTION("""COMPUTED_VALUE"""),"Андерсен")</f>
        <v>Андерсен</v>
      </c>
      <c r="U544" s="385">
        <f>IFERROR(__xludf.DUMMYFUNCTION("""COMPUTED_VALUE"""),25.0)</f>
        <v>25</v>
      </c>
      <c r="W544" s="384" t="str">
        <f>IFERROR(__xludf.DUMMYFUNCTION("""COMPUTED_VALUE"""),"Крестный отец (BLR)")</f>
        <v>Крестный отец (BLR)</v>
      </c>
      <c r="X544" s="385"/>
    </row>
    <row r="545">
      <c r="A545" s="384" t="s">
        <v>138</v>
      </c>
      <c r="B545" s="384" t="s">
        <v>269</v>
      </c>
      <c r="C545" s="389"/>
      <c r="D545" s="389">
        <v>2.25</v>
      </c>
      <c r="E545" s="384"/>
      <c r="F545" s="389"/>
      <c r="G545" s="389"/>
      <c r="T545" s="384" t="str">
        <f>IFERROR(__xludf.DUMMYFUNCTION("""COMPUTED_VALUE"""),"Градиент")</f>
        <v>Градиент</v>
      </c>
      <c r="U545" s="385">
        <f>IFERROR(__xludf.DUMMYFUNCTION("""COMPUTED_VALUE"""),23.0)</f>
        <v>23</v>
      </c>
      <c r="W545" s="384" t="str">
        <f>IFERROR(__xludf.DUMMYFUNCTION("""COMPUTED_VALUE"""),"Крёстный Отец (RU)")</f>
        <v>Крёстный Отец (RU)</v>
      </c>
      <c r="X545" s="385"/>
    </row>
    <row r="546">
      <c r="A546" s="384" t="s">
        <v>88</v>
      </c>
      <c r="B546" s="384" t="s">
        <v>269</v>
      </c>
      <c r="C546" s="389"/>
      <c r="D546" s="389">
        <v>2.0</v>
      </c>
      <c r="E546" s="384"/>
      <c r="F546" s="389"/>
      <c r="G546" s="389"/>
      <c r="T546" s="384" t="str">
        <f>IFERROR(__xludf.DUMMYFUNCTION("""COMPUTED_VALUE"""),"Лисичка")</f>
        <v>Лисичка</v>
      </c>
      <c r="U546" s="385">
        <f>IFERROR(__xludf.DUMMYFUNCTION("""COMPUTED_VALUE"""),22.5)</f>
        <v>22.5</v>
      </c>
      <c r="W546" s="384" t="str">
        <f>IFERROR(__xludf.DUMMYFUNCTION("""COMPUTED_VALUE"""),"Крот")</f>
        <v>Крот</v>
      </c>
      <c r="X546" s="385"/>
    </row>
    <row r="547">
      <c r="A547" s="384" t="s">
        <v>97</v>
      </c>
      <c r="B547" s="384" t="s">
        <v>261</v>
      </c>
      <c r="C547" s="389">
        <v>2.5</v>
      </c>
      <c r="D547" s="389">
        <v>4.25</v>
      </c>
      <c r="E547" s="384"/>
      <c r="F547" s="389"/>
      <c r="G547" s="389"/>
      <c r="T547" s="384" t="str">
        <f>IFERROR(__xludf.DUMMYFUNCTION("""COMPUTED_VALUE"""),"Дровосек")</f>
        <v>Дровосек</v>
      </c>
      <c r="U547" s="385">
        <f>IFERROR(__xludf.DUMMYFUNCTION("""COMPUTED_VALUE"""),19.75)</f>
        <v>19.75</v>
      </c>
      <c r="W547" s="384" t="str">
        <f>IFERROR(__xludf.DUMMYFUNCTION("""COMPUTED_VALUE"""),"Лисичка")</f>
        <v>Лисичка</v>
      </c>
      <c r="X547" s="385"/>
    </row>
    <row r="548">
      <c r="A548" s="384" t="s">
        <v>96</v>
      </c>
      <c r="B548" s="384" t="s">
        <v>261</v>
      </c>
      <c r="C548" s="389">
        <v>2.5</v>
      </c>
      <c r="D548" s="389">
        <v>2.5</v>
      </c>
      <c r="E548" s="384"/>
      <c r="F548" s="389"/>
      <c r="G548" s="389"/>
      <c r="T548" s="384" t="str">
        <f>IFERROR(__xludf.DUMMYFUNCTION("""COMPUTED_VALUE"""),"Продюсер")</f>
        <v>Продюсер</v>
      </c>
      <c r="U548" s="385">
        <f>IFERROR(__xludf.DUMMYFUNCTION("""COMPUTED_VALUE"""),18.25)</f>
        <v>18.25</v>
      </c>
      <c r="W548" s="384" t="str">
        <f>IFERROR(__xludf.DUMMYFUNCTION("""COMPUTED_VALUE"""),"Маваши")</f>
        <v>Маваши</v>
      </c>
      <c r="X548" s="385"/>
    </row>
    <row r="549">
      <c r="A549" s="384" t="s">
        <v>87</v>
      </c>
      <c r="B549" s="384" t="s">
        <v>271</v>
      </c>
      <c r="C549" s="389">
        <v>2.5</v>
      </c>
      <c r="D549" s="389">
        <v>4.25</v>
      </c>
      <c r="E549" s="384"/>
      <c r="F549" s="389"/>
      <c r="G549" s="389"/>
      <c r="T549" s="384" t="str">
        <f>IFERROR(__xludf.DUMMYFUNCTION("""COMPUTED_VALUE"""),"Young")</f>
        <v>Young</v>
      </c>
      <c r="U549" s="385">
        <f>IFERROR(__xludf.DUMMYFUNCTION("""COMPUTED_VALUE"""),17.75)</f>
        <v>17.75</v>
      </c>
      <c r="W549" s="384" t="str">
        <f>IFERROR(__xludf.DUMMYFUNCTION("""COMPUTED_VALUE"""),"Манекен")</f>
        <v>Манекен</v>
      </c>
      <c r="X549" s="385"/>
    </row>
    <row r="550">
      <c r="A550" s="384" t="s">
        <v>106</v>
      </c>
      <c r="B550" s="384" t="s">
        <v>261</v>
      </c>
      <c r="C550" s="389">
        <v>2.5</v>
      </c>
      <c r="D550" s="389">
        <v>2.75</v>
      </c>
      <c r="E550" s="384"/>
      <c r="F550" s="389"/>
      <c r="G550" s="389"/>
      <c r="T550" s="384" t="str">
        <f>IFERROR(__xludf.DUMMYFUNCTION("""COMPUTED_VALUE"""),"Ketamin")</f>
        <v>Ketamin</v>
      </c>
      <c r="U550" s="385">
        <f>IFERROR(__xludf.DUMMYFUNCTION("""COMPUTED_VALUE"""),17.5)</f>
        <v>17.5</v>
      </c>
      <c r="W550" s="384" t="str">
        <f>IFERROR(__xludf.DUMMYFUNCTION("""COMPUTED_VALUE"""),"Марго")</f>
        <v>Марго</v>
      </c>
      <c r="X550" s="385"/>
    </row>
    <row r="551">
      <c r="A551" s="384" t="s">
        <v>95</v>
      </c>
      <c r="B551" s="384" t="s">
        <v>265</v>
      </c>
      <c r="C551" s="389"/>
      <c r="D551" s="389">
        <v>2.5</v>
      </c>
      <c r="E551" s="384"/>
      <c r="F551" s="389"/>
      <c r="G551" s="389"/>
      <c r="T551" s="384" t="str">
        <f>IFERROR(__xludf.DUMMYFUNCTION("""COMPUTED_VALUE"""),"Левша")</f>
        <v>Левша</v>
      </c>
      <c r="U551" s="385">
        <f>IFERROR(__xludf.DUMMYFUNCTION("""COMPUTED_VALUE"""),14.0)</f>
        <v>14</v>
      </c>
      <c r="W551" s="384" t="str">
        <f>IFERROR(__xludf.DUMMYFUNCTION("""COMPUTED_VALUE"""),"Ментик")</f>
        <v>Ментик</v>
      </c>
      <c r="X551" s="385"/>
    </row>
    <row r="552">
      <c r="A552" s="384" t="s">
        <v>81</v>
      </c>
      <c r="B552" s="384" t="s">
        <v>261</v>
      </c>
      <c r="C552" s="389">
        <v>2.5</v>
      </c>
      <c r="D552" s="389">
        <v>2.75</v>
      </c>
      <c r="E552" s="384"/>
      <c r="F552" s="389"/>
      <c r="G552" s="389"/>
      <c r="T552" s="384" t="str">
        <f>IFERROR(__xludf.DUMMYFUNCTION("""COMPUTED_VALUE"""),"Авраам")</f>
        <v>Авраам</v>
      </c>
      <c r="U552" s="385"/>
      <c r="W552" s="384" t="str">
        <f>IFERROR(__xludf.DUMMYFUNCTION("""COMPUTED_VALUE"""),"Мишель ")</f>
        <v>Мишель </v>
      </c>
      <c r="X552" s="385"/>
    </row>
    <row r="553">
      <c r="A553" s="384" t="s">
        <v>88</v>
      </c>
      <c r="B553" s="384" t="s">
        <v>269</v>
      </c>
      <c r="C553" s="389">
        <v>2.5</v>
      </c>
      <c r="D553" s="389">
        <v>2.0</v>
      </c>
      <c r="E553" s="384"/>
      <c r="F553" s="389"/>
      <c r="G553" s="389"/>
      <c r="T553" s="384" t="str">
        <f>IFERROR(__xludf.DUMMYFUNCTION("""COMPUTED_VALUE"""),"Админ")</f>
        <v>Админ</v>
      </c>
      <c r="U553" s="385"/>
      <c r="W553" s="384" t="str">
        <f>IFERROR(__xludf.DUMMYFUNCTION("""COMPUTED_VALUE"""),"Наполеон")</f>
        <v>Наполеон</v>
      </c>
      <c r="X553" s="385"/>
    </row>
    <row r="554">
      <c r="A554" s="384" t="s">
        <v>119</v>
      </c>
      <c r="B554" s="384" t="s">
        <v>261</v>
      </c>
      <c r="C554" s="389"/>
      <c r="D554" s="389">
        <v>2.0</v>
      </c>
      <c r="E554" s="384"/>
      <c r="F554" s="389"/>
      <c r="G554" s="389"/>
      <c r="T554" s="384" t="str">
        <f>IFERROR(__xludf.DUMMYFUNCTION("""COMPUTED_VALUE"""),"Артик")</f>
        <v>Артик</v>
      </c>
      <c r="U554" s="385"/>
      <c r="W554" s="384" t="str">
        <f>IFERROR(__xludf.DUMMYFUNCTION("""COMPUTED_VALUE"""),"Панда из Руанды")</f>
        <v>Панда из Руанды</v>
      </c>
      <c r="X554" s="385"/>
    </row>
    <row r="555">
      <c r="A555" s="384" t="s">
        <v>118</v>
      </c>
      <c r="B555" s="384" t="s">
        <v>265</v>
      </c>
      <c r="C555" s="389">
        <v>2.5</v>
      </c>
      <c r="D555" s="389">
        <v>1.75</v>
      </c>
      <c r="E555" s="384"/>
      <c r="F555" s="389"/>
      <c r="G555" s="389"/>
      <c r="T555" s="384" t="str">
        <f>IFERROR(__xludf.DUMMYFUNCTION("""COMPUTED_VALUE"""),"Астория")</f>
        <v>Астория</v>
      </c>
      <c r="U555" s="385"/>
      <c r="W555" s="384" t="str">
        <f>IFERROR(__xludf.DUMMYFUNCTION("""COMPUTED_VALUE"""),"Писатель ")</f>
        <v>Писатель </v>
      </c>
      <c r="X555" s="385"/>
    </row>
    <row r="556">
      <c r="A556" s="384" t="s">
        <v>134</v>
      </c>
      <c r="B556" s="384" t="s">
        <v>269</v>
      </c>
      <c r="C556" s="389">
        <v>2.5</v>
      </c>
      <c r="D556" s="389">
        <v>4.0</v>
      </c>
      <c r="E556" s="384" t="s">
        <v>260</v>
      </c>
      <c r="F556" s="389"/>
      <c r="G556" s="389"/>
      <c r="T556" s="384" t="str">
        <f>IFERROR(__xludf.DUMMYFUNCTION("""COMPUTED_VALUE"""),"Аш")</f>
        <v>Аш</v>
      </c>
      <c r="U556" s="385"/>
      <c r="W556" s="384" t="str">
        <f>IFERROR(__xludf.DUMMYFUNCTION("""COMPUTED_VALUE"""),"Правда ")</f>
        <v>Правда </v>
      </c>
      <c r="X556" s="385"/>
    </row>
    <row r="557">
      <c r="A557" s="384" t="s">
        <v>87</v>
      </c>
      <c r="B557" s="384" t="s">
        <v>261</v>
      </c>
      <c r="C557" s="389"/>
      <c r="D557" s="389">
        <v>2.0</v>
      </c>
      <c r="E557" s="384"/>
      <c r="F557" s="389"/>
      <c r="G557" s="389"/>
      <c r="T557" s="384" t="str">
        <f>IFERROR(__xludf.DUMMYFUNCTION("""COMPUTED_VALUE"""),"Бамблби")</f>
        <v>Бамблби</v>
      </c>
      <c r="U557" s="385"/>
      <c r="W557" s="384" t="str">
        <f>IFERROR(__xludf.DUMMYFUNCTION("""COMPUTED_VALUE"""),"Продюсер")</f>
        <v>Продюсер</v>
      </c>
      <c r="X557" s="385"/>
    </row>
    <row r="558">
      <c r="A558" s="384" t="s">
        <v>126</v>
      </c>
      <c r="B558" s="384" t="s">
        <v>271</v>
      </c>
      <c r="C558" s="389"/>
      <c r="D558" s="389">
        <v>2.75</v>
      </c>
      <c r="E558" s="384"/>
      <c r="F558" s="389"/>
      <c r="G558" s="389"/>
      <c r="T558" s="384" t="str">
        <f>IFERROR(__xludf.DUMMYFUNCTION("""COMPUTED_VALUE"""),"Волга")</f>
        <v>Волга</v>
      </c>
      <c r="U558" s="385"/>
      <c r="W558" s="384" t="str">
        <f>IFERROR(__xludf.DUMMYFUNCTION("""COMPUTED_VALUE"""),"РФ")</f>
        <v>РФ</v>
      </c>
      <c r="X558" s="385"/>
    </row>
    <row r="559">
      <c r="A559" s="384" t="s">
        <v>107</v>
      </c>
      <c r="B559" s="384" t="s">
        <v>261</v>
      </c>
      <c r="C559" s="389"/>
      <c r="D559" s="389">
        <v>3.0</v>
      </c>
      <c r="E559" s="384"/>
      <c r="F559" s="389"/>
      <c r="G559" s="389"/>
      <c r="T559" s="384" t="str">
        <f>IFERROR(__xludf.DUMMYFUNCTION("""COMPUTED_VALUE"""),"Зверюга")</f>
        <v>Зверюга</v>
      </c>
      <c r="U559" s="385"/>
      <c r="W559" s="384" t="str">
        <f>IFERROR(__xludf.DUMMYFUNCTION("""COMPUTED_VALUE"""),"Старый")</f>
        <v>Старый</v>
      </c>
      <c r="X559" s="385"/>
    </row>
    <row r="560">
      <c r="A560" s="384" t="s">
        <v>116</v>
      </c>
      <c r="B560" s="384" t="s">
        <v>261</v>
      </c>
      <c r="C560" s="389"/>
      <c r="D560" s="389">
        <v>2.0</v>
      </c>
      <c r="E560" s="384" t="s">
        <v>263</v>
      </c>
      <c r="F560" s="389"/>
      <c r="G560" s="389"/>
      <c r="T560" s="384" t="str">
        <f>IFERROR(__xludf.DUMMYFUNCTION("""COMPUTED_VALUE"""),"Инсомнич")</f>
        <v>Инсомнич</v>
      </c>
      <c r="U560" s="385"/>
      <c r="W560" s="384" t="str">
        <f>IFERROR(__xludf.DUMMYFUNCTION("""COMPUTED_VALUE"""),"СЭНСЭЙ")</f>
        <v>СЭНСЭЙ</v>
      </c>
      <c r="X560" s="385"/>
    </row>
    <row r="561">
      <c r="A561" s="384" t="s">
        <v>86</v>
      </c>
      <c r="B561" s="384" t="s">
        <v>261</v>
      </c>
      <c r="C561" s="389"/>
      <c r="D561" s="389">
        <v>1.5</v>
      </c>
      <c r="E561" s="384"/>
      <c r="F561" s="389"/>
      <c r="G561" s="389"/>
      <c r="T561" s="384" t="str">
        <f>IFERROR(__xludf.DUMMYFUNCTION("""COMPUTED_VALUE"""),"Красавчик")</f>
        <v>Красавчик</v>
      </c>
      <c r="U561" s="385"/>
      <c r="W561" s="384" t="str">
        <f>IFERROR(__xludf.DUMMYFUNCTION("""COMPUTED_VALUE"""),"Coach")</f>
        <v>Coach</v>
      </c>
      <c r="X561" s="385"/>
    </row>
    <row r="562">
      <c r="A562" s="384" t="s">
        <v>169</v>
      </c>
      <c r="B562" s="384" t="s">
        <v>261</v>
      </c>
      <c r="C562" s="389"/>
      <c r="D562" s="389">
        <v>2.0</v>
      </c>
      <c r="E562" s="384" t="s">
        <v>263</v>
      </c>
      <c r="F562" s="389"/>
      <c r="G562" s="389"/>
      <c r="T562" s="384" t="str">
        <f>IFERROR(__xludf.DUMMYFUNCTION("""COMPUTED_VALUE"""),"Крестный отец (BLR)")</f>
        <v>Крестный отец (BLR)</v>
      </c>
      <c r="U562" s="385"/>
      <c r="W562" s="384" t="str">
        <f>IFERROR(__xludf.DUMMYFUNCTION("""COMPUTED_VALUE"""),"Тихий закат")</f>
        <v>Тихий закат</v>
      </c>
      <c r="X562" s="385"/>
    </row>
    <row r="563">
      <c r="A563" s="384" t="s">
        <v>88</v>
      </c>
      <c r="B563" s="384" t="s">
        <v>269</v>
      </c>
      <c r="C563" s="389">
        <v>2.5</v>
      </c>
      <c r="D563" s="389">
        <v>2.75</v>
      </c>
      <c r="E563" s="384"/>
      <c r="F563" s="389"/>
      <c r="G563" s="389"/>
      <c r="T563" s="384" t="str">
        <f>IFERROR(__xludf.DUMMYFUNCTION("""COMPUTED_VALUE"""),"Крёстный Отец (RU)")</f>
        <v>Крёстный Отец (RU)</v>
      </c>
      <c r="U563" s="385"/>
      <c r="W563" s="384" t="str">
        <f>IFERROR(__xludf.DUMMYFUNCTION("""COMPUTED_VALUE"""),"Физик")</f>
        <v>Физик</v>
      </c>
      <c r="X563" s="385"/>
    </row>
    <row r="564">
      <c r="A564" s="384" t="s">
        <v>119</v>
      </c>
      <c r="B564" s="384" t="s">
        <v>269</v>
      </c>
      <c r="C564" s="389">
        <v>2.5</v>
      </c>
      <c r="D564" s="389">
        <v>3.25</v>
      </c>
      <c r="E564" s="384"/>
      <c r="F564" s="389"/>
      <c r="G564" s="389"/>
      <c r="T564" s="384" t="str">
        <f>IFERROR(__xludf.DUMMYFUNCTION("""COMPUTED_VALUE"""),"Крот")</f>
        <v>Крот</v>
      </c>
      <c r="U564" s="385"/>
      <c r="W564" s="384" t="str">
        <f>IFERROR(__xludf.DUMMYFUNCTION("""COMPUTED_VALUE"""),"Флэш")</f>
        <v>Флэш</v>
      </c>
      <c r="X564" s="385"/>
    </row>
    <row r="565">
      <c r="A565" s="384" t="s">
        <v>118</v>
      </c>
      <c r="B565" s="384" t="s">
        <v>261</v>
      </c>
      <c r="C565" s="389"/>
      <c r="D565" s="389">
        <v>3.25</v>
      </c>
      <c r="E565" s="384"/>
      <c r="F565" s="389"/>
      <c r="G565" s="389"/>
      <c r="T565" s="384" t="str">
        <f>IFERROR(__xludf.DUMMYFUNCTION("""COMPUTED_VALUE"""),"Манекен")</f>
        <v>Манекен</v>
      </c>
      <c r="U565" s="385"/>
      <c r="W565" s="384" t="str">
        <f>IFERROR(__xludf.DUMMYFUNCTION("""COMPUTED_VALUE"""),"Фокс")</f>
        <v>Фокс</v>
      </c>
      <c r="X565" s="385"/>
    </row>
    <row r="566">
      <c r="A566" s="384" t="s">
        <v>134</v>
      </c>
      <c r="B566" s="384" t="s">
        <v>261</v>
      </c>
      <c r="C566" s="389"/>
      <c r="D566" s="389">
        <v>2.25</v>
      </c>
      <c r="E566" s="384"/>
      <c r="F566" s="389"/>
      <c r="G566" s="389"/>
      <c r="T566" s="384" t="str">
        <f>IFERROR(__xludf.DUMMYFUNCTION("""COMPUTED_VALUE"""),"Марго")</f>
        <v>Марго</v>
      </c>
      <c r="U566" s="385"/>
      <c r="W566" s="384" t="str">
        <f>IFERROR(__xludf.DUMMYFUNCTION("""COMPUTED_VALUE"""),"Шоу Бой")</f>
        <v>Шоу Бой</v>
      </c>
      <c r="X566" s="385"/>
    </row>
    <row r="567">
      <c r="A567" s="384" t="s">
        <v>87</v>
      </c>
      <c r="B567" s="384" t="s">
        <v>261</v>
      </c>
      <c r="C567" s="389"/>
      <c r="D567" s="389">
        <v>2.5</v>
      </c>
      <c r="E567" s="384" t="s">
        <v>11</v>
      </c>
      <c r="F567" s="389"/>
      <c r="G567" s="389">
        <v>0.5</v>
      </c>
      <c r="T567" s="384" t="str">
        <f>IFERROR(__xludf.DUMMYFUNCTION("""COMPUTED_VALUE"""),"Ментик")</f>
        <v>Ментик</v>
      </c>
      <c r="U567" s="385"/>
      <c r="W567" s="384" t="str">
        <f>IFERROR(__xludf.DUMMYFUNCTION("""COMPUTED_VALUE"""),"Шпиц")</f>
        <v>Шпиц</v>
      </c>
      <c r="X567" s="385"/>
    </row>
    <row r="568">
      <c r="A568" s="384" t="s">
        <v>126</v>
      </c>
      <c r="B568" s="384" t="s">
        <v>271</v>
      </c>
      <c r="C568" s="389"/>
      <c r="D568" s="389">
        <v>2.0</v>
      </c>
      <c r="E568" s="384"/>
      <c r="F568" s="389"/>
      <c r="G568" s="389"/>
      <c r="T568" s="384" t="str">
        <f>IFERROR(__xludf.DUMMYFUNCTION("""COMPUTED_VALUE"""),"Мишель ")</f>
        <v>Мишель </v>
      </c>
      <c r="U568" s="385"/>
      <c r="W568" s="384" t="str">
        <f>IFERROR(__xludf.DUMMYFUNCTION("""COMPUTED_VALUE"""),"Alice ")</f>
        <v>Alice </v>
      </c>
      <c r="X568" s="385"/>
    </row>
    <row r="569">
      <c r="A569" s="384" t="s">
        <v>107</v>
      </c>
      <c r="B569" s="384" t="s">
        <v>265</v>
      </c>
      <c r="C569" s="389">
        <v>2.5</v>
      </c>
      <c r="D569" s="389">
        <v>3.75</v>
      </c>
      <c r="E569" s="384"/>
      <c r="F569" s="389"/>
      <c r="G569" s="389"/>
      <c r="T569" s="384" t="str">
        <f>IFERROR(__xludf.DUMMYFUNCTION("""COMPUTED_VALUE"""),"Наполеон")</f>
        <v>Наполеон</v>
      </c>
      <c r="U569" s="385"/>
      <c r="W569" s="384" t="str">
        <f>IFERROR(__xludf.DUMMYFUNCTION("""COMPUTED_VALUE"""),"Bublik")</f>
        <v>Bublik</v>
      </c>
      <c r="X569" s="385"/>
    </row>
    <row r="570">
      <c r="A570" s="384" t="s">
        <v>116</v>
      </c>
      <c r="B570" s="384" t="s">
        <v>261</v>
      </c>
      <c r="C570" s="389"/>
      <c r="D570" s="389">
        <v>3.75</v>
      </c>
      <c r="E570" s="384"/>
      <c r="F570" s="389"/>
      <c r="G570" s="389"/>
      <c r="T570" s="384" t="str">
        <f>IFERROR(__xludf.DUMMYFUNCTION("""COMPUTED_VALUE"""),"Панда из Руанды")</f>
        <v>Панда из Руанды</v>
      </c>
      <c r="U570" s="385"/>
      <c r="W570" s="384" t="str">
        <f>IFERROR(__xludf.DUMMYFUNCTION("""COMPUTED_VALUE"""),"BWDMoscow")</f>
        <v>BWDMoscow</v>
      </c>
      <c r="X570" s="385"/>
    </row>
    <row r="571">
      <c r="A571" s="384" t="s">
        <v>86</v>
      </c>
      <c r="B571" s="384" t="s">
        <v>261</v>
      </c>
      <c r="C571" s="389"/>
      <c r="D571" s="389">
        <v>2.25</v>
      </c>
      <c r="E571" s="384"/>
      <c r="F571" s="389"/>
      <c r="G571" s="389"/>
      <c r="T571" s="384" t="str">
        <f>IFERROR(__xludf.DUMMYFUNCTION("""COMPUTED_VALUE"""),"Писатель ")</f>
        <v>Писатель </v>
      </c>
      <c r="U571" s="385"/>
      <c r="W571" s="384" t="str">
        <f>IFERROR(__xludf.DUMMYFUNCTION("""COMPUTED_VALUE"""),"Castor Troy ")</f>
        <v>Castor Troy </v>
      </c>
      <c r="X571" s="385"/>
    </row>
    <row r="572">
      <c r="A572" s="384" t="s">
        <v>169</v>
      </c>
      <c r="B572" s="384" t="s">
        <v>261</v>
      </c>
      <c r="C572" s="389"/>
      <c r="D572" s="389">
        <v>1.75</v>
      </c>
      <c r="E572" s="384"/>
      <c r="F572" s="389"/>
      <c r="G572" s="389"/>
      <c r="T572" s="384" t="str">
        <f>IFERROR(__xludf.DUMMYFUNCTION("""COMPUTED_VALUE"""),"Правда ")</f>
        <v>Правда </v>
      </c>
      <c r="U572" s="385"/>
      <c r="W572" s="384" t="str">
        <f>IFERROR(__xludf.DUMMYFUNCTION("""COMPUTED_VALUE"""),"Curly")</f>
        <v>Curly</v>
      </c>
      <c r="X572" s="385"/>
    </row>
    <row r="573">
      <c r="A573" s="384" t="s">
        <v>88</v>
      </c>
      <c r="B573" s="384" t="s">
        <v>261</v>
      </c>
      <c r="C573" s="389">
        <v>2.5</v>
      </c>
      <c r="D573" s="389">
        <v>4.5</v>
      </c>
      <c r="E573" s="384" t="s">
        <v>260</v>
      </c>
      <c r="F573" s="389"/>
      <c r="G573" s="389"/>
      <c r="T573" s="384" t="str">
        <f>IFERROR(__xludf.DUMMYFUNCTION("""COMPUTED_VALUE"""),"Старый")</f>
        <v>Старый</v>
      </c>
      <c r="U573" s="385"/>
      <c r="W573" s="384" t="str">
        <f>IFERROR(__xludf.DUMMYFUNCTION("""COMPUTED_VALUE"""),"GALAY")</f>
        <v>GALAY</v>
      </c>
      <c r="X573" s="385"/>
    </row>
    <row r="574">
      <c r="A574" s="384" t="s">
        <v>119</v>
      </c>
      <c r="B574" s="384" t="s">
        <v>261</v>
      </c>
      <c r="C574" s="389">
        <v>2.5</v>
      </c>
      <c r="D574" s="389">
        <v>3.0</v>
      </c>
      <c r="E574" s="384"/>
      <c r="F574" s="389"/>
      <c r="G574" s="389"/>
      <c r="T574" s="384" t="str">
        <f>IFERROR(__xludf.DUMMYFUNCTION("""COMPUTED_VALUE"""),"СЭНСЭЙ")</f>
        <v>СЭНСЭЙ</v>
      </c>
      <c r="U574" s="385"/>
      <c r="W574" s="384" t="str">
        <f>IFERROR(__xludf.DUMMYFUNCTION("""COMPUTED_VALUE"""),"Infinity ")</f>
        <v>Infinity </v>
      </c>
      <c r="X574" s="385"/>
    </row>
    <row r="575">
      <c r="A575" s="384" t="s">
        <v>118</v>
      </c>
      <c r="B575" s="384" t="s">
        <v>271</v>
      </c>
      <c r="C575" s="389">
        <v>2.5</v>
      </c>
      <c r="D575" s="389">
        <v>4.0</v>
      </c>
      <c r="E575" s="384"/>
      <c r="F575" s="389"/>
      <c r="G575" s="389"/>
      <c r="T575" s="384" t="str">
        <f>IFERROR(__xludf.DUMMYFUNCTION("""COMPUTED_VALUE"""),"Coach")</f>
        <v>Coach</v>
      </c>
      <c r="U575" s="385"/>
      <c r="W575" s="384" t="str">
        <f>IFERROR(__xludf.DUMMYFUNCTION("""COMPUTED_VALUE"""),"Ketamin")</f>
        <v>Ketamin</v>
      </c>
      <c r="X575" s="385"/>
    </row>
    <row r="576">
      <c r="A576" s="384" t="s">
        <v>134</v>
      </c>
      <c r="B576" s="384" t="s">
        <v>261</v>
      </c>
      <c r="C576" s="389">
        <v>2.5</v>
      </c>
      <c r="D576" s="389">
        <v>3.0</v>
      </c>
      <c r="E576" s="384" t="s">
        <v>260</v>
      </c>
      <c r="F576" s="389"/>
      <c r="G576" s="389"/>
      <c r="T576" s="384" t="str">
        <f>IFERROR(__xludf.DUMMYFUNCTION("""COMPUTED_VALUE"""),"Тихий закат")</f>
        <v>Тихий закат</v>
      </c>
      <c r="U576" s="385"/>
      <c r="W576" s="384" t="str">
        <f>IFERROR(__xludf.DUMMYFUNCTION("""COMPUTED_VALUE"""),"Light")</f>
        <v>Light</v>
      </c>
      <c r="X576" s="385"/>
    </row>
    <row r="577">
      <c r="A577" s="384" t="s">
        <v>87</v>
      </c>
      <c r="B577" s="384" t="s">
        <v>261</v>
      </c>
      <c r="C577" s="389">
        <v>2.5</v>
      </c>
      <c r="D577" s="389">
        <v>2.75</v>
      </c>
      <c r="E577" s="384"/>
      <c r="F577" s="389"/>
      <c r="G577" s="389"/>
      <c r="T577" s="384" t="str">
        <f>IFERROR(__xludf.DUMMYFUNCTION("""COMPUTED_VALUE"""),"Физик")</f>
        <v>Физик</v>
      </c>
      <c r="U577" s="385"/>
      <c r="W577" s="384" t="str">
        <f>IFERROR(__xludf.DUMMYFUNCTION("""COMPUTED_VALUE"""),"Morti")</f>
        <v>Morti</v>
      </c>
      <c r="X577" s="385"/>
    </row>
    <row r="578">
      <c r="A578" s="384" t="s">
        <v>126</v>
      </c>
      <c r="B578" s="384" t="s">
        <v>269</v>
      </c>
      <c r="C578" s="389"/>
      <c r="D578" s="389">
        <v>2.0</v>
      </c>
      <c r="E578" s="384" t="s">
        <v>263</v>
      </c>
      <c r="F578" s="389"/>
      <c r="G578" s="389"/>
      <c r="T578" s="384" t="str">
        <f>IFERROR(__xludf.DUMMYFUNCTION("""COMPUTED_VALUE"""),"Флэш")</f>
        <v>Флэш</v>
      </c>
      <c r="U578" s="385"/>
      <c r="W578" s="384" t="str">
        <f>IFERROR(__xludf.DUMMYFUNCTION("""COMPUTED_VALUE"""),"Rocket woman ")</f>
        <v>Rocket woman </v>
      </c>
      <c r="X578" s="385"/>
    </row>
    <row r="579">
      <c r="A579" s="384" t="s">
        <v>107</v>
      </c>
      <c r="B579" s="384" t="s">
        <v>265</v>
      </c>
      <c r="C579" s="389"/>
      <c r="D579" s="389">
        <v>2.25</v>
      </c>
      <c r="E579" s="384"/>
      <c r="F579" s="389"/>
      <c r="G579" s="389"/>
      <c r="T579" s="384" t="str">
        <f>IFERROR(__xludf.DUMMYFUNCTION("""COMPUTED_VALUE"""),"Фокс")</f>
        <v>Фокс</v>
      </c>
      <c r="U579" s="385"/>
      <c r="W579" s="384" t="str">
        <f>IFERROR(__xludf.DUMMYFUNCTION("""COMPUTED_VALUE"""),"SCHOKK ")</f>
        <v>SCHOKK </v>
      </c>
      <c r="X579" s="385"/>
    </row>
    <row r="580">
      <c r="A580" s="384" t="s">
        <v>116</v>
      </c>
      <c r="B580" s="384" t="s">
        <v>261</v>
      </c>
      <c r="C580" s="389">
        <v>2.5</v>
      </c>
      <c r="D580" s="389">
        <v>2.75</v>
      </c>
      <c r="E580" s="384"/>
      <c r="F580" s="389"/>
      <c r="G580" s="389"/>
      <c r="T580" s="384" t="str">
        <f>IFERROR(__xludf.DUMMYFUNCTION("""COMPUTED_VALUE"""),"Шоу Бой")</f>
        <v>Шоу Бой</v>
      </c>
      <c r="U580" s="385"/>
      <c r="W580" s="384" t="str">
        <f>IFERROR(__xludf.DUMMYFUNCTION("""COMPUTED_VALUE"""),"SOVEST")</f>
        <v>SOVEST</v>
      </c>
      <c r="X580" s="385"/>
    </row>
    <row r="581">
      <c r="A581" s="384" t="s">
        <v>86</v>
      </c>
      <c r="B581" s="384" t="s">
        <v>261</v>
      </c>
      <c r="C581" s="389">
        <v>2.5</v>
      </c>
      <c r="D581" s="389">
        <v>2.5</v>
      </c>
      <c r="E581" s="384"/>
      <c r="F581" s="389"/>
      <c r="G581" s="389"/>
      <c r="T581" s="384" t="str">
        <f>IFERROR(__xludf.DUMMYFUNCTION("""COMPUTED_VALUE"""),"Шпиц")</f>
        <v>Шпиц</v>
      </c>
      <c r="U581" s="385"/>
      <c r="W581" s="384" t="str">
        <f>IFERROR(__xludf.DUMMYFUNCTION("""COMPUTED_VALUE"""),"Young")</f>
        <v>Young</v>
      </c>
      <c r="X581" s="385"/>
    </row>
    <row r="582">
      <c r="A582" s="384" t="s">
        <v>169</v>
      </c>
      <c r="B582" s="384" t="s">
        <v>269</v>
      </c>
      <c r="C582" s="389"/>
      <c r="D582" s="389">
        <v>2.25</v>
      </c>
      <c r="E582" s="384"/>
      <c r="F582" s="389"/>
      <c r="G582" s="389"/>
      <c r="T582" s="384" t="str">
        <f>IFERROR(__xludf.DUMMYFUNCTION("""COMPUTED_VALUE"""),"Юрия")</f>
        <v>Юрия</v>
      </c>
      <c r="U582" s="385"/>
      <c r="W582" s="384" t="str">
        <f>IFERROR(__xludf.DUMMYFUNCTION("""COMPUTED_VALUE"""),"Админ")</f>
        <v>Админ</v>
      </c>
      <c r="X582" s="385"/>
    </row>
    <row r="583">
      <c r="A583" s="384" t="s">
        <v>88</v>
      </c>
      <c r="B583" s="384" t="s">
        <v>265</v>
      </c>
      <c r="C583" s="389">
        <v>2.5</v>
      </c>
      <c r="D583" s="389">
        <v>2.5</v>
      </c>
      <c r="E583" s="384"/>
      <c r="F583" s="389"/>
      <c r="G583" s="389"/>
      <c r="T583" s="384" t="str">
        <f>IFERROR(__xludf.DUMMYFUNCTION("""COMPUTED_VALUE"""),"A1 ")</f>
        <v>A1 </v>
      </c>
      <c r="U583" s="385"/>
      <c r="W583" s="384" t="str">
        <f>IFERROR(__xludf.DUMMYFUNCTION("""COMPUTED_VALUE"""),"Андерсен")</f>
        <v>Андерсен</v>
      </c>
      <c r="X583" s="385"/>
    </row>
    <row r="584">
      <c r="A584" s="384" t="s">
        <v>119</v>
      </c>
      <c r="B584" s="384" t="s">
        <v>269</v>
      </c>
      <c r="C584" s="389">
        <v>2.5</v>
      </c>
      <c r="D584" s="389">
        <v>0.5</v>
      </c>
      <c r="E584" s="384"/>
      <c r="F584" s="389"/>
      <c r="G584" s="389"/>
      <c r="T584" s="384" t="str">
        <f>IFERROR(__xludf.DUMMYFUNCTION("""COMPUTED_VALUE"""),"Alice ")</f>
        <v>Alice </v>
      </c>
      <c r="U584" s="385"/>
      <c r="W584" s="384" t="str">
        <f>IFERROR(__xludf.DUMMYFUNCTION("""COMPUTED_VALUE"""),"Артик")</f>
        <v>Артик</v>
      </c>
      <c r="X584" s="385"/>
    </row>
    <row r="585">
      <c r="A585" s="384" t="s">
        <v>118</v>
      </c>
      <c r="B585" s="384" t="s">
        <v>261</v>
      </c>
      <c r="C585" s="389"/>
      <c r="D585" s="389">
        <v>1.75</v>
      </c>
      <c r="E585" s="384" t="s">
        <v>263</v>
      </c>
      <c r="F585" s="389"/>
      <c r="G585" s="389"/>
      <c r="T585" s="384" t="str">
        <f>IFERROR(__xludf.DUMMYFUNCTION("""COMPUTED_VALUE"""),"Bublik")</f>
        <v>Bublik</v>
      </c>
      <c r="U585" s="385"/>
      <c r="W585" s="384" t="str">
        <f>IFERROR(__xludf.DUMMYFUNCTION("""COMPUTED_VALUE"""),"Астория")</f>
        <v>Астория</v>
      </c>
      <c r="X585" s="385"/>
    </row>
    <row r="586">
      <c r="A586" s="384" t="s">
        <v>134</v>
      </c>
      <c r="B586" s="384" t="s">
        <v>261</v>
      </c>
      <c r="C586" s="389"/>
      <c r="D586" s="389">
        <v>2.0</v>
      </c>
      <c r="E586" s="384"/>
      <c r="F586" s="389"/>
      <c r="G586" s="389"/>
      <c r="T586" s="384" t="str">
        <f>IFERROR(__xludf.DUMMYFUNCTION("""COMPUTED_VALUE"""),"BWDMoscow")</f>
        <v>BWDMoscow</v>
      </c>
      <c r="U586" s="385"/>
      <c r="W586" s="384" t="str">
        <f>IFERROR(__xludf.DUMMYFUNCTION("""COMPUTED_VALUE"""),"Аш")</f>
        <v>Аш</v>
      </c>
      <c r="X586" s="385"/>
    </row>
    <row r="587">
      <c r="A587" s="384" t="s">
        <v>87</v>
      </c>
      <c r="B587" s="384" t="s">
        <v>261</v>
      </c>
      <c r="C587" s="389"/>
      <c r="D587" s="389">
        <v>2.75</v>
      </c>
      <c r="E587" s="384" t="s">
        <v>11</v>
      </c>
      <c r="F587" s="389"/>
      <c r="G587" s="389">
        <v>1.0</v>
      </c>
      <c r="T587" s="384" t="str">
        <f>IFERROR(__xludf.DUMMYFUNCTION("""COMPUTED_VALUE"""),"Castor Troy ")</f>
        <v>Castor Troy </v>
      </c>
      <c r="U587" s="385"/>
      <c r="W587" s="384" t="str">
        <f>IFERROR(__xludf.DUMMYFUNCTION("""COMPUTED_VALUE"""),"Волга")</f>
        <v>Волга</v>
      </c>
      <c r="X587" s="385"/>
    </row>
    <row r="588">
      <c r="A588" s="384" t="s">
        <v>126</v>
      </c>
      <c r="B588" s="384" t="s">
        <v>269</v>
      </c>
      <c r="C588" s="389">
        <v>2.5</v>
      </c>
      <c r="D588" s="389">
        <v>4.0</v>
      </c>
      <c r="E588" s="384" t="s">
        <v>260</v>
      </c>
      <c r="F588" s="389"/>
      <c r="G588" s="389"/>
      <c r="T588" s="384" t="str">
        <f>IFERROR(__xludf.DUMMYFUNCTION("""COMPUTED_VALUE"""),"Cristo")</f>
        <v>Cristo</v>
      </c>
      <c r="U588" s="385"/>
      <c r="W588" s="384" t="str">
        <f>IFERROR(__xludf.DUMMYFUNCTION("""COMPUTED_VALUE"""),"Градиент")</f>
        <v>Градиент</v>
      </c>
      <c r="X588" s="385"/>
    </row>
    <row r="589">
      <c r="A589" s="384" t="s">
        <v>107</v>
      </c>
      <c r="B589" s="384" t="s">
        <v>261</v>
      </c>
      <c r="C589" s="389"/>
      <c r="D589" s="389">
        <v>2.25</v>
      </c>
      <c r="E589" s="384"/>
      <c r="F589" s="389"/>
      <c r="G589" s="389"/>
      <c r="T589" s="384" t="str">
        <f>IFERROR(__xludf.DUMMYFUNCTION("""COMPUTED_VALUE"""),"Curly")</f>
        <v>Curly</v>
      </c>
      <c r="U589" s="385"/>
      <c r="W589" s="384" t="str">
        <f>IFERROR(__xludf.DUMMYFUNCTION("""COMPUTED_VALUE"""),"Дровосек")</f>
        <v>Дровосек</v>
      </c>
      <c r="X589" s="385"/>
    </row>
    <row r="590">
      <c r="A590" s="384" t="s">
        <v>116</v>
      </c>
      <c r="B590" s="384" t="s">
        <v>261</v>
      </c>
      <c r="C590" s="389"/>
      <c r="D590" s="389">
        <v>2.0</v>
      </c>
      <c r="E590" s="384" t="s">
        <v>263</v>
      </c>
      <c r="F590" s="389"/>
      <c r="G590" s="389"/>
      <c r="T590" s="384" t="str">
        <f>IFERROR(__xludf.DUMMYFUNCTION("""COMPUTED_VALUE"""),"GALAY")</f>
        <v>GALAY</v>
      </c>
      <c r="U590" s="385"/>
      <c r="W590" s="384" t="str">
        <f>IFERROR(__xludf.DUMMYFUNCTION("""COMPUTED_VALUE"""),"Зверюга")</f>
        <v>Зверюга</v>
      </c>
      <c r="X590" s="385"/>
    </row>
    <row r="591">
      <c r="A591" s="384" t="s">
        <v>86</v>
      </c>
      <c r="B591" s="384" t="s">
        <v>271</v>
      </c>
      <c r="C591" s="389"/>
      <c r="D591" s="389">
        <v>2.0</v>
      </c>
      <c r="E591" s="384"/>
      <c r="F591" s="389"/>
      <c r="G591" s="389"/>
      <c r="T591" s="384" t="str">
        <f>IFERROR(__xludf.DUMMYFUNCTION("""COMPUTED_VALUE"""),"Helga")</f>
        <v>Helga</v>
      </c>
      <c r="U591" s="385"/>
      <c r="W591" s="384" t="str">
        <f>IFERROR(__xludf.DUMMYFUNCTION("""COMPUTED_VALUE"""),"Инсомнич")</f>
        <v>Инсомнич</v>
      </c>
      <c r="X591" s="385"/>
    </row>
    <row r="592">
      <c r="A592" s="384" t="s">
        <v>169</v>
      </c>
      <c r="B592" s="384" t="s">
        <v>261</v>
      </c>
      <c r="C592" s="389"/>
      <c r="D592" s="389">
        <v>1.75</v>
      </c>
      <c r="E592" s="384"/>
      <c r="F592" s="389"/>
      <c r="G592" s="389"/>
      <c r="T592" s="384" t="str">
        <f>IFERROR(__xludf.DUMMYFUNCTION("""COMPUTED_VALUE"""),"Infinity ")</f>
        <v>Infinity </v>
      </c>
      <c r="U592" s="385"/>
      <c r="W592" s="384" t="str">
        <f>IFERROR(__xludf.DUMMYFUNCTION("""COMPUTED_VALUE"""),"Красавчик")</f>
        <v>Красавчик</v>
      </c>
      <c r="X592" s="385"/>
    </row>
    <row r="593">
      <c r="A593" s="384" t="s">
        <v>88</v>
      </c>
      <c r="B593" s="384" t="s">
        <v>265</v>
      </c>
      <c r="C593" s="389">
        <v>2.5</v>
      </c>
      <c r="D593" s="389">
        <v>3.5</v>
      </c>
      <c r="E593" s="384" t="s">
        <v>260</v>
      </c>
      <c r="F593" s="389"/>
      <c r="G593" s="389"/>
      <c r="T593" s="384" t="str">
        <f>IFERROR(__xludf.DUMMYFUNCTION("""COMPUTED_VALUE"""),"Light")</f>
        <v>Light</v>
      </c>
      <c r="U593" s="385"/>
      <c r="W593" s="384" t="str">
        <f>IFERROR(__xludf.DUMMYFUNCTION("""COMPUTED_VALUE"""),"Крестный отец (BLR)")</f>
        <v>Крестный отец (BLR)</v>
      </c>
      <c r="X593" s="385"/>
    </row>
    <row r="594">
      <c r="A594" s="384" t="s">
        <v>119</v>
      </c>
      <c r="B594" s="384" t="s">
        <v>269</v>
      </c>
      <c r="C594" s="389">
        <v>2.5</v>
      </c>
      <c r="D594" s="389">
        <v>2.25</v>
      </c>
      <c r="E594" s="384"/>
      <c r="F594" s="389"/>
      <c r="G594" s="389"/>
      <c r="T594" s="384" t="str">
        <f>IFERROR(__xludf.DUMMYFUNCTION("""COMPUTED_VALUE"""),"Morti")</f>
        <v>Morti</v>
      </c>
      <c r="U594" s="385"/>
      <c r="W594" s="384" t="str">
        <f>IFERROR(__xludf.DUMMYFUNCTION("""COMPUTED_VALUE"""),"Крёстный Отец (RU)")</f>
        <v>Крёстный Отец (RU)</v>
      </c>
      <c r="X594" s="385"/>
    </row>
    <row r="595">
      <c r="A595" s="384" t="s">
        <v>118</v>
      </c>
      <c r="B595" s="384" t="s">
        <v>261</v>
      </c>
      <c r="C595" s="389"/>
      <c r="D595" s="389">
        <v>3.5</v>
      </c>
      <c r="E595" s="384"/>
      <c r="F595" s="389"/>
      <c r="G595" s="389"/>
      <c r="T595" s="384" t="str">
        <f>IFERROR(__xludf.DUMMYFUNCTION("""COMPUTED_VALUE"""),"MSR")</f>
        <v>MSR</v>
      </c>
      <c r="U595" s="385"/>
      <c r="W595" s="384" t="str">
        <f>IFERROR(__xludf.DUMMYFUNCTION("""COMPUTED_VALUE"""),"Левша")</f>
        <v>Левша</v>
      </c>
      <c r="X595" s="385"/>
    </row>
    <row r="596">
      <c r="A596" s="384" t="s">
        <v>134</v>
      </c>
      <c r="B596" s="384" t="s">
        <v>271</v>
      </c>
      <c r="C596" s="389"/>
      <c r="D596" s="389">
        <v>2.5</v>
      </c>
      <c r="E596" s="384"/>
      <c r="F596" s="389"/>
      <c r="G596" s="389"/>
      <c r="T596" s="384" t="str">
        <f>IFERROR(__xludf.DUMMYFUNCTION("""COMPUTED_VALUE"""),"NLIP")</f>
        <v>NLIP</v>
      </c>
      <c r="U596" s="385"/>
      <c r="W596" s="384" t="str">
        <f>IFERROR(__xludf.DUMMYFUNCTION("""COMPUTED_VALUE"""),"Маваши")</f>
        <v>Маваши</v>
      </c>
      <c r="X596" s="385"/>
    </row>
    <row r="597">
      <c r="A597" s="384" t="s">
        <v>87</v>
      </c>
      <c r="B597" s="384" t="s">
        <v>261</v>
      </c>
      <c r="C597" s="389"/>
      <c r="D597" s="389">
        <v>4.25</v>
      </c>
      <c r="E597" s="384"/>
      <c r="F597" s="389"/>
      <c r="G597" s="389"/>
      <c r="T597" s="384" t="str">
        <f>IFERROR(__xludf.DUMMYFUNCTION("""COMPUTED_VALUE"""),"Rocket woman ")</f>
        <v>Rocket woman </v>
      </c>
      <c r="U597" s="385"/>
      <c r="W597" s="384" t="str">
        <f>IFERROR(__xludf.DUMMYFUNCTION("""COMPUTED_VALUE"""),"Манекен")</f>
        <v>Манекен</v>
      </c>
      <c r="X597" s="385"/>
    </row>
    <row r="598">
      <c r="A598" s="384" t="s">
        <v>126</v>
      </c>
      <c r="B598" s="384" t="s">
        <v>269</v>
      </c>
      <c r="C598" s="389">
        <v>2.5</v>
      </c>
      <c r="D598" s="389">
        <v>2.25</v>
      </c>
      <c r="E598" s="384"/>
      <c r="F598" s="389"/>
      <c r="G598" s="389"/>
      <c r="T598" s="384" t="str">
        <f>IFERROR(__xludf.DUMMYFUNCTION("""COMPUTED_VALUE"""),"SCHOKK ")</f>
        <v>SCHOKK </v>
      </c>
      <c r="U598" s="385"/>
      <c r="W598" s="384" t="str">
        <f>IFERROR(__xludf.DUMMYFUNCTION("""COMPUTED_VALUE"""),"Марго")</f>
        <v>Марго</v>
      </c>
      <c r="X598" s="385"/>
    </row>
    <row r="599">
      <c r="A599" s="384" t="s">
        <v>107</v>
      </c>
      <c r="B599" s="384" t="s">
        <v>261</v>
      </c>
      <c r="C599" s="389"/>
      <c r="D599" s="389">
        <v>2.0</v>
      </c>
      <c r="E599" s="384" t="s">
        <v>11</v>
      </c>
      <c r="F599" s="389"/>
      <c r="G599" s="389">
        <v>0.5</v>
      </c>
      <c r="T599" s="384" t="str">
        <f>IFERROR(__xludf.DUMMYFUNCTION("""COMPUTED_VALUE"""),"SOVEST")</f>
        <v>SOVEST</v>
      </c>
      <c r="U599" s="385"/>
      <c r="W599" s="384" t="str">
        <f>IFERROR(__xludf.DUMMYFUNCTION("""COMPUTED_VALUE"""),"Ментик")</f>
        <v>Ментик</v>
      </c>
      <c r="X599" s="385"/>
    </row>
    <row r="600">
      <c r="A600" s="384" t="s">
        <v>116</v>
      </c>
      <c r="B600" s="384" t="s">
        <v>261</v>
      </c>
      <c r="C600" s="389"/>
      <c r="D600" s="389">
        <v>2.5</v>
      </c>
      <c r="E600" s="384"/>
      <c r="F600" s="389"/>
      <c r="G600" s="389"/>
      <c r="T600" s="384" t="str">
        <f>IFERROR(__xludf.DUMMYFUNCTION("""COMPUTED_VALUE"""),"Stacy")</f>
        <v>Stacy</v>
      </c>
      <c r="U600" s="385"/>
      <c r="W600" s="384" t="str">
        <f>IFERROR(__xludf.DUMMYFUNCTION("""COMPUTED_VALUE"""),"Мишель ")</f>
        <v>Мишель </v>
      </c>
      <c r="X600" s="385"/>
    </row>
    <row r="601">
      <c r="A601" s="384" t="s">
        <v>86</v>
      </c>
      <c r="B601" s="384" t="s">
        <v>261</v>
      </c>
      <c r="C601" s="389"/>
      <c r="D601" s="389">
        <v>1.25</v>
      </c>
      <c r="E601" s="384" t="s">
        <v>263</v>
      </c>
      <c r="F601" s="389"/>
      <c r="G601" s="389"/>
      <c r="T601" s="384" t="str">
        <f>IFERROR(__xludf.DUMMYFUNCTION("""COMPUTED_VALUE"""),"WhoIsWho")</f>
        <v>WhoIsWho</v>
      </c>
      <c r="U601" s="385"/>
      <c r="W601" s="384" t="str">
        <f>IFERROR(__xludf.DUMMYFUNCTION("""COMPUTED_VALUE"""),"Панда из Руанды")</f>
        <v>Панда из Руанды</v>
      </c>
      <c r="X601" s="385"/>
    </row>
    <row r="602">
      <c r="A602" s="384" t="s">
        <v>169</v>
      </c>
      <c r="B602" s="384" t="s">
        <v>261</v>
      </c>
      <c r="C602" s="389"/>
      <c r="D602" s="389">
        <v>3.25</v>
      </c>
      <c r="E602" s="384" t="s">
        <v>263</v>
      </c>
      <c r="F602" s="389"/>
      <c r="G602" s="389"/>
      <c r="T602" s="384" t="str">
        <f>IFERROR(__xludf.DUMMYFUNCTION("QUERY('Турнирная таблица по Алфавиту'!C7:BG66,""select C,AE order by AE desc"")"),"Дровосек")</f>
        <v>Дровосек</v>
      </c>
      <c r="U602" s="385">
        <f>IFERROR(__xludf.DUMMYFUNCTION("""COMPUTED_VALUE"""),27.75)</f>
        <v>27.75</v>
      </c>
      <c r="W602" s="384" t="str">
        <f>IFERROR(__xludf.DUMMYFUNCTION("""COMPUTED_VALUE"""),"Писатель ")</f>
        <v>Писатель </v>
      </c>
      <c r="X602" s="385"/>
    </row>
    <row r="603">
      <c r="A603" s="384" t="s">
        <v>153</v>
      </c>
      <c r="B603" s="384" t="s">
        <v>261</v>
      </c>
      <c r="C603" s="389"/>
      <c r="D603" s="389">
        <v>3.0</v>
      </c>
      <c r="E603" s="384"/>
      <c r="F603" s="389"/>
      <c r="G603" s="389"/>
      <c r="T603" s="384" t="str">
        <f>IFERROR(__xludf.DUMMYFUNCTION("""COMPUTED_VALUE"""),"Alice ")</f>
        <v>Alice </v>
      </c>
      <c r="U603" s="385">
        <f>IFERROR(__xludf.DUMMYFUNCTION("""COMPUTED_VALUE"""),21.0)</f>
        <v>21</v>
      </c>
      <c r="W603" s="384" t="str">
        <f>IFERROR(__xludf.DUMMYFUNCTION("""COMPUTED_VALUE"""),"Правда ")</f>
        <v>Правда </v>
      </c>
      <c r="X603" s="385"/>
    </row>
    <row r="604">
      <c r="A604" s="384" t="s">
        <v>101</v>
      </c>
      <c r="B604" s="384" t="s">
        <v>269</v>
      </c>
      <c r="C604" s="389">
        <v>2.5</v>
      </c>
      <c r="D604" s="389">
        <v>3.0</v>
      </c>
      <c r="E604" s="384"/>
      <c r="F604" s="389"/>
      <c r="G604" s="389"/>
      <c r="T604" s="384" t="str">
        <f>IFERROR(__xludf.DUMMYFUNCTION("""COMPUTED_VALUE"""),"A1 ")</f>
        <v>A1 </v>
      </c>
      <c r="U604" s="385">
        <f>IFERROR(__xludf.DUMMYFUNCTION("""COMPUTED_VALUE"""),19.25)</f>
        <v>19.25</v>
      </c>
      <c r="W604" s="384" t="str">
        <f>IFERROR(__xludf.DUMMYFUNCTION("""COMPUTED_VALUE"""),"Продюсер")</f>
        <v>Продюсер</v>
      </c>
      <c r="X604" s="385"/>
    </row>
    <row r="605">
      <c r="A605" s="384" t="s">
        <v>129</v>
      </c>
      <c r="B605" s="384" t="s">
        <v>269</v>
      </c>
      <c r="C605" s="389">
        <v>2.5</v>
      </c>
      <c r="D605" s="389">
        <v>2.75</v>
      </c>
      <c r="E605" s="384"/>
      <c r="F605" s="389"/>
      <c r="G605" s="389"/>
      <c r="T605" s="384" t="str">
        <f>IFERROR(__xludf.DUMMYFUNCTION("""COMPUTED_VALUE"""),"SCHOKK ")</f>
        <v>SCHOKK </v>
      </c>
      <c r="U605" s="385">
        <f>IFERROR(__xludf.DUMMYFUNCTION("""COMPUTED_VALUE"""),18.75)</f>
        <v>18.75</v>
      </c>
      <c r="W605" s="384" t="str">
        <f>IFERROR(__xludf.DUMMYFUNCTION("""COMPUTED_VALUE"""),"РФ")</f>
        <v>РФ</v>
      </c>
      <c r="X605" s="385"/>
    </row>
    <row r="606">
      <c r="A606" s="384" t="s">
        <v>102</v>
      </c>
      <c r="B606" s="384" t="s">
        <v>261</v>
      </c>
      <c r="C606" s="389"/>
      <c r="D606" s="389">
        <v>2.0</v>
      </c>
      <c r="E606" s="384" t="s">
        <v>11</v>
      </c>
      <c r="F606" s="389">
        <v>0.5</v>
      </c>
      <c r="G606" s="389">
        <v>0.5</v>
      </c>
      <c r="T606" s="384" t="str">
        <f>IFERROR(__xludf.DUMMYFUNCTION("""COMPUTED_VALUE"""),"Градиент")</f>
        <v>Градиент</v>
      </c>
      <c r="U606" s="385">
        <f>IFERROR(__xludf.DUMMYFUNCTION("""COMPUTED_VALUE"""),18.25)</f>
        <v>18.25</v>
      </c>
      <c r="W606" s="384" t="str">
        <f>IFERROR(__xludf.DUMMYFUNCTION("""COMPUTED_VALUE"""),"Старый")</f>
        <v>Старый</v>
      </c>
      <c r="X606" s="385"/>
    </row>
    <row r="607">
      <c r="A607" s="384" t="s">
        <v>132</v>
      </c>
      <c r="B607" s="384" t="s">
        <v>261</v>
      </c>
      <c r="C607" s="389"/>
      <c r="D607" s="389">
        <v>2.25</v>
      </c>
      <c r="E607" s="384"/>
      <c r="F607" s="389"/>
      <c r="G607" s="389"/>
      <c r="T607" s="384" t="str">
        <f>IFERROR(__xludf.DUMMYFUNCTION("""COMPUTED_VALUE"""),"Helga")</f>
        <v>Helga</v>
      </c>
      <c r="U607" s="385">
        <f>IFERROR(__xludf.DUMMYFUNCTION("""COMPUTED_VALUE"""),18.0)</f>
        <v>18</v>
      </c>
      <c r="W607" s="384" t="str">
        <f>IFERROR(__xludf.DUMMYFUNCTION("""COMPUTED_VALUE"""),"СЭНСЭЙ")</f>
        <v>СЭНСЭЙ</v>
      </c>
      <c r="X607" s="385"/>
    </row>
    <row r="608">
      <c r="A608" s="384" t="s">
        <v>110</v>
      </c>
      <c r="B608" s="384" t="s">
        <v>261</v>
      </c>
      <c r="C608" s="389"/>
      <c r="D608" s="389">
        <v>2.0</v>
      </c>
      <c r="E608" s="384"/>
      <c r="F608" s="389"/>
      <c r="G608" s="389"/>
      <c r="T608" s="384" t="str">
        <f>IFERROR(__xludf.DUMMYFUNCTION("""COMPUTED_VALUE"""),"РФ")</f>
        <v>РФ</v>
      </c>
      <c r="U608" s="385">
        <f>IFERROR(__xludf.DUMMYFUNCTION("""COMPUTED_VALUE"""),16.25)</f>
        <v>16.25</v>
      </c>
      <c r="W608" s="384" t="str">
        <f>IFERROR(__xludf.DUMMYFUNCTION("""COMPUTED_VALUE"""),"Coach")</f>
        <v>Coach</v>
      </c>
      <c r="X608" s="385"/>
    </row>
    <row r="609">
      <c r="A609" s="384" t="s">
        <v>169</v>
      </c>
      <c r="B609" s="384" t="s">
        <v>261</v>
      </c>
      <c r="C609" s="389"/>
      <c r="D609" s="389">
        <v>1.5</v>
      </c>
      <c r="E609" s="384"/>
      <c r="F609" s="389"/>
      <c r="G609" s="389"/>
      <c r="T609" s="384" t="str">
        <f>IFERROR(__xludf.DUMMYFUNCTION("""COMPUTED_VALUE"""),"Шпиц")</f>
        <v>Шпиц</v>
      </c>
      <c r="U609" s="385">
        <f>IFERROR(__xludf.DUMMYFUNCTION("""COMPUTED_VALUE"""),15.5)</f>
        <v>15.5</v>
      </c>
      <c r="W609" s="384" t="str">
        <f>IFERROR(__xludf.DUMMYFUNCTION("""COMPUTED_VALUE"""),"Тихий закат")</f>
        <v>Тихий закат</v>
      </c>
      <c r="X609" s="385"/>
    </row>
    <row r="610">
      <c r="A610" s="384" t="s">
        <v>104</v>
      </c>
      <c r="B610" s="384" t="s">
        <v>261</v>
      </c>
      <c r="C610" s="389"/>
      <c r="D610" s="389">
        <v>2.0</v>
      </c>
      <c r="E610" s="384"/>
      <c r="F610" s="389"/>
      <c r="G610" s="389"/>
      <c r="T610" s="384" t="str">
        <f>IFERROR(__xludf.DUMMYFUNCTION("""COMPUTED_VALUE"""),"Волга")</f>
        <v>Волга</v>
      </c>
      <c r="U610" s="385">
        <f>IFERROR(__xludf.DUMMYFUNCTION("""COMPUTED_VALUE"""),12.0)</f>
        <v>12</v>
      </c>
      <c r="W610" s="384" t="str">
        <f>IFERROR(__xludf.DUMMYFUNCTION("""COMPUTED_VALUE"""),"Физик")</f>
        <v>Физик</v>
      </c>
      <c r="X610" s="385"/>
    </row>
    <row r="611">
      <c r="A611" s="384" t="s">
        <v>98</v>
      </c>
      <c r="B611" s="384" t="s">
        <v>271</v>
      </c>
      <c r="C611" s="389"/>
      <c r="D611" s="389">
        <v>2.0</v>
      </c>
      <c r="E611" s="384"/>
      <c r="F611" s="389"/>
      <c r="G611" s="389"/>
      <c r="T611" s="384" t="str">
        <f>IFERROR(__xludf.DUMMYFUNCTION("""COMPUTED_VALUE"""),"GALAY")</f>
        <v>GALAY</v>
      </c>
      <c r="U611" s="385">
        <f>IFERROR(__xludf.DUMMYFUNCTION("""COMPUTED_VALUE"""),11.0)</f>
        <v>11</v>
      </c>
      <c r="W611" s="384" t="str">
        <f>IFERROR(__xludf.DUMMYFUNCTION("""COMPUTED_VALUE"""),"Флэш")</f>
        <v>Флэш</v>
      </c>
      <c r="X611" s="385"/>
    </row>
    <row r="612">
      <c r="A612" s="384" t="s">
        <v>87</v>
      </c>
      <c r="B612" s="384" t="s">
        <v>265</v>
      </c>
      <c r="C612" s="389">
        <v>2.5</v>
      </c>
      <c r="D612" s="389">
        <v>4.25</v>
      </c>
      <c r="E612" s="384"/>
      <c r="F612" s="389"/>
      <c r="G612" s="389"/>
      <c r="T612" s="384" t="str">
        <f>IFERROR(__xludf.DUMMYFUNCTION("""COMPUTED_VALUE"""),"Авраам")</f>
        <v>Авраам</v>
      </c>
      <c r="U612" s="385"/>
      <c r="W612" s="384" t="str">
        <f>IFERROR(__xludf.DUMMYFUNCTION("""COMPUTED_VALUE"""),"Фокс")</f>
        <v>Фокс</v>
      </c>
      <c r="X612" s="385"/>
    </row>
    <row r="613">
      <c r="A613" s="384" t="s">
        <v>153</v>
      </c>
      <c r="B613" s="384" t="s">
        <v>265</v>
      </c>
      <c r="C613" s="389">
        <v>2.5</v>
      </c>
      <c r="D613" s="389">
        <v>1.75</v>
      </c>
      <c r="E613" s="384"/>
      <c r="F613" s="389"/>
      <c r="G613" s="389"/>
      <c r="T613" s="384" t="str">
        <f>IFERROR(__xludf.DUMMYFUNCTION("""COMPUTED_VALUE"""),"Админ")</f>
        <v>Админ</v>
      </c>
      <c r="U613" s="385"/>
      <c r="W613" s="384" t="str">
        <f>IFERROR(__xludf.DUMMYFUNCTION("""COMPUTED_VALUE"""),"Шоу Бой")</f>
        <v>Шоу Бой</v>
      </c>
      <c r="X613" s="385"/>
    </row>
    <row r="614">
      <c r="A614" s="384" t="s">
        <v>101</v>
      </c>
      <c r="B614" s="384" t="s">
        <v>261</v>
      </c>
      <c r="C614" s="389"/>
      <c r="D614" s="389">
        <v>2.5</v>
      </c>
      <c r="E614" s="384"/>
      <c r="F614" s="389"/>
      <c r="G614" s="389"/>
      <c r="T614" s="384" t="str">
        <f>IFERROR(__xludf.DUMMYFUNCTION("""COMPUTED_VALUE"""),"Андерсен")</f>
        <v>Андерсен</v>
      </c>
      <c r="U614" s="385"/>
      <c r="W614" s="384" t="str">
        <f>IFERROR(__xludf.DUMMYFUNCTION("""COMPUTED_VALUE"""),"Шпиц")</f>
        <v>Шпиц</v>
      </c>
      <c r="X614" s="385"/>
    </row>
    <row r="615">
      <c r="A615" s="384" t="s">
        <v>129</v>
      </c>
      <c r="B615" s="384" t="s">
        <v>261</v>
      </c>
      <c r="C615" s="389"/>
      <c r="D615" s="389">
        <v>1.75</v>
      </c>
      <c r="E615" s="384"/>
      <c r="F615" s="389"/>
      <c r="G615" s="389"/>
      <c r="T615" s="384" t="str">
        <f>IFERROR(__xludf.DUMMYFUNCTION("""COMPUTED_VALUE"""),"Артик")</f>
        <v>Артик</v>
      </c>
      <c r="U615" s="385"/>
      <c r="W615" s="384" t="str">
        <f>IFERROR(__xludf.DUMMYFUNCTION("""COMPUTED_VALUE"""),"Юрия")</f>
        <v>Юрия</v>
      </c>
      <c r="X615" s="385"/>
    </row>
    <row r="616">
      <c r="A616" s="384" t="s">
        <v>102</v>
      </c>
      <c r="B616" s="384" t="s">
        <v>261</v>
      </c>
      <c r="C616" s="389"/>
      <c r="D616" s="389">
        <v>4.0</v>
      </c>
      <c r="E616" s="384"/>
      <c r="F616" s="389"/>
      <c r="G616" s="389"/>
      <c r="T616" s="384" t="str">
        <f>IFERROR(__xludf.DUMMYFUNCTION("""COMPUTED_VALUE"""),"Астория")</f>
        <v>Астория</v>
      </c>
      <c r="U616" s="385"/>
      <c r="W616" s="384" t="str">
        <f>IFERROR(__xludf.DUMMYFUNCTION("""COMPUTED_VALUE"""),"A1 ")</f>
        <v>A1 </v>
      </c>
      <c r="X616" s="385"/>
    </row>
    <row r="617">
      <c r="A617" s="384" t="s">
        <v>132</v>
      </c>
      <c r="B617" s="384" t="s">
        <v>269</v>
      </c>
      <c r="C617" s="389">
        <v>2.5</v>
      </c>
      <c r="D617" s="389">
        <v>4.5</v>
      </c>
      <c r="E617" s="384" t="s">
        <v>260</v>
      </c>
      <c r="F617" s="389"/>
      <c r="G617" s="389"/>
      <c r="T617" s="384" t="str">
        <f>IFERROR(__xludf.DUMMYFUNCTION("""COMPUTED_VALUE"""),"Аш")</f>
        <v>Аш</v>
      </c>
      <c r="U617" s="385"/>
      <c r="W617" s="384" t="str">
        <f>IFERROR(__xludf.DUMMYFUNCTION("""COMPUTED_VALUE"""),"Alice ")</f>
        <v>Alice </v>
      </c>
      <c r="X617" s="385"/>
    </row>
    <row r="618">
      <c r="A618" s="384" t="s">
        <v>110</v>
      </c>
      <c r="B618" s="384" t="s">
        <v>271</v>
      </c>
      <c r="C618" s="389"/>
      <c r="D618" s="389">
        <v>2.25</v>
      </c>
      <c r="E618" s="384"/>
      <c r="F618" s="389"/>
      <c r="G618" s="389"/>
      <c r="T618" s="384" t="str">
        <f>IFERROR(__xludf.DUMMYFUNCTION("""COMPUTED_VALUE"""),"Бамблби")</f>
        <v>Бамблби</v>
      </c>
      <c r="U618" s="385"/>
      <c r="W618" s="384" t="str">
        <f>IFERROR(__xludf.DUMMYFUNCTION("""COMPUTED_VALUE"""),"Bublik")</f>
        <v>Bublik</v>
      </c>
      <c r="X618" s="385"/>
    </row>
    <row r="619">
      <c r="A619" s="384" t="s">
        <v>169</v>
      </c>
      <c r="B619" s="384" t="s">
        <v>269</v>
      </c>
      <c r="C619" s="389">
        <v>2.5</v>
      </c>
      <c r="D619" s="389">
        <v>2.25</v>
      </c>
      <c r="E619" s="384"/>
      <c r="F619" s="389"/>
      <c r="G619" s="389"/>
      <c r="T619" s="384" t="str">
        <f>IFERROR(__xludf.DUMMYFUNCTION("""COMPUTED_VALUE"""),"Зверюга")</f>
        <v>Зверюга</v>
      </c>
      <c r="U619" s="385"/>
      <c r="W619" s="384" t="str">
        <f>IFERROR(__xludf.DUMMYFUNCTION("""COMPUTED_VALUE"""),"BWDMoscow")</f>
        <v>BWDMoscow</v>
      </c>
      <c r="X619" s="385"/>
    </row>
    <row r="620">
      <c r="A620" s="384" t="s">
        <v>104</v>
      </c>
      <c r="B620" s="384" t="s">
        <v>261</v>
      </c>
      <c r="C620" s="389"/>
      <c r="D620" s="389">
        <v>2.75</v>
      </c>
      <c r="E620" s="384"/>
      <c r="F620" s="389"/>
      <c r="G620" s="389"/>
      <c r="T620" s="384" t="str">
        <f>IFERROR(__xludf.DUMMYFUNCTION("""COMPUTED_VALUE"""),"Инсомнич")</f>
        <v>Инсомнич</v>
      </c>
      <c r="U620" s="385"/>
      <c r="W620" s="384" t="str">
        <f>IFERROR(__xludf.DUMMYFUNCTION("""COMPUTED_VALUE"""),"Curly")</f>
        <v>Curly</v>
      </c>
      <c r="X620" s="385"/>
    </row>
    <row r="621">
      <c r="A621" s="384" t="s">
        <v>98</v>
      </c>
      <c r="B621" s="384" t="s">
        <v>261</v>
      </c>
      <c r="C621" s="389"/>
      <c r="D621" s="389">
        <v>3.75</v>
      </c>
      <c r="E621" s="384" t="s">
        <v>263</v>
      </c>
      <c r="F621" s="389"/>
      <c r="G621" s="389"/>
      <c r="T621" s="384" t="str">
        <f>IFERROR(__xludf.DUMMYFUNCTION("""COMPUTED_VALUE"""),"Красавчик")</f>
        <v>Красавчик</v>
      </c>
      <c r="U621" s="385"/>
      <c r="W621" s="384" t="str">
        <f>IFERROR(__xludf.DUMMYFUNCTION("""COMPUTED_VALUE"""),"GALAY")</f>
        <v>GALAY</v>
      </c>
      <c r="X621" s="385"/>
    </row>
    <row r="622">
      <c r="A622" s="384" t="s">
        <v>87</v>
      </c>
      <c r="B622" s="384" t="s">
        <v>261</v>
      </c>
      <c r="C622" s="389"/>
      <c r="D622" s="389">
        <v>1.5</v>
      </c>
      <c r="E622" s="384" t="s">
        <v>263</v>
      </c>
      <c r="F622" s="389"/>
      <c r="G622" s="389"/>
      <c r="T622" s="384" t="str">
        <f>IFERROR(__xludf.DUMMYFUNCTION("""COMPUTED_VALUE"""),"Крестный отец (BLR)")</f>
        <v>Крестный отец (BLR)</v>
      </c>
      <c r="U622" s="385"/>
      <c r="W622" s="384" t="str">
        <f>IFERROR(__xludf.DUMMYFUNCTION("""COMPUTED_VALUE"""),"Helga")</f>
        <v>Helga</v>
      </c>
      <c r="X622" s="385"/>
    </row>
    <row r="623">
      <c r="A623" s="384" t="s">
        <v>153</v>
      </c>
      <c r="B623" s="384" t="s">
        <v>261</v>
      </c>
      <c r="C623" s="389"/>
      <c r="D623" s="389">
        <v>2.0</v>
      </c>
      <c r="E623" s="384"/>
      <c r="F623" s="389"/>
      <c r="G623" s="389"/>
      <c r="T623" s="384" t="str">
        <f>IFERROR(__xludf.DUMMYFUNCTION("""COMPUTED_VALUE"""),"Крёстный Отец (RU)")</f>
        <v>Крёстный Отец (RU)</v>
      </c>
      <c r="U623" s="385"/>
      <c r="W623" s="384" t="str">
        <f>IFERROR(__xludf.DUMMYFUNCTION("""COMPUTED_VALUE"""),"Infinity ")</f>
        <v>Infinity </v>
      </c>
      <c r="X623" s="385"/>
    </row>
    <row r="624">
      <c r="A624" s="384" t="s">
        <v>101</v>
      </c>
      <c r="B624" s="384" t="s">
        <v>269</v>
      </c>
      <c r="C624" s="389">
        <v>2.5</v>
      </c>
      <c r="D624" s="389">
        <v>3.0</v>
      </c>
      <c r="E624" s="384"/>
      <c r="F624" s="389"/>
      <c r="G624" s="389"/>
      <c r="T624" s="384" t="str">
        <f>IFERROR(__xludf.DUMMYFUNCTION("""COMPUTED_VALUE"""),"Крот")</f>
        <v>Крот</v>
      </c>
      <c r="U624" s="385"/>
      <c r="W624" s="384" t="str">
        <f>IFERROR(__xludf.DUMMYFUNCTION("""COMPUTED_VALUE"""),"Ketamin")</f>
        <v>Ketamin</v>
      </c>
      <c r="X624" s="385"/>
    </row>
    <row r="625">
      <c r="A625" s="384" t="s">
        <v>129</v>
      </c>
      <c r="B625" s="384" t="s">
        <v>271</v>
      </c>
      <c r="C625" s="389"/>
      <c r="D625" s="389">
        <v>2.5</v>
      </c>
      <c r="E625" s="384"/>
      <c r="F625" s="389"/>
      <c r="G625" s="389"/>
      <c r="T625" s="384" t="str">
        <f>IFERROR(__xludf.DUMMYFUNCTION("""COMPUTED_VALUE"""),"Левша")</f>
        <v>Левша</v>
      </c>
      <c r="U625" s="385"/>
      <c r="W625" s="384" t="str">
        <f>IFERROR(__xludf.DUMMYFUNCTION("""COMPUTED_VALUE"""),"Light")</f>
        <v>Light</v>
      </c>
      <c r="X625" s="385"/>
    </row>
    <row r="626">
      <c r="A626" s="384" t="s">
        <v>102</v>
      </c>
      <c r="B626" s="384" t="s">
        <v>265</v>
      </c>
      <c r="C626" s="389">
        <v>2.5</v>
      </c>
      <c r="D626" s="389">
        <v>4.0</v>
      </c>
      <c r="E626" s="384"/>
      <c r="F626" s="389"/>
      <c r="G626" s="389"/>
      <c r="T626" s="384" t="str">
        <f>IFERROR(__xludf.DUMMYFUNCTION("""COMPUTED_VALUE"""),"Лисичка")</f>
        <v>Лисичка</v>
      </c>
      <c r="U626" s="385"/>
      <c r="W626" s="384" t="str">
        <f>IFERROR(__xludf.DUMMYFUNCTION("""COMPUTED_VALUE"""),"Morti")</f>
        <v>Morti</v>
      </c>
      <c r="X626" s="385"/>
    </row>
    <row r="627">
      <c r="A627" s="384" t="s">
        <v>132</v>
      </c>
      <c r="B627" s="384" t="s">
        <v>261</v>
      </c>
      <c r="C627" s="389"/>
      <c r="D627" s="389">
        <v>2.75</v>
      </c>
      <c r="E627" s="384"/>
      <c r="F627" s="389"/>
      <c r="G627" s="389">
        <v>0.5</v>
      </c>
      <c r="T627" s="384" t="str">
        <f>IFERROR(__xludf.DUMMYFUNCTION("""COMPUTED_VALUE"""),"Маваши")</f>
        <v>Маваши</v>
      </c>
      <c r="U627" s="385"/>
      <c r="W627" s="384" t="str">
        <f>IFERROR(__xludf.DUMMYFUNCTION("""COMPUTED_VALUE"""),"NLIP")</f>
        <v>NLIP</v>
      </c>
      <c r="X627" s="385"/>
    </row>
    <row r="628">
      <c r="A628" s="384" t="s">
        <v>110</v>
      </c>
      <c r="B628" s="384" t="s">
        <v>269</v>
      </c>
      <c r="C628" s="389">
        <v>2.5</v>
      </c>
      <c r="D628" s="389">
        <v>4.5</v>
      </c>
      <c r="E628" s="384"/>
      <c r="F628" s="389"/>
      <c r="G628" s="389"/>
      <c r="T628" s="384" t="str">
        <f>IFERROR(__xludf.DUMMYFUNCTION("""COMPUTED_VALUE"""),"Манекен")</f>
        <v>Манекен</v>
      </c>
      <c r="U628" s="385"/>
      <c r="W628" s="384" t="str">
        <f>IFERROR(__xludf.DUMMYFUNCTION("""COMPUTED_VALUE"""),"SCHOKK ")</f>
        <v>SCHOKK </v>
      </c>
      <c r="X628" s="385"/>
    </row>
    <row r="629">
      <c r="A629" s="384" t="s">
        <v>169</v>
      </c>
      <c r="B629" s="384" t="s">
        <v>261</v>
      </c>
      <c r="C629" s="389"/>
      <c r="D629" s="389">
        <v>2.0</v>
      </c>
      <c r="E629" s="384"/>
      <c r="F629" s="389"/>
      <c r="G629" s="389"/>
      <c r="T629" s="384" t="str">
        <f>IFERROR(__xludf.DUMMYFUNCTION("""COMPUTED_VALUE"""),"Марго")</f>
        <v>Марго</v>
      </c>
      <c r="U629" s="385"/>
      <c r="W629" s="384" t="str">
        <f>IFERROR(__xludf.DUMMYFUNCTION("""COMPUTED_VALUE"""),"Stacy")</f>
        <v>Stacy</v>
      </c>
      <c r="X629" s="385"/>
    </row>
    <row r="630">
      <c r="A630" s="384" t="s">
        <v>104</v>
      </c>
      <c r="B630" s="384" t="s">
        <v>261</v>
      </c>
      <c r="C630" s="389"/>
      <c r="D630" s="389">
        <v>1.75</v>
      </c>
      <c r="E630" s="384"/>
      <c r="F630" s="389"/>
      <c r="G630" s="389"/>
      <c r="T630" s="384" t="str">
        <f>IFERROR(__xludf.DUMMYFUNCTION("""COMPUTED_VALUE"""),"Ментик")</f>
        <v>Ментик</v>
      </c>
      <c r="U630" s="385"/>
      <c r="W630" s="384" t="str">
        <f>IFERROR(__xludf.DUMMYFUNCTION("""COMPUTED_VALUE"""),"WhoIsWho")</f>
        <v>WhoIsWho</v>
      </c>
      <c r="X630" s="385"/>
    </row>
    <row r="631">
      <c r="A631" s="384" t="s">
        <v>98</v>
      </c>
      <c r="B631" s="384" t="s">
        <v>261</v>
      </c>
      <c r="C631" s="389"/>
      <c r="D631" s="389">
        <v>4.0</v>
      </c>
      <c r="E631" s="384"/>
      <c r="F631" s="389"/>
      <c r="G631" s="389"/>
      <c r="T631" s="384" t="str">
        <f>IFERROR(__xludf.DUMMYFUNCTION("""COMPUTED_VALUE"""),"Мишель ")</f>
        <v>Мишель </v>
      </c>
      <c r="U631" s="385"/>
      <c r="W631" s="384" t="str">
        <f>IFERROR(__xludf.DUMMYFUNCTION("""COMPUTED_VALUE"""),"Young")</f>
        <v>Young</v>
      </c>
      <c r="X631" s="385"/>
    </row>
    <row r="632">
      <c r="A632" s="384" t="s">
        <v>87</v>
      </c>
      <c r="B632" s="384" t="s">
        <v>261</v>
      </c>
      <c r="C632" s="389"/>
      <c r="D632" s="389">
        <v>3.25</v>
      </c>
      <c r="E632" s="384"/>
      <c r="F632" s="389"/>
      <c r="G632" s="389"/>
      <c r="T632" s="384" t="str">
        <f>IFERROR(__xludf.DUMMYFUNCTION("""COMPUTED_VALUE"""),"Наполеон")</f>
        <v>Наполеон</v>
      </c>
      <c r="U632" s="385"/>
      <c r="W632" s="384" t="str">
        <f>IFERROR(__xludf.DUMMYFUNCTION("""COMPUTED_VALUE"""),"Авраам")</f>
        <v>Авраам</v>
      </c>
      <c r="X632" s="385"/>
    </row>
    <row r="633">
      <c r="A633" s="384" t="s">
        <v>153</v>
      </c>
      <c r="B633" s="384" t="s">
        <v>261</v>
      </c>
      <c r="C633" s="389"/>
      <c r="D633" s="389">
        <v>2.25</v>
      </c>
      <c r="E633" s="384"/>
      <c r="F633" s="389"/>
      <c r="G633" s="389"/>
      <c r="T633" s="384" t="str">
        <f>IFERROR(__xludf.DUMMYFUNCTION("""COMPUTED_VALUE"""),"Панда из Руанды")</f>
        <v>Панда из Руанды</v>
      </c>
      <c r="U633" s="385"/>
      <c r="W633" s="384" t="str">
        <f>IFERROR(__xludf.DUMMYFUNCTION("""COMPUTED_VALUE"""),"Админ")</f>
        <v>Админ</v>
      </c>
      <c r="X633" s="385"/>
    </row>
    <row r="634">
      <c r="A634" s="384" t="s">
        <v>101</v>
      </c>
      <c r="B634" s="384" t="s">
        <v>261</v>
      </c>
      <c r="C634" s="389"/>
      <c r="D634" s="389">
        <v>1.75</v>
      </c>
      <c r="E634" s="384"/>
      <c r="F634" s="389"/>
      <c r="G634" s="389"/>
      <c r="T634" s="384" t="str">
        <f>IFERROR(__xludf.DUMMYFUNCTION("""COMPUTED_VALUE"""),"Писатель ")</f>
        <v>Писатель </v>
      </c>
      <c r="U634" s="385"/>
      <c r="W634" s="384" t="str">
        <f>IFERROR(__xludf.DUMMYFUNCTION("""COMPUTED_VALUE"""),"Андерсен")</f>
        <v>Андерсен</v>
      </c>
      <c r="X634" s="385"/>
    </row>
    <row r="635">
      <c r="A635" s="384" t="s">
        <v>129</v>
      </c>
      <c r="B635" s="384" t="s">
        <v>271</v>
      </c>
      <c r="C635" s="389"/>
      <c r="D635" s="389">
        <v>2.0</v>
      </c>
      <c r="E635" s="384"/>
      <c r="F635" s="389"/>
      <c r="G635" s="389"/>
      <c r="T635" s="384" t="str">
        <f>IFERROR(__xludf.DUMMYFUNCTION("""COMPUTED_VALUE"""),"Правда ")</f>
        <v>Правда </v>
      </c>
      <c r="U635" s="385"/>
      <c r="W635" s="384" t="str">
        <f>IFERROR(__xludf.DUMMYFUNCTION("""COMPUTED_VALUE"""),"Артик")</f>
        <v>Артик</v>
      </c>
      <c r="X635" s="385"/>
    </row>
    <row r="636">
      <c r="A636" s="384" t="s">
        <v>102</v>
      </c>
      <c r="B636" s="384" t="s">
        <v>261</v>
      </c>
      <c r="C636" s="389"/>
      <c r="D636" s="389">
        <v>3.25</v>
      </c>
      <c r="E636" s="384"/>
      <c r="F636" s="389"/>
      <c r="G636" s="389"/>
      <c r="T636" s="384" t="str">
        <f>IFERROR(__xludf.DUMMYFUNCTION("""COMPUTED_VALUE"""),"Продюсер")</f>
        <v>Продюсер</v>
      </c>
      <c r="U636" s="385"/>
      <c r="W636" s="384" t="str">
        <f>IFERROR(__xludf.DUMMYFUNCTION("""COMPUTED_VALUE"""),"Астория")</f>
        <v>Астория</v>
      </c>
      <c r="X636" s="385"/>
    </row>
    <row r="637">
      <c r="A637" s="384" t="s">
        <v>132</v>
      </c>
      <c r="B637" s="384" t="s">
        <v>261</v>
      </c>
      <c r="C637" s="389"/>
      <c r="D637" s="389">
        <v>1.0</v>
      </c>
      <c r="E637" s="384"/>
      <c r="F637" s="389"/>
      <c r="G637" s="389"/>
      <c r="T637" s="384" t="str">
        <f>IFERROR(__xludf.DUMMYFUNCTION("""COMPUTED_VALUE"""),"Старый")</f>
        <v>Старый</v>
      </c>
      <c r="U637" s="385"/>
      <c r="W637" s="384" t="str">
        <f>IFERROR(__xludf.DUMMYFUNCTION("""COMPUTED_VALUE"""),"Аш")</f>
        <v>Аш</v>
      </c>
      <c r="X637" s="385"/>
    </row>
    <row r="638">
      <c r="A638" s="384" t="s">
        <v>110</v>
      </c>
      <c r="B638" s="384" t="s">
        <v>261</v>
      </c>
      <c r="C638" s="389"/>
      <c r="D638" s="389">
        <v>1.25</v>
      </c>
      <c r="E638" s="384"/>
      <c r="F638" s="389"/>
      <c r="G638" s="389"/>
      <c r="T638" s="384" t="str">
        <f>IFERROR(__xludf.DUMMYFUNCTION("""COMPUTED_VALUE"""),"СЭНСЭЙ")</f>
        <v>СЭНСЭЙ</v>
      </c>
      <c r="U638" s="385"/>
      <c r="W638" s="384" t="str">
        <f>IFERROR(__xludf.DUMMYFUNCTION("""COMPUTED_VALUE"""),"Бамблби")</f>
        <v>Бамблби</v>
      </c>
      <c r="X638" s="385"/>
    </row>
    <row r="639">
      <c r="A639" s="384" t="s">
        <v>169</v>
      </c>
      <c r="B639" s="384" t="s">
        <v>261</v>
      </c>
      <c r="C639" s="389"/>
      <c r="D639" s="389">
        <v>2.0</v>
      </c>
      <c r="E639" s="384"/>
      <c r="F639" s="389"/>
      <c r="G639" s="389"/>
      <c r="T639" s="384" t="str">
        <f>IFERROR(__xludf.DUMMYFUNCTION("""COMPUTED_VALUE"""),"Coach")</f>
        <v>Coach</v>
      </c>
      <c r="U639" s="385"/>
      <c r="W639" s="384" t="str">
        <f>IFERROR(__xludf.DUMMYFUNCTION("""COMPUTED_VALUE"""),"Градиент")</f>
        <v>Градиент</v>
      </c>
      <c r="X639" s="385"/>
    </row>
    <row r="640">
      <c r="A640" s="384" t="s">
        <v>104</v>
      </c>
      <c r="B640" s="384" t="s">
        <v>269</v>
      </c>
      <c r="C640" s="389">
        <v>2.5</v>
      </c>
      <c r="D640" s="389">
        <v>1.5</v>
      </c>
      <c r="E640" s="384"/>
      <c r="F640" s="389"/>
      <c r="G640" s="389"/>
      <c r="T640" s="384" t="str">
        <f>IFERROR(__xludf.DUMMYFUNCTION("""COMPUTED_VALUE"""),"Тихий закат")</f>
        <v>Тихий закат</v>
      </c>
      <c r="U640" s="385"/>
      <c r="W640" s="384" t="str">
        <f>IFERROR(__xludf.DUMMYFUNCTION("""COMPUTED_VALUE"""),"Дровосек")</f>
        <v>Дровосек</v>
      </c>
      <c r="X640" s="385"/>
    </row>
    <row r="641">
      <c r="A641" s="384" t="s">
        <v>98</v>
      </c>
      <c r="B641" s="384" t="s">
        <v>265</v>
      </c>
      <c r="C641" s="389">
        <v>2.5</v>
      </c>
      <c r="D641" s="389">
        <v>4.5</v>
      </c>
      <c r="E641" s="384"/>
      <c r="F641" s="389"/>
      <c r="G641" s="389"/>
      <c r="T641" s="384" t="str">
        <f>IFERROR(__xludf.DUMMYFUNCTION("""COMPUTED_VALUE"""),"Физик")</f>
        <v>Физик</v>
      </c>
      <c r="U641" s="385"/>
      <c r="W641" s="384" t="str">
        <f>IFERROR(__xludf.DUMMYFUNCTION("""COMPUTED_VALUE"""),"Зверюга")</f>
        <v>Зверюга</v>
      </c>
      <c r="X641" s="385"/>
    </row>
    <row r="642">
      <c r="A642" s="384" t="s">
        <v>87</v>
      </c>
      <c r="B642" s="384" t="s">
        <v>269</v>
      </c>
      <c r="C642" s="389">
        <v>2.5</v>
      </c>
      <c r="D642" s="389">
        <v>4.5</v>
      </c>
      <c r="E642" s="384"/>
      <c r="F642" s="389"/>
      <c r="G642" s="389"/>
      <c r="T642" s="384" t="str">
        <f>IFERROR(__xludf.DUMMYFUNCTION("""COMPUTED_VALUE"""),"Флэш")</f>
        <v>Флэш</v>
      </c>
      <c r="U642" s="385"/>
      <c r="W642" s="384" t="str">
        <f>IFERROR(__xludf.DUMMYFUNCTION("""COMPUTED_VALUE"""),"Инсомнич")</f>
        <v>Инсомнич</v>
      </c>
      <c r="X642" s="385"/>
    </row>
    <row r="643">
      <c r="A643" s="384" t="s">
        <v>153</v>
      </c>
      <c r="B643" s="384" t="s">
        <v>265</v>
      </c>
      <c r="C643" s="389"/>
      <c r="D643" s="389">
        <v>2.25</v>
      </c>
      <c r="E643" s="384"/>
      <c r="F643" s="389"/>
      <c r="G643" s="389"/>
      <c r="T643" s="384" t="str">
        <f>IFERROR(__xludf.DUMMYFUNCTION("""COMPUTED_VALUE"""),"Фокс")</f>
        <v>Фокс</v>
      </c>
      <c r="U643" s="385"/>
      <c r="W643" s="384" t="str">
        <f>IFERROR(__xludf.DUMMYFUNCTION("""COMPUTED_VALUE"""),"Крестный отец (BLR)")</f>
        <v>Крестный отец (BLR)</v>
      </c>
      <c r="X643" s="385"/>
    </row>
    <row r="644">
      <c r="A644" s="384" t="s">
        <v>101</v>
      </c>
      <c r="B644" s="384" t="s">
        <v>261</v>
      </c>
      <c r="C644" s="389">
        <v>2.5</v>
      </c>
      <c r="D644" s="389">
        <v>2.75</v>
      </c>
      <c r="E644" s="384" t="s">
        <v>260</v>
      </c>
      <c r="F644" s="389"/>
      <c r="G644" s="389"/>
      <c r="T644" s="384" t="str">
        <f>IFERROR(__xludf.DUMMYFUNCTION("""COMPUTED_VALUE"""),"Шоу Бой")</f>
        <v>Шоу Бой</v>
      </c>
      <c r="U644" s="385"/>
      <c r="W644" s="384" t="str">
        <f>IFERROR(__xludf.DUMMYFUNCTION("""COMPUTED_VALUE"""),"Крёстный Отец (RU)")</f>
        <v>Крёстный Отец (RU)</v>
      </c>
      <c r="X644" s="385"/>
    </row>
    <row r="645">
      <c r="A645" s="384" t="s">
        <v>129</v>
      </c>
      <c r="B645" s="384" t="s">
        <v>269</v>
      </c>
      <c r="C645" s="389"/>
      <c r="D645" s="389">
        <v>2.5</v>
      </c>
      <c r="E645" s="384" t="s">
        <v>263</v>
      </c>
      <c r="F645" s="389"/>
      <c r="G645" s="389"/>
      <c r="T645" s="384" t="str">
        <f>IFERROR(__xludf.DUMMYFUNCTION("""COMPUTED_VALUE"""),"Юрия")</f>
        <v>Юрия</v>
      </c>
      <c r="U645" s="385"/>
      <c r="W645" s="384" t="str">
        <f>IFERROR(__xludf.DUMMYFUNCTION("""COMPUTED_VALUE"""),"Крот")</f>
        <v>Крот</v>
      </c>
      <c r="X645" s="385"/>
    </row>
    <row r="646">
      <c r="A646" s="384" t="s">
        <v>102</v>
      </c>
      <c r="B646" s="384" t="s">
        <v>269</v>
      </c>
      <c r="C646" s="389"/>
      <c r="D646" s="389">
        <v>2.5</v>
      </c>
      <c r="E646" s="384"/>
      <c r="F646" s="389"/>
      <c r="G646" s="389"/>
      <c r="T646" s="384" t="str">
        <f>IFERROR(__xludf.DUMMYFUNCTION("""COMPUTED_VALUE"""),"Bublik")</f>
        <v>Bublik</v>
      </c>
      <c r="U646" s="385"/>
      <c r="W646" s="384" t="str">
        <f>IFERROR(__xludf.DUMMYFUNCTION("""COMPUTED_VALUE"""),"Лисичка")</f>
        <v>Лисичка</v>
      </c>
      <c r="X646" s="385"/>
    </row>
    <row r="647">
      <c r="A647" s="384" t="s">
        <v>132</v>
      </c>
      <c r="B647" s="384" t="s">
        <v>261</v>
      </c>
      <c r="C647" s="389">
        <v>2.5</v>
      </c>
      <c r="D647" s="389">
        <v>4.5</v>
      </c>
      <c r="E647" s="384"/>
      <c r="F647" s="389"/>
      <c r="G647" s="389"/>
      <c r="T647" s="384" t="str">
        <f>IFERROR(__xludf.DUMMYFUNCTION("""COMPUTED_VALUE"""),"BWDMoscow")</f>
        <v>BWDMoscow</v>
      </c>
      <c r="U647" s="385"/>
      <c r="W647" s="384" t="str">
        <f>IFERROR(__xludf.DUMMYFUNCTION("""COMPUTED_VALUE"""),"Маваши")</f>
        <v>Маваши</v>
      </c>
      <c r="X647" s="385"/>
    </row>
    <row r="648">
      <c r="A648" s="384" t="s">
        <v>110</v>
      </c>
      <c r="B648" s="384" t="s">
        <v>261</v>
      </c>
      <c r="C648" s="389">
        <v>2.5</v>
      </c>
      <c r="D648" s="389">
        <v>2.0</v>
      </c>
      <c r="E648" s="384"/>
      <c r="F648" s="389"/>
      <c r="G648" s="389"/>
      <c r="T648" s="384" t="str">
        <f>IFERROR(__xludf.DUMMYFUNCTION("""COMPUTED_VALUE"""),"Castor Troy ")</f>
        <v>Castor Troy </v>
      </c>
      <c r="U648" s="385"/>
      <c r="W648" s="384" t="str">
        <f>IFERROR(__xludf.DUMMYFUNCTION("""COMPUTED_VALUE"""),"Манекен")</f>
        <v>Манекен</v>
      </c>
      <c r="X648" s="385"/>
    </row>
    <row r="649">
      <c r="A649" s="384" t="s">
        <v>169</v>
      </c>
      <c r="B649" s="384" t="s">
        <v>261</v>
      </c>
      <c r="C649" s="389">
        <v>2.5</v>
      </c>
      <c r="D649" s="389">
        <v>2.25</v>
      </c>
      <c r="E649" s="384"/>
      <c r="F649" s="389"/>
      <c r="G649" s="389"/>
      <c r="T649" s="384" t="str">
        <f>IFERROR(__xludf.DUMMYFUNCTION("""COMPUTED_VALUE"""),"Cristo")</f>
        <v>Cristo</v>
      </c>
      <c r="U649" s="385"/>
      <c r="W649" s="384" t="str">
        <f>IFERROR(__xludf.DUMMYFUNCTION("""COMPUTED_VALUE"""),"Марго")</f>
        <v>Марго</v>
      </c>
      <c r="X649" s="385"/>
    </row>
    <row r="650">
      <c r="A650" s="384" t="s">
        <v>104</v>
      </c>
      <c r="B650" s="384" t="s">
        <v>271</v>
      </c>
      <c r="C650" s="389">
        <v>2.5</v>
      </c>
      <c r="D650" s="389">
        <v>1.75</v>
      </c>
      <c r="E650" s="384" t="s">
        <v>11</v>
      </c>
      <c r="F650" s="389">
        <v>0.5</v>
      </c>
      <c r="G650" s="389">
        <v>0.5</v>
      </c>
      <c r="T650" s="384" t="str">
        <f>IFERROR(__xludf.DUMMYFUNCTION("""COMPUTED_VALUE"""),"Curly")</f>
        <v>Curly</v>
      </c>
      <c r="U650" s="385"/>
      <c r="W650" s="384" t="str">
        <f>IFERROR(__xludf.DUMMYFUNCTION("""COMPUTED_VALUE"""),"Ментик")</f>
        <v>Ментик</v>
      </c>
      <c r="X650" s="385"/>
    </row>
    <row r="651">
      <c r="A651" s="384" t="s">
        <v>98</v>
      </c>
      <c r="B651" s="384" t="s">
        <v>261</v>
      </c>
      <c r="C651" s="389">
        <v>2.5</v>
      </c>
      <c r="D651" s="389">
        <v>3.0</v>
      </c>
      <c r="E651" s="384" t="s">
        <v>260</v>
      </c>
      <c r="F651" s="389"/>
      <c r="G651" s="389"/>
      <c r="T651" s="384" t="str">
        <f>IFERROR(__xludf.DUMMYFUNCTION("""COMPUTED_VALUE"""),"Infinity ")</f>
        <v>Infinity </v>
      </c>
      <c r="U651" s="385"/>
      <c r="W651" s="384" t="str">
        <f>IFERROR(__xludf.DUMMYFUNCTION("""COMPUTED_VALUE"""),"Мишель ")</f>
        <v>Мишель </v>
      </c>
      <c r="X651" s="385"/>
    </row>
    <row r="652">
      <c r="A652" s="384" t="s">
        <v>87</v>
      </c>
      <c r="B652" s="384" t="s">
        <v>261</v>
      </c>
      <c r="C652" s="389">
        <v>2.5</v>
      </c>
      <c r="D652" s="389">
        <v>4.75</v>
      </c>
      <c r="E652" s="384"/>
      <c r="F652" s="389"/>
      <c r="G652" s="389"/>
      <c r="T652" s="384" t="str">
        <f>IFERROR(__xludf.DUMMYFUNCTION("""COMPUTED_VALUE"""),"Ketamin")</f>
        <v>Ketamin</v>
      </c>
      <c r="U652" s="385"/>
      <c r="W652" s="384" t="str">
        <f>IFERROR(__xludf.DUMMYFUNCTION("""COMPUTED_VALUE"""),"Наполеон")</f>
        <v>Наполеон</v>
      </c>
      <c r="X652" s="385"/>
    </row>
    <row r="653">
      <c r="A653" s="384" t="s">
        <v>82</v>
      </c>
      <c r="B653" s="384" t="s">
        <v>261</v>
      </c>
      <c r="C653" s="389"/>
      <c r="D653" s="389">
        <v>2.75</v>
      </c>
      <c r="E653" s="384" t="s">
        <v>11</v>
      </c>
      <c r="F653" s="389"/>
      <c r="G653" s="389">
        <v>0.5</v>
      </c>
      <c r="T653" s="384" t="str">
        <f>IFERROR(__xludf.DUMMYFUNCTION("""COMPUTED_VALUE"""),"Light")</f>
        <v>Light</v>
      </c>
      <c r="U653" s="385"/>
      <c r="W653" s="384" t="str">
        <f>IFERROR(__xludf.DUMMYFUNCTION("""COMPUTED_VALUE"""),"Писатель ")</f>
        <v>Писатель </v>
      </c>
      <c r="X653" s="385"/>
    </row>
    <row r="654">
      <c r="A654" s="384" t="s">
        <v>87</v>
      </c>
      <c r="B654" s="384" t="s">
        <v>261</v>
      </c>
      <c r="C654" s="389"/>
      <c r="D654" s="389">
        <v>4.25</v>
      </c>
      <c r="E654" s="384" t="s">
        <v>263</v>
      </c>
      <c r="F654" s="389"/>
      <c r="G654" s="389"/>
      <c r="T654" s="384" t="str">
        <f>IFERROR(__xludf.DUMMYFUNCTION("""COMPUTED_VALUE"""),"Morti")</f>
        <v>Morti</v>
      </c>
      <c r="U654" s="385"/>
      <c r="W654" s="384" t="str">
        <f>IFERROR(__xludf.DUMMYFUNCTION("""COMPUTED_VALUE"""),"РФ")</f>
        <v>РФ</v>
      </c>
      <c r="X654" s="385"/>
    </row>
    <row r="655">
      <c r="A655" s="384" t="s">
        <v>136</v>
      </c>
      <c r="B655" s="384" t="s">
        <v>261</v>
      </c>
      <c r="C655" s="389"/>
      <c r="D655" s="389">
        <v>3.0</v>
      </c>
      <c r="E655" s="384"/>
      <c r="F655" s="389"/>
      <c r="G655" s="389"/>
      <c r="T655" s="384" t="str">
        <f>IFERROR(__xludf.DUMMYFUNCTION("""COMPUTED_VALUE"""),"MSR")</f>
        <v>MSR</v>
      </c>
      <c r="U655" s="385"/>
      <c r="W655" s="384" t="str">
        <f>IFERROR(__xludf.DUMMYFUNCTION("""COMPUTED_VALUE"""),"СЭНСЭЙ")</f>
        <v>СЭНСЭЙ</v>
      </c>
      <c r="X655" s="385"/>
    </row>
    <row r="656">
      <c r="A656" s="384" t="s">
        <v>124</v>
      </c>
      <c r="B656" s="384" t="s">
        <v>265</v>
      </c>
      <c r="C656" s="389">
        <v>2.5</v>
      </c>
      <c r="D656" s="389">
        <v>3.75</v>
      </c>
      <c r="E656" s="384"/>
      <c r="F656" s="389"/>
      <c r="G656" s="389"/>
      <c r="T656" s="384" t="str">
        <f>IFERROR(__xludf.DUMMYFUNCTION("""COMPUTED_VALUE"""),"NLIP")</f>
        <v>NLIP</v>
      </c>
      <c r="U656" s="385"/>
      <c r="W656" s="384" t="str">
        <f>IFERROR(__xludf.DUMMYFUNCTION("""COMPUTED_VALUE"""),"Coach")</f>
        <v>Coach</v>
      </c>
      <c r="X656" s="385"/>
    </row>
    <row r="657">
      <c r="A657" s="384" t="s">
        <v>138</v>
      </c>
      <c r="B657" s="384" t="s">
        <v>261</v>
      </c>
      <c r="C657" s="389"/>
      <c r="D657" s="389">
        <v>1.5</v>
      </c>
      <c r="E657" s="384" t="s">
        <v>263</v>
      </c>
      <c r="F657" s="389"/>
      <c r="G657" s="389"/>
      <c r="T657" s="384" t="str">
        <f>IFERROR(__xludf.DUMMYFUNCTION("""COMPUTED_VALUE"""),"Rocket woman ")</f>
        <v>Rocket woman </v>
      </c>
      <c r="U657" s="385"/>
      <c r="W657" s="384" t="str">
        <f>IFERROR(__xludf.DUMMYFUNCTION("""COMPUTED_VALUE"""),"Тихий закат")</f>
        <v>Тихий закат</v>
      </c>
      <c r="X657" s="385"/>
    </row>
    <row r="658">
      <c r="A658" s="384" t="s">
        <v>99</v>
      </c>
      <c r="B658" s="384" t="s">
        <v>261</v>
      </c>
      <c r="C658" s="389"/>
      <c r="D658" s="389">
        <v>3.0</v>
      </c>
      <c r="E658" s="384"/>
      <c r="F658" s="389"/>
      <c r="G658" s="389"/>
      <c r="T658" s="384" t="str">
        <f>IFERROR(__xludf.DUMMYFUNCTION("""COMPUTED_VALUE"""),"SOVEST")</f>
        <v>SOVEST</v>
      </c>
      <c r="U658" s="385"/>
      <c r="W658" s="384" t="str">
        <f>IFERROR(__xludf.DUMMYFUNCTION("""COMPUTED_VALUE"""),"Флэш")</f>
        <v>Флэш</v>
      </c>
      <c r="X658" s="385"/>
    </row>
    <row r="659">
      <c r="A659" s="384" t="s">
        <v>118</v>
      </c>
      <c r="B659" s="384" t="s">
        <v>261</v>
      </c>
      <c r="C659" s="389"/>
      <c r="D659" s="389">
        <v>2.0</v>
      </c>
      <c r="E659" s="384"/>
      <c r="F659" s="389"/>
      <c r="G659" s="389"/>
      <c r="T659" s="384" t="str">
        <f>IFERROR(__xludf.DUMMYFUNCTION("""COMPUTED_VALUE"""),"Stacy")</f>
        <v>Stacy</v>
      </c>
      <c r="U659" s="385"/>
      <c r="W659" s="384" t="str">
        <f>IFERROR(__xludf.DUMMYFUNCTION("""COMPUTED_VALUE"""),"Фокс")</f>
        <v>Фокс</v>
      </c>
      <c r="X659" s="385"/>
    </row>
    <row r="660">
      <c r="A660" s="384" t="s">
        <v>128</v>
      </c>
      <c r="B660" s="384" t="s">
        <v>269</v>
      </c>
      <c r="C660" s="389">
        <v>2.5</v>
      </c>
      <c r="D660" s="389">
        <v>3.5</v>
      </c>
      <c r="E660" s="384" t="s">
        <v>260</v>
      </c>
      <c r="F660" s="389"/>
      <c r="G660" s="389"/>
      <c r="T660" s="384" t="str">
        <f>IFERROR(__xludf.DUMMYFUNCTION("""COMPUTED_VALUE"""),"WhoIsWho")</f>
        <v>WhoIsWho</v>
      </c>
      <c r="U660" s="385"/>
      <c r="W660" s="384" t="str">
        <f>IFERROR(__xludf.DUMMYFUNCTION("""COMPUTED_VALUE"""),"Шоу Бой")</f>
        <v>Шоу Бой</v>
      </c>
      <c r="X660" s="385"/>
    </row>
    <row r="661">
      <c r="A661" s="384" t="s">
        <v>153</v>
      </c>
      <c r="B661" s="384" t="s">
        <v>269</v>
      </c>
      <c r="C661" s="389">
        <v>2.5</v>
      </c>
      <c r="D661" s="389">
        <v>3.0</v>
      </c>
      <c r="E661" s="384"/>
      <c r="F661" s="389"/>
      <c r="G661" s="389"/>
      <c r="T661" s="384" t="str">
        <f>IFERROR(__xludf.DUMMYFUNCTION("""COMPUTED_VALUE"""),"Young")</f>
        <v>Young</v>
      </c>
      <c r="U661" s="385"/>
      <c r="W661" s="384" t="str">
        <f>IFERROR(__xludf.DUMMYFUNCTION("""COMPUTED_VALUE"""),"Шпиц")</f>
        <v>Шпиц</v>
      </c>
      <c r="X661" s="385"/>
    </row>
    <row r="662">
      <c r="A662" s="384" t="s">
        <v>169</v>
      </c>
      <c r="B662" s="384" t="s">
        <v>271</v>
      </c>
      <c r="C662" s="389"/>
      <c r="D662" s="389">
        <v>2.5</v>
      </c>
      <c r="E662" s="384"/>
      <c r="F662" s="389"/>
      <c r="G662" s="389"/>
      <c r="T662" s="384" t="str">
        <f>IFERROR(__xludf.DUMMYFUNCTION("QUERY('Турнирная таблица по Алфавиту'!C7:BG66,""select C,AF order by AF desc"")"),"Градиент")</f>
        <v>Градиент</v>
      </c>
      <c r="U662" s="385">
        <f>IFERROR(__xludf.DUMMYFUNCTION("""COMPUTED_VALUE"""),25.75)</f>
        <v>25.75</v>
      </c>
      <c r="W662" s="384" t="str">
        <f>IFERROR(__xludf.DUMMYFUNCTION("""COMPUTED_VALUE"""),"Юрия")</f>
        <v>Юрия</v>
      </c>
      <c r="X662" s="385"/>
    </row>
    <row r="663">
      <c r="A663" s="384" t="s">
        <v>82</v>
      </c>
      <c r="B663" s="384" t="s">
        <v>271</v>
      </c>
      <c r="C663" s="389">
        <v>2.5</v>
      </c>
      <c r="D663" s="389">
        <v>4.0</v>
      </c>
      <c r="E663" s="384"/>
      <c r="F663" s="389"/>
      <c r="G663" s="389"/>
      <c r="T663" s="384" t="str">
        <f>IFERROR(__xludf.DUMMYFUNCTION("""COMPUTED_VALUE"""),"Манекен")</f>
        <v>Манекен</v>
      </c>
      <c r="U663" s="385">
        <f>IFERROR(__xludf.DUMMYFUNCTION("""COMPUTED_VALUE"""),22.25)</f>
        <v>22.25</v>
      </c>
      <c r="W663" s="384" t="str">
        <f>IFERROR(__xludf.DUMMYFUNCTION("""COMPUTED_VALUE"""),"A1 ")</f>
        <v>A1 </v>
      </c>
      <c r="X663" s="385"/>
    </row>
    <row r="664">
      <c r="A664" s="384" t="s">
        <v>87</v>
      </c>
      <c r="B664" s="384" t="s">
        <v>261</v>
      </c>
      <c r="C664" s="389">
        <v>2.5</v>
      </c>
      <c r="D664" s="389">
        <v>3.75</v>
      </c>
      <c r="E664" s="384"/>
      <c r="F664" s="389"/>
      <c r="G664" s="389"/>
      <c r="T664" s="384" t="str">
        <f>IFERROR(__xludf.DUMMYFUNCTION("""COMPUTED_VALUE"""),"Мишель ")</f>
        <v>Мишель </v>
      </c>
      <c r="U664" s="385">
        <f>IFERROR(__xludf.DUMMYFUNCTION("""COMPUTED_VALUE"""),20.5)</f>
        <v>20.5</v>
      </c>
      <c r="W664" s="384" t="str">
        <f>IFERROR(__xludf.DUMMYFUNCTION("""COMPUTED_VALUE"""),"Bublik")</f>
        <v>Bublik</v>
      </c>
      <c r="X664" s="385"/>
    </row>
    <row r="665">
      <c r="A665" s="384" t="s">
        <v>136</v>
      </c>
      <c r="B665" s="384" t="s">
        <v>261</v>
      </c>
      <c r="C665" s="389">
        <v>2.5</v>
      </c>
      <c r="D665" s="389">
        <v>4.25</v>
      </c>
      <c r="E665" s="384"/>
      <c r="F665" s="389"/>
      <c r="G665" s="389"/>
      <c r="T665" s="384" t="str">
        <f>IFERROR(__xludf.DUMMYFUNCTION("""COMPUTED_VALUE"""),"NLIP")</f>
        <v>NLIP</v>
      </c>
      <c r="U665" s="385">
        <f>IFERROR(__xludf.DUMMYFUNCTION("""COMPUTED_VALUE"""),20.5)</f>
        <v>20.5</v>
      </c>
      <c r="W665" s="384" t="str">
        <f>IFERROR(__xludf.DUMMYFUNCTION("""COMPUTED_VALUE"""),"BWDMoscow")</f>
        <v>BWDMoscow</v>
      </c>
      <c r="X665" s="385"/>
    </row>
    <row r="666">
      <c r="A666" s="384" t="s">
        <v>124</v>
      </c>
      <c r="B666" s="384" t="s">
        <v>261</v>
      </c>
      <c r="C666" s="389">
        <v>2.5</v>
      </c>
      <c r="D666" s="389">
        <v>3.0</v>
      </c>
      <c r="E666" s="384" t="s">
        <v>11</v>
      </c>
      <c r="F666" s="389">
        <v>0.5</v>
      </c>
      <c r="G666" s="389">
        <v>0.5</v>
      </c>
      <c r="T666" s="384" t="str">
        <f>IFERROR(__xludf.DUMMYFUNCTION("""COMPUTED_VALUE"""),"Наполеон")</f>
        <v>Наполеон</v>
      </c>
      <c r="U666" s="385">
        <f>IFERROR(__xludf.DUMMYFUNCTION("""COMPUTED_VALUE"""),19.25)</f>
        <v>19.25</v>
      </c>
      <c r="W666" s="384" t="str">
        <f>IFERROR(__xludf.DUMMYFUNCTION("""COMPUTED_VALUE"""),"Castor Troy ")</f>
        <v>Castor Troy </v>
      </c>
      <c r="X666" s="385"/>
    </row>
    <row r="667">
      <c r="A667" s="384" t="s">
        <v>138</v>
      </c>
      <c r="B667" s="384" t="s">
        <v>269</v>
      </c>
      <c r="C667" s="389"/>
      <c r="D667" s="389">
        <v>2.0</v>
      </c>
      <c r="E667" s="384"/>
      <c r="F667" s="389"/>
      <c r="G667" s="389"/>
      <c r="T667" s="384" t="str">
        <f>IFERROR(__xludf.DUMMYFUNCTION("""COMPUTED_VALUE"""),"Coach")</f>
        <v>Coach</v>
      </c>
      <c r="U667" s="385">
        <f>IFERROR(__xludf.DUMMYFUNCTION("""COMPUTED_VALUE"""),17.0)</f>
        <v>17</v>
      </c>
      <c r="W667" s="384" t="str">
        <f>IFERROR(__xludf.DUMMYFUNCTION("""COMPUTED_VALUE"""),"Cristo")</f>
        <v>Cristo</v>
      </c>
      <c r="X667" s="385"/>
    </row>
    <row r="668">
      <c r="A668" s="384" t="s">
        <v>99</v>
      </c>
      <c r="B668" s="384" t="s">
        <v>261</v>
      </c>
      <c r="C668" s="389">
        <v>2.5</v>
      </c>
      <c r="D668" s="389">
        <v>2.75</v>
      </c>
      <c r="E668" s="384"/>
      <c r="F668" s="389"/>
      <c r="G668" s="389"/>
      <c r="T668" s="384" t="str">
        <f>IFERROR(__xludf.DUMMYFUNCTION("""COMPUTED_VALUE"""),"Писатель ")</f>
        <v>Писатель </v>
      </c>
      <c r="U668" s="385">
        <f>IFERROR(__xludf.DUMMYFUNCTION("""COMPUTED_VALUE"""),15.75)</f>
        <v>15.75</v>
      </c>
      <c r="W668" s="384" t="str">
        <f>IFERROR(__xludf.DUMMYFUNCTION("""COMPUTED_VALUE"""),"Curly")</f>
        <v>Curly</v>
      </c>
      <c r="X668" s="385"/>
    </row>
    <row r="669">
      <c r="A669" s="384" t="s">
        <v>118</v>
      </c>
      <c r="B669" s="384" t="s">
        <v>261</v>
      </c>
      <c r="C669" s="389">
        <v>2.5</v>
      </c>
      <c r="D669" s="389">
        <v>3.75</v>
      </c>
      <c r="E669" s="384"/>
      <c r="F669" s="389"/>
      <c r="G669" s="389"/>
      <c r="T669" s="384" t="str">
        <f>IFERROR(__xludf.DUMMYFUNCTION("""COMPUTED_VALUE"""),"GALAY")</f>
        <v>GALAY</v>
      </c>
      <c r="U669" s="385">
        <f>IFERROR(__xludf.DUMMYFUNCTION("""COMPUTED_VALUE"""),15.0)</f>
        <v>15</v>
      </c>
      <c r="W669" s="384" t="str">
        <f>IFERROR(__xludf.DUMMYFUNCTION("""COMPUTED_VALUE"""),"GALAY")</f>
        <v>GALAY</v>
      </c>
      <c r="X669" s="385"/>
    </row>
    <row r="670">
      <c r="A670" s="384" t="s">
        <v>128</v>
      </c>
      <c r="B670" s="384" t="s">
        <v>261</v>
      </c>
      <c r="C670" s="389">
        <v>2.5</v>
      </c>
      <c r="D670" s="389">
        <v>2.0</v>
      </c>
      <c r="E670" s="384"/>
      <c r="F670" s="389"/>
      <c r="G670" s="389"/>
      <c r="T670" s="384" t="str">
        <f>IFERROR(__xludf.DUMMYFUNCTION("""COMPUTED_VALUE"""),"Light")</f>
        <v>Light</v>
      </c>
      <c r="U670" s="385">
        <f>IFERROR(__xludf.DUMMYFUNCTION("""COMPUTED_VALUE"""),14.0)</f>
        <v>14</v>
      </c>
      <c r="W670" s="384" t="str">
        <f>IFERROR(__xludf.DUMMYFUNCTION("""COMPUTED_VALUE"""),"Helga")</f>
        <v>Helga</v>
      </c>
      <c r="X670" s="385"/>
    </row>
    <row r="671">
      <c r="A671" s="384" t="s">
        <v>153</v>
      </c>
      <c r="B671" s="384" t="s">
        <v>269</v>
      </c>
      <c r="C671" s="389"/>
      <c r="D671" s="389">
        <v>3.0</v>
      </c>
      <c r="E671" s="384"/>
      <c r="F671" s="389"/>
      <c r="G671" s="389"/>
      <c r="T671" s="384" t="str">
        <f>IFERROR(__xludf.DUMMYFUNCTION("""COMPUTED_VALUE"""),"Тихий закат")</f>
        <v>Тихий закат</v>
      </c>
      <c r="U671" s="385">
        <f>IFERROR(__xludf.DUMMYFUNCTION("""COMPUTED_VALUE"""),13.75)</f>
        <v>13.75</v>
      </c>
      <c r="W671" s="384" t="str">
        <f>IFERROR(__xludf.DUMMYFUNCTION("""COMPUTED_VALUE"""),"Infinity ")</f>
        <v>Infinity </v>
      </c>
      <c r="X671" s="385"/>
    </row>
    <row r="672">
      <c r="A672" s="384" t="s">
        <v>169</v>
      </c>
      <c r="B672" s="384" t="s">
        <v>265</v>
      </c>
      <c r="C672" s="389"/>
      <c r="D672" s="389">
        <v>2.25</v>
      </c>
      <c r="E672" s="384"/>
      <c r="F672" s="389"/>
      <c r="G672" s="389"/>
      <c r="T672" s="384" t="str">
        <f>IFERROR(__xludf.DUMMYFUNCTION("""COMPUTED_VALUE"""),"Авраам")</f>
        <v>Авраам</v>
      </c>
      <c r="U672" s="385"/>
      <c r="W672" s="384" t="str">
        <f>IFERROR(__xludf.DUMMYFUNCTION("""COMPUTED_VALUE"""),"Ketamin")</f>
        <v>Ketamin</v>
      </c>
      <c r="X672" s="385"/>
    </row>
    <row r="673">
      <c r="A673" s="384" t="s">
        <v>82</v>
      </c>
      <c r="B673" s="384" t="s">
        <v>271</v>
      </c>
      <c r="C673" s="389">
        <v>2.5</v>
      </c>
      <c r="D673" s="389">
        <v>4.5</v>
      </c>
      <c r="E673" s="384"/>
      <c r="F673" s="389"/>
      <c r="G673" s="389"/>
      <c r="T673" s="384" t="str">
        <f>IFERROR(__xludf.DUMMYFUNCTION("""COMPUTED_VALUE"""),"Админ")</f>
        <v>Админ</v>
      </c>
      <c r="U673" s="385"/>
      <c r="W673" s="384" t="str">
        <f>IFERROR(__xludf.DUMMYFUNCTION("""COMPUTED_VALUE"""),"Light")</f>
        <v>Light</v>
      </c>
      <c r="X673" s="385"/>
    </row>
    <row r="674">
      <c r="A674" s="384" t="s">
        <v>87</v>
      </c>
      <c r="B674" s="384" t="s">
        <v>261</v>
      </c>
      <c r="C674" s="389">
        <v>2.5</v>
      </c>
      <c r="D674" s="389">
        <v>2.75</v>
      </c>
      <c r="E674" s="384" t="s">
        <v>11</v>
      </c>
      <c r="F674" s="389"/>
      <c r="G674" s="389">
        <v>0.5</v>
      </c>
      <c r="T674" s="384" t="str">
        <f>IFERROR(__xludf.DUMMYFUNCTION("""COMPUTED_VALUE"""),"Андерсен")</f>
        <v>Андерсен</v>
      </c>
      <c r="U674" s="385"/>
      <c r="W674" s="384" t="str">
        <f>IFERROR(__xludf.DUMMYFUNCTION("""COMPUTED_VALUE"""),"Morti")</f>
        <v>Morti</v>
      </c>
      <c r="X674" s="385"/>
    </row>
    <row r="675">
      <c r="A675" s="384" t="s">
        <v>136</v>
      </c>
      <c r="B675" s="384" t="s">
        <v>261</v>
      </c>
      <c r="C675" s="389">
        <v>2.5</v>
      </c>
      <c r="D675" s="389">
        <v>3.25</v>
      </c>
      <c r="E675" s="384" t="s">
        <v>260</v>
      </c>
      <c r="F675" s="389"/>
      <c r="G675" s="389"/>
      <c r="T675" s="384" t="str">
        <f>IFERROR(__xludf.DUMMYFUNCTION("""COMPUTED_VALUE"""),"Артик")</f>
        <v>Артик</v>
      </c>
      <c r="U675" s="385"/>
      <c r="W675" s="384" t="str">
        <f>IFERROR(__xludf.DUMMYFUNCTION("""COMPUTED_VALUE"""),"NLIP")</f>
        <v>NLIP</v>
      </c>
      <c r="X675" s="385"/>
    </row>
    <row r="676">
      <c r="A676" s="384" t="s">
        <v>124</v>
      </c>
      <c r="B676" s="384" t="s">
        <v>261</v>
      </c>
      <c r="C676" s="389">
        <v>2.5</v>
      </c>
      <c r="D676" s="389">
        <v>3.0</v>
      </c>
      <c r="E676" s="384"/>
      <c r="F676" s="389"/>
      <c r="G676" s="389"/>
      <c r="T676" s="384" t="str">
        <f>IFERROR(__xludf.DUMMYFUNCTION("""COMPUTED_VALUE"""),"Астория")</f>
        <v>Астория</v>
      </c>
      <c r="U676" s="385"/>
      <c r="W676" s="384" t="str">
        <f>IFERROR(__xludf.DUMMYFUNCTION("""COMPUTED_VALUE"""),"Rocket woman ")</f>
        <v>Rocket woman </v>
      </c>
      <c r="X676" s="385"/>
    </row>
    <row r="677">
      <c r="A677" s="384" t="s">
        <v>138</v>
      </c>
      <c r="B677" s="384" t="s">
        <v>261</v>
      </c>
      <c r="C677" s="389">
        <v>2.5</v>
      </c>
      <c r="D677" s="389">
        <v>5.0</v>
      </c>
      <c r="E677" s="384"/>
      <c r="F677" s="389"/>
      <c r="G677" s="389"/>
      <c r="T677" s="384" t="str">
        <f>IFERROR(__xludf.DUMMYFUNCTION("""COMPUTED_VALUE"""),"Аш")</f>
        <v>Аш</v>
      </c>
      <c r="U677" s="385"/>
      <c r="W677" s="384" t="str">
        <f>IFERROR(__xludf.DUMMYFUNCTION("""COMPUTED_VALUE"""),"SCHOKK ")</f>
        <v>SCHOKK </v>
      </c>
      <c r="X677" s="385"/>
    </row>
    <row r="678">
      <c r="A678" s="384" t="s">
        <v>99</v>
      </c>
      <c r="B678" s="384" t="s">
        <v>261</v>
      </c>
      <c r="C678" s="389">
        <v>2.5</v>
      </c>
      <c r="D678" s="389">
        <v>3.5</v>
      </c>
      <c r="E678" s="384"/>
      <c r="F678" s="389"/>
      <c r="G678" s="389"/>
      <c r="T678" s="384" t="str">
        <f>IFERROR(__xludf.DUMMYFUNCTION("""COMPUTED_VALUE"""),"Бамблби")</f>
        <v>Бамблби</v>
      </c>
      <c r="U678" s="385"/>
      <c r="W678" s="384" t="str">
        <f>IFERROR(__xludf.DUMMYFUNCTION("""COMPUTED_VALUE"""),"SOVEST")</f>
        <v>SOVEST</v>
      </c>
      <c r="X678" s="385"/>
    </row>
    <row r="679">
      <c r="A679" s="384" t="s">
        <v>118</v>
      </c>
      <c r="B679" s="384" t="s">
        <v>269</v>
      </c>
      <c r="C679" s="389"/>
      <c r="D679" s="389">
        <v>2.5</v>
      </c>
      <c r="E679" s="384"/>
      <c r="F679" s="389"/>
      <c r="G679" s="389"/>
      <c r="T679" s="384" t="str">
        <f>IFERROR(__xludf.DUMMYFUNCTION("""COMPUTED_VALUE"""),"Волга")</f>
        <v>Волга</v>
      </c>
      <c r="U679" s="385"/>
      <c r="W679" s="384" t="str">
        <f>IFERROR(__xludf.DUMMYFUNCTION("""COMPUTED_VALUE"""),"Stacy")</f>
        <v>Stacy</v>
      </c>
      <c r="X679" s="385"/>
    </row>
    <row r="680">
      <c r="A680" s="384" t="s">
        <v>128</v>
      </c>
      <c r="B680" s="384" t="s">
        <v>269</v>
      </c>
      <c r="C680" s="389"/>
      <c r="D680" s="389">
        <v>1.75</v>
      </c>
      <c r="E680" s="384" t="s">
        <v>263</v>
      </c>
      <c r="F680" s="389"/>
      <c r="G680" s="389"/>
      <c r="T680" s="384" t="str">
        <f>IFERROR(__xludf.DUMMYFUNCTION("""COMPUTED_VALUE"""),"Дровосек")</f>
        <v>Дровосек</v>
      </c>
      <c r="U680" s="385"/>
      <c r="W680" s="384" t="str">
        <f>IFERROR(__xludf.DUMMYFUNCTION("""COMPUTED_VALUE"""),"WhoIsWho")</f>
        <v>WhoIsWho</v>
      </c>
      <c r="X680" s="385"/>
    </row>
    <row r="681">
      <c r="A681" s="384" t="s">
        <v>153</v>
      </c>
      <c r="B681" s="384" t="s">
        <v>265</v>
      </c>
      <c r="C681" s="389"/>
      <c r="D681" s="389">
        <v>2.25</v>
      </c>
      <c r="E681" s="384"/>
      <c r="F681" s="389"/>
      <c r="G681" s="389"/>
      <c r="T681" s="384" t="str">
        <f>IFERROR(__xludf.DUMMYFUNCTION("""COMPUTED_VALUE"""),"Зверюга")</f>
        <v>Зверюга</v>
      </c>
      <c r="U681" s="385"/>
      <c r="W681" s="384" t="str">
        <f>IFERROR(__xludf.DUMMYFUNCTION("""COMPUTED_VALUE"""),"Young")</f>
        <v>Young</v>
      </c>
      <c r="X681" s="385"/>
    </row>
    <row r="682">
      <c r="A682" s="384" t="s">
        <v>169</v>
      </c>
      <c r="B682" s="384" t="s">
        <v>261</v>
      </c>
      <c r="C682" s="389">
        <v>2.5</v>
      </c>
      <c r="D682" s="389">
        <v>3.0</v>
      </c>
      <c r="E682" s="384" t="s">
        <v>260</v>
      </c>
      <c r="F682" s="389"/>
      <c r="G682" s="389"/>
      <c r="T682" s="384" t="str">
        <f>IFERROR(__xludf.DUMMYFUNCTION("""COMPUTED_VALUE"""),"Инсомнич")</f>
        <v>Инсомнич</v>
      </c>
      <c r="U682" s="385"/>
      <c r="W682" s="384" t="str">
        <f>IFERROR(__xludf.DUMMYFUNCTION("""COMPUTED_VALUE"""),"Авраам")</f>
        <v>Авраам</v>
      </c>
      <c r="X682" s="385"/>
    </row>
    <row r="683">
      <c r="A683" s="384" t="s">
        <v>82</v>
      </c>
      <c r="B683" s="384" t="s">
        <v>271</v>
      </c>
      <c r="C683" s="389">
        <v>2.5</v>
      </c>
      <c r="D683" s="389">
        <v>3.75</v>
      </c>
      <c r="E683" s="384"/>
      <c r="F683" s="389"/>
      <c r="G683" s="389"/>
      <c r="T683" s="384" t="str">
        <f>IFERROR(__xludf.DUMMYFUNCTION("""COMPUTED_VALUE"""),"Красавчик")</f>
        <v>Красавчик</v>
      </c>
      <c r="U683" s="385"/>
      <c r="W683" s="384" t="str">
        <f>IFERROR(__xludf.DUMMYFUNCTION("""COMPUTED_VALUE"""),"Админ")</f>
        <v>Админ</v>
      </c>
      <c r="X683" s="385"/>
    </row>
    <row r="684">
      <c r="A684" s="384" t="s">
        <v>87</v>
      </c>
      <c r="B684" s="384" t="s">
        <v>261</v>
      </c>
      <c r="C684" s="389">
        <v>2.5</v>
      </c>
      <c r="D684" s="389">
        <v>3.5</v>
      </c>
      <c r="E684" s="384" t="s">
        <v>260</v>
      </c>
      <c r="F684" s="389"/>
      <c r="G684" s="389"/>
      <c r="T684" s="384" t="str">
        <f>IFERROR(__xludf.DUMMYFUNCTION("""COMPUTED_VALUE"""),"Крестный отец (BLR)")</f>
        <v>Крестный отец (BLR)</v>
      </c>
      <c r="U684" s="385"/>
      <c r="W684" s="384" t="str">
        <f>IFERROR(__xludf.DUMMYFUNCTION("""COMPUTED_VALUE"""),"Андерсен")</f>
        <v>Андерсен</v>
      </c>
      <c r="X684" s="385"/>
    </row>
    <row r="685">
      <c r="A685" s="384" t="s">
        <v>136</v>
      </c>
      <c r="B685" s="384" t="s">
        <v>261</v>
      </c>
      <c r="C685" s="389">
        <v>2.5</v>
      </c>
      <c r="D685" s="389">
        <v>3.25</v>
      </c>
      <c r="E685" s="384"/>
      <c r="F685" s="389"/>
      <c r="G685" s="389"/>
      <c r="T685" s="384" t="str">
        <f>IFERROR(__xludf.DUMMYFUNCTION("""COMPUTED_VALUE"""),"Крёстный Отец (RU)")</f>
        <v>Крёстный Отец (RU)</v>
      </c>
      <c r="U685" s="385"/>
      <c r="W685" s="384" t="str">
        <f>IFERROR(__xludf.DUMMYFUNCTION("""COMPUTED_VALUE"""),"Астория")</f>
        <v>Астория</v>
      </c>
      <c r="X685" s="385"/>
    </row>
    <row r="686">
      <c r="A686" s="384" t="s">
        <v>124</v>
      </c>
      <c r="B686" s="384" t="s">
        <v>261</v>
      </c>
      <c r="C686" s="389">
        <v>2.5</v>
      </c>
      <c r="D686" s="389">
        <v>2.75</v>
      </c>
      <c r="E686" s="384"/>
      <c r="F686" s="389"/>
      <c r="G686" s="389"/>
      <c r="T686" s="384" t="str">
        <f>IFERROR(__xludf.DUMMYFUNCTION("""COMPUTED_VALUE"""),"Крот")</f>
        <v>Крот</v>
      </c>
      <c r="U686" s="385"/>
      <c r="W686" s="384" t="str">
        <f>IFERROR(__xludf.DUMMYFUNCTION("""COMPUTED_VALUE"""),"Аш")</f>
        <v>Аш</v>
      </c>
      <c r="X686" s="385"/>
    </row>
    <row r="687">
      <c r="A687" s="384" t="s">
        <v>138</v>
      </c>
      <c r="B687" s="384" t="s">
        <v>261</v>
      </c>
      <c r="C687" s="389">
        <v>2.5</v>
      </c>
      <c r="D687" s="389">
        <v>4.0</v>
      </c>
      <c r="E687" s="384"/>
      <c r="F687" s="389"/>
      <c r="G687" s="389"/>
      <c r="T687" s="384" t="str">
        <f>IFERROR(__xludf.DUMMYFUNCTION("""COMPUTED_VALUE"""),"Левша")</f>
        <v>Левша</v>
      </c>
      <c r="U687" s="385"/>
      <c r="W687" s="384" t="str">
        <f>IFERROR(__xludf.DUMMYFUNCTION("""COMPUTED_VALUE"""),"Градиент")</f>
        <v>Градиент</v>
      </c>
      <c r="X687" s="385"/>
    </row>
    <row r="688">
      <c r="A688" s="384" t="s">
        <v>99</v>
      </c>
      <c r="B688" s="384" t="s">
        <v>269</v>
      </c>
      <c r="C688" s="389"/>
      <c r="D688" s="389">
        <v>2.5</v>
      </c>
      <c r="E688" s="384" t="s">
        <v>263</v>
      </c>
      <c r="F688" s="389"/>
      <c r="G688" s="389"/>
      <c r="T688" s="384" t="str">
        <f>IFERROR(__xludf.DUMMYFUNCTION("""COMPUTED_VALUE"""),"Лисичка")</f>
        <v>Лисичка</v>
      </c>
      <c r="U688" s="385"/>
      <c r="W688" s="384" t="str">
        <f>IFERROR(__xludf.DUMMYFUNCTION("""COMPUTED_VALUE"""),"Дровосек")</f>
        <v>Дровосек</v>
      </c>
      <c r="X688" s="385"/>
    </row>
    <row r="689">
      <c r="A689" s="384" t="s">
        <v>118</v>
      </c>
      <c r="B689" s="384" t="s">
        <v>261</v>
      </c>
      <c r="C689" s="389">
        <v>2.5</v>
      </c>
      <c r="D689" s="389">
        <v>3.75</v>
      </c>
      <c r="E689" s="384" t="s">
        <v>260</v>
      </c>
      <c r="F689" s="389"/>
      <c r="G689" s="389"/>
      <c r="T689" s="384" t="str">
        <f>IFERROR(__xludf.DUMMYFUNCTION("""COMPUTED_VALUE"""),"Маваши")</f>
        <v>Маваши</v>
      </c>
      <c r="U689" s="385"/>
      <c r="W689" s="384" t="str">
        <f>IFERROR(__xludf.DUMMYFUNCTION("""COMPUTED_VALUE"""),"Зверюга")</f>
        <v>Зверюга</v>
      </c>
      <c r="X689" s="385"/>
    </row>
    <row r="690">
      <c r="A690" s="384" t="s">
        <v>128</v>
      </c>
      <c r="B690" s="384" t="s">
        <v>265</v>
      </c>
      <c r="C690" s="389"/>
      <c r="D690" s="389">
        <v>1.0</v>
      </c>
      <c r="E690" s="384"/>
      <c r="F690" s="389"/>
      <c r="G690" s="389"/>
      <c r="T690" s="384" t="str">
        <f>IFERROR(__xludf.DUMMYFUNCTION("""COMPUTED_VALUE"""),"Марго")</f>
        <v>Марго</v>
      </c>
      <c r="U690" s="385"/>
      <c r="W690" s="384" t="str">
        <f>IFERROR(__xludf.DUMMYFUNCTION("""COMPUTED_VALUE"""),"Инсомнич")</f>
        <v>Инсомнич</v>
      </c>
      <c r="X690" s="385"/>
    </row>
    <row r="691">
      <c r="A691" s="384" t="s">
        <v>153</v>
      </c>
      <c r="B691" s="384" t="s">
        <v>261</v>
      </c>
      <c r="C691" s="389">
        <v>2.5</v>
      </c>
      <c r="D691" s="389">
        <v>2.25</v>
      </c>
      <c r="E691" s="384" t="s">
        <v>11</v>
      </c>
      <c r="F691" s="389"/>
      <c r="G691" s="389">
        <v>0.5</v>
      </c>
      <c r="T691" s="384" t="str">
        <f>IFERROR(__xludf.DUMMYFUNCTION("""COMPUTED_VALUE"""),"Ментик")</f>
        <v>Ментик</v>
      </c>
      <c r="U691" s="385"/>
      <c r="W691" s="384" t="str">
        <f>IFERROR(__xludf.DUMMYFUNCTION("""COMPUTED_VALUE"""),"Красавчик")</f>
        <v>Красавчик</v>
      </c>
      <c r="X691" s="385"/>
    </row>
    <row r="692">
      <c r="A692" s="384" t="s">
        <v>169</v>
      </c>
      <c r="B692" s="384" t="s">
        <v>269</v>
      </c>
      <c r="C692" s="389"/>
      <c r="D692" s="389">
        <v>2.5</v>
      </c>
      <c r="E692" s="384"/>
      <c r="F692" s="389"/>
      <c r="G692" s="389"/>
      <c r="T692" s="384" t="str">
        <f>IFERROR(__xludf.DUMMYFUNCTION("""COMPUTED_VALUE"""),"Панда из Руанды")</f>
        <v>Панда из Руанды</v>
      </c>
      <c r="U692" s="385"/>
      <c r="W692" s="384" t="str">
        <f>IFERROR(__xludf.DUMMYFUNCTION("""COMPUTED_VALUE"""),"Крестный отец (BLR)")</f>
        <v>Крестный отец (BLR)</v>
      </c>
      <c r="X692" s="385"/>
    </row>
    <row r="693">
      <c r="A693" s="384" t="s">
        <v>82</v>
      </c>
      <c r="B693" s="384" t="s">
        <v>261</v>
      </c>
      <c r="C693" s="389">
        <v>2.5</v>
      </c>
      <c r="D693" s="389">
        <v>3.75</v>
      </c>
      <c r="E693" s="384"/>
      <c r="F693" s="389"/>
      <c r="G693" s="389"/>
      <c r="T693" s="384" t="str">
        <f>IFERROR(__xludf.DUMMYFUNCTION("""COMPUTED_VALUE"""),"Правда ")</f>
        <v>Правда </v>
      </c>
      <c r="U693" s="385"/>
      <c r="W693" s="384" t="str">
        <f>IFERROR(__xludf.DUMMYFUNCTION("""COMPUTED_VALUE"""),"Крёстный Отец (RU)")</f>
        <v>Крёстный Отец (RU)</v>
      </c>
      <c r="X693" s="385"/>
    </row>
    <row r="694">
      <c r="A694" s="384" t="s">
        <v>87</v>
      </c>
      <c r="B694" s="384" t="s">
        <v>261</v>
      </c>
      <c r="C694" s="389">
        <v>2.5</v>
      </c>
      <c r="D694" s="389">
        <v>3.75</v>
      </c>
      <c r="E694" s="384"/>
      <c r="F694" s="389"/>
      <c r="G694" s="389"/>
      <c r="T694" s="384" t="str">
        <f>IFERROR(__xludf.DUMMYFUNCTION("""COMPUTED_VALUE"""),"Продюсер")</f>
        <v>Продюсер</v>
      </c>
      <c r="U694" s="385"/>
      <c r="W694" s="384" t="str">
        <f>IFERROR(__xludf.DUMMYFUNCTION("""COMPUTED_VALUE"""),"Левша")</f>
        <v>Левша</v>
      </c>
      <c r="X694" s="385"/>
    </row>
    <row r="695">
      <c r="A695" s="384" t="s">
        <v>136</v>
      </c>
      <c r="B695" s="384" t="s">
        <v>271</v>
      </c>
      <c r="C695" s="389">
        <v>2.5</v>
      </c>
      <c r="D695" s="389">
        <v>4.0</v>
      </c>
      <c r="E695" s="384"/>
      <c r="F695" s="389"/>
      <c r="G695" s="389"/>
      <c r="T695" s="384" t="str">
        <f>IFERROR(__xludf.DUMMYFUNCTION("""COMPUTED_VALUE"""),"РФ")</f>
        <v>РФ</v>
      </c>
      <c r="U695" s="385"/>
      <c r="W695" s="384" t="str">
        <f>IFERROR(__xludf.DUMMYFUNCTION("""COMPUTED_VALUE"""),"Лисичка")</f>
        <v>Лисичка</v>
      </c>
      <c r="X695" s="385"/>
    </row>
    <row r="696">
      <c r="A696" s="384" t="s">
        <v>124</v>
      </c>
      <c r="B696" s="384" t="s">
        <v>269</v>
      </c>
      <c r="C696" s="389"/>
      <c r="D696" s="389">
        <v>1.75</v>
      </c>
      <c r="E696" s="384"/>
      <c r="F696" s="389"/>
      <c r="G696" s="389"/>
      <c r="T696" s="384" t="str">
        <f>IFERROR(__xludf.DUMMYFUNCTION("""COMPUTED_VALUE"""),"Старый")</f>
        <v>Старый</v>
      </c>
      <c r="U696" s="385"/>
      <c r="W696" s="384" t="str">
        <f>IFERROR(__xludf.DUMMYFUNCTION("""COMPUTED_VALUE"""),"Маваши")</f>
        <v>Маваши</v>
      </c>
      <c r="X696" s="385"/>
    </row>
    <row r="697">
      <c r="A697" s="384" t="s">
        <v>138</v>
      </c>
      <c r="B697" s="384" t="s">
        <v>261</v>
      </c>
      <c r="C697" s="389">
        <v>2.5</v>
      </c>
      <c r="D697" s="389">
        <v>3.75</v>
      </c>
      <c r="E697" s="384"/>
      <c r="F697" s="389"/>
      <c r="G697" s="389"/>
      <c r="T697" s="384" t="str">
        <f>IFERROR(__xludf.DUMMYFUNCTION("""COMPUTED_VALUE"""),"СЭНСЭЙ")</f>
        <v>СЭНСЭЙ</v>
      </c>
      <c r="U697" s="385"/>
      <c r="W697" s="384" t="str">
        <f>IFERROR(__xludf.DUMMYFUNCTION("""COMPUTED_VALUE"""),"Манекен")</f>
        <v>Манекен</v>
      </c>
      <c r="X697" s="385"/>
    </row>
    <row r="698">
      <c r="A698" s="384" t="s">
        <v>99</v>
      </c>
      <c r="B698" s="384" t="s">
        <v>261</v>
      </c>
      <c r="C698" s="389">
        <v>2.5</v>
      </c>
      <c r="D698" s="389">
        <v>3.75</v>
      </c>
      <c r="E698" s="384"/>
      <c r="F698" s="389"/>
      <c r="G698" s="389"/>
      <c r="T698" s="384" t="str">
        <f>IFERROR(__xludf.DUMMYFUNCTION("""COMPUTED_VALUE"""),"Физик")</f>
        <v>Физик</v>
      </c>
      <c r="U698" s="385"/>
      <c r="W698" s="384" t="str">
        <f>IFERROR(__xludf.DUMMYFUNCTION("""COMPUTED_VALUE"""),"Марго")</f>
        <v>Марго</v>
      </c>
      <c r="X698" s="385"/>
    </row>
    <row r="699">
      <c r="A699" s="384" t="s">
        <v>118</v>
      </c>
      <c r="B699" s="384" t="s">
        <v>269</v>
      </c>
      <c r="C699" s="389"/>
      <c r="D699" s="389">
        <v>2.75</v>
      </c>
      <c r="E699" s="384"/>
      <c r="F699" s="389"/>
      <c r="G699" s="389"/>
      <c r="T699" s="384" t="str">
        <f>IFERROR(__xludf.DUMMYFUNCTION("""COMPUTED_VALUE"""),"Флэш")</f>
        <v>Флэш</v>
      </c>
      <c r="U699" s="385"/>
      <c r="W699" s="384" t="str">
        <f>IFERROR(__xludf.DUMMYFUNCTION("""COMPUTED_VALUE"""),"Ментик")</f>
        <v>Ментик</v>
      </c>
      <c r="X699" s="385"/>
    </row>
    <row r="700">
      <c r="A700" s="384" t="s">
        <v>128</v>
      </c>
      <c r="B700" s="384" t="s">
        <v>261</v>
      </c>
      <c r="C700" s="389">
        <v>2.5</v>
      </c>
      <c r="D700" s="389">
        <v>2.75</v>
      </c>
      <c r="E700" s="384" t="s">
        <v>11</v>
      </c>
      <c r="F700" s="389">
        <v>0.5</v>
      </c>
      <c r="G700" s="389">
        <v>0.5</v>
      </c>
      <c r="T700" s="384" t="str">
        <f>IFERROR(__xludf.DUMMYFUNCTION("""COMPUTED_VALUE"""),"Фокс")</f>
        <v>Фокс</v>
      </c>
      <c r="U700" s="385"/>
      <c r="W700" s="384" t="str">
        <f>IFERROR(__xludf.DUMMYFUNCTION("""COMPUTED_VALUE"""),"Наполеон")</f>
        <v>Наполеон</v>
      </c>
      <c r="X700" s="385"/>
    </row>
    <row r="701">
      <c r="A701" s="384" t="s">
        <v>153</v>
      </c>
      <c r="B701" s="384" t="s">
        <v>265</v>
      </c>
      <c r="C701" s="389"/>
      <c r="D701" s="389">
        <v>2.75</v>
      </c>
      <c r="E701" s="384"/>
      <c r="F701" s="389"/>
      <c r="G701" s="389"/>
      <c r="T701" s="384" t="str">
        <f>IFERROR(__xludf.DUMMYFUNCTION("""COMPUTED_VALUE"""),"Шоу Бой")</f>
        <v>Шоу Бой</v>
      </c>
      <c r="U701" s="385"/>
      <c r="W701" s="384" t="str">
        <f>IFERROR(__xludf.DUMMYFUNCTION("""COMPUTED_VALUE"""),"Панда из Руанды")</f>
        <v>Панда из Руанды</v>
      </c>
      <c r="X701" s="385"/>
    </row>
    <row r="702">
      <c r="A702" s="384" t="s">
        <v>169</v>
      </c>
      <c r="B702" s="384" t="s">
        <v>261</v>
      </c>
      <c r="C702" s="389">
        <v>2.5</v>
      </c>
      <c r="D702" s="389">
        <v>3.0</v>
      </c>
      <c r="E702" s="384"/>
      <c r="F702" s="389"/>
      <c r="G702" s="389"/>
      <c r="T702" s="384" t="str">
        <f>IFERROR(__xludf.DUMMYFUNCTION("""COMPUTED_VALUE"""),"Шпиц")</f>
        <v>Шпиц</v>
      </c>
      <c r="U702" s="385"/>
      <c r="W702" s="384" t="str">
        <f>IFERROR(__xludf.DUMMYFUNCTION("""COMPUTED_VALUE"""),"Писатель ")</f>
        <v>Писатель </v>
      </c>
      <c r="X702" s="385"/>
    </row>
    <row r="703">
      <c r="A703" s="384" t="s">
        <v>82</v>
      </c>
      <c r="B703" s="384" t="s">
        <v>261</v>
      </c>
      <c r="C703" s="389">
        <v>2.5</v>
      </c>
      <c r="D703" s="389">
        <v>2.5</v>
      </c>
      <c r="E703" s="384" t="s">
        <v>11</v>
      </c>
      <c r="F703" s="389"/>
      <c r="G703" s="389">
        <v>0.5</v>
      </c>
      <c r="T703" s="384" t="str">
        <f>IFERROR(__xludf.DUMMYFUNCTION("""COMPUTED_VALUE"""),"Юрия")</f>
        <v>Юрия</v>
      </c>
      <c r="U703" s="385"/>
      <c r="W703" s="384" t="str">
        <f>IFERROR(__xludf.DUMMYFUNCTION("""COMPUTED_VALUE"""),"Правда ")</f>
        <v>Правда </v>
      </c>
      <c r="X703" s="385"/>
    </row>
    <row r="704">
      <c r="A704" s="384" t="s">
        <v>153</v>
      </c>
      <c r="B704" s="384" t="s">
        <v>261</v>
      </c>
      <c r="C704" s="389">
        <v>2.5</v>
      </c>
      <c r="D704" s="389">
        <v>2.75</v>
      </c>
      <c r="E704" s="384"/>
      <c r="F704" s="389"/>
      <c r="G704" s="389"/>
      <c r="T704" s="384" t="str">
        <f>IFERROR(__xludf.DUMMYFUNCTION("""COMPUTED_VALUE"""),"A1 ")</f>
        <v>A1 </v>
      </c>
      <c r="U704" s="385"/>
      <c r="W704" s="384" t="str">
        <f>IFERROR(__xludf.DUMMYFUNCTION("""COMPUTED_VALUE"""),"Продюсер")</f>
        <v>Продюсер</v>
      </c>
      <c r="X704" s="385"/>
    </row>
    <row r="705">
      <c r="A705" s="384" t="s">
        <v>92</v>
      </c>
      <c r="B705" s="384" t="s">
        <v>261</v>
      </c>
      <c r="C705" s="389">
        <v>2.5</v>
      </c>
      <c r="D705" s="389">
        <v>3.75</v>
      </c>
      <c r="E705" s="384"/>
      <c r="F705" s="389"/>
      <c r="G705" s="389"/>
      <c r="T705" s="384" t="str">
        <f>IFERROR(__xludf.DUMMYFUNCTION("""COMPUTED_VALUE"""),"Alice ")</f>
        <v>Alice </v>
      </c>
      <c r="U705" s="385"/>
      <c r="W705" s="384" t="str">
        <f>IFERROR(__xludf.DUMMYFUNCTION("""COMPUTED_VALUE"""),"РФ")</f>
        <v>РФ</v>
      </c>
      <c r="X705" s="385"/>
    </row>
    <row r="706">
      <c r="A706" s="384" t="s">
        <v>104</v>
      </c>
      <c r="B706" s="384" t="s">
        <v>271</v>
      </c>
      <c r="C706" s="389">
        <v>2.5</v>
      </c>
      <c r="D706" s="389">
        <v>3.25</v>
      </c>
      <c r="E706" s="384"/>
      <c r="F706" s="389"/>
      <c r="G706" s="389"/>
      <c r="T706" s="384" t="str">
        <f>IFERROR(__xludf.DUMMYFUNCTION("""COMPUTED_VALUE"""),"Bublik")</f>
        <v>Bublik</v>
      </c>
      <c r="U706" s="385"/>
      <c r="W706" s="384" t="str">
        <f>IFERROR(__xludf.DUMMYFUNCTION("""COMPUTED_VALUE"""),"СЭНСЭЙ")</f>
        <v>СЭНСЭЙ</v>
      </c>
      <c r="X706" s="385"/>
    </row>
    <row r="707">
      <c r="A707" s="384" t="s">
        <v>120</v>
      </c>
      <c r="B707" s="384" t="s">
        <v>261</v>
      </c>
      <c r="C707" s="389">
        <v>2.5</v>
      </c>
      <c r="D707" s="389">
        <v>4.25</v>
      </c>
      <c r="E707" s="384"/>
      <c r="F707" s="389"/>
      <c r="G707" s="389"/>
      <c r="T707" s="384" t="str">
        <f>IFERROR(__xludf.DUMMYFUNCTION("""COMPUTED_VALUE"""),"BWDMoscow")</f>
        <v>BWDMoscow</v>
      </c>
      <c r="U707" s="385"/>
      <c r="W707" s="384" t="str">
        <f>IFERROR(__xludf.DUMMYFUNCTION("""COMPUTED_VALUE"""),"Coach")</f>
        <v>Coach</v>
      </c>
      <c r="X707" s="385"/>
    </row>
    <row r="708">
      <c r="A708" s="384" t="s">
        <v>87</v>
      </c>
      <c r="B708" s="384" t="s">
        <v>261</v>
      </c>
      <c r="C708" s="389">
        <v>2.5</v>
      </c>
      <c r="D708" s="389">
        <v>2.75</v>
      </c>
      <c r="E708" s="384"/>
      <c r="F708" s="389"/>
      <c r="G708" s="389"/>
      <c r="T708" s="384" t="str">
        <f>IFERROR(__xludf.DUMMYFUNCTION("""COMPUTED_VALUE"""),"Castor Troy ")</f>
        <v>Castor Troy </v>
      </c>
      <c r="U708" s="385"/>
      <c r="W708" s="384" t="str">
        <f>IFERROR(__xludf.DUMMYFUNCTION("""COMPUTED_VALUE"""),"Тихий закат")</f>
        <v>Тихий закат</v>
      </c>
      <c r="X708" s="385"/>
    </row>
    <row r="709">
      <c r="A709" s="384" t="s">
        <v>125</v>
      </c>
      <c r="B709" s="384" t="s">
        <v>265</v>
      </c>
      <c r="C709" s="389"/>
      <c r="D709" s="389">
        <v>1.25</v>
      </c>
      <c r="E709" s="384"/>
      <c r="F709" s="389"/>
      <c r="G709" s="389"/>
      <c r="T709" s="384" t="str">
        <f>IFERROR(__xludf.DUMMYFUNCTION("""COMPUTED_VALUE"""),"Cristo")</f>
        <v>Cristo</v>
      </c>
      <c r="U709" s="385"/>
      <c r="W709" s="384" t="str">
        <f>IFERROR(__xludf.DUMMYFUNCTION("""COMPUTED_VALUE"""),"Физик")</f>
        <v>Физик</v>
      </c>
      <c r="X709" s="385"/>
    </row>
    <row r="710">
      <c r="A710" s="384" t="s">
        <v>101</v>
      </c>
      <c r="B710" s="384" t="s">
        <v>261</v>
      </c>
      <c r="C710" s="389">
        <v>2.5</v>
      </c>
      <c r="D710" s="389">
        <v>3.0</v>
      </c>
      <c r="E710" s="384"/>
      <c r="F710" s="389"/>
      <c r="G710" s="389"/>
      <c r="T710" s="384" t="str">
        <f>IFERROR(__xludf.DUMMYFUNCTION("""COMPUTED_VALUE"""),"Curly")</f>
        <v>Curly</v>
      </c>
      <c r="U710" s="385"/>
      <c r="W710" s="384" t="str">
        <f>IFERROR(__xludf.DUMMYFUNCTION("""COMPUTED_VALUE"""),"Флэш")</f>
        <v>Флэш</v>
      </c>
      <c r="X710" s="385"/>
    </row>
    <row r="711">
      <c r="A711" s="384" t="s">
        <v>94</v>
      </c>
      <c r="B711" s="384" t="s">
        <v>269</v>
      </c>
      <c r="C711" s="389"/>
      <c r="D711" s="389">
        <v>2.25</v>
      </c>
      <c r="E711" s="384"/>
      <c r="F711" s="389"/>
      <c r="G711" s="389"/>
      <c r="T711" s="384" t="str">
        <f>IFERROR(__xludf.DUMMYFUNCTION("""COMPUTED_VALUE"""),"Helga")</f>
        <v>Helga</v>
      </c>
      <c r="U711" s="385"/>
      <c r="W711" s="384" t="str">
        <f>IFERROR(__xludf.DUMMYFUNCTION("""COMPUTED_VALUE"""),"Фокс")</f>
        <v>Фокс</v>
      </c>
      <c r="X711" s="385"/>
    </row>
    <row r="712">
      <c r="A712" s="384" t="s">
        <v>105</v>
      </c>
      <c r="B712" s="384" t="s">
        <v>269</v>
      </c>
      <c r="C712" s="389"/>
      <c r="D712" s="389">
        <v>1.5</v>
      </c>
      <c r="E712" s="384"/>
      <c r="F712" s="389"/>
      <c r="G712" s="389"/>
      <c r="T712" s="384" t="str">
        <f>IFERROR(__xludf.DUMMYFUNCTION("""COMPUTED_VALUE"""),"Infinity ")</f>
        <v>Infinity </v>
      </c>
      <c r="U712" s="385"/>
      <c r="W712" s="384" t="str">
        <f>IFERROR(__xludf.DUMMYFUNCTION("""COMPUTED_VALUE"""),"Шоу Бой")</f>
        <v>Шоу Бой</v>
      </c>
      <c r="X712" s="385"/>
    </row>
    <row r="713">
      <c r="A713" s="384" t="s">
        <v>82</v>
      </c>
      <c r="B713" s="384" t="s">
        <v>269</v>
      </c>
      <c r="C713" s="389">
        <v>2.5</v>
      </c>
      <c r="D713" s="389">
        <v>3.75</v>
      </c>
      <c r="E713" s="384" t="s">
        <v>260</v>
      </c>
      <c r="F713" s="389"/>
      <c r="G713" s="389"/>
      <c r="T713" s="384" t="str">
        <f>IFERROR(__xludf.DUMMYFUNCTION("""COMPUTED_VALUE"""),"Ketamin")</f>
        <v>Ketamin</v>
      </c>
      <c r="U713" s="385"/>
      <c r="W713" s="384" t="str">
        <f>IFERROR(__xludf.DUMMYFUNCTION("""COMPUTED_VALUE"""),"Юрия")</f>
        <v>Юрия</v>
      </c>
      <c r="X713" s="385"/>
    </row>
    <row r="714">
      <c r="A714" s="384" t="s">
        <v>153</v>
      </c>
      <c r="B714" s="384" t="s">
        <v>261</v>
      </c>
      <c r="C714" s="389"/>
      <c r="D714" s="389">
        <v>3.25</v>
      </c>
      <c r="E714" s="384"/>
      <c r="F714" s="389"/>
      <c r="G714" s="389"/>
      <c r="T714" s="384" t="str">
        <f>IFERROR(__xludf.DUMMYFUNCTION("""COMPUTED_VALUE"""),"Morti")</f>
        <v>Morti</v>
      </c>
      <c r="U714" s="385"/>
      <c r="W714" s="384" t="str">
        <f>IFERROR(__xludf.DUMMYFUNCTION("""COMPUTED_VALUE"""),"A1 ")</f>
        <v>A1 </v>
      </c>
      <c r="X714" s="385"/>
    </row>
    <row r="715">
      <c r="A715" s="384" t="s">
        <v>92</v>
      </c>
      <c r="B715" s="384" t="s">
        <v>265</v>
      </c>
      <c r="C715" s="389">
        <v>2.5</v>
      </c>
      <c r="D715" s="389">
        <v>3.0</v>
      </c>
      <c r="E715" s="384"/>
      <c r="F715" s="389"/>
      <c r="G715" s="389"/>
      <c r="T715" s="384" t="str">
        <f>IFERROR(__xludf.DUMMYFUNCTION("""COMPUTED_VALUE"""),"MSR")</f>
        <v>MSR</v>
      </c>
      <c r="U715" s="385"/>
      <c r="W715" s="384" t="str">
        <f>IFERROR(__xludf.DUMMYFUNCTION("""COMPUTED_VALUE"""),"Alice ")</f>
        <v>Alice </v>
      </c>
      <c r="X715" s="385"/>
    </row>
    <row r="716">
      <c r="A716" s="384" t="s">
        <v>104</v>
      </c>
      <c r="B716" s="384" t="s">
        <v>271</v>
      </c>
      <c r="C716" s="389"/>
      <c r="D716" s="389">
        <v>2.0</v>
      </c>
      <c r="E716" s="384" t="s">
        <v>263</v>
      </c>
      <c r="F716" s="389"/>
      <c r="G716" s="389"/>
      <c r="T716" s="384" t="str">
        <f>IFERROR(__xludf.DUMMYFUNCTION("""COMPUTED_VALUE"""),"Rocket woman ")</f>
        <v>Rocket woman </v>
      </c>
      <c r="U716" s="385"/>
      <c r="W716" s="384" t="str">
        <f>IFERROR(__xludf.DUMMYFUNCTION("""COMPUTED_VALUE"""),"Bublik")</f>
        <v>Bublik</v>
      </c>
      <c r="X716" s="385"/>
    </row>
    <row r="717">
      <c r="A717" s="384" t="s">
        <v>120</v>
      </c>
      <c r="B717" s="384" t="s">
        <v>261</v>
      </c>
      <c r="C717" s="389"/>
      <c r="D717" s="389">
        <v>1.75</v>
      </c>
      <c r="E717" s="384"/>
      <c r="F717" s="389"/>
      <c r="G717" s="389"/>
      <c r="T717" s="384" t="str">
        <f>IFERROR(__xludf.DUMMYFUNCTION("""COMPUTED_VALUE"""),"SCHOKK ")</f>
        <v>SCHOKK </v>
      </c>
      <c r="U717" s="385"/>
      <c r="W717" s="384" t="str">
        <f>IFERROR(__xludf.DUMMYFUNCTION("""COMPUTED_VALUE"""),"BWDMoscow")</f>
        <v>BWDMoscow</v>
      </c>
      <c r="X717" s="385"/>
    </row>
    <row r="718">
      <c r="A718" s="384" t="s">
        <v>87</v>
      </c>
      <c r="B718" s="384" t="s">
        <v>261</v>
      </c>
      <c r="C718" s="389"/>
      <c r="D718" s="389">
        <v>2.25</v>
      </c>
      <c r="E718" s="384" t="s">
        <v>11</v>
      </c>
      <c r="F718" s="389"/>
      <c r="G718" s="389">
        <v>0.5</v>
      </c>
      <c r="T718" s="384" t="str">
        <f>IFERROR(__xludf.DUMMYFUNCTION("""COMPUTED_VALUE"""),"SOVEST")</f>
        <v>SOVEST</v>
      </c>
      <c r="U718" s="385"/>
      <c r="W718" s="384" t="str">
        <f>IFERROR(__xludf.DUMMYFUNCTION("""COMPUTED_VALUE"""),"Castor Troy ")</f>
        <v>Castor Troy </v>
      </c>
      <c r="X718" s="385"/>
    </row>
    <row r="719">
      <c r="A719" s="384" t="s">
        <v>125</v>
      </c>
      <c r="B719" s="384" t="s">
        <v>261</v>
      </c>
      <c r="C719" s="389"/>
      <c r="D719" s="389">
        <v>3.25</v>
      </c>
      <c r="E719" s="384"/>
      <c r="F719" s="389"/>
      <c r="G719" s="389"/>
      <c r="T719" s="384" t="str">
        <f>IFERROR(__xludf.DUMMYFUNCTION("""COMPUTED_VALUE"""),"Stacy")</f>
        <v>Stacy</v>
      </c>
      <c r="U719" s="385"/>
      <c r="W719" s="384" t="str">
        <f>IFERROR(__xludf.DUMMYFUNCTION("""COMPUTED_VALUE"""),"Cristo")</f>
        <v>Cristo</v>
      </c>
      <c r="X719" s="385"/>
    </row>
    <row r="720">
      <c r="A720" s="384" t="s">
        <v>101</v>
      </c>
      <c r="B720" s="384" t="s">
        <v>261</v>
      </c>
      <c r="C720" s="389"/>
      <c r="D720" s="389">
        <v>1.75</v>
      </c>
      <c r="E720" s="384" t="s">
        <v>263</v>
      </c>
      <c r="F720" s="389"/>
      <c r="G720" s="389"/>
      <c r="T720" s="384" t="str">
        <f>IFERROR(__xludf.DUMMYFUNCTION("""COMPUTED_VALUE"""),"WhoIsWho")</f>
        <v>WhoIsWho</v>
      </c>
      <c r="U720" s="385"/>
      <c r="W720" s="384" t="str">
        <f>IFERROR(__xludf.DUMMYFUNCTION("""COMPUTED_VALUE"""),"GALAY")</f>
        <v>GALAY</v>
      </c>
      <c r="X720" s="385"/>
    </row>
    <row r="721">
      <c r="A721" s="384" t="s">
        <v>94</v>
      </c>
      <c r="B721" s="384" t="s">
        <v>269</v>
      </c>
      <c r="C721" s="389">
        <v>2.5</v>
      </c>
      <c r="D721" s="389">
        <v>2.5</v>
      </c>
      <c r="E721" s="384"/>
      <c r="F721" s="389"/>
      <c r="G721" s="389"/>
      <c r="T721" s="384" t="str">
        <f>IFERROR(__xludf.DUMMYFUNCTION("""COMPUTED_VALUE"""),"Young")</f>
        <v>Young</v>
      </c>
      <c r="U721" s="385"/>
      <c r="W721" s="384" t="str">
        <f>IFERROR(__xludf.DUMMYFUNCTION("""COMPUTED_VALUE"""),"Helga")</f>
        <v>Helga</v>
      </c>
      <c r="X721" s="385"/>
    </row>
    <row r="722">
      <c r="A722" s="384" t="s">
        <v>105</v>
      </c>
      <c r="B722" s="384" t="s">
        <v>261</v>
      </c>
      <c r="C722" s="389"/>
      <c r="D722" s="389">
        <v>3.0</v>
      </c>
      <c r="E722" s="384"/>
      <c r="F722" s="389"/>
      <c r="G722" s="389"/>
      <c r="T722" s="384" t="str">
        <f>IFERROR(__xludf.DUMMYFUNCTION("QUERY('Турнирная таблица по Алфавиту'!C7:BG66,""select C,AG order by AG desc"")"),"Артик")</f>
        <v>Артик</v>
      </c>
      <c r="U722" s="385">
        <f>IFERROR(__xludf.DUMMYFUNCTION("""COMPUTED_VALUE"""),29.25)</f>
        <v>29.25</v>
      </c>
      <c r="W722" s="384" t="str">
        <f>IFERROR(__xludf.DUMMYFUNCTION("""COMPUTED_VALUE"""),"Infinity ")</f>
        <v>Infinity </v>
      </c>
      <c r="X722" s="385"/>
    </row>
    <row r="723">
      <c r="A723" s="384" t="s">
        <v>82</v>
      </c>
      <c r="B723" s="384" t="s">
        <v>271</v>
      </c>
      <c r="C723" s="389">
        <v>2.5</v>
      </c>
      <c r="D723" s="389">
        <v>2.75</v>
      </c>
      <c r="E723" s="384" t="s">
        <v>11</v>
      </c>
      <c r="F723" s="389">
        <v>0.5</v>
      </c>
      <c r="G723" s="389">
        <v>1.0</v>
      </c>
      <c r="T723" s="384" t="str">
        <f>IFERROR(__xludf.DUMMYFUNCTION("""COMPUTED_VALUE"""),"Градиент")</f>
        <v>Градиент</v>
      </c>
      <c r="U723" s="385">
        <f>IFERROR(__xludf.DUMMYFUNCTION("""COMPUTED_VALUE"""),28.5)</f>
        <v>28.5</v>
      </c>
      <c r="W723" s="384" t="str">
        <f>IFERROR(__xludf.DUMMYFUNCTION("""COMPUTED_VALUE"""),"Ketamin")</f>
        <v>Ketamin</v>
      </c>
      <c r="X723" s="385"/>
    </row>
    <row r="724">
      <c r="A724" s="384" t="s">
        <v>153</v>
      </c>
      <c r="B724" s="384" t="s">
        <v>261</v>
      </c>
      <c r="C724" s="389">
        <v>2.5</v>
      </c>
      <c r="D724" s="389">
        <v>3.0</v>
      </c>
      <c r="E724" s="384" t="s">
        <v>260</v>
      </c>
      <c r="F724" s="389"/>
      <c r="G724" s="389"/>
      <c r="T724" s="384" t="str">
        <f>IFERROR(__xludf.DUMMYFUNCTION("""COMPUTED_VALUE"""),"Stacy")</f>
        <v>Stacy</v>
      </c>
      <c r="U724" s="385">
        <f>IFERROR(__xludf.DUMMYFUNCTION("""COMPUTED_VALUE"""),27.75)</f>
        <v>27.75</v>
      </c>
      <c r="W724" s="384" t="str">
        <f>IFERROR(__xludf.DUMMYFUNCTION("""COMPUTED_VALUE"""),"Light")</f>
        <v>Light</v>
      </c>
      <c r="X724" s="385"/>
    </row>
    <row r="725">
      <c r="A725" s="384" t="s">
        <v>92</v>
      </c>
      <c r="B725" s="384" t="s">
        <v>261</v>
      </c>
      <c r="C725" s="389">
        <v>2.5</v>
      </c>
      <c r="D725" s="389">
        <v>3.0</v>
      </c>
      <c r="E725" s="384"/>
      <c r="F725" s="389"/>
      <c r="G725" s="389"/>
      <c r="T725" s="384" t="str">
        <f>IFERROR(__xludf.DUMMYFUNCTION("""COMPUTED_VALUE"""),"Curly")</f>
        <v>Curly</v>
      </c>
      <c r="U725" s="385">
        <f>IFERROR(__xludf.DUMMYFUNCTION("""COMPUTED_VALUE"""),25.25)</f>
        <v>25.25</v>
      </c>
      <c r="W725" s="384" t="str">
        <f>IFERROR(__xludf.DUMMYFUNCTION("""COMPUTED_VALUE"""),"Morti")</f>
        <v>Morti</v>
      </c>
      <c r="X725" s="385"/>
    </row>
    <row r="726">
      <c r="A726" s="384" t="s">
        <v>104</v>
      </c>
      <c r="B726" s="384" t="s">
        <v>261</v>
      </c>
      <c r="C726" s="389">
        <v>2.5</v>
      </c>
      <c r="D726" s="389">
        <v>2.75</v>
      </c>
      <c r="E726" s="384" t="s">
        <v>260</v>
      </c>
      <c r="F726" s="389"/>
      <c r="G726" s="389"/>
      <c r="T726" s="384" t="str">
        <f>IFERROR(__xludf.DUMMYFUNCTION("""COMPUTED_VALUE"""),"Young")</f>
        <v>Young</v>
      </c>
      <c r="U726" s="385">
        <f>IFERROR(__xludf.DUMMYFUNCTION("""COMPUTED_VALUE"""),23.75)</f>
        <v>23.75</v>
      </c>
      <c r="W726" s="384" t="str">
        <f>IFERROR(__xludf.DUMMYFUNCTION("""COMPUTED_VALUE"""),"NLIP")</f>
        <v>NLIP</v>
      </c>
      <c r="X726" s="385"/>
    </row>
    <row r="727">
      <c r="A727" s="384" t="s">
        <v>120</v>
      </c>
      <c r="B727" s="384" t="s">
        <v>261</v>
      </c>
      <c r="C727" s="389">
        <v>2.5</v>
      </c>
      <c r="D727" s="389">
        <v>3.25</v>
      </c>
      <c r="E727" s="384"/>
      <c r="F727" s="389"/>
      <c r="G727" s="389"/>
      <c r="T727" s="384" t="str">
        <f>IFERROR(__xludf.DUMMYFUNCTION("""COMPUTED_VALUE"""),"Марго")</f>
        <v>Марго</v>
      </c>
      <c r="U727" s="385">
        <f>IFERROR(__xludf.DUMMYFUNCTION("""COMPUTED_VALUE"""),23.0)</f>
        <v>23</v>
      </c>
      <c r="W727" s="384" t="str">
        <f>IFERROR(__xludf.DUMMYFUNCTION("""COMPUTED_VALUE"""),"SCHOKK ")</f>
        <v>SCHOKK </v>
      </c>
      <c r="X727" s="385"/>
    </row>
    <row r="728">
      <c r="A728" s="384" t="s">
        <v>87</v>
      </c>
      <c r="B728" s="384" t="s">
        <v>269</v>
      </c>
      <c r="C728" s="389"/>
      <c r="D728" s="389">
        <v>2.5</v>
      </c>
      <c r="E728" s="384"/>
      <c r="F728" s="389"/>
      <c r="G728" s="389"/>
      <c r="T728" s="384" t="str">
        <f>IFERROR(__xludf.DUMMYFUNCTION("""COMPUTED_VALUE"""),"A1 ")</f>
        <v>A1 </v>
      </c>
      <c r="U728" s="385">
        <f>IFERROR(__xludf.DUMMYFUNCTION("""COMPUTED_VALUE"""),19.75)</f>
        <v>19.75</v>
      </c>
      <c r="W728" s="384" t="str">
        <f>IFERROR(__xludf.DUMMYFUNCTION("""COMPUTED_VALUE"""),"SOVEST")</f>
        <v>SOVEST</v>
      </c>
      <c r="X728" s="385"/>
    </row>
    <row r="729">
      <c r="A729" s="384" t="s">
        <v>125</v>
      </c>
      <c r="B729" s="384" t="s">
        <v>261</v>
      </c>
      <c r="C729" s="389">
        <v>2.5</v>
      </c>
      <c r="D729" s="389">
        <v>3.25</v>
      </c>
      <c r="E729" s="384" t="s">
        <v>260</v>
      </c>
      <c r="F729" s="389"/>
      <c r="G729" s="389"/>
      <c r="T729" s="384" t="str">
        <f>IFERROR(__xludf.DUMMYFUNCTION("""COMPUTED_VALUE"""),"Ketamin")</f>
        <v>Ketamin</v>
      </c>
      <c r="U729" s="385">
        <f>IFERROR(__xludf.DUMMYFUNCTION("""COMPUTED_VALUE"""),19.5)</f>
        <v>19.5</v>
      </c>
      <c r="W729" s="384" t="str">
        <f>IFERROR(__xludf.DUMMYFUNCTION("""COMPUTED_VALUE"""),"Stacy")</f>
        <v>Stacy</v>
      </c>
      <c r="X729" s="385"/>
    </row>
    <row r="730">
      <c r="A730" s="384" t="s">
        <v>101</v>
      </c>
      <c r="B730" s="384" t="s">
        <v>265</v>
      </c>
      <c r="C730" s="389"/>
      <c r="D730" s="389">
        <v>2.5</v>
      </c>
      <c r="E730" s="384" t="s">
        <v>263</v>
      </c>
      <c r="F730" s="389"/>
      <c r="G730" s="389"/>
      <c r="T730" s="384" t="str">
        <f>IFERROR(__xludf.DUMMYFUNCTION("""COMPUTED_VALUE"""),"Тихий закат")</f>
        <v>Тихий закат</v>
      </c>
      <c r="U730" s="385">
        <f>IFERROR(__xludf.DUMMYFUNCTION("""COMPUTED_VALUE"""),18.75)</f>
        <v>18.75</v>
      </c>
      <c r="W730" s="384" t="str">
        <f>IFERROR(__xludf.DUMMYFUNCTION("""COMPUTED_VALUE"""),"WhoIsWho")</f>
        <v>WhoIsWho</v>
      </c>
      <c r="X730" s="385"/>
    </row>
    <row r="731">
      <c r="A731" s="384" t="s">
        <v>94</v>
      </c>
      <c r="B731" s="384" t="s">
        <v>261</v>
      </c>
      <c r="C731" s="389">
        <v>2.5</v>
      </c>
      <c r="D731" s="389">
        <v>2.0</v>
      </c>
      <c r="E731" s="384"/>
      <c r="F731" s="389"/>
      <c r="G731" s="389"/>
      <c r="T731" s="384" t="str">
        <f>IFERROR(__xludf.DUMMYFUNCTION("""COMPUTED_VALUE"""),"GALAY")</f>
        <v>GALAY</v>
      </c>
      <c r="U731" s="385">
        <f>IFERROR(__xludf.DUMMYFUNCTION("""COMPUTED_VALUE"""),18.25)</f>
        <v>18.25</v>
      </c>
      <c r="W731" s="384" t="str">
        <f>IFERROR(__xludf.DUMMYFUNCTION("""COMPUTED_VALUE"""),"Young")</f>
        <v>Young</v>
      </c>
      <c r="X731" s="385"/>
    </row>
    <row r="732">
      <c r="A732" s="384" t="s">
        <v>105</v>
      </c>
      <c r="B732" s="384" t="s">
        <v>269</v>
      </c>
      <c r="C732" s="389"/>
      <c r="D732" s="389">
        <v>2.0</v>
      </c>
      <c r="E732" s="384"/>
      <c r="F732" s="389"/>
      <c r="G732" s="389"/>
      <c r="T732" s="384" t="str">
        <f>IFERROR(__xludf.DUMMYFUNCTION("""COMPUTED_VALUE"""),"Авраам")</f>
        <v>Авраам</v>
      </c>
      <c r="U732" s="385"/>
      <c r="W732" s="384" t="str">
        <f>IFERROR(__xludf.DUMMYFUNCTION("""COMPUTED_VALUE"""),"Авраам")</f>
        <v>Авраам</v>
      </c>
      <c r="X732" s="385"/>
    </row>
    <row r="733">
      <c r="A733" s="384" t="s">
        <v>82</v>
      </c>
      <c r="B733" s="384" t="s">
        <v>261</v>
      </c>
      <c r="C733" s="389">
        <v>2.5</v>
      </c>
      <c r="D733" s="389">
        <v>4.0</v>
      </c>
      <c r="E733" s="384"/>
      <c r="F733" s="389"/>
      <c r="G733" s="389"/>
      <c r="T733" s="384" t="str">
        <f>IFERROR(__xludf.DUMMYFUNCTION("""COMPUTED_VALUE"""),"Админ")</f>
        <v>Админ</v>
      </c>
      <c r="U733" s="385"/>
      <c r="W733" s="384" t="str">
        <f>IFERROR(__xludf.DUMMYFUNCTION("""COMPUTED_VALUE"""),"Админ")</f>
        <v>Админ</v>
      </c>
      <c r="X733" s="385"/>
    </row>
    <row r="734">
      <c r="A734" s="384" t="s">
        <v>153</v>
      </c>
      <c r="B734" s="384" t="s">
        <v>261</v>
      </c>
      <c r="C734" s="389">
        <v>2.5</v>
      </c>
      <c r="D734" s="389">
        <v>3.5</v>
      </c>
      <c r="E734" s="384"/>
      <c r="F734" s="389"/>
      <c r="G734" s="389"/>
      <c r="T734" s="384" t="str">
        <f>IFERROR(__xludf.DUMMYFUNCTION("""COMPUTED_VALUE"""),"Андерсен")</f>
        <v>Андерсен</v>
      </c>
      <c r="U734" s="385"/>
      <c r="W734" s="384" t="str">
        <f>IFERROR(__xludf.DUMMYFUNCTION("""COMPUTED_VALUE"""),"Андерсен")</f>
        <v>Андерсен</v>
      </c>
      <c r="X734" s="385"/>
    </row>
    <row r="735">
      <c r="A735" s="384" t="s">
        <v>92</v>
      </c>
      <c r="B735" s="384" t="s">
        <v>261</v>
      </c>
      <c r="C735" s="389">
        <v>2.5</v>
      </c>
      <c r="D735" s="389">
        <v>3.75</v>
      </c>
      <c r="E735" s="384"/>
      <c r="F735" s="389"/>
      <c r="G735" s="389"/>
      <c r="T735" s="384" t="str">
        <f>IFERROR(__xludf.DUMMYFUNCTION("""COMPUTED_VALUE"""),"Астория")</f>
        <v>Астория</v>
      </c>
      <c r="U735" s="385"/>
      <c r="W735" s="384" t="str">
        <f>IFERROR(__xludf.DUMMYFUNCTION("""COMPUTED_VALUE"""),"Артик")</f>
        <v>Артик</v>
      </c>
      <c r="X735" s="385"/>
    </row>
    <row r="736">
      <c r="A736" s="384" t="s">
        <v>104</v>
      </c>
      <c r="B736" s="384" t="s">
        <v>261</v>
      </c>
      <c r="C736" s="389">
        <v>2.5</v>
      </c>
      <c r="D736" s="389">
        <v>3.25</v>
      </c>
      <c r="E736" s="384"/>
      <c r="F736" s="389"/>
      <c r="G736" s="389"/>
      <c r="T736" s="384" t="str">
        <f>IFERROR(__xludf.DUMMYFUNCTION("""COMPUTED_VALUE"""),"Аш")</f>
        <v>Аш</v>
      </c>
      <c r="U736" s="385"/>
      <c r="W736" s="384" t="str">
        <f>IFERROR(__xludf.DUMMYFUNCTION("""COMPUTED_VALUE"""),"Астория")</f>
        <v>Астория</v>
      </c>
      <c r="X736" s="385"/>
    </row>
    <row r="737">
      <c r="A737" s="384" t="s">
        <v>120</v>
      </c>
      <c r="B737" s="384" t="s">
        <v>271</v>
      </c>
      <c r="C737" s="389">
        <v>2.5</v>
      </c>
      <c r="D737" s="389">
        <v>2.75</v>
      </c>
      <c r="E737" s="384"/>
      <c r="F737" s="389"/>
      <c r="G737" s="389"/>
      <c r="T737" s="384" t="str">
        <f>IFERROR(__xludf.DUMMYFUNCTION("""COMPUTED_VALUE"""),"Бамблби")</f>
        <v>Бамблби</v>
      </c>
      <c r="U737" s="385"/>
      <c r="W737" s="384" t="str">
        <f>IFERROR(__xludf.DUMMYFUNCTION("""COMPUTED_VALUE"""),"Аш")</f>
        <v>Аш</v>
      </c>
      <c r="X737" s="385"/>
    </row>
    <row r="738">
      <c r="A738" s="384" t="s">
        <v>87</v>
      </c>
      <c r="B738" s="384" t="s">
        <v>269</v>
      </c>
      <c r="C738" s="389"/>
      <c r="D738" s="389">
        <v>2.0</v>
      </c>
      <c r="E738" s="384"/>
      <c r="F738" s="389"/>
      <c r="G738" s="389"/>
      <c r="T738" s="384" t="str">
        <f>IFERROR(__xludf.DUMMYFUNCTION("""COMPUTED_VALUE"""),"Волга")</f>
        <v>Волга</v>
      </c>
      <c r="U738" s="385"/>
      <c r="W738" s="384" t="str">
        <f>IFERROR(__xludf.DUMMYFUNCTION("""COMPUTED_VALUE"""),"Бамблби")</f>
        <v>Бамблби</v>
      </c>
      <c r="X738" s="385"/>
    </row>
    <row r="739">
      <c r="A739" s="384" t="s">
        <v>125</v>
      </c>
      <c r="B739" s="384" t="s">
        <v>261</v>
      </c>
      <c r="C739" s="389">
        <v>2.5</v>
      </c>
      <c r="D739" s="389">
        <v>2.0</v>
      </c>
      <c r="E739" s="384"/>
      <c r="F739" s="389"/>
      <c r="G739" s="389"/>
      <c r="T739" s="384" t="str">
        <f>IFERROR(__xludf.DUMMYFUNCTION("""COMPUTED_VALUE"""),"Дровосек")</f>
        <v>Дровосек</v>
      </c>
      <c r="U739" s="385"/>
      <c r="W739" s="384" t="str">
        <f>IFERROR(__xludf.DUMMYFUNCTION("""COMPUTED_VALUE"""),"Волга")</f>
        <v>Волга</v>
      </c>
      <c r="X739" s="385"/>
    </row>
    <row r="740">
      <c r="A740" s="384" t="s">
        <v>101</v>
      </c>
      <c r="B740" s="384" t="s">
        <v>261</v>
      </c>
      <c r="C740" s="389">
        <v>2.5</v>
      </c>
      <c r="D740" s="389">
        <v>2.25</v>
      </c>
      <c r="E740" s="384" t="s">
        <v>11</v>
      </c>
      <c r="F740" s="389"/>
      <c r="G740" s="389">
        <v>0.5</v>
      </c>
      <c r="T740" s="384" t="str">
        <f>IFERROR(__xludf.DUMMYFUNCTION("""COMPUTED_VALUE"""),"Зверюга")</f>
        <v>Зверюга</v>
      </c>
      <c r="U740" s="385"/>
      <c r="W740" s="384" t="str">
        <f>IFERROR(__xludf.DUMMYFUNCTION("""COMPUTED_VALUE"""),"Градиент")</f>
        <v>Градиент</v>
      </c>
      <c r="X740" s="385"/>
    </row>
    <row r="741">
      <c r="A741" s="384" t="s">
        <v>94</v>
      </c>
      <c r="B741" s="384" t="s">
        <v>269</v>
      </c>
      <c r="C741" s="389"/>
      <c r="D741" s="389">
        <v>2.25</v>
      </c>
      <c r="E741" s="384"/>
      <c r="F741" s="389"/>
      <c r="G741" s="389"/>
      <c r="T741" s="384" t="str">
        <f>IFERROR(__xludf.DUMMYFUNCTION("""COMPUTED_VALUE"""),"Инсомнич")</f>
        <v>Инсомнич</v>
      </c>
      <c r="U741" s="385"/>
      <c r="W741" s="384" t="str">
        <f>IFERROR(__xludf.DUMMYFUNCTION("""COMPUTED_VALUE"""),"Дровосек")</f>
        <v>Дровосек</v>
      </c>
      <c r="X741" s="385"/>
    </row>
    <row r="742">
      <c r="A742" s="384" t="s">
        <v>105</v>
      </c>
      <c r="B742" s="384" t="s">
        <v>265</v>
      </c>
      <c r="C742" s="389"/>
      <c r="D742" s="389">
        <v>2.0</v>
      </c>
      <c r="E742" s="384"/>
      <c r="F742" s="389"/>
      <c r="G742" s="389"/>
      <c r="T742" s="384" t="str">
        <f>IFERROR(__xludf.DUMMYFUNCTION("""COMPUTED_VALUE"""),"Красавчик")</f>
        <v>Красавчик</v>
      </c>
      <c r="U742" s="385"/>
      <c r="W742" s="384" t="str">
        <f>IFERROR(__xludf.DUMMYFUNCTION("""COMPUTED_VALUE"""),"Крестный отец (BLR)")</f>
        <v>Крестный отец (BLR)</v>
      </c>
      <c r="X742" s="385"/>
    </row>
    <row r="743">
      <c r="A743" s="384" t="s">
        <v>82</v>
      </c>
      <c r="B743" s="384" t="s">
        <v>261</v>
      </c>
      <c r="C743" s="389"/>
      <c r="D743" s="389">
        <v>3.0</v>
      </c>
      <c r="E743" s="384"/>
      <c r="F743" s="389"/>
      <c r="G743" s="389"/>
      <c r="T743" s="384" t="str">
        <f>IFERROR(__xludf.DUMMYFUNCTION("""COMPUTED_VALUE"""),"Крестный отец (BLR)")</f>
        <v>Крестный отец (BLR)</v>
      </c>
      <c r="U743" s="385"/>
      <c r="W743" s="384" t="str">
        <f>IFERROR(__xludf.DUMMYFUNCTION("""COMPUTED_VALUE"""),"Крёстный Отец (RU)")</f>
        <v>Крёстный Отец (RU)</v>
      </c>
      <c r="X743" s="385"/>
    </row>
    <row r="744">
      <c r="A744" s="384" t="s">
        <v>153</v>
      </c>
      <c r="B744" s="384" t="s">
        <v>265</v>
      </c>
      <c r="C744" s="389">
        <v>2.5</v>
      </c>
      <c r="D744" s="389">
        <v>3.5</v>
      </c>
      <c r="E744" s="384"/>
      <c r="F744" s="389"/>
      <c r="G744" s="389"/>
      <c r="T744" s="384" t="str">
        <f>IFERROR(__xludf.DUMMYFUNCTION("""COMPUTED_VALUE"""),"Крёстный Отец (RU)")</f>
        <v>Крёстный Отец (RU)</v>
      </c>
      <c r="U744" s="385"/>
      <c r="W744" s="384" t="str">
        <f>IFERROR(__xludf.DUMMYFUNCTION("""COMPUTED_VALUE"""),"Крот")</f>
        <v>Крот</v>
      </c>
      <c r="X744" s="385"/>
    </row>
    <row r="745">
      <c r="A745" s="384" t="s">
        <v>92</v>
      </c>
      <c r="B745" s="384" t="s">
        <v>261</v>
      </c>
      <c r="C745" s="389"/>
      <c r="D745" s="389">
        <v>1.5</v>
      </c>
      <c r="E745" s="384"/>
      <c r="F745" s="389"/>
      <c r="G745" s="389"/>
      <c r="T745" s="384" t="str">
        <f>IFERROR(__xludf.DUMMYFUNCTION("""COMPUTED_VALUE"""),"Крот")</f>
        <v>Крот</v>
      </c>
      <c r="U745" s="385"/>
      <c r="W745" s="384" t="str">
        <f>IFERROR(__xludf.DUMMYFUNCTION("""COMPUTED_VALUE"""),"Левша")</f>
        <v>Левша</v>
      </c>
      <c r="X745" s="385"/>
    </row>
    <row r="746">
      <c r="A746" s="384" t="s">
        <v>104</v>
      </c>
      <c r="B746" s="384" t="s">
        <v>269</v>
      </c>
      <c r="C746" s="389">
        <v>2.5</v>
      </c>
      <c r="D746" s="389">
        <v>3.5</v>
      </c>
      <c r="E746" s="384"/>
      <c r="F746" s="389"/>
      <c r="G746" s="389"/>
      <c r="T746" s="384" t="str">
        <f>IFERROR(__xludf.DUMMYFUNCTION("""COMPUTED_VALUE"""),"Левша")</f>
        <v>Левша</v>
      </c>
      <c r="U746" s="385"/>
      <c r="W746" s="384" t="str">
        <f>IFERROR(__xludf.DUMMYFUNCTION("""COMPUTED_VALUE"""),"Лисичка")</f>
        <v>Лисичка</v>
      </c>
      <c r="X746" s="385"/>
    </row>
    <row r="747">
      <c r="A747" s="384" t="s">
        <v>120</v>
      </c>
      <c r="B747" s="384" t="s">
        <v>261</v>
      </c>
      <c r="C747" s="389"/>
      <c r="D747" s="389">
        <v>2.5</v>
      </c>
      <c r="E747" s="384" t="s">
        <v>11</v>
      </c>
      <c r="F747" s="389"/>
      <c r="G747" s="389">
        <v>0.5</v>
      </c>
      <c r="T747" s="384" t="str">
        <f>IFERROR(__xludf.DUMMYFUNCTION("""COMPUTED_VALUE"""),"Лисичка")</f>
        <v>Лисичка</v>
      </c>
      <c r="U747" s="385"/>
      <c r="W747" s="384" t="str">
        <f>IFERROR(__xludf.DUMMYFUNCTION("""COMPUTED_VALUE"""),"Маваши")</f>
        <v>Маваши</v>
      </c>
      <c r="X747" s="385"/>
    </row>
    <row r="748">
      <c r="A748" s="384" t="s">
        <v>87</v>
      </c>
      <c r="B748" s="384" t="s">
        <v>269</v>
      </c>
      <c r="C748" s="389">
        <v>2.5</v>
      </c>
      <c r="D748" s="389">
        <v>4.0</v>
      </c>
      <c r="E748" s="384"/>
      <c r="F748" s="389"/>
      <c r="G748" s="389"/>
      <c r="T748" s="384" t="str">
        <f>IFERROR(__xludf.DUMMYFUNCTION("""COMPUTED_VALUE"""),"Маваши")</f>
        <v>Маваши</v>
      </c>
      <c r="U748" s="385"/>
      <c r="W748" s="384" t="str">
        <f>IFERROR(__xludf.DUMMYFUNCTION("""COMPUTED_VALUE"""),"Манекен")</f>
        <v>Манекен</v>
      </c>
      <c r="X748" s="385"/>
    </row>
    <row r="749">
      <c r="A749" s="384" t="s">
        <v>125</v>
      </c>
      <c r="B749" s="384" t="s">
        <v>261</v>
      </c>
      <c r="C749" s="389"/>
      <c r="D749" s="389">
        <v>2.75</v>
      </c>
      <c r="E749" s="384"/>
      <c r="F749" s="389"/>
      <c r="G749" s="389"/>
      <c r="T749" s="384" t="str">
        <f>IFERROR(__xludf.DUMMYFUNCTION("""COMPUTED_VALUE"""),"Манекен")</f>
        <v>Манекен</v>
      </c>
      <c r="U749" s="385"/>
      <c r="W749" s="384" t="str">
        <f>IFERROR(__xludf.DUMMYFUNCTION("""COMPUTED_VALUE"""),"Марго")</f>
        <v>Марго</v>
      </c>
      <c r="X749" s="385"/>
    </row>
    <row r="750">
      <c r="A750" s="384" t="s">
        <v>101</v>
      </c>
      <c r="B750" s="384" t="s">
        <v>261</v>
      </c>
      <c r="C750" s="389"/>
      <c r="D750" s="389">
        <v>1.75</v>
      </c>
      <c r="E750" s="384"/>
      <c r="F750" s="389"/>
      <c r="G750" s="389"/>
      <c r="T750" s="384" t="str">
        <f>IFERROR(__xludf.DUMMYFUNCTION("""COMPUTED_VALUE"""),"Ментик")</f>
        <v>Ментик</v>
      </c>
      <c r="U750" s="385"/>
      <c r="W750" s="384" t="str">
        <f>IFERROR(__xludf.DUMMYFUNCTION("""COMPUTED_VALUE"""),"Ментик")</f>
        <v>Ментик</v>
      </c>
      <c r="X750" s="385"/>
    </row>
    <row r="751">
      <c r="A751" s="384" t="s">
        <v>94</v>
      </c>
      <c r="B751" s="384" t="s">
        <v>261</v>
      </c>
      <c r="C751" s="389"/>
      <c r="D751" s="389">
        <v>2.5</v>
      </c>
      <c r="E751" s="384"/>
      <c r="F751" s="389"/>
      <c r="G751" s="389"/>
      <c r="T751" s="384" t="str">
        <f>IFERROR(__xludf.DUMMYFUNCTION("""COMPUTED_VALUE"""),"Мишель ")</f>
        <v>Мишель </v>
      </c>
      <c r="U751" s="385"/>
      <c r="W751" s="384" t="str">
        <f>IFERROR(__xludf.DUMMYFUNCTION("""COMPUTED_VALUE"""),"Мишель ")</f>
        <v>Мишель </v>
      </c>
      <c r="X751" s="385"/>
    </row>
    <row r="752">
      <c r="A752" s="384" t="s">
        <v>105</v>
      </c>
      <c r="B752" s="384" t="s">
        <v>271</v>
      </c>
      <c r="C752" s="389"/>
      <c r="D752" s="389">
        <v>2.25</v>
      </c>
      <c r="E752" s="384"/>
      <c r="F752" s="389"/>
      <c r="G752" s="389"/>
      <c r="T752" s="384" t="str">
        <f>IFERROR(__xludf.DUMMYFUNCTION("""COMPUTED_VALUE"""),"Наполеон")</f>
        <v>Наполеон</v>
      </c>
      <c r="U752" s="385"/>
      <c r="W752" s="384" t="str">
        <f>IFERROR(__xludf.DUMMYFUNCTION("""COMPUTED_VALUE"""),"Наполеон")</f>
        <v>Наполеон</v>
      </c>
      <c r="X752" s="385"/>
    </row>
    <row r="753">
      <c r="A753" s="384" t="s">
        <v>110</v>
      </c>
      <c r="B753" s="384" t="s">
        <v>261</v>
      </c>
      <c r="C753" s="389">
        <v>2.5</v>
      </c>
      <c r="D753" s="389">
        <v>3.25</v>
      </c>
      <c r="E753" s="384"/>
      <c r="F753" s="389"/>
      <c r="G753" s="389"/>
      <c r="T753" s="384" t="str">
        <f>IFERROR(__xludf.DUMMYFUNCTION("""COMPUTED_VALUE"""),"Панда из Руанды")</f>
        <v>Панда из Руанды</v>
      </c>
      <c r="U753" s="385"/>
      <c r="W753" s="384" t="str">
        <f>IFERROR(__xludf.DUMMYFUNCTION("""COMPUTED_VALUE"""),"Писатель ")</f>
        <v>Писатель </v>
      </c>
      <c r="X753" s="385"/>
    </row>
    <row r="754">
      <c r="A754" s="384" t="s">
        <v>153</v>
      </c>
      <c r="B754" s="384" t="s">
        <v>265</v>
      </c>
      <c r="C754" s="389"/>
      <c r="D754" s="389">
        <v>3.0</v>
      </c>
      <c r="E754" s="384"/>
      <c r="F754" s="389"/>
      <c r="G754" s="389"/>
      <c r="T754" s="384" t="str">
        <f>IFERROR(__xludf.DUMMYFUNCTION("""COMPUTED_VALUE"""),"Писатель ")</f>
        <v>Писатель </v>
      </c>
      <c r="U754" s="385"/>
      <c r="W754" s="384" t="str">
        <f>IFERROR(__xludf.DUMMYFUNCTION("""COMPUTED_VALUE"""),"Правда ")</f>
        <v>Правда </v>
      </c>
      <c r="X754" s="385"/>
    </row>
    <row r="755">
      <c r="A755" s="384" t="s">
        <v>96</v>
      </c>
      <c r="B755" s="384" t="s">
        <v>271</v>
      </c>
      <c r="C755" s="389">
        <v>2.5</v>
      </c>
      <c r="D755" s="389">
        <v>3.75</v>
      </c>
      <c r="E755" s="384"/>
      <c r="F755" s="389"/>
      <c r="G755" s="389"/>
      <c r="T755" s="384" t="str">
        <f>IFERROR(__xludf.DUMMYFUNCTION("""COMPUTED_VALUE"""),"Правда ")</f>
        <v>Правда </v>
      </c>
      <c r="U755" s="385"/>
      <c r="W755" s="384" t="str">
        <f>IFERROR(__xludf.DUMMYFUNCTION("""COMPUTED_VALUE"""),"Продюсер")</f>
        <v>Продюсер</v>
      </c>
      <c r="X755" s="385"/>
    </row>
    <row r="756">
      <c r="A756" s="384" t="s">
        <v>104</v>
      </c>
      <c r="B756" s="384" t="s">
        <v>261</v>
      </c>
      <c r="C756" s="389">
        <v>2.5</v>
      </c>
      <c r="D756" s="389">
        <v>2.0</v>
      </c>
      <c r="E756" s="384"/>
      <c r="F756" s="389"/>
      <c r="G756" s="389"/>
      <c r="T756" s="384" t="str">
        <f>IFERROR(__xludf.DUMMYFUNCTION("""COMPUTED_VALUE"""),"Продюсер")</f>
        <v>Продюсер</v>
      </c>
      <c r="U756" s="385"/>
      <c r="W756" s="384" t="str">
        <f>IFERROR(__xludf.DUMMYFUNCTION("""COMPUTED_VALUE"""),"Старый")</f>
        <v>Старый</v>
      </c>
      <c r="X756" s="385"/>
    </row>
    <row r="757">
      <c r="A757" s="384" t="s">
        <v>113</v>
      </c>
      <c r="B757" s="384" t="s">
        <v>261</v>
      </c>
      <c r="C757" s="389">
        <v>2.5</v>
      </c>
      <c r="D757" s="389">
        <v>3.5</v>
      </c>
      <c r="E757" s="384"/>
      <c r="F757" s="389"/>
      <c r="G757" s="389"/>
      <c r="T757" s="384" t="str">
        <f>IFERROR(__xludf.DUMMYFUNCTION("""COMPUTED_VALUE"""),"РФ")</f>
        <v>РФ</v>
      </c>
      <c r="U757" s="385"/>
      <c r="W757" s="384" t="str">
        <f>IFERROR(__xludf.DUMMYFUNCTION("""COMPUTED_VALUE"""),"СЭНСЭЙ")</f>
        <v>СЭНСЭЙ</v>
      </c>
      <c r="X757" s="385"/>
    </row>
    <row r="758">
      <c r="A758" s="384" t="s">
        <v>79</v>
      </c>
      <c r="B758" s="384" t="s">
        <v>261</v>
      </c>
      <c r="C758" s="389">
        <v>2.5</v>
      </c>
      <c r="D758" s="389">
        <v>2.5</v>
      </c>
      <c r="E758" s="384" t="s">
        <v>11</v>
      </c>
      <c r="F758" s="389"/>
      <c r="G758" s="389">
        <v>0.5</v>
      </c>
      <c r="T758" s="384" t="str">
        <f>IFERROR(__xludf.DUMMYFUNCTION("""COMPUTED_VALUE"""),"Старый")</f>
        <v>Старый</v>
      </c>
      <c r="U758" s="385"/>
      <c r="W758" s="384" t="str">
        <f>IFERROR(__xludf.DUMMYFUNCTION("""COMPUTED_VALUE"""),"Тихий закат")</f>
        <v>Тихий закат</v>
      </c>
      <c r="X758" s="385"/>
    </row>
    <row r="759">
      <c r="A759" s="384" t="s">
        <v>99</v>
      </c>
      <c r="B759" s="384" t="s">
        <v>269</v>
      </c>
      <c r="C759" s="389"/>
      <c r="D759" s="389">
        <v>2.5</v>
      </c>
      <c r="E759" s="384"/>
      <c r="F759" s="389"/>
      <c r="G759" s="389"/>
      <c r="T759" s="384" t="str">
        <f>IFERROR(__xludf.DUMMYFUNCTION("""COMPUTED_VALUE"""),"СЭНСЭЙ")</f>
        <v>СЭНСЭЙ</v>
      </c>
      <c r="U759" s="385"/>
      <c r="W759" s="384" t="str">
        <f>IFERROR(__xludf.DUMMYFUNCTION("""COMPUTED_VALUE"""),"Физик")</f>
        <v>Физик</v>
      </c>
      <c r="X759" s="385"/>
    </row>
    <row r="760">
      <c r="A760" s="384" t="s">
        <v>169</v>
      </c>
      <c r="B760" s="384" t="s">
        <v>269</v>
      </c>
      <c r="C760" s="389"/>
      <c r="D760" s="389">
        <v>1.0</v>
      </c>
      <c r="E760" s="384"/>
      <c r="F760" s="389"/>
      <c r="G760" s="389"/>
      <c r="T760" s="384" t="str">
        <f>IFERROR(__xludf.DUMMYFUNCTION("""COMPUTED_VALUE"""),"Coach")</f>
        <v>Coach</v>
      </c>
      <c r="U760" s="385"/>
      <c r="W760" s="384" t="str">
        <f>IFERROR(__xludf.DUMMYFUNCTION("""COMPUTED_VALUE"""),"Флэш")</f>
        <v>Флэш</v>
      </c>
      <c r="X760" s="385"/>
    </row>
    <row r="761">
      <c r="A761" s="384" t="s">
        <v>133</v>
      </c>
      <c r="B761" s="384" t="s">
        <v>261</v>
      </c>
      <c r="C761" s="389">
        <v>2.5</v>
      </c>
      <c r="D761" s="389">
        <v>3.75</v>
      </c>
      <c r="E761" s="384"/>
      <c r="F761" s="389"/>
      <c r="G761" s="389"/>
      <c r="T761" s="384" t="str">
        <f>IFERROR(__xludf.DUMMYFUNCTION("""COMPUTED_VALUE"""),"Физик")</f>
        <v>Физик</v>
      </c>
      <c r="U761" s="385"/>
      <c r="W761" s="384" t="str">
        <f>IFERROR(__xludf.DUMMYFUNCTION("""COMPUTED_VALUE"""),"Фокс")</f>
        <v>Фокс</v>
      </c>
      <c r="X761" s="385"/>
    </row>
    <row r="762">
      <c r="A762" s="384" t="s">
        <v>92</v>
      </c>
      <c r="B762" s="384" t="s">
        <v>261</v>
      </c>
      <c r="C762" s="389">
        <v>2.5</v>
      </c>
      <c r="D762" s="389">
        <v>3.0</v>
      </c>
      <c r="E762" s="384"/>
      <c r="F762" s="389"/>
      <c r="G762" s="389"/>
      <c r="T762" s="384" t="str">
        <f>IFERROR(__xludf.DUMMYFUNCTION("""COMPUTED_VALUE"""),"Флэш")</f>
        <v>Флэш</v>
      </c>
      <c r="U762" s="385"/>
      <c r="W762" s="384" t="str">
        <f>IFERROR(__xludf.DUMMYFUNCTION("""COMPUTED_VALUE"""),"Шоу Бой")</f>
        <v>Шоу Бой</v>
      </c>
      <c r="X762" s="385"/>
    </row>
    <row r="763">
      <c r="A763" s="384" t="s">
        <v>110</v>
      </c>
      <c r="B763" s="384" t="s">
        <v>261</v>
      </c>
      <c r="C763" s="389">
        <v>2.5</v>
      </c>
      <c r="D763" s="389">
        <v>2.75</v>
      </c>
      <c r="E763" s="384"/>
      <c r="F763" s="389"/>
      <c r="G763" s="389"/>
      <c r="T763" s="384" t="str">
        <f>IFERROR(__xludf.DUMMYFUNCTION("""COMPUTED_VALUE"""),"Фокс")</f>
        <v>Фокс</v>
      </c>
      <c r="U763" s="385"/>
      <c r="W763" s="384" t="str">
        <f>IFERROR(__xludf.DUMMYFUNCTION("""COMPUTED_VALUE"""),"Шпиц")</f>
        <v>Шпиц</v>
      </c>
      <c r="X763" s="385"/>
    </row>
    <row r="764">
      <c r="A764" s="384" t="s">
        <v>153</v>
      </c>
      <c r="B764" s="384" t="s">
        <v>261</v>
      </c>
      <c r="C764" s="389">
        <v>2.5</v>
      </c>
      <c r="D764" s="389">
        <v>3.75</v>
      </c>
      <c r="E764" s="384" t="s">
        <v>11</v>
      </c>
      <c r="F764" s="389">
        <v>0.5</v>
      </c>
      <c r="G764" s="389">
        <v>0.5</v>
      </c>
      <c r="T764" s="384" t="str">
        <f>IFERROR(__xludf.DUMMYFUNCTION("""COMPUTED_VALUE"""),"Шоу Бой")</f>
        <v>Шоу Бой</v>
      </c>
      <c r="U764" s="385"/>
      <c r="W764" s="384" t="str">
        <f>IFERROR(__xludf.DUMMYFUNCTION("""COMPUTED_VALUE"""),"Юрия")</f>
        <v>Юрия</v>
      </c>
      <c r="X764" s="385"/>
    </row>
    <row r="765">
      <c r="A765" s="384" t="s">
        <v>96</v>
      </c>
      <c r="B765" s="384" t="s">
        <v>261</v>
      </c>
      <c r="C765" s="389">
        <v>2.5</v>
      </c>
      <c r="D765" s="389">
        <v>4.0</v>
      </c>
      <c r="E765" s="384" t="s">
        <v>260</v>
      </c>
      <c r="F765" s="389"/>
      <c r="G765" s="389"/>
      <c r="T765" s="384" t="str">
        <f>IFERROR(__xludf.DUMMYFUNCTION("""COMPUTED_VALUE"""),"Шпиц")</f>
        <v>Шпиц</v>
      </c>
      <c r="U765" s="385"/>
      <c r="W765" s="384" t="str">
        <f>IFERROR(__xludf.DUMMYFUNCTION("""COMPUTED_VALUE"""),"Alice ")</f>
        <v>Alice </v>
      </c>
      <c r="X765" s="385"/>
    </row>
    <row r="766">
      <c r="A766" s="384" t="s">
        <v>104</v>
      </c>
      <c r="B766" s="384" t="s">
        <v>265</v>
      </c>
      <c r="C766" s="389"/>
      <c r="D766" s="389">
        <v>2.0</v>
      </c>
      <c r="E766" s="384"/>
      <c r="F766" s="389"/>
      <c r="G766" s="389"/>
      <c r="T766" s="384" t="str">
        <f>IFERROR(__xludf.DUMMYFUNCTION("""COMPUTED_VALUE"""),"Юрия")</f>
        <v>Юрия</v>
      </c>
      <c r="U766" s="385"/>
      <c r="W766" s="384" t="str">
        <f>IFERROR(__xludf.DUMMYFUNCTION("""COMPUTED_VALUE"""),"BWDMoscow")</f>
        <v>BWDMoscow</v>
      </c>
      <c r="X766" s="385"/>
    </row>
    <row r="767">
      <c r="A767" s="384" t="s">
        <v>113</v>
      </c>
      <c r="B767" s="384" t="s">
        <v>269</v>
      </c>
      <c r="C767" s="389"/>
      <c r="D767" s="389">
        <v>2.5</v>
      </c>
      <c r="E767" s="384" t="s">
        <v>263</v>
      </c>
      <c r="F767" s="389"/>
      <c r="G767" s="389"/>
      <c r="T767" s="384" t="str">
        <f>IFERROR(__xludf.DUMMYFUNCTION("""COMPUTED_VALUE"""),"Alice ")</f>
        <v>Alice </v>
      </c>
      <c r="U767" s="385"/>
      <c r="W767" s="384" t="str">
        <f>IFERROR(__xludf.DUMMYFUNCTION("""COMPUTED_VALUE"""),"Castor Troy ")</f>
        <v>Castor Troy </v>
      </c>
      <c r="X767" s="385"/>
    </row>
    <row r="768">
      <c r="A768" s="384" t="s">
        <v>79</v>
      </c>
      <c r="B768" s="384" t="s">
        <v>261</v>
      </c>
      <c r="C768" s="389">
        <v>2.5</v>
      </c>
      <c r="D768" s="389">
        <v>3.25</v>
      </c>
      <c r="E768" s="384"/>
      <c r="F768" s="389"/>
      <c r="G768" s="389"/>
      <c r="T768" s="384" t="str">
        <f>IFERROR(__xludf.DUMMYFUNCTION("""COMPUTED_VALUE"""),"Bublik")</f>
        <v>Bublik</v>
      </c>
      <c r="U768" s="385"/>
      <c r="W768" s="384" t="str">
        <f>IFERROR(__xludf.DUMMYFUNCTION("""COMPUTED_VALUE"""),"Curly")</f>
        <v>Curly</v>
      </c>
      <c r="X768" s="385"/>
    </row>
    <row r="769">
      <c r="A769" s="384" t="s">
        <v>99</v>
      </c>
      <c r="B769" s="384" t="s">
        <v>271</v>
      </c>
      <c r="C769" s="389">
        <v>2.5</v>
      </c>
      <c r="D769" s="389">
        <v>3.0</v>
      </c>
      <c r="E769" s="384"/>
      <c r="F769" s="389"/>
      <c r="G769" s="389"/>
      <c r="T769" s="384" t="str">
        <f>IFERROR(__xludf.DUMMYFUNCTION("""COMPUTED_VALUE"""),"BWDMoscow")</f>
        <v>BWDMoscow</v>
      </c>
      <c r="U769" s="385"/>
      <c r="W769" s="384" t="str">
        <f>IFERROR(__xludf.DUMMYFUNCTION("""COMPUTED_VALUE"""),"GALAY")</f>
        <v>GALAY</v>
      </c>
      <c r="X769" s="385"/>
    </row>
    <row r="770">
      <c r="A770" s="384" t="s">
        <v>169</v>
      </c>
      <c r="B770" s="384" t="s">
        <v>261</v>
      </c>
      <c r="C770" s="389">
        <v>2.5</v>
      </c>
      <c r="D770" s="389">
        <v>2.0</v>
      </c>
      <c r="E770" s="384" t="s">
        <v>260</v>
      </c>
      <c r="F770" s="389"/>
      <c r="G770" s="389"/>
      <c r="T770" s="384" t="str">
        <f>IFERROR(__xludf.DUMMYFUNCTION("""COMPUTED_VALUE"""),"Castor Troy ")</f>
        <v>Castor Troy </v>
      </c>
      <c r="U770" s="385"/>
      <c r="W770" s="384" t="str">
        <f>IFERROR(__xludf.DUMMYFUNCTION("""COMPUTED_VALUE"""),"Helga")</f>
        <v>Helga</v>
      </c>
      <c r="X770" s="385"/>
    </row>
    <row r="771">
      <c r="A771" s="384" t="s">
        <v>133</v>
      </c>
      <c r="B771" s="384" t="s">
        <v>261</v>
      </c>
      <c r="C771" s="389">
        <v>2.5</v>
      </c>
      <c r="D771" s="389">
        <v>2.75</v>
      </c>
      <c r="E771" s="384"/>
      <c r="F771" s="389"/>
      <c r="G771" s="389"/>
      <c r="T771" s="384" t="str">
        <f>IFERROR(__xludf.DUMMYFUNCTION("""COMPUTED_VALUE"""),"Cristo")</f>
        <v>Cristo</v>
      </c>
      <c r="U771" s="385"/>
      <c r="W771" s="384" t="str">
        <f>IFERROR(__xludf.DUMMYFUNCTION("""COMPUTED_VALUE"""),"Infinity ")</f>
        <v>Infinity </v>
      </c>
      <c r="X771" s="385"/>
    </row>
    <row r="772">
      <c r="A772" s="384" t="s">
        <v>92</v>
      </c>
      <c r="B772" s="384" t="s">
        <v>269</v>
      </c>
      <c r="C772" s="389"/>
      <c r="D772" s="389">
        <v>2.0</v>
      </c>
      <c r="E772" s="384"/>
      <c r="F772" s="389"/>
      <c r="G772" s="389"/>
      <c r="T772" s="384" t="str">
        <f>IFERROR(__xludf.DUMMYFUNCTION("""COMPUTED_VALUE"""),"Helga")</f>
        <v>Helga</v>
      </c>
      <c r="U772" s="385"/>
      <c r="W772" s="384" t="str">
        <f>IFERROR(__xludf.DUMMYFUNCTION("""COMPUTED_VALUE"""),"Light")</f>
        <v>Light</v>
      </c>
      <c r="X772" s="385"/>
    </row>
    <row r="773">
      <c r="A773" s="384" t="s">
        <v>110</v>
      </c>
      <c r="B773" s="384" t="s">
        <v>269</v>
      </c>
      <c r="C773" s="389">
        <v>2.5</v>
      </c>
      <c r="D773" s="389">
        <v>3.25</v>
      </c>
      <c r="E773" s="384"/>
      <c r="F773" s="389"/>
      <c r="G773" s="389"/>
      <c r="T773" s="384" t="str">
        <f>IFERROR(__xludf.DUMMYFUNCTION("""COMPUTED_VALUE"""),"Infinity ")</f>
        <v>Infinity </v>
      </c>
      <c r="U773" s="385"/>
      <c r="W773" s="384" t="str">
        <f>IFERROR(__xludf.DUMMYFUNCTION("""COMPUTED_VALUE"""),"Morti")</f>
        <v>Morti</v>
      </c>
      <c r="X773" s="385"/>
    </row>
    <row r="774">
      <c r="A774" s="384" t="s">
        <v>153</v>
      </c>
      <c r="B774" s="384" t="s">
        <v>261</v>
      </c>
      <c r="C774" s="389"/>
      <c r="D774" s="389">
        <v>1.0</v>
      </c>
      <c r="E774" s="384"/>
      <c r="F774" s="389"/>
      <c r="G774" s="389"/>
      <c r="T774" s="384" t="str">
        <f>IFERROR(__xludf.DUMMYFUNCTION("""COMPUTED_VALUE"""),"Light")</f>
        <v>Light</v>
      </c>
      <c r="U774" s="385"/>
      <c r="W774" s="384" t="str">
        <f>IFERROR(__xludf.DUMMYFUNCTION("""COMPUTED_VALUE"""),"MSR")</f>
        <v>MSR</v>
      </c>
      <c r="X774" s="385"/>
    </row>
    <row r="775">
      <c r="A775" s="384" t="s">
        <v>96</v>
      </c>
      <c r="B775" s="384" t="s">
        <v>261</v>
      </c>
      <c r="C775" s="389"/>
      <c r="D775" s="389">
        <v>2.5</v>
      </c>
      <c r="E775" s="384" t="s">
        <v>11</v>
      </c>
      <c r="F775" s="389"/>
      <c r="G775" s="389">
        <v>0.5</v>
      </c>
      <c r="T775" s="384" t="str">
        <f>IFERROR(__xludf.DUMMYFUNCTION("""COMPUTED_VALUE"""),"Morti")</f>
        <v>Morti</v>
      </c>
      <c r="U775" s="385"/>
      <c r="W775" s="384" t="str">
        <f>IFERROR(__xludf.DUMMYFUNCTION("""COMPUTED_VALUE"""),"NLIP")</f>
        <v>NLIP</v>
      </c>
      <c r="X775" s="385"/>
    </row>
    <row r="776">
      <c r="A776" s="384" t="s">
        <v>104</v>
      </c>
      <c r="B776" s="384" t="s">
        <v>265</v>
      </c>
      <c r="C776" s="389">
        <v>2.5</v>
      </c>
      <c r="D776" s="389">
        <v>4.5</v>
      </c>
      <c r="E776" s="384"/>
      <c r="F776" s="389"/>
      <c r="G776" s="389"/>
      <c r="T776" s="384" t="str">
        <f>IFERROR(__xludf.DUMMYFUNCTION("""COMPUTED_VALUE"""),"MSR")</f>
        <v>MSR</v>
      </c>
      <c r="U776" s="385"/>
      <c r="W776" s="384" t="str">
        <f>IFERROR(__xludf.DUMMYFUNCTION("""COMPUTED_VALUE"""),"Rocket woman ")</f>
        <v>Rocket woman </v>
      </c>
      <c r="X776" s="385"/>
    </row>
    <row r="777">
      <c r="A777" s="384" t="s">
        <v>113</v>
      </c>
      <c r="B777" s="384" t="s">
        <v>269</v>
      </c>
      <c r="C777" s="389">
        <v>2.5</v>
      </c>
      <c r="D777" s="389">
        <v>3.25</v>
      </c>
      <c r="E777" s="384"/>
      <c r="F777" s="389"/>
      <c r="G777" s="389"/>
      <c r="T777" s="384" t="str">
        <f>IFERROR(__xludf.DUMMYFUNCTION("""COMPUTED_VALUE"""),"NLIP")</f>
        <v>NLIP</v>
      </c>
      <c r="U777" s="385"/>
      <c r="W777" s="384" t="str">
        <f>IFERROR(__xludf.DUMMYFUNCTION("""COMPUTED_VALUE"""),"SCHOKK ")</f>
        <v>SCHOKK </v>
      </c>
      <c r="X777" s="385"/>
    </row>
    <row r="778">
      <c r="A778" s="384" t="s">
        <v>79</v>
      </c>
      <c r="B778" s="384" t="s">
        <v>271</v>
      </c>
      <c r="C778" s="389"/>
      <c r="D778" s="389">
        <v>1.75</v>
      </c>
      <c r="E778" s="384"/>
      <c r="F778" s="389"/>
      <c r="G778" s="389"/>
      <c r="T778" s="384" t="str">
        <f>IFERROR(__xludf.DUMMYFUNCTION("""COMPUTED_VALUE"""),"Rocket woman ")</f>
        <v>Rocket woman </v>
      </c>
      <c r="U778" s="385"/>
      <c r="W778" s="384" t="str">
        <f>IFERROR(__xludf.DUMMYFUNCTION("""COMPUTED_VALUE"""),"SOVEST")</f>
        <v>SOVEST</v>
      </c>
      <c r="X778" s="385"/>
    </row>
    <row r="779">
      <c r="A779" s="384" t="s">
        <v>99</v>
      </c>
      <c r="B779" s="384" t="s">
        <v>261</v>
      </c>
      <c r="C779" s="389"/>
      <c r="D779" s="389">
        <v>2.25</v>
      </c>
      <c r="E779" s="384"/>
      <c r="F779" s="389"/>
      <c r="G779" s="389"/>
      <c r="T779" s="384" t="str">
        <f>IFERROR(__xludf.DUMMYFUNCTION("""COMPUTED_VALUE"""),"SCHOKK ")</f>
        <v>SCHOKK </v>
      </c>
      <c r="U779" s="385"/>
      <c r="W779" s="384" t="str">
        <f>IFERROR(__xludf.DUMMYFUNCTION("""COMPUTED_VALUE"""),"Stacy")</f>
        <v>Stacy</v>
      </c>
      <c r="X779" s="385"/>
    </row>
    <row r="780">
      <c r="A780" s="384" t="s">
        <v>169</v>
      </c>
      <c r="B780" s="384" t="s">
        <v>261</v>
      </c>
      <c r="C780" s="389"/>
      <c r="D780" s="389">
        <v>2.25</v>
      </c>
      <c r="E780" s="384"/>
      <c r="F780" s="389"/>
      <c r="G780" s="389"/>
      <c r="T780" s="384" t="str">
        <f>IFERROR(__xludf.DUMMYFUNCTION("""COMPUTED_VALUE"""),"SOVEST")</f>
        <v>SOVEST</v>
      </c>
      <c r="U780" s="385"/>
      <c r="W780" s="384" t="str">
        <f>IFERROR(__xludf.DUMMYFUNCTION("""COMPUTED_VALUE"""),"WhoIsWho")</f>
        <v>WhoIsWho</v>
      </c>
      <c r="X780" s="385"/>
    </row>
    <row r="781">
      <c r="A781" s="384" t="s">
        <v>133</v>
      </c>
      <c r="B781" s="384" t="s">
        <v>261</v>
      </c>
      <c r="C781" s="389"/>
      <c r="D781" s="389">
        <v>1.0</v>
      </c>
      <c r="E781" s="384"/>
      <c r="F781" s="389"/>
      <c r="G781" s="389"/>
      <c r="T781" s="384" t="str">
        <f>IFERROR(__xludf.DUMMYFUNCTION("""COMPUTED_VALUE"""),"WhoIsWho")</f>
        <v>WhoIsWho</v>
      </c>
      <c r="U781" s="385"/>
      <c r="W781" s="384" t="str">
        <f>IFERROR(__xludf.DUMMYFUNCTION("""COMPUTED_VALUE"""),"Young")</f>
        <v>Young</v>
      </c>
      <c r="X781" s="385"/>
    </row>
    <row r="782">
      <c r="A782" s="384" t="s">
        <v>92</v>
      </c>
      <c r="B782" s="384" t="s">
        <v>261</v>
      </c>
      <c r="C782" s="389"/>
      <c r="D782" s="389">
        <v>1.0</v>
      </c>
      <c r="E782" s="384"/>
      <c r="F782" s="389"/>
      <c r="G782" s="389"/>
      <c r="T782" s="384" t="str">
        <f>IFERROR(__xludf.DUMMYFUNCTION("QUERY('Турнирная таблица по Алфавиту'!C7:BG66,""select C,AH order by AH desc"")"),"Артик")</f>
        <v>Артик</v>
      </c>
      <c r="U782" s="385">
        <f>IFERROR(__xludf.DUMMYFUNCTION("""COMPUTED_VALUE"""),28.0)</f>
        <v>28</v>
      </c>
      <c r="W782" s="384" t="str">
        <f>IFERROR(__xludf.DUMMYFUNCTION("""COMPUTED_VALUE"""),"Авраам")</f>
        <v>Авраам</v>
      </c>
      <c r="X782" s="385"/>
    </row>
    <row r="783">
      <c r="A783" s="384" t="s">
        <v>110</v>
      </c>
      <c r="B783" s="384" t="s">
        <v>265</v>
      </c>
      <c r="C783" s="389">
        <v>2.5</v>
      </c>
      <c r="D783" s="389">
        <v>3.75</v>
      </c>
      <c r="E783" s="384"/>
      <c r="F783" s="389"/>
      <c r="G783" s="389"/>
      <c r="T783" s="384" t="str">
        <f>IFERROR(__xludf.DUMMYFUNCTION("""COMPUTED_VALUE"""),"Тихий закат")</f>
        <v>Тихий закат</v>
      </c>
      <c r="U783" s="385">
        <f>IFERROR(__xludf.DUMMYFUNCTION("""COMPUTED_VALUE"""),26.0)</f>
        <v>26</v>
      </c>
      <c r="W783" s="384" t="str">
        <f>IFERROR(__xludf.DUMMYFUNCTION("""COMPUTED_VALUE"""),"Админ")</f>
        <v>Админ</v>
      </c>
      <c r="X783" s="385"/>
    </row>
    <row r="784">
      <c r="A784" s="384" t="s">
        <v>153</v>
      </c>
      <c r="B784" s="384" t="s">
        <v>269</v>
      </c>
      <c r="C784" s="389">
        <v>2.5</v>
      </c>
      <c r="D784" s="389">
        <v>3.75</v>
      </c>
      <c r="E784" s="384"/>
      <c r="F784" s="389"/>
      <c r="G784" s="389"/>
      <c r="T784" s="384" t="str">
        <f>IFERROR(__xludf.DUMMYFUNCTION("""COMPUTED_VALUE"""),"Крестный отец (BLR)")</f>
        <v>Крестный отец (BLR)</v>
      </c>
      <c r="U784" s="385">
        <f>IFERROR(__xludf.DUMMYFUNCTION("""COMPUTED_VALUE"""),25.0)</f>
        <v>25</v>
      </c>
      <c r="W784" s="384" t="str">
        <f>IFERROR(__xludf.DUMMYFUNCTION("""COMPUTED_VALUE"""),"Андерсен")</f>
        <v>Андерсен</v>
      </c>
      <c r="X784" s="385"/>
    </row>
    <row r="785">
      <c r="A785" s="384" t="s">
        <v>96</v>
      </c>
      <c r="B785" s="384" t="s">
        <v>261</v>
      </c>
      <c r="C785" s="389"/>
      <c r="D785" s="389">
        <v>1.75</v>
      </c>
      <c r="E785" s="384"/>
      <c r="F785" s="389"/>
      <c r="G785" s="389"/>
      <c r="T785" s="384" t="str">
        <f>IFERROR(__xludf.DUMMYFUNCTION("""COMPUTED_VALUE"""),"Писатель ")</f>
        <v>Писатель </v>
      </c>
      <c r="U785" s="385">
        <f>IFERROR(__xludf.DUMMYFUNCTION("""COMPUTED_VALUE"""),24.75)</f>
        <v>24.75</v>
      </c>
      <c r="W785" s="384" t="str">
        <f>IFERROR(__xludf.DUMMYFUNCTION("""COMPUTED_VALUE"""),"Артик")</f>
        <v>Артик</v>
      </c>
      <c r="X785" s="385"/>
    </row>
    <row r="786">
      <c r="A786" s="384" t="s">
        <v>104</v>
      </c>
      <c r="B786" s="384" t="s">
        <v>261</v>
      </c>
      <c r="C786" s="389"/>
      <c r="D786" s="389">
        <v>2.5</v>
      </c>
      <c r="E786" s="384"/>
      <c r="F786" s="389"/>
      <c r="G786" s="389"/>
      <c r="T786" s="384" t="str">
        <f>IFERROR(__xludf.DUMMYFUNCTION("""COMPUTED_VALUE"""),"Bublik")</f>
        <v>Bublik</v>
      </c>
      <c r="U786" s="385">
        <f>IFERROR(__xludf.DUMMYFUNCTION("""COMPUTED_VALUE"""),21.5)</f>
        <v>21.5</v>
      </c>
      <c r="W786" s="384" t="str">
        <f>IFERROR(__xludf.DUMMYFUNCTION("""COMPUTED_VALUE"""),"Астория")</f>
        <v>Астория</v>
      </c>
      <c r="X786" s="385"/>
    </row>
    <row r="787">
      <c r="A787" s="384" t="s">
        <v>113</v>
      </c>
      <c r="B787" s="384" t="s">
        <v>261</v>
      </c>
      <c r="C787" s="389"/>
      <c r="D787" s="389">
        <v>3.25</v>
      </c>
      <c r="E787" s="384" t="s">
        <v>11</v>
      </c>
      <c r="F787" s="389">
        <v>0.5</v>
      </c>
      <c r="G787" s="389">
        <v>0.5</v>
      </c>
      <c r="T787" s="384" t="str">
        <f>IFERROR(__xludf.DUMMYFUNCTION("""COMPUTED_VALUE"""),"Градиент")</f>
        <v>Градиент</v>
      </c>
      <c r="U787" s="385">
        <f>IFERROR(__xludf.DUMMYFUNCTION("""COMPUTED_VALUE"""),18.0)</f>
        <v>18</v>
      </c>
      <c r="W787" s="384" t="str">
        <f>IFERROR(__xludf.DUMMYFUNCTION("""COMPUTED_VALUE"""),"Аш")</f>
        <v>Аш</v>
      </c>
      <c r="X787" s="385"/>
    </row>
    <row r="788">
      <c r="A788" s="384" t="s">
        <v>79</v>
      </c>
      <c r="B788" s="384" t="s">
        <v>261</v>
      </c>
      <c r="C788" s="389"/>
      <c r="D788" s="389">
        <v>1.75</v>
      </c>
      <c r="E788" s="384"/>
      <c r="F788" s="389"/>
      <c r="G788" s="389"/>
      <c r="T788" s="384" t="str">
        <f>IFERROR(__xludf.DUMMYFUNCTION("""COMPUTED_VALUE"""),"GALAY")</f>
        <v>GALAY</v>
      </c>
      <c r="U788" s="385">
        <f>IFERROR(__xludf.DUMMYFUNCTION("""COMPUTED_VALUE"""),17.5)</f>
        <v>17.5</v>
      </c>
      <c r="W788" s="384" t="str">
        <f>IFERROR(__xludf.DUMMYFUNCTION("""COMPUTED_VALUE"""),"Бамблби")</f>
        <v>Бамблби</v>
      </c>
      <c r="X788" s="385"/>
    </row>
    <row r="789">
      <c r="A789" s="384" t="s">
        <v>99</v>
      </c>
      <c r="B789" s="384" t="s">
        <v>261</v>
      </c>
      <c r="C789" s="389"/>
      <c r="D789" s="389">
        <v>3.25</v>
      </c>
      <c r="E789" s="384"/>
      <c r="F789" s="389"/>
      <c r="G789" s="389"/>
      <c r="T789" s="384" t="str">
        <f>IFERROR(__xludf.DUMMYFUNCTION("""COMPUTED_VALUE"""),"Мишель ")</f>
        <v>Мишель </v>
      </c>
      <c r="U789" s="385">
        <f>IFERROR(__xludf.DUMMYFUNCTION("""COMPUTED_VALUE"""),16.75)</f>
        <v>16.75</v>
      </c>
      <c r="W789" s="384" t="str">
        <f>IFERROR(__xludf.DUMMYFUNCTION("""COMPUTED_VALUE"""),"Волга")</f>
        <v>Волга</v>
      </c>
      <c r="X789" s="385"/>
    </row>
    <row r="790">
      <c r="A790" s="384" t="s">
        <v>169</v>
      </c>
      <c r="B790" s="384" t="s">
        <v>269</v>
      </c>
      <c r="C790" s="389">
        <v>2.5</v>
      </c>
      <c r="D790" s="389">
        <v>3.0</v>
      </c>
      <c r="E790" s="384"/>
      <c r="F790" s="389"/>
      <c r="G790" s="389"/>
      <c r="T790" s="384" t="str">
        <f>IFERROR(__xludf.DUMMYFUNCTION("""COMPUTED_VALUE"""),"Крот")</f>
        <v>Крот</v>
      </c>
      <c r="U790" s="385">
        <f>IFERROR(__xludf.DUMMYFUNCTION("""COMPUTED_VALUE"""),16.5)</f>
        <v>16.5</v>
      </c>
      <c r="W790" s="384" t="str">
        <f>IFERROR(__xludf.DUMMYFUNCTION("""COMPUTED_VALUE"""),"Градиент")</f>
        <v>Градиент</v>
      </c>
      <c r="X790" s="385"/>
    </row>
    <row r="791">
      <c r="A791" s="384" t="s">
        <v>133</v>
      </c>
      <c r="B791" s="384" t="s">
        <v>261</v>
      </c>
      <c r="C791" s="389"/>
      <c r="D791" s="389">
        <v>1.75</v>
      </c>
      <c r="E791" s="384"/>
      <c r="F791" s="389"/>
      <c r="G791" s="389"/>
      <c r="T791" s="384" t="str">
        <f>IFERROR(__xludf.DUMMYFUNCTION("""COMPUTED_VALUE"""),"Правда ")</f>
        <v>Правда </v>
      </c>
      <c r="U791" s="385">
        <f>IFERROR(__xludf.DUMMYFUNCTION("""COMPUTED_VALUE"""),10.75)</f>
        <v>10.75</v>
      </c>
      <c r="W791" s="384" t="str">
        <f>IFERROR(__xludf.DUMMYFUNCTION("""COMPUTED_VALUE"""),"Инсомнич")</f>
        <v>Инсомнич</v>
      </c>
      <c r="X791" s="385"/>
    </row>
    <row r="792">
      <c r="A792" s="384" t="s">
        <v>92</v>
      </c>
      <c r="B792" s="384" t="s">
        <v>271</v>
      </c>
      <c r="C792" s="389"/>
      <c r="D792" s="389">
        <v>2.5</v>
      </c>
      <c r="E792" s="384"/>
      <c r="F792" s="389"/>
      <c r="G792" s="389"/>
      <c r="T792" s="384" t="str">
        <f>IFERROR(__xludf.DUMMYFUNCTION("""COMPUTED_VALUE"""),"Авраам")</f>
        <v>Авраам</v>
      </c>
      <c r="U792" s="385"/>
      <c r="W792" s="384" t="str">
        <f>IFERROR(__xludf.DUMMYFUNCTION("""COMPUTED_VALUE"""),"Красавчик")</f>
        <v>Красавчик</v>
      </c>
      <c r="X792" s="385"/>
    </row>
    <row r="793">
      <c r="A793" s="384" t="s">
        <v>110</v>
      </c>
      <c r="B793" s="384" t="s">
        <v>265</v>
      </c>
      <c r="C793" s="389"/>
      <c r="D793" s="389">
        <v>2.0</v>
      </c>
      <c r="E793" s="384"/>
      <c r="F793" s="389"/>
      <c r="G793" s="389"/>
      <c r="T793" s="384" t="str">
        <f>IFERROR(__xludf.DUMMYFUNCTION("""COMPUTED_VALUE"""),"Админ")</f>
        <v>Админ</v>
      </c>
      <c r="U793" s="385"/>
      <c r="W793" s="384" t="str">
        <f>IFERROR(__xludf.DUMMYFUNCTION("""COMPUTED_VALUE"""),"Крестный отец (BLR)")</f>
        <v>Крестный отец (BLR)</v>
      </c>
      <c r="X793" s="385"/>
    </row>
    <row r="794">
      <c r="A794" s="384" t="s">
        <v>153</v>
      </c>
      <c r="B794" s="384" t="s">
        <v>261</v>
      </c>
      <c r="C794" s="389">
        <v>2.5</v>
      </c>
      <c r="D794" s="389">
        <v>3.5</v>
      </c>
      <c r="E794" s="384"/>
      <c r="F794" s="389"/>
      <c r="G794" s="389"/>
      <c r="T794" s="384" t="str">
        <f>IFERROR(__xludf.DUMMYFUNCTION("""COMPUTED_VALUE"""),"Андерсен")</f>
        <v>Андерсен</v>
      </c>
      <c r="U794" s="385"/>
      <c r="W794" s="384" t="str">
        <f>IFERROR(__xludf.DUMMYFUNCTION("""COMPUTED_VALUE"""),"Крёстный Отец (RU)")</f>
        <v>Крёстный Отец (RU)</v>
      </c>
      <c r="X794" s="385"/>
    </row>
    <row r="795">
      <c r="A795" s="384" t="s">
        <v>96</v>
      </c>
      <c r="B795" s="384" t="s">
        <v>261</v>
      </c>
      <c r="C795" s="389">
        <v>2.5</v>
      </c>
      <c r="D795" s="389">
        <v>3.25</v>
      </c>
      <c r="E795" s="384"/>
      <c r="F795" s="389"/>
      <c r="G795" s="389"/>
      <c r="T795" s="384" t="str">
        <f>IFERROR(__xludf.DUMMYFUNCTION("""COMPUTED_VALUE"""),"Астория")</f>
        <v>Астория</v>
      </c>
      <c r="U795" s="385"/>
      <c r="W795" s="384" t="str">
        <f>IFERROR(__xludf.DUMMYFUNCTION("""COMPUTED_VALUE"""),"Крот")</f>
        <v>Крот</v>
      </c>
      <c r="X795" s="385"/>
    </row>
    <row r="796">
      <c r="A796" s="384" t="s">
        <v>104</v>
      </c>
      <c r="B796" s="384" t="s">
        <v>261</v>
      </c>
      <c r="C796" s="389">
        <v>2.5</v>
      </c>
      <c r="D796" s="389">
        <v>2.5</v>
      </c>
      <c r="E796" s="384"/>
      <c r="F796" s="389"/>
      <c r="G796" s="389"/>
      <c r="T796" s="384" t="str">
        <f>IFERROR(__xludf.DUMMYFUNCTION("""COMPUTED_VALUE"""),"Аш")</f>
        <v>Аш</v>
      </c>
      <c r="U796" s="385"/>
      <c r="W796" s="384" t="str">
        <f>IFERROR(__xludf.DUMMYFUNCTION("""COMPUTED_VALUE"""),"Левша")</f>
        <v>Левша</v>
      </c>
      <c r="X796" s="385"/>
    </row>
    <row r="797">
      <c r="A797" s="384" t="s">
        <v>113</v>
      </c>
      <c r="B797" s="384" t="s">
        <v>269</v>
      </c>
      <c r="C797" s="389"/>
      <c r="D797" s="389">
        <v>2.5</v>
      </c>
      <c r="E797" s="384"/>
      <c r="F797" s="389"/>
      <c r="G797" s="389"/>
      <c r="T797" s="384" t="str">
        <f>IFERROR(__xludf.DUMMYFUNCTION("""COMPUTED_VALUE"""),"Бамблби")</f>
        <v>Бамблби</v>
      </c>
      <c r="U797" s="385"/>
      <c r="W797" s="384" t="str">
        <f>IFERROR(__xludf.DUMMYFUNCTION("""COMPUTED_VALUE"""),"Ментик")</f>
        <v>Ментик</v>
      </c>
      <c r="X797" s="385"/>
    </row>
    <row r="798">
      <c r="A798" s="384" t="s">
        <v>79</v>
      </c>
      <c r="B798" s="384" t="s">
        <v>261</v>
      </c>
      <c r="C798" s="389">
        <v>2.5</v>
      </c>
      <c r="D798" s="389">
        <v>3.5</v>
      </c>
      <c r="E798" s="384"/>
      <c r="F798" s="389"/>
      <c r="G798" s="389"/>
      <c r="T798" s="384" t="str">
        <f>IFERROR(__xludf.DUMMYFUNCTION("""COMPUTED_VALUE"""),"Волга")</f>
        <v>Волга</v>
      </c>
      <c r="U798" s="385"/>
      <c r="W798" s="384" t="str">
        <f>IFERROR(__xludf.DUMMYFUNCTION("""COMPUTED_VALUE"""),"Мишель ")</f>
        <v>Мишель </v>
      </c>
      <c r="X798" s="385"/>
    </row>
    <row r="799">
      <c r="A799" s="384" t="s">
        <v>99</v>
      </c>
      <c r="B799" s="384" t="s">
        <v>261</v>
      </c>
      <c r="C799" s="389">
        <v>2.5</v>
      </c>
      <c r="D799" s="389">
        <v>3.0</v>
      </c>
      <c r="E799" s="384"/>
      <c r="F799" s="389"/>
      <c r="G799" s="389"/>
      <c r="T799" s="384" t="str">
        <f>IFERROR(__xludf.DUMMYFUNCTION("""COMPUTED_VALUE"""),"Дровосек")</f>
        <v>Дровосек</v>
      </c>
      <c r="U799" s="385"/>
      <c r="W799" s="384" t="str">
        <f>IFERROR(__xludf.DUMMYFUNCTION("""COMPUTED_VALUE"""),"Наполеон")</f>
        <v>Наполеон</v>
      </c>
      <c r="X799" s="385"/>
    </row>
    <row r="800">
      <c r="A800" s="384" t="s">
        <v>169</v>
      </c>
      <c r="B800" s="384" t="s">
        <v>271</v>
      </c>
      <c r="C800" s="389">
        <v>2.5</v>
      </c>
      <c r="D800" s="389">
        <v>3.0</v>
      </c>
      <c r="E800" s="384"/>
      <c r="F800" s="389"/>
      <c r="G800" s="389"/>
      <c r="T800" s="384" t="str">
        <f>IFERROR(__xludf.DUMMYFUNCTION("""COMPUTED_VALUE"""),"Зверюга")</f>
        <v>Зверюга</v>
      </c>
      <c r="U800" s="385"/>
      <c r="W800" s="384" t="str">
        <f>IFERROR(__xludf.DUMMYFUNCTION("""COMPUTED_VALUE"""),"Панда из Руанды")</f>
        <v>Панда из Руанды</v>
      </c>
      <c r="X800" s="385"/>
    </row>
    <row r="801">
      <c r="A801" s="384" t="s">
        <v>133</v>
      </c>
      <c r="B801" s="384" t="s">
        <v>269</v>
      </c>
      <c r="C801" s="389"/>
      <c r="D801" s="389">
        <v>2.75</v>
      </c>
      <c r="E801" s="384"/>
      <c r="F801" s="389"/>
      <c r="G801" s="389"/>
      <c r="T801" s="384" t="str">
        <f>IFERROR(__xludf.DUMMYFUNCTION("""COMPUTED_VALUE"""),"Инсомнич")</f>
        <v>Инсомнич</v>
      </c>
      <c r="U801" s="385"/>
      <c r="W801" s="384" t="str">
        <f>IFERROR(__xludf.DUMMYFUNCTION("""COMPUTED_VALUE"""),"Писатель ")</f>
        <v>Писатель </v>
      </c>
      <c r="X801" s="385"/>
    </row>
    <row r="802">
      <c r="A802" s="384" t="s">
        <v>92</v>
      </c>
      <c r="B802" s="384" t="s">
        <v>261</v>
      </c>
      <c r="C802" s="389">
        <v>2.5</v>
      </c>
      <c r="D802" s="389">
        <v>2.0</v>
      </c>
      <c r="E802" s="384" t="s">
        <v>11</v>
      </c>
      <c r="F802" s="389"/>
      <c r="G802" s="389">
        <v>0.5</v>
      </c>
      <c r="T802" s="384" t="str">
        <f>IFERROR(__xludf.DUMMYFUNCTION("""COMPUTED_VALUE"""),"Красавчик")</f>
        <v>Красавчик</v>
      </c>
      <c r="U802" s="385"/>
      <c r="W802" s="384" t="str">
        <f>IFERROR(__xludf.DUMMYFUNCTION("""COMPUTED_VALUE"""),"Правда ")</f>
        <v>Правда </v>
      </c>
      <c r="X802" s="385"/>
    </row>
    <row r="803">
      <c r="A803" s="384" t="s">
        <v>84</v>
      </c>
      <c r="B803" s="384" t="s">
        <v>261</v>
      </c>
      <c r="C803" s="389"/>
      <c r="D803" s="389">
        <v>1.75</v>
      </c>
      <c r="E803" s="384"/>
      <c r="F803" s="389"/>
      <c r="G803" s="389"/>
      <c r="T803" s="384" t="str">
        <f>IFERROR(__xludf.DUMMYFUNCTION("""COMPUTED_VALUE"""),"Крёстный Отец (RU)")</f>
        <v>Крёстный Отец (RU)</v>
      </c>
      <c r="U803" s="385"/>
      <c r="W803" s="384" t="str">
        <f>IFERROR(__xludf.DUMMYFUNCTION("""COMPUTED_VALUE"""),"Продюсер")</f>
        <v>Продюсер</v>
      </c>
      <c r="X803" s="385"/>
    </row>
    <row r="804">
      <c r="A804" s="384" t="s">
        <v>97</v>
      </c>
      <c r="B804" s="384" t="s">
        <v>271</v>
      </c>
      <c r="C804" s="389"/>
      <c r="D804" s="389">
        <v>1.75</v>
      </c>
      <c r="E804" s="384"/>
      <c r="F804" s="389"/>
      <c r="G804" s="389"/>
      <c r="T804" s="384" t="str">
        <f>IFERROR(__xludf.DUMMYFUNCTION("""COMPUTED_VALUE"""),"Левша")</f>
        <v>Левша</v>
      </c>
      <c r="U804" s="385"/>
      <c r="W804" s="384" t="str">
        <f>IFERROR(__xludf.DUMMYFUNCTION("""COMPUTED_VALUE"""),"Старый")</f>
        <v>Старый</v>
      </c>
      <c r="X804" s="385"/>
    </row>
    <row r="805">
      <c r="A805" s="384" t="s">
        <v>153</v>
      </c>
      <c r="B805" s="384" t="s">
        <v>261</v>
      </c>
      <c r="C805" s="389"/>
      <c r="D805" s="389">
        <v>3.5</v>
      </c>
      <c r="E805" s="384"/>
      <c r="F805" s="389"/>
      <c r="G805" s="389"/>
      <c r="T805" s="384" t="str">
        <f>IFERROR(__xludf.DUMMYFUNCTION("""COMPUTED_VALUE"""),"Лисичка")</f>
        <v>Лисичка</v>
      </c>
      <c r="U805" s="385"/>
      <c r="W805" s="384" t="str">
        <f>IFERROR(__xludf.DUMMYFUNCTION("""COMPUTED_VALUE"""),"СЭНСЭЙ")</f>
        <v>СЭНСЭЙ</v>
      </c>
      <c r="X805" s="385"/>
    </row>
    <row r="806">
      <c r="A806" s="384" t="s">
        <v>98</v>
      </c>
      <c r="B806" s="384" t="s">
        <v>265</v>
      </c>
      <c r="C806" s="389">
        <v>2.5</v>
      </c>
      <c r="D806" s="389">
        <v>4.5</v>
      </c>
      <c r="E806" s="384"/>
      <c r="F806" s="389"/>
      <c r="G806" s="389"/>
      <c r="T806" s="384" t="str">
        <f>IFERROR(__xludf.DUMMYFUNCTION("""COMPUTED_VALUE"""),"Маваши")</f>
        <v>Маваши</v>
      </c>
      <c r="U806" s="385"/>
      <c r="W806" s="384" t="str">
        <f>IFERROR(__xludf.DUMMYFUNCTION("""COMPUTED_VALUE"""),"Coach")</f>
        <v>Coach</v>
      </c>
      <c r="X806" s="385"/>
    </row>
    <row r="807">
      <c r="A807" s="384" t="s">
        <v>108</v>
      </c>
      <c r="B807" s="384" t="s">
        <v>269</v>
      </c>
      <c r="C807" s="389">
        <v>2.5</v>
      </c>
      <c r="D807" s="389">
        <v>2.75</v>
      </c>
      <c r="E807" s="384"/>
      <c r="F807" s="389"/>
      <c r="G807" s="389"/>
      <c r="T807" s="384" t="str">
        <f>IFERROR(__xludf.DUMMYFUNCTION("""COMPUTED_VALUE"""),"Манекен")</f>
        <v>Манекен</v>
      </c>
      <c r="U807" s="385"/>
      <c r="W807" s="384" t="str">
        <f>IFERROR(__xludf.DUMMYFUNCTION("""COMPUTED_VALUE"""),"Тихий закат")</f>
        <v>Тихий закат</v>
      </c>
      <c r="X807" s="385"/>
    </row>
    <row r="808">
      <c r="A808" s="384" t="s">
        <v>137</v>
      </c>
      <c r="B808" s="384" t="s">
        <v>261</v>
      </c>
      <c r="C808" s="389"/>
      <c r="D808" s="389">
        <v>2.0</v>
      </c>
      <c r="E808" s="384"/>
      <c r="F808" s="389"/>
      <c r="G808" s="389"/>
      <c r="T808" s="384" t="str">
        <f>IFERROR(__xludf.DUMMYFUNCTION("""COMPUTED_VALUE"""),"Марго")</f>
        <v>Марго</v>
      </c>
      <c r="U808" s="385"/>
      <c r="W808" s="384" t="str">
        <f>IFERROR(__xludf.DUMMYFUNCTION("""COMPUTED_VALUE"""),"Физик")</f>
        <v>Физик</v>
      </c>
      <c r="X808" s="385"/>
    </row>
    <row r="809">
      <c r="A809" s="384" t="s">
        <v>118</v>
      </c>
      <c r="B809" s="384" t="s">
        <v>261</v>
      </c>
      <c r="C809" s="389"/>
      <c r="D809" s="389">
        <v>2.0</v>
      </c>
      <c r="E809" s="384"/>
      <c r="F809" s="389"/>
      <c r="G809" s="389"/>
      <c r="T809" s="384" t="str">
        <f>IFERROR(__xludf.DUMMYFUNCTION("""COMPUTED_VALUE"""),"Ментик")</f>
        <v>Ментик</v>
      </c>
      <c r="U809" s="385"/>
      <c r="W809" s="384" t="str">
        <f>IFERROR(__xludf.DUMMYFUNCTION("""COMPUTED_VALUE"""),"Флэш")</f>
        <v>Флэш</v>
      </c>
      <c r="X809" s="385"/>
    </row>
    <row r="810">
      <c r="A810" s="384" t="s">
        <v>100</v>
      </c>
      <c r="B810" s="384" t="s">
        <v>261</v>
      </c>
      <c r="C810" s="389"/>
      <c r="D810" s="389">
        <v>2.5</v>
      </c>
      <c r="E810" s="384" t="s">
        <v>11</v>
      </c>
      <c r="F810" s="389"/>
      <c r="G810" s="389">
        <v>0.5</v>
      </c>
      <c r="T810" s="384" t="str">
        <f>IFERROR(__xludf.DUMMYFUNCTION("""COMPUTED_VALUE"""),"Наполеон")</f>
        <v>Наполеон</v>
      </c>
      <c r="U810" s="385"/>
      <c r="W810" s="384" t="str">
        <f>IFERROR(__xludf.DUMMYFUNCTION("""COMPUTED_VALUE"""),"Фокс")</f>
        <v>Фокс</v>
      </c>
      <c r="X810" s="385"/>
    </row>
    <row r="811">
      <c r="A811" s="384" t="s">
        <v>83</v>
      </c>
      <c r="B811" s="384" t="s">
        <v>261</v>
      </c>
      <c r="C811" s="389"/>
      <c r="D811" s="389">
        <v>1.25</v>
      </c>
      <c r="E811" s="384"/>
      <c r="F811" s="389"/>
      <c r="G811" s="389"/>
      <c r="T811" s="384" t="str">
        <f>IFERROR(__xludf.DUMMYFUNCTION("""COMPUTED_VALUE"""),"Панда из Руанды")</f>
        <v>Панда из Руанды</v>
      </c>
      <c r="U811" s="385"/>
      <c r="W811" s="384" t="str">
        <f>IFERROR(__xludf.DUMMYFUNCTION("""COMPUTED_VALUE"""),"Шоу Бой")</f>
        <v>Шоу Бой</v>
      </c>
      <c r="X811" s="385"/>
    </row>
    <row r="812">
      <c r="A812" s="384" t="s">
        <v>81</v>
      </c>
      <c r="B812" s="384" t="s">
        <v>269</v>
      </c>
      <c r="C812" s="389">
        <v>2.5</v>
      </c>
      <c r="D812" s="389">
        <v>3.5</v>
      </c>
      <c r="E812" s="384"/>
      <c r="F812" s="389"/>
      <c r="G812" s="389"/>
      <c r="T812" s="384" t="str">
        <f>IFERROR(__xludf.DUMMYFUNCTION("""COMPUTED_VALUE"""),"Продюсер")</f>
        <v>Продюсер</v>
      </c>
      <c r="U812" s="385"/>
      <c r="W812" s="384" t="str">
        <f>IFERROR(__xludf.DUMMYFUNCTION("""COMPUTED_VALUE"""),"Юрия")</f>
        <v>Юрия</v>
      </c>
      <c r="X812" s="385"/>
    </row>
    <row r="813">
      <c r="A813" s="384" t="s">
        <v>84</v>
      </c>
      <c r="B813" s="384" t="s">
        <v>269</v>
      </c>
      <c r="C813" s="389">
        <v>2.5</v>
      </c>
      <c r="D813" s="389">
        <v>3.75</v>
      </c>
      <c r="E813" s="384"/>
      <c r="F813" s="389"/>
      <c r="G813" s="389"/>
      <c r="T813" s="384" t="str">
        <f>IFERROR(__xludf.DUMMYFUNCTION("""COMPUTED_VALUE"""),"РФ")</f>
        <v>РФ</v>
      </c>
      <c r="U813" s="385"/>
      <c r="W813" s="384" t="str">
        <f>IFERROR(__xludf.DUMMYFUNCTION("""COMPUTED_VALUE"""),"A1 ")</f>
        <v>A1 </v>
      </c>
      <c r="X813" s="385"/>
    </row>
    <row r="814">
      <c r="A814" s="384" t="s">
        <v>97</v>
      </c>
      <c r="B814" s="384" t="s">
        <v>261</v>
      </c>
      <c r="C814" s="389"/>
      <c r="D814" s="389">
        <v>2.5</v>
      </c>
      <c r="E814" s="384"/>
      <c r="F814" s="389"/>
      <c r="G814" s="389"/>
      <c r="T814" s="384" t="str">
        <f>IFERROR(__xludf.DUMMYFUNCTION("""COMPUTED_VALUE"""),"Старый")</f>
        <v>Старый</v>
      </c>
      <c r="U814" s="385"/>
      <c r="W814" s="384" t="str">
        <f>IFERROR(__xludf.DUMMYFUNCTION("""COMPUTED_VALUE"""),"Alice ")</f>
        <v>Alice </v>
      </c>
      <c r="X814" s="385"/>
    </row>
    <row r="815">
      <c r="A815" s="384" t="s">
        <v>153</v>
      </c>
      <c r="B815" s="384" t="s">
        <v>265</v>
      </c>
      <c r="C815" s="389">
        <v>2.5</v>
      </c>
      <c r="D815" s="389">
        <v>2.75</v>
      </c>
      <c r="E815" s="384"/>
      <c r="F815" s="389"/>
      <c r="G815" s="389"/>
      <c r="T815" s="384" t="str">
        <f>IFERROR(__xludf.DUMMYFUNCTION("""COMPUTED_VALUE"""),"СЭНСЭЙ")</f>
        <v>СЭНСЭЙ</v>
      </c>
      <c r="U815" s="385"/>
      <c r="W815" s="384" t="str">
        <f>IFERROR(__xludf.DUMMYFUNCTION("""COMPUTED_VALUE"""),"Bublik")</f>
        <v>Bublik</v>
      </c>
      <c r="X815" s="385"/>
    </row>
    <row r="816">
      <c r="A816" s="384" t="s">
        <v>98</v>
      </c>
      <c r="B816" s="384" t="s">
        <v>261</v>
      </c>
      <c r="C816" s="389"/>
      <c r="D816" s="389">
        <v>2.5</v>
      </c>
      <c r="E816" s="384"/>
      <c r="F816" s="389"/>
      <c r="G816" s="389"/>
      <c r="T816" s="384" t="str">
        <f>IFERROR(__xludf.DUMMYFUNCTION("""COMPUTED_VALUE"""),"Coach")</f>
        <v>Coach</v>
      </c>
      <c r="U816" s="385"/>
      <c r="W816" s="384" t="str">
        <f>IFERROR(__xludf.DUMMYFUNCTION("""COMPUTED_VALUE"""),"BWDMoscow")</f>
        <v>BWDMoscow</v>
      </c>
      <c r="X816" s="385"/>
    </row>
    <row r="817">
      <c r="A817" s="384" t="s">
        <v>108</v>
      </c>
      <c r="B817" s="384" t="s">
        <v>271</v>
      </c>
      <c r="C817" s="389"/>
      <c r="D817" s="389">
        <v>2.25</v>
      </c>
      <c r="E817" s="384"/>
      <c r="F817" s="389"/>
      <c r="G817" s="389"/>
      <c r="T817" s="384" t="str">
        <f>IFERROR(__xludf.DUMMYFUNCTION("""COMPUTED_VALUE"""),"Физик")</f>
        <v>Физик</v>
      </c>
      <c r="U817" s="385"/>
      <c r="W817" s="384" t="str">
        <f>IFERROR(__xludf.DUMMYFUNCTION("""COMPUTED_VALUE"""),"Cristo")</f>
        <v>Cristo</v>
      </c>
      <c r="X817" s="385"/>
    </row>
    <row r="818">
      <c r="A818" s="384" t="s">
        <v>137</v>
      </c>
      <c r="B818" s="384" t="s">
        <v>261</v>
      </c>
      <c r="C818" s="389"/>
      <c r="D818" s="389">
        <v>2.0</v>
      </c>
      <c r="E818" s="384"/>
      <c r="F818" s="389"/>
      <c r="G818" s="389"/>
      <c r="T818" s="384" t="str">
        <f>IFERROR(__xludf.DUMMYFUNCTION("""COMPUTED_VALUE"""),"Флэш")</f>
        <v>Флэш</v>
      </c>
      <c r="U818" s="385"/>
      <c r="W818" s="384" t="str">
        <f>IFERROR(__xludf.DUMMYFUNCTION("""COMPUTED_VALUE"""),"Curly")</f>
        <v>Curly</v>
      </c>
      <c r="X818" s="385"/>
    </row>
    <row r="819">
      <c r="A819" s="384" t="s">
        <v>118</v>
      </c>
      <c r="B819" s="384" t="s">
        <v>261</v>
      </c>
      <c r="C819" s="389"/>
      <c r="D819" s="389">
        <v>2.75</v>
      </c>
      <c r="E819" s="384"/>
      <c r="F819" s="389"/>
      <c r="G819" s="389"/>
      <c r="T819" s="384" t="str">
        <f>IFERROR(__xludf.DUMMYFUNCTION("""COMPUTED_VALUE"""),"Фокс")</f>
        <v>Фокс</v>
      </c>
      <c r="U819" s="385"/>
      <c r="W819" s="384" t="str">
        <f>IFERROR(__xludf.DUMMYFUNCTION("""COMPUTED_VALUE"""),"GALAY")</f>
        <v>GALAY</v>
      </c>
      <c r="X819" s="385"/>
    </row>
    <row r="820">
      <c r="A820" s="384" t="s">
        <v>100</v>
      </c>
      <c r="B820" s="384" t="s">
        <v>261</v>
      </c>
      <c r="C820" s="389"/>
      <c r="D820" s="389">
        <v>1.0</v>
      </c>
      <c r="E820" s="384"/>
      <c r="F820" s="389"/>
      <c r="G820" s="389"/>
      <c r="T820" s="384" t="str">
        <f>IFERROR(__xludf.DUMMYFUNCTION("""COMPUTED_VALUE"""),"Шоу Бой")</f>
        <v>Шоу Бой</v>
      </c>
      <c r="U820" s="385"/>
      <c r="W820" s="384" t="str">
        <f>IFERROR(__xludf.DUMMYFUNCTION("""COMPUTED_VALUE"""),"Helga")</f>
        <v>Helga</v>
      </c>
      <c r="X820" s="385"/>
    </row>
    <row r="821">
      <c r="A821" s="384" t="s">
        <v>83</v>
      </c>
      <c r="B821" s="384" t="s">
        <v>269</v>
      </c>
      <c r="C821" s="389">
        <v>2.5</v>
      </c>
      <c r="D821" s="389">
        <v>3.75</v>
      </c>
      <c r="E821" s="384"/>
      <c r="F821" s="389"/>
      <c r="G821" s="389"/>
      <c r="T821" s="384" t="str">
        <f>IFERROR(__xludf.DUMMYFUNCTION("""COMPUTED_VALUE"""),"Шпиц")</f>
        <v>Шпиц</v>
      </c>
      <c r="U821" s="385"/>
      <c r="W821" s="384" t="str">
        <f>IFERROR(__xludf.DUMMYFUNCTION("""COMPUTED_VALUE"""),"Infinity ")</f>
        <v>Infinity </v>
      </c>
      <c r="X821" s="385"/>
    </row>
    <row r="822">
      <c r="A822" s="384" t="s">
        <v>81</v>
      </c>
      <c r="B822" s="384" t="s">
        <v>261</v>
      </c>
      <c r="C822" s="389"/>
      <c r="D822" s="389">
        <v>2.5</v>
      </c>
      <c r="E822" s="384" t="s">
        <v>11</v>
      </c>
      <c r="F822" s="389"/>
      <c r="G822" s="389">
        <v>0.5</v>
      </c>
      <c r="T822" s="384" t="str">
        <f>IFERROR(__xludf.DUMMYFUNCTION("""COMPUTED_VALUE"""),"Юрия")</f>
        <v>Юрия</v>
      </c>
      <c r="U822" s="385"/>
      <c r="W822" s="384" t="str">
        <f>IFERROR(__xludf.DUMMYFUNCTION("""COMPUTED_VALUE"""),"Ketamin")</f>
        <v>Ketamin</v>
      </c>
      <c r="X822" s="385"/>
    </row>
    <row r="823">
      <c r="A823" s="384" t="s">
        <v>84</v>
      </c>
      <c r="B823" s="384" t="s">
        <v>261</v>
      </c>
      <c r="C823" s="389"/>
      <c r="D823" s="389">
        <v>2.0</v>
      </c>
      <c r="E823" s="384"/>
      <c r="F823" s="389"/>
      <c r="G823" s="389"/>
      <c r="T823" s="384" t="str">
        <f>IFERROR(__xludf.DUMMYFUNCTION("""COMPUTED_VALUE"""),"A1 ")</f>
        <v>A1 </v>
      </c>
      <c r="U823" s="385"/>
      <c r="W823" s="384" t="str">
        <f>IFERROR(__xludf.DUMMYFUNCTION("""COMPUTED_VALUE"""),"Light")</f>
        <v>Light</v>
      </c>
      <c r="X823" s="385"/>
    </row>
    <row r="824">
      <c r="A824" s="384" t="s">
        <v>97</v>
      </c>
      <c r="B824" s="384" t="s">
        <v>265</v>
      </c>
      <c r="C824" s="389">
        <v>2.5</v>
      </c>
      <c r="D824" s="389">
        <v>3.75</v>
      </c>
      <c r="E824" s="384" t="s">
        <v>260</v>
      </c>
      <c r="F824" s="389"/>
      <c r="G824" s="389"/>
      <c r="T824" s="384" t="str">
        <f>IFERROR(__xludf.DUMMYFUNCTION("""COMPUTED_VALUE"""),"Alice ")</f>
        <v>Alice </v>
      </c>
      <c r="U824" s="385"/>
      <c r="W824" s="384" t="str">
        <f>IFERROR(__xludf.DUMMYFUNCTION("""COMPUTED_VALUE"""),"Morti")</f>
        <v>Morti</v>
      </c>
      <c r="X824" s="385"/>
    </row>
    <row r="825">
      <c r="A825" s="384" t="s">
        <v>153</v>
      </c>
      <c r="B825" s="384" t="s">
        <v>269</v>
      </c>
      <c r="C825" s="389">
        <v>2.5</v>
      </c>
      <c r="D825" s="389">
        <v>3.5</v>
      </c>
      <c r="E825" s="384"/>
      <c r="F825" s="389"/>
      <c r="G825" s="389"/>
      <c r="T825" s="384" t="str">
        <f>IFERROR(__xludf.DUMMYFUNCTION("""COMPUTED_VALUE"""),"BWDMoscow")</f>
        <v>BWDMoscow</v>
      </c>
      <c r="U825" s="385"/>
      <c r="W825" s="384" t="str">
        <f>IFERROR(__xludf.DUMMYFUNCTION("""COMPUTED_VALUE"""),"MSR")</f>
        <v>MSR</v>
      </c>
      <c r="X825" s="385"/>
    </row>
    <row r="826">
      <c r="A826" s="384" t="s">
        <v>98</v>
      </c>
      <c r="B826" s="384" t="s">
        <v>271</v>
      </c>
      <c r="C826" s="389"/>
      <c r="D826" s="389">
        <v>2.5</v>
      </c>
      <c r="E826" s="384"/>
      <c r="F826" s="389"/>
      <c r="G826" s="389"/>
      <c r="T826" s="384" t="str">
        <f>IFERROR(__xludf.DUMMYFUNCTION("""COMPUTED_VALUE"""),"Castor Troy ")</f>
        <v>Castor Troy </v>
      </c>
      <c r="U826" s="385"/>
      <c r="W826" s="384" t="str">
        <f>IFERROR(__xludf.DUMMYFUNCTION("""COMPUTED_VALUE"""),"NLIP")</f>
        <v>NLIP</v>
      </c>
      <c r="X826" s="385"/>
    </row>
    <row r="827">
      <c r="A827" s="384" t="s">
        <v>108</v>
      </c>
      <c r="B827" s="384" t="s">
        <v>261</v>
      </c>
      <c r="C827" s="389"/>
      <c r="D827" s="389">
        <v>2.5</v>
      </c>
      <c r="E827" s="384"/>
      <c r="F827" s="389"/>
      <c r="G827" s="389"/>
      <c r="T827" s="384" t="str">
        <f>IFERROR(__xludf.DUMMYFUNCTION("""COMPUTED_VALUE"""),"Cristo")</f>
        <v>Cristo</v>
      </c>
      <c r="U827" s="385"/>
      <c r="W827" s="384" t="str">
        <f>IFERROR(__xludf.DUMMYFUNCTION("""COMPUTED_VALUE"""),"Rocket woman ")</f>
        <v>Rocket woman </v>
      </c>
      <c r="X827" s="385"/>
    </row>
    <row r="828">
      <c r="A828" s="384" t="s">
        <v>137</v>
      </c>
      <c r="B828" s="384" t="s">
        <v>261</v>
      </c>
      <c r="C828" s="389"/>
      <c r="D828" s="389">
        <v>2.5</v>
      </c>
      <c r="E828" s="384"/>
      <c r="F828" s="389"/>
      <c r="G828" s="389"/>
      <c r="T828" s="384" t="str">
        <f>IFERROR(__xludf.DUMMYFUNCTION("""COMPUTED_VALUE"""),"Curly")</f>
        <v>Curly</v>
      </c>
      <c r="U828" s="385"/>
      <c r="W828" s="384" t="str">
        <f>IFERROR(__xludf.DUMMYFUNCTION("""COMPUTED_VALUE"""),"SCHOKK ")</f>
        <v>SCHOKK </v>
      </c>
      <c r="X828" s="385"/>
    </row>
    <row r="829">
      <c r="A829" s="384" t="s">
        <v>118</v>
      </c>
      <c r="B829" s="384" t="s">
        <v>261</v>
      </c>
      <c r="C829" s="389"/>
      <c r="D829" s="389">
        <v>2.75</v>
      </c>
      <c r="E829" s="384" t="s">
        <v>11</v>
      </c>
      <c r="F829" s="389"/>
      <c r="G829" s="389">
        <v>0.5</v>
      </c>
      <c r="T829" s="384" t="str">
        <f>IFERROR(__xludf.DUMMYFUNCTION("""COMPUTED_VALUE"""),"Helga")</f>
        <v>Helga</v>
      </c>
      <c r="U829" s="385"/>
      <c r="W829" s="384" t="str">
        <f>IFERROR(__xludf.DUMMYFUNCTION("""COMPUTED_VALUE"""),"SOVEST")</f>
        <v>SOVEST</v>
      </c>
      <c r="X829" s="385"/>
    </row>
    <row r="830">
      <c r="A830" s="384" t="s">
        <v>100</v>
      </c>
      <c r="B830" s="384" t="s">
        <v>261</v>
      </c>
      <c r="C830" s="389"/>
      <c r="D830" s="389">
        <v>2.0</v>
      </c>
      <c r="E830" s="384" t="s">
        <v>263</v>
      </c>
      <c r="F830" s="389"/>
      <c r="G830" s="389"/>
      <c r="T830" s="384" t="str">
        <f>IFERROR(__xludf.DUMMYFUNCTION("""COMPUTED_VALUE"""),"Infinity ")</f>
        <v>Infinity </v>
      </c>
      <c r="U830" s="385"/>
      <c r="W830" s="384" t="str">
        <f>IFERROR(__xludf.DUMMYFUNCTION("""COMPUTED_VALUE"""),"Stacy")</f>
        <v>Stacy</v>
      </c>
      <c r="X830" s="385"/>
    </row>
    <row r="831">
      <c r="A831" s="384" t="s">
        <v>83</v>
      </c>
      <c r="B831" s="384" t="s">
        <v>261</v>
      </c>
      <c r="C831" s="389"/>
      <c r="D831" s="389">
        <v>1.5</v>
      </c>
      <c r="E831" s="384" t="s">
        <v>263</v>
      </c>
      <c r="F831" s="389"/>
      <c r="G831" s="389"/>
      <c r="T831" s="384" t="str">
        <f>IFERROR(__xludf.DUMMYFUNCTION("""COMPUTED_VALUE"""),"Ketamin")</f>
        <v>Ketamin</v>
      </c>
      <c r="U831" s="385"/>
      <c r="W831" s="384" t="str">
        <f>IFERROR(__xludf.DUMMYFUNCTION("""COMPUTED_VALUE"""),"WhoIsWho")</f>
        <v>WhoIsWho</v>
      </c>
      <c r="X831" s="385"/>
    </row>
    <row r="832">
      <c r="A832" s="384" t="s">
        <v>81</v>
      </c>
      <c r="B832" s="384" t="s">
        <v>269</v>
      </c>
      <c r="C832" s="389">
        <v>2.5</v>
      </c>
      <c r="D832" s="389">
        <v>3.0</v>
      </c>
      <c r="E832" s="384"/>
      <c r="F832" s="389"/>
      <c r="G832" s="389"/>
      <c r="T832" s="384" t="str">
        <f>IFERROR(__xludf.DUMMYFUNCTION("""COMPUTED_VALUE"""),"Light")</f>
        <v>Light</v>
      </c>
      <c r="U832" s="385"/>
      <c r="W832" s="384" t="str">
        <f>IFERROR(__xludf.DUMMYFUNCTION("""COMPUTED_VALUE"""),"Админ")</f>
        <v>Админ</v>
      </c>
      <c r="X832" s="385"/>
    </row>
    <row r="833">
      <c r="A833" s="384" t="s">
        <v>84</v>
      </c>
      <c r="B833" s="384" t="s">
        <v>261</v>
      </c>
      <c r="C833" s="389"/>
      <c r="D833" s="389">
        <v>3.0</v>
      </c>
      <c r="E833" s="384"/>
      <c r="F833" s="389"/>
      <c r="G833" s="389"/>
      <c r="T833" s="384" t="str">
        <f>IFERROR(__xludf.DUMMYFUNCTION("""COMPUTED_VALUE"""),"Morti")</f>
        <v>Morti</v>
      </c>
      <c r="U833" s="385"/>
      <c r="W833" s="384" t="str">
        <f>IFERROR(__xludf.DUMMYFUNCTION("""COMPUTED_VALUE"""),"Андерсен")</f>
        <v>Андерсен</v>
      </c>
      <c r="X833" s="385"/>
    </row>
    <row r="834">
      <c r="A834" s="384" t="s">
        <v>97</v>
      </c>
      <c r="B834" s="384" t="s">
        <v>269</v>
      </c>
      <c r="C834" s="389">
        <v>2.5</v>
      </c>
      <c r="D834" s="389">
        <v>3.0</v>
      </c>
      <c r="E834" s="384"/>
      <c r="F834" s="389"/>
      <c r="G834" s="389"/>
      <c r="T834" s="384" t="str">
        <f>IFERROR(__xludf.DUMMYFUNCTION("""COMPUTED_VALUE"""),"MSR")</f>
        <v>MSR</v>
      </c>
      <c r="U834" s="385"/>
      <c r="W834" s="384" t="str">
        <f>IFERROR(__xludf.DUMMYFUNCTION("""COMPUTED_VALUE"""),"Артик")</f>
        <v>Артик</v>
      </c>
      <c r="X834" s="385"/>
    </row>
    <row r="835">
      <c r="A835" s="384" t="s">
        <v>153</v>
      </c>
      <c r="B835" s="384" t="s">
        <v>265</v>
      </c>
      <c r="C835" s="389">
        <v>2.5</v>
      </c>
      <c r="D835" s="389">
        <v>4.5</v>
      </c>
      <c r="E835" s="384"/>
      <c r="F835" s="389"/>
      <c r="G835" s="389"/>
      <c r="T835" s="384" t="str">
        <f>IFERROR(__xludf.DUMMYFUNCTION("""COMPUTED_VALUE"""),"NLIP")</f>
        <v>NLIP</v>
      </c>
      <c r="U835" s="385"/>
      <c r="W835" s="384" t="str">
        <f>IFERROR(__xludf.DUMMYFUNCTION("""COMPUTED_VALUE"""),"Астория")</f>
        <v>Астория</v>
      </c>
      <c r="X835" s="385"/>
    </row>
    <row r="836">
      <c r="A836" s="384" t="s">
        <v>98</v>
      </c>
      <c r="B836" s="384" t="s">
        <v>269</v>
      </c>
      <c r="C836" s="389">
        <v>2.5</v>
      </c>
      <c r="D836" s="389">
        <v>3.5</v>
      </c>
      <c r="E836" s="384"/>
      <c r="F836" s="389"/>
      <c r="G836" s="389"/>
      <c r="T836" s="384" t="str">
        <f>IFERROR(__xludf.DUMMYFUNCTION("""COMPUTED_VALUE"""),"Rocket woman ")</f>
        <v>Rocket woman </v>
      </c>
      <c r="U836" s="385"/>
      <c r="W836" s="384" t="str">
        <f>IFERROR(__xludf.DUMMYFUNCTION("""COMPUTED_VALUE"""),"Аш")</f>
        <v>Аш</v>
      </c>
      <c r="X836" s="385"/>
    </row>
    <row r="837">
      <c r="A837" s="384" t="s">
        <v>108</v>
      </c>
      <c r="B837" s="384" t="s">
        <v>261</v>
      </c>
      <c r="C837" s="389"/>
      <c r="D837" s="389">
        <v>2.5</v>
      </c>
      <c r="E837" s="384" t="s">
        <v>11</v>
      </c>
      <c r="F837" s="389"/>
      <c r="G837" s="389">
        <v>0.5</v>
      </c>
      <c r="T837" s="384" t="str">
        <f>IFERROR(__xludf.DUMMYFUNCTION("""COMPUTED_VALUE"""),"SCHOKK ")</f>
        <v>SCHOKK </v>
      </c>
      <c r="U837" s="385"/>
      <c r="W837" s="384" t="str">
        <f>IFERROR(__xludf.DUMMYFUNCTION("""COMPUTED_VALUE"""),"Бамблби")</f>
        <v>Бамблби</v>
      </c>
      <c r="X837" s="385"/>
    </row>
    <row r="838">
      <c r="A838" s="384" t="s">
        <v>137</v>
      </c>
      <c r="B838" s="384" t="s">
        <v>261</v>
      </c>
      <c r="C838" s="389"/>
      <c r="D838" s="389">
        <v>1.0</v>
      </c>
      <c r="E838" s="384"/>
      <c r="F838" s="389"/>
      <c r="G838" s="389"/>
      <c r="T838" s="384" t="str">
        <f>IFERROR(__xludf.DUMMYFUNCTION("""COMPUTED_VALUE"""),"SOVEST")</f>
        <v>SOVEST</v>
      </c>
      <c r="U838" s="385"/>
      <c r="W838" s="384" t="str">
        <f>IFERROR(__xludf.DUMMYFUNCTION("""COMPUTED_VALUE"""),"Волга")</f>
        <v>Волга</v>
      </c>
      <c r="X838" s="385"/>
    </row>
    <row r="839">
      <c r="A839" s="384" t="s">
        <v>118</v>
      </c>
      <c r="B839" s="384" t="s">
        <v>261</v>
      </c>
      <c r="C839" s="389"/>
      <c r="D839" s="389">
        <v>1.0</v>
      </c>
      <c r="E839" s="384"/>
      <c r="F839" s="389"/>
      <c r="G839" s="389"/>
      <c r="T839" s="384" t="str">
        <f>IFERROR(__xludf.DUMMYFUNCTION("""COMPUTED_VALUE"""),"Stacy")</f>
        <v>Stacy</v>
      </c>
      <c r="U839" s="385"/>
      <c r="W839" s="384" t="str">
        <f>IFERROR(__xludf.DUMMYFUNCTION("""COMPUTED_VALUE"""),"Градиент")</f>
        <v>Градиент</v>
      </c>
      <c r="X839" s="385"/>
    </row>
    <row r="840">
      <c r="A840" s="384" t="s">
        <v>100</v>
      </c>
      <c r="B840" s="384" t="s">
        <v>261</v>
      </c>
      <c r="C840" s="389"/>
      <c r="D840" s="389">
        <v>2.5</v>
      </c>
      <c r="E840" s="384"/>
      <c r="F840" s="389"/>
      <c r="G840" s="389"/>
      <c r="T840" s="384" t="str">
        <f>IFERROR(__xludf.DUMMYFUNCTION("""COMPUTED_VALUE"""),"WhoIsWho")</f>
        <v>WhoIsWho</v>
      </c>
      <c r="U840" s="385"/>
      <c r="W840" s="384" t="str">
        <f>IFERROR(__xludf.DUMMYFUNCTION("""COMPUTED_VALUE"""),"Инсомнич")</f>
        <v>Инсомнич</v>
      </c>
      <c r="X840" s="385"/>
    </row>
    <row r="841">
      <c r="A841" s="384" t="s">
        <v>83</v>
      </c>
      <c r="B841" s="384" t="s">
        <v>261</v>
      </c>
      <c r="C841" s="389"/>
      <c r="D841" s="389">
        <v>2.5</v>
      </c>
      <c r="E841" s="384"/>
      <c r="F841" s="389"/>
      <c r="G841" s="389"/>
      <c r="T841" s="384" t="str">
        <f>IFERROR(__xludf.DUMMYFUNCTION("""COMPUTED_VALUE"""),"Young")</f>
        <v>Young</v>
      </c>
      <c r="U841" s="385"/>
      <c r="W841" s="384" t="str">
        <f>IFERROR(__xludf.DUMMYFUNCTION("""COMPUTED_VALUE"""),"Красавчик")</f>
        <v>Красавчик</v>
      </c>
      <c r="X841" s="385"/>
    </row>
    <row r="842">
      <c r="A842" s="384" t="s">
        <v>81</v>
      </c>
      <c r="B842" s="384" t="s">
        <v>271</v>
      </c>
      <c r="C842" s="389"/>
      <c r="D842" s="389">
        <v>1.5</v>
      </c>
      <c r="E842" s="384"/>
      <c r="F842" s="389"/>
      <c r="G842" s="389"/>
      <c r="T842" s="384" t="str">
        <f>IFERROR(__xludf.DUMMYFUNCTION("QUERY('Турнирная таблица по Алфавиту'!C7:BG66,""select C,AI order by AI desc"")"),"Coach")</f>
        <v>Coach</v>
      </c>
      <c r="U842" s="385">
        <f>IFERROR(__xludf.DUMMYFUNCTION("""COMPUTED_VALUE"""),25.0)</f>
        <v>25</v>
      </c>
      <c r="W842" s="384" t="str">
        <f>IFERROR(__xludf.DUMMYFUNCTION("""COMPUTED_VALUE"""),"Крестный отец (BLR)")</f>
        <v>Крестный отец (BLR)</v>
      </c>
      <c r="X842" s="385"/>
    </row>
    <row r="843">
      <c r="A843" s="384" t="s">
        <v>84</v>
      </c>
      <c r="B843" s="384" t="s">
        <v>261</v>
      </c>
      <c r="C843" s="389">
        <v>2.5</v>
      </c>
      <c r="D843" s="389">
        <v>2.25</v>
      </c>
      <c r="E843" s="384"/>
      <c r="F843" s="389"/>
      <c r="G843" s="389"/>
      <c r="T843" s="384" t="str">
        <f>IFERROR(__xludf.DUMMYFUNCTION("""COMPUTED_VALUE"""),"Тихий закат")</f>
        <v>Тихий закат</v>
      </c>
      <c r="U843" s="385">
        <f>IFERROR(__xludf.DUMMYFUNCTION("""COMPUTED_VALUE"""),23.5)</f>
        <v>23.5</v>
      </c>
      <c r="W843" s="384" t="str">
        <f>IFERROR(__xludf.DUMMYFUNCTION("""COMPUTED_VALUE"""),"Крёстный Отец (RU)")</f>
        <v>Крёстный Отец (RU)</v>
      </c>
      <c r="X843" s="385"/>
    </row>
    <row r="844">
      <c r="A844" s="384" t="s">
        <v>97</v>
      </c>
      <c r="B844" s="384" t="s">
        <v>269</v>
      </c>
      <c r="C844" s="389"/>
      <c r="D844" s="389">
        <v>2.0</v>
      </c>
      <c r="E844" s="384"/>
      <c r="F844" s="389"/>
      <c r="G844" s="389"/>
      <c r="T844" s="384" t="str">
        <f>IFERROR(__xludf.DUMMYFUNCTION("""COMPUTED_VALUE"""),"Лисичка")</f>
        <v>Лисичка</v>
      </c>
      <c r="U844" s="385">
        <f>IFERROR(__xludf.DUMMYFUNCTION("""COMPUTED_VALUE"""),23.25)</f>
        <v>23.25</v>
      </c>
      <c r="W844" s="384" t="str">
        <f>IFERROR(__xludf.DUMMYFUNCTION("""COMPUTED_VALUE"""),"Крот")</f>
        <v>Крот</v>
      </c>
      <c r="X844" s="385"/>
    </row>
    <row r="845">
      <c r="A845" s="384" t="s">
        <v>153</v>
      </c>
      <c r="B845" s="384" t="s">
        <v>269</v>
      </c>
      <c r="C845" s="389"/>
      <c r="D845" s="389">
        <v>2.0</v>
      </c>
      <c r="E845" s="384"/>
      <c r="F845" s="389"/>
      <c r="G845" s="389"/>
      <c r="T845" s="384" t="str">
        <f>IFERROR(__xludf.DUMMYFUNCTION("""COMPUTED_VALUE"""),"Писатель ")</f>
        <v>Писатель </v>
      </c>
      <c r="U845" s="385">
        <f>IFERROR(__xludf.DUMMYFUNCTION("""COMPUTED_VALUE"""),21.0)</f>
        <v>21</v>
      </c>
      <c r="W845" s="384" t="str">
        <f>IFERROR(__xludf.DUMMYFUNCTION("""COMPUTED_VALUE"""),"Левша")</f>
        <v>Левша</v>
      </c>
      <c r="X845" s="385"/>
    </row>
    <row r="846">
      <c r="A846" s="384" t="s">
        <v>98</v>
      </c>
      <c r="B846" s="384" t="s">
        <v>261</v>
      </c>
      <c r="C846" s="389">
        <v>2.5</v>
      </c>
      <c r="D846" s="389">
        <v>3.0</v>
      </c>
      <c r="E846" s="384"/>
      <c r="F846" s="389"/>
      <c r="G846" s="389"/>
      <c r="T846" s="384" t="str">
        <f>IFERROR(__xludf.DUMMYFUNCTION("""COMPUTED_VALUE"""),"Флэш")</f>
        <v>Флэш</v>
      </c>
      <c r="U846" s="385">
        <f>IFERROR(__xludf.DUMMYFUNCTION("""COMPUTED_VALUE"""),21.0)</f>
        <v>21</v>
      </c>
      <c r="W846" s="384" t="str">
        <f>IFERROR(__xludf.DUMMYFUNCTION("""COMPUTED_VALUE"""),"Лисичка")</f>
        <v>Лисичка</v>
      </c>
      <c r="X846" s="385"/>
    </row>
    <row r="847">
      <c r="A847" s="384" t="s">
        <v>108</v>
      </c>
      <c r="B847" s="384" t="s">
        <v>261</v>
      </c>
      <c r="C847" s="389">
        <v>2.5</v>
      </c>
      <c r="D847" s="389">
        <v>3.0</v>
      </c>
      <c r="E847" s="384"/>
      <c r="F847" s="389"/>
      <c r="G847" s="389"/>
      <c r="T847" s="384" t="str">
        <f>IFERROR(__xludf.DUMMYFUNCTION("""COMPUTED_VALUE"""),"Авраам")</f>
        <v>Авраам</v>
      </c>
      <c r="U847" s="385">
        <f>IFERROR(__xludf.DUMMYFUNCTION("""COMPUTED_VALUE"""),20.75)</f>
        <v>20.75</v>
      </c>
      <c r="W847" s="384" t="str">
        <f>IFERROR(__xludf.DUMMYFUNCTION("""COMPUTED_VALUE"""),"Маваши")</f>
        <v>Маваши</v>
      </c>
      <c r="X847" s="385"/>
    </row>
    <row r="848">
      <c r="A848" s="384" t="s">
        <v>137</v>
      </c>
      <c r="B848" s="384" t="s">
        <v>261</v>
      </c>
      <c r="C848" s="389">
        <v>2.5</v>
      </c>
      <c r="D848" s="389">
        <v>4.0</v>
      </c>
      <c r="E848" s="384" t="s">
        <v>260</v>
      </c>
      <c r="F848" s="389"/>
      <c r="G848" s="389"/>
      <c r="T848" s="384" t="str">
        <f>IFERROR(__xludf.DUMMYFUNCTION("""COMPUTED_VALUE"""),"Марго")</f>
        <v>Марго</v>
      </c>
      <c r="U848" s="385">
        <f>IFERROR(__xludf.DUMMYFUNCTION("""COMPUTED_VALUE"""),19.0)</f>
        <v>19</v>
      </c>
      <c r="W848" s="384" t="str">
        <f>IFERROR(__xludf.DUMMYFUNCTION("""COMPUTED_VALUE"""),"Манекен")</f>
        <v>Манекен</v>
      </c>
      <c r="X848" s="385"/>
    </row>
    <row r="849">
      <c r="A849" s="384" t="s">
        <v>118</v>
      </c>
      <c r="B849" s="384" t="s">
        <v>261</v>
      </c>
      <c r="C849" s="389">
        <v>2.5</v>
      </c>
      <c r="D849" s="389">
        <v>4.0</v>
      </c>
      <c r="E849" s="384" t="s">
        <v>260</v>
      </c>
      <c r="F849" s="389"/>
      <c r="G849" s="389"/>
      <c r="T849" s="384" t="str">
        <f>IFERROR(__xludf.DUMMYFUNCTION("""COMPUTED_VALUE"""),"GALAY")</f>
        <v>GALAY</v>
      </c>
      <c r="U849" s="385">
        <f>IFERROR(__xludf.DUMMYFUNCTION("""COMPUTED_VALUE"""),18.75)</f>
        <v>18.75</v>
      </c>
      <c r="W849" s="384" t="str">
        <f>IFERROR(__xludf.DUMMYFUNCTION("""COMPUTED_VALUE"""),"Марго")</f>
        <v>Марго</v>
      </c>
      <c r="X849" s="385"/>
    </row>
    <row r="850">
      <c r="A850" s="384" t="s">
        <v>100</v>
      </c>
      <c r="B850" s="384" t="s">
        <v>265</v>
      </c>
      <c r="C850" s="389"/>
      <c r="D850" s="389">
        <v>3.0</v>
      </c>
      <c r="E850" s="384" t="s">
        <v>263</v>
      </c>
      <c r="F850" s="389"/>
      <c r="G850" s="389"/>
      <c r="T850" s="384" t="str">
        <f>IFERROR(__xludf.DUMMYFUNCTION("""COMPUTED_VALUE"""),"Rocket woman ")</f>
        <v>Rocket woman </v>
      </c>
      <c r="U850" s="385">
        <f>IFERROR(__xludf.DUMMYFUNCTION("""COMPUTED_VALUE"""),17.0)</f>
        <v>17</v>
      </c>
      <c r="W850" s="384" t="str">
        <f>IFERROR(__xludf.DUMMYFUNCTION("""COMPUTED_VALUE"""),"Ментик")</f>
        <v>Ментик</v>
      </c>
      <c r="X850" s="385"/>
    </row>
    <row r="851">
      <c r="A851" s="384" t="s">
        <v>83</v>
      </c>
      <c r="B851" s="384" t="s">
        <v>271</v>
      </c>
      <c r="C851" s="389">
        <v>2.5</v>
      </c>
      <c r="D851" s="389">
        <v>2.75</v>
      </c>
      <c r="E851" s="384" t="s">
        <v>11</v>
      </c>
      <c r="F851" s="389">
        <v>0.5</v>
      </c>
      <c r="G851" s="389">
        <v>0.5</v>
      </c>
      <c r="T851" s="384" t="str">
        <f>IFERROR(__xludf.DUMMYFUNCTION("""COMPUTED_VALUE"""),"Крестный отец (BLR)")</f>
        <v>Крестный отец (BLR)</v>
      </c>
      <c r="U851" s="385">
        <f>IFERROR(__xludf.DUMMYFUNCTION("""COMPUTED_VALUE"""),16.0)</f>
        <v>16</v>
      </c>
      <c r="W851" s="384" t="str">
        <f>IFERROR(__xludf.DUMMYFUNCTION("""COMPUTED_VALUE"""),"Мишель ")</f>
        <v>Мишель </v>
      </c>
      <c r="X851" s="385"/>
    </row>
    <row r="852">
      <c r="A852" s="384" t="s">
        <v>81</v>
      </c>
      <c r="B852" s="384" t="s">
        <v>261</v>
      </c>
      <c r="C852" s="389">
        <v>2.5</v>
      </c>
      <c r="D852" s="389">
        <v>2.0</v>
      </c>
      <c r="E852" s="384"/>
      <c r="F852" s="389"/>
      <c r="G852" s="389"/>
      <c r="T852" s="384" t="str">
        <f>IFERROR(__xludf.DUMMYFUNCTION("""COMPUTED_VALUE"""),"Админ")</f>
        <v>Админ</v>
      </c>
      <c r="U852" s="385"/>
      <c r="W852" s="384" t="str">
        <f>IFERROR(__xludf.DUMMYFUNCTION("""COMPUTED_VALUE"""),"Наполеон")</f>
        <v>Наполеон</v>
      </c>
      <c r="X852" s="385"/>
    </row>
    <row r="853">
      <c r="A853" s="384" t="s">
        <v>84</v>
      </c>
      <c r="B853" s="384" t="s">
        <v>269</v>
      </c>
      <c r="C853" s="389">
        <v>2.5</v>
      </c>
      <c r="D853" s="389">
        <v>3.25</v>
      </c>
      <c r="E853" s="384"/>
      <c r="F853" s="389"/>
      <c r="G853" s="389"/>
      <c r="T853" s="384" t="str">
        <f>IFERROR(__xludf.DUMMYFUNCTION("""COMPUTED_VALUE"""),"Андерсен")</f>
        <v>Андерсен</v>
      </c>
      <c r="U853" s="385"/>
      <c r="W853" s="384" t="str">
        <f>IFERROR(__xludf.DUMMYFUNCTION("""COMPUTED_VALUE"""),"Панда из Руанды")</f>
        <v>Панда из Руанды</v>
      </c>
      <c r="X853" s="385"/>
    </row>
    <row r="854">
      <c r="A854" s="384" t="s">
        <v>108</v>
      </c>
      <c r="B854" s="384" t="s">
        <v>265</v>
      </c>
      <c r="C854" s="389">
        <v>2.5</v>
      </c>
      <c r="D854" s="389">
        <v>3.75</v>
      </c>
      <c r="E854" s="384"/>
      <c r="F854" s="389"/>
      <c r="G854" s="389"/>
      <c r="T854" s="384" t="str">
        <f>IFERROR(__xludf.DUMMYFUNCTION("""COMPUTED_VALUE"""),"Артик")</f>
        <v>Артик</v>
      </c>
      <c r="U854" s="385"/>
      <c r="W854" s="384" t="str">
        <f>IFERROR(__xludf.DUMMYFUNCTION("""COMPUTED_VALUE"""),"Писатель ")</f>
        <v>Писатель </v>
      </c>
      <c r="X854" s="385"/>
    </row>
    <row r="855">
      <c r="A855" s="384" t="s">
        <v>133</v>
      </c>
      <c r="B855" s="384" t="s">
        <v>261</v>
      </c>
      <c r="C855" s="389"/>
      <c r="D855" s="389">
        <v>1.25</v>
      </c>
      <c r="E855" s="384"/>
      <c r="F855" s="389"/>
      <c r="G855" s="389"/>
      <c r="T855" s="384" t="str">
        <f>IFERROR(__xludf.DUMMYFUNCTION("""COMPUTED_VALUE"""),"Астория")</f>
        <v>Астория</v>
      </c>
      <c r="U855" s="385"/>
      <c r="W855" s="384" t="str">
        <f>IFERROR(__xludf.DUMMYFUNCTION("""COMPUTED_VALUE"""),"Правда ")</f>
        <v>Правда </v>
      </c>
      <c r="X855" s="385"/>
    </row>
    <row r="856">
      <c r="A856" s="384" t="s">
        <v>83</v>
      </c>
      <c r="B856" s="384" t="s">
        <v>261</v>
      </c>
      <c r="C856" s="389"/>
      <c r="D856" s="389">
        <v>3.25</v>
      </c>
      <c r="E856" s="384"/>
      <c r="F856" s="389"/>
      <c r="G856" s="389"/>
      <c r="T856" s="384" t="str">
        <f>IFERROR(__xludf.DUMMYFUNCTION("""COMPUTED_VALUE"""),"Аш")</f>
        <v>Аш</v>
      </c>
      <c r="U856" s="385"/>
      <c r="W856" s="384" t="str">
        <f>IFERROR(__xludf.DUMMYFUNCTION("""COMPUTED_VALUE"""),"Продюсер")</f>
        <v>Продюсер</v>
      </c>
      <c r="X856" s="385"/>
    </row>
    <row r="857">
      <c r="A857" s="384" t="s">
        <v>86</v>
      </c>
      <c r="B857" s="384" t="s">
        <v>261</v>
      </c>
      <c r="C857" s="389"/>
      <c r="D857" s="389">
        <v>1.0</v>
      </c>
      <c r="E857" s="384"/>
      <c r="F857" s="389"/>
      <c r="G857" s="389"/>
      <c r="T857" s="384" t="str">
        <f>IFERROR(__xludf.DUMMYFUNCTION("""COMPUTED_VALUE"""),"Бамблби")</f>
        <v>Бамблби</v>
      </c>
      <c r="U857" s="385"/>
      <c r="W857" s="384" t="str">
        <f>IFERROR(__xludf.DUMMYFUNCTION("""COMPUTED_VALUE"""),"Старый")</f>
        <v>Старый</v>
      </c>
      <c r="X857" s="385"/>
    </row>
    <row r="858">
      <c r="A858" s="384" t="s">
        <v>95</v>
      </c>
      <c r="B858" s="384" t="s">
        <v>269</v>
      </c>
      <c r="C858" s="389">
        <v>2.5</v>
      </c>
      <c r="D858" s="389">
        <v>2.75</v>
      </c>
      <c r="E858" s="384"/>
      <c r="F858" s="389"/>
      <c r="G858" s="389"/>
      <c r="T858" s="384" t="str">
        <f>IFERROR(__xludf.DUMMYFUNCTION("""COMPUTED_VALUE"""),"Волга")</f>
        <v>Волга</v>
      </c>
      <c r="U858" s="385"/>
      <c r="W858" s="384" t="str">
        <f>IFERROR(__xludf.DUMMYFUNCTION("""COMPUTED_VALUE"""),"СЭНСЭЙ")</f>
        <v>СЭНСЭЙ</v>
      </c>
      <c r="X858" s="385"/>
    </row>
    <row r="859">
      <c r="A859" s="384" t="s">
        <v>100</v>
      </c>
      <c r="B859" s="384" t="s">
        <v>271</v>
      </c>
      <c r="C859" s="389"/>
      <c r="D859" s="389">
        <v>2.25</v>
      </c>
      <c r="E859" s="384"/>
      <c r="F859" s="389"/>
      <c r="G859" s="389"/>
      <c r="T859" s="384" t="str">
        <f>IFERROR(__xludf.DUMMYFUNCTION("""COMPUTED_VALUE"""),"Градиент")</f>
        <v>Градиент</v>
      </c>
      <c r="U859" s="385"/>
      <c r="W859" s="384" t="str">
        <f>IFERROR(__xludf.DUMMYFUNCTION("""COMPUTED_VALUE"""),"Coach")</f>
        <v>Coach</v>
      </c>
      <c r="X859" s="385"/>
    </row>
    <row r="860">
      <c r="A860" s="384" t="s">
        <v>126</v>
      </c>
      <c r="B860" s="384" t="s">
        <v>261</v>
      </c>
      <c r="C860" s="389"/>
      <c r="D860" s="389">
        <v>1.75</v>
      </c>
      <c r="E860" s="384" t="s">
        <v>11</v>
      </c>
      <c r="F860" s="389"/>
      <c r="G860" s="389">
        <v>0.5</v>
      </c>
      <c r="T860" s="384" t="str">
        <f>IFERROR(__xludf.DUMMYFUNCTION("""COMPUTED_VALUE"""),"Дровосек")</f>
        <v>Дровосек</v>
      </c>
      <c r="U860" s="385"/>
      <c r="W860" s="384" t="str">
        <f>IFERROR(__xludf.DUMMYFUNCTION("""COMPUTED_VALUE"""),"Тихий закат")</f>
        <v>Тихий закат</v>
      </c>
      <c r="X860" s="385"/>
    </row>
    <row r="861">
      <c r="A861" s="384" t="s">
        <v>114</v>
      </c>
      <c r="B861" s="384" t="s">
        <v>261</v>
      </c>
      <c r="C861" s="389"/>
      <c r="D861" s="389">
        <v>2.0</v>
      </c>
      <c r="E861" s="384"/>
      <c r="F861" s="389"/>
      <c r="G861" s="389"/>
      <c r="T861" s="384" t="str">
        <f>IFERROR(__xludf.DUMMYFUNCTION("""COMPUTED_VALUE"""),"Зверюга")</f>
        <v>Зверюга</v>
      </c>
      <c r="U861" s="385"/>
      <c r="W861" s="384" t="str">
        <f>IFERROR(__xludf.DUMMYFUNCTION("""COMPUTED_VALUE"""),"Физик")</f>
        <v>Физик</v>
      </c>
      <c r="X861" s="385"/>
    </row>
    <row r="862">
      <c r="A862" s="384" t="s">
        <v>91</v>
      </c>
      <c r="B862" s="384" t="s">
        <v>261</v>
      </c>
      <c r="C862" s="389"/>
      <c r="D862" s="389">
        <v>3.5</v>
      </c>
      <c r="E862" s="384"/>
      <c r="F862" s="389"/>
      <c r="G862" s="389"/>
      <c r="T862" s="384" t="str">
        <f>IFERROR(__xludf.DUMMYFUNCTION("""COMPUTED_VALUE"""),"Инсомнич")</f>
        <v>Инсомнич</v>
      </c>
      <c r="U862" s="385"/>
      <c r="W862" s="384" t="str">
        <f>IFERROR(__xludf.DUMMYFUNCTION("""COMPUTED_VALUE"""),"Флэш")</f>
        <v>Флэш</v>
      </c>
      <c r="X862" s="385"/>
    </row>
    <row r="863">
      <c r="A863" s="384" t="s">
        <v>84</v>
      </c>
      <c r="B863" s="384" t="s">
        <v>261</v>
      </c>
      <c r="C863" s="389"/>
      <c r="D863" s="389">
        <v>3.75</v>
      </c>
      <c r="E863" s="384"/>
      <c r="F863" s="389"/>
      <c r="G863" s="389"/>
      <c r="T863" s="384" t="str">
        <f>IFERROR(__xludf.DUMMYFUNCTION("""COMPUTED_VALUE"""),"Красавчик")</f>
        <v>Красавчик</v>
      </c>
      <c r="U863" s="385"/>
      <c r="W863" s="384" t="str">
        <f>IFERROR(__xludf.DUMMYFUNCTION("""COMPUTED_VALUE"""),"Фокс")</f>
        <v>Фокс</v>
      </c>
      <c r="X863" s="385"/>
    </row>
    <row r="864">
      <c r="A864" s="384" t="s">
        <v>108</v>
      </c>
      <c r="B864" s="384" t="s">
        <v>265</v>
      </c>
      <c r="C864" s="389">
        <v>2.5</v>
      </c>
      <c r="D864" s="389">
        <v>3.25</v>
      </c>
      <c r="E864" s="384"/>
      <c r="F864" s="389"/>
      <c r="G864" s="389"/>
      <c r="T864" s="384" t="str">
        <f>IFERROR(__xludf.DUMMYFUNCTION("""COMPUTED_VALUE"""),"Крёстный Отец (RU)")</f>
        <v>Крёстный Отец (RU)</v>
      </c>
      <c r="U864" s="385"/>
      <c r="W864" s="384" t="str">
        <f>IFERROR(__xludf.DUMMYFUNCTION("""COMPUTED_VALUE"""),"Шоу Бой")</f>
        <v>Шоу Бой</v>
      </c>
      <c r="X864" s="385"/>
    </row>
    <row r="865">
      <c r="A865" s="384" t="s">
        <v>133</v>
      </c>
      <c r="B865" s="384" t="s">
        <v>269</v>
      </c>
      <c r="C865" s="389">
        <v>2.5</v>
      </c>
      <c r="D865" s="389">
        <v>3.0</v>
      </c>
      <c r="E865" s="384"/>
      <c r="F865" s="389"/>
      <c r="G865" s="389"/>
      <c r="T865" s="384" t="str">
        <f>IFERROR(__xludf.DUMMYFUNCTION("""COMPUTED_VALUE"""),"Крот")</f>
        <v>Крот</v>
      </c>
      <c r="U865" s="385"/>
      <c r="W865" s="384" t="str">
        <f>IFERROR(__xludf.DUMMYFUNCTION("""COMPUTED_VALUE"""),"Шпиц")</f>
        <v>Шпиц</v>
      </c>
      <c r="X865" s="385"/>
    </row>
    <row r="866">
      <c r="A866" s="384" t="s">
        <v>83</v>
      </c>
      <c r="B866" s="384" t="s">
        <v>261</v>
      </c>
      <c r="C866" s="389"/>
      <c r="D866" s="389">
        <v>2.75</v>
      </c>
      <c r="E866" s="384"/>
      <c r="F866" s="389"/>
      <c r="G866" s="389"/>
      <c r="T866" s="384" t="str">
        <f>IFERROR(__xludf.DUMMYFUNCTION("""COMPUTED_VALUE"""),"Левша")</f>
        <v>Левша</v>
      </c>
      <c r="U866" s="385"/>
      <c r="W866" s="384" t="str">
        <f>IFERROR(__xludf.DUMMYFUNCTION("""COMPUTED_VALUE"""),"A1 ")</f>
        <v>A1 </v>
      </c>
      <c r="X866" s="385"/>
    </row>
    <row r="867">
      <c r="A867" s="384" t="s">
        <v>86</v>
      </c>
      <c r="B867" s="384" t="s">
        <v>261</v>
      </c>
      <c r="C867" s="389"/>
      <c r="D867" s="389">
        <v>2.0</v>
      </c>
      <c r="E867" s="384"/>
      <c r="F867" s="389"/>
      <c r="G867" s="389"/>
      <c r="T867" s="384" t="str">
        <f>IFERROR(__xludf.DUMMYFUNCTION("""COMPUTED_VALUE"""),"Маваши")</f>
        <v>Маваши</v>
      </c>
      <c r="U867" s="385"/>
      <c r="W867" s="384" t="str">
        <f>IFERROR(__xludf.DUMMYFUNCTION("""COMPUTED_VALUE"""),"Bublik")</f>
        <v>Bublik</v>
      </c>
      <c r="X867" s="385"/>
    </row>
    <row r="868">
      <c r="A868" s="384" t="s">
        <v>95</v>
      </c>
      <c r="B868" s="384" t="s">
        <v>261</v>
      </c>
      <c r="C868" s="389"/>
      <c r="D868" s="389">
        <v>3.25</v>
      </c>
      <c r="E868" s="384"/>
      <c r="F868" s="389"/>
      <c r="G868" s="389"/>
      <c r="T868" s="384" t="str">
        <f>IFERROR(__xludf.DUMMYFUNCTION("""COMPUTED_VALUE"""),"Манекен")</f>
        <v>Манекен</v>
      </c>
      <c r="U868" s="385"/>
      <c r="W868" s="384" t="str">
        <f>IFERROR(__xludf.DUMMYFUNCTION("""COMPUTED_VALUE"""),"BWDMoscow")</f>
        <v>BWDMoscow</v>
      </c>
      <c r="X868" s="385"/>
    </row>
    <row r="869">
      <c r="A869" s="384" t="s">
        <v>100</v>
      </c>
      <c r="B869" s="384" t="s">
        <v>269</v>
      </c>
      <c r="C869" s="389">
        <v>2.5</v>
      </c>
      <c r="D869" s="389">
        <v>3.25</v>
      </c>
      <c r="E869" s="384"/>
      <c r="F869" s="389"/>
      <c r="G869" s="389"/>
      <c r="T869" s="384" t="str">
        <f>IFERROR(__xludf.DUMMYFUNCTION("""COMPUTED_VALUE"""),"Ментик")</f>
        <v>Ментик</v>
      </c>
      <c r="U869" s="385"/>
      <c r="W869" s="384" t="str">
        <f>IFERROR(__xludf.DUMMYFUNCTION("""COMPUTED_VALUE"""),"Castor Troy ")</f>
        <v>Castor Troy </v>
      </c>
      <c r="X869" s="385"/>
    </row>
    <row r="870">
      <c r="A870" s="384" t="s">
        <v>126</v>
      </c>
      <c r="B870" s="384" t="s">
        <v>261</v>
      </c>
      <c r="C870" s="389"/>
      <c r="D870" s="389">
        <v>1.75</v>
      </c>
      <c r="E870" s="384"/>
      <c r="F870" s="389"/>
      <c r="G870" s="389"/>
      <c r="T870" s="384" t="str">
        <f>IFERROR(__xludf.DUMMYFUNCTION("""COMPUTED_VALUE"""),"Мишель ")</f>
        <v>Мишель </v>
      </c>
      <c r="U870" s="385"/>
      <c r="W870" s="384" t="str">
        <f>IFERROR(__xludf.DUMMYFUNCTION("""COMPUTED_VALUE"""),"Cristo")</f>
        <v>Cristo</v>
      </c>
      <c r="X870" s="385"/>
    </row>
    <row r="871">
      <c r="A871" s="384" t="s">
        <v>114</v>
      </c>
      <c r="B871" s="384" t="s">
        <v>261</v>
      </c>
      <c r="C871" s="389"/>
      <c r="D871" s="389">
        <v>1.75</v>
      </c>
      <c r="E871" s="384" t="s">
        <v>11</v>
      </c>
      <c r="F871" s="389"/>
      <c r="G871" s="389">
        <v>0.5</v>
      </c>
      <c r="T871" s="384" t="str">
        <f>IFERROR(__xludf.DUMMYFUNCTION("""COMPUTED_VALUE"""),"Наполеон")</f>
        <v>Наполеон</v>
      </c>
      <c r="U871" s="385"/>
      <c r="W871" s="384" t="str">
        <f>IFERROR(__xludf.DUMMYFUNCTION("""COMPUTED_VALUE"""),"Curly")</f>
        <v>Curly</v>
      </c>
      <c r="X871" s="385"/>
    </row>
    <row r="872">
      <c r="A872" s="384" t="s">
        <v>91</v>
      </c>
      <c r="B872" s="384" t="s">
        <v>271</v>
      </c>
      <c r="C872" s="389"/>
      <c r="D872" s="389">
        <v>2.75</v>
      </c>
      <c r="E872" s="384"/>
      <c r="F872" s="389"/>
      <c r="G872" s="389"/>
      <c r="T872" s="384" t="str">
        <f>IFERROR(__xludf.DUMMYFUNCTION("""COMPUTED_VALUE"""),"Панда из Руанды")</f>
        <v>Панда из Руанды</v>
      </c>
      <c r="U872" s="385"/>
      <c r="W872" s="384" t="str">
        <f>IFERROR(__xludf.DUMMYFUNCTION("""COMPUTED_VALUE"""),"GALAY")</f>
        <v>GALAY</v>
      </c>
      <c r="X872" s="385"/>
    </row>
    <row r="873">
      <c r="A873" s="384" t="s">
        <v>84</v>
      </c>
      <c r="B873" s="384" t="s">
        <v>269</v>
      </c>
      <c r="C873" s="389"/>
      <c r="D873" s="389">
        <v>2.25</v>
      </c>
      <c r="E873" s="384"/>
      <c r="F873" s="389"/>
      <c r="G873" s="389"/>
      <c r="T873" s="384" t="str">
        <f>IFERROR(__xludf.DUMMYFUNCTION("""COMPUTED_VALUE"""),"Правда ")</f>
        <v>Правда </v>
      </c>
      <c r="U873" s="385"/>
      <c r="W873" s="384" t="str">
        <f>IFERROR(__xludf.DUMMYFUNCTION("""COMPUTED_VALUE"""),"Ketamin")</f>
        <v>Ketamin</v>
      </c>
      <c r="X873" s="385"/>
    </row>
    <row r="874">
      <c r="A874" s="384" t="s">
        <v>108</v>
      </c>
      <c r="B874" s="384" t="s">
        <v>261</v>
      </c>
      <c r="C874" s="389">
        <v>2.5</v>
      </c>
      <c r="D874" s="389">
        <v>3.5</v>
      </c>
      <c r="E874" s="384" t="s">
        <v>260</v>
      </c>
      <c r="F874" s="389"/>
      <c r="G874" s="389"/>
      <c r="T874" s="384" t="str">
        <f>IFERROR(__xludf.DUMMYFUNCTION("""COMPUTED_VALUE"""),"Продюсер")</f>
        <v>Продюсер</v>
      </c>
      <c r="U874" s="385"/>
      <c r="W874" s="384" t="str">
        <f>IFERROR(__xludf.DUMMYFUNCTION("""COMPUTED_VALUE"""),"Morti")</f>
        <v>Morti</v>
      </c>
      <c r="X874" s="385"/>
    </row>
    <row r="875">
      <c r="A875" s="384" t="s">
        <v>133</v>
      </c>
      <c r="B875" s="384" t="s">
        <v>271</v>
      </c>
      <c r="C875" s="389">
        <v>2.5</v>
      </c>
      <c r="D875" s="389">
        <v>3.25</v>
      </c>
      <c r="E875" s="384"/>
      <c r="F875" s="389"/>
      <c r="G875" s="389"/>
      <c r="T875" s="384" t="str">
        <f>IFERROR(__xludf.DUMMYFUNCTION("""COMPUTED_VALUE"""),"РФ")</f>
        <v>РФ</v>
      </c>
      <c r="U875" s="385"/>
      <c r="W875" s="384" t="str">
        <f>IFERROR(__xludf.DUMMYFUNCTION("""COMPUTED_VALUE"""),"MSR")</f>
        <v>MSR</v>
      </c>
      <c r="X875" s="385"/>
    </row>
    <row r="876">
      <c r="A876" s="384" t="s">
        <v>83</v>
      </c>
      <c r="B876" s="384" t="s">
        <v>261</v>
      </c>
      <c r="C876" s="389">
        <v>2.5</v>
      </c>
      <c r="D876" s="389">
        <v>2.75</v>
      </c>
      <c r="E876" s="384"/>
      <c r="F876" s="389"/>
      <c r="G876" s="389"/>
      <c r="T876" s="384" t="str">
        <f>IFERROR(__xludf.DUMMYFUNCTION("""COMPUTED_VALUE"""),"Старый")</f>
        <v>Старый</v>
      </c>
      <c r="U876" s="385"/>
      <c r="W876" s="384" t="str">
        <f>IFERROR(__xludf.DUMMYFUNCTION("""COMPUTED_VALUE"""),"Rocket woman ")</f>
        <v>Rocket woman </v>
      </c>
      <c r="X876" s="385"/>
    </row>
    <row r="877">
      <c r="A877" s="384" t="s">
        <v>86</v>
      </c>
      <c r="B877" s="384" t="s">
        <v>261</v>
      </c>
      <c r="C877" s="389">
        <v>2.5</v>
      </c>
      <c r="D877" s="389">
        <v>4.25</v>
      </c>
      <c r="E877" s="384" t="s">
        <v>260</v>
      </c>
      <c r="F877" s="389"/>
      <c r="G877" s="389"/>
      <c r="T877" s="384" t="str">
        <f>IFERROR(__xludf.DUMMYFUNCTION("""COMPUTED_VALUE"""),"СЭНСЭЙ")</f>
        <v>СЭНСЭЙ</v>
      </c>
      <c r="U877" s="385"/>
      <c r="W877" s="384" t="str">
        <f>IFERROR(__xludf.DUMMYFUNCTION("""COMPUTED_VALUE"""),"SCHOKK ")</f>
        <v>SCHOKK </v>
      </c>
      <c r="X877" s="385"/>
    </row>
    <row r="878">
      <c r="A878" s="384" t="s">
        <v>95</v>
      </c>
      <c r="B878" s="384" t="s">
        <v>261</v>
      </c>
      <c r="C878" s="389">
        <v>2.5</v>
      </c>
      <c r="D878" s="389">
        <v>2.25</v>
      </c>
      <c r="E878" s="384" t="s">
        <v>11</v>
      </c>
      <c r="F878" s="389"/>
      <c r="G878" s="389">
        <v>0.5</v>
      </c>
      <c r="T878" s="384" t="str">
        <f>IFERROR(__xludf.DUMMYFUNCTION("""COMPUTED_VALUE"""),"Физик")</f>
        <v>Физик</v>
      </c>
      <c r="U878" s="385"/>
      <c r="W878" s="384" t="str">
        <f>IFERROR(__xludf.DUMMYFUNCTION("""COMPUTED_VALUE"""),"SOVEST")</f>
        <v>SOVEST</v>
      </c>
      <c r="X878" s="385"/>
    </row>
    <row r="879">
      <c r="A879" s="384" t="s">
        <v>100</v>
      </c>
      <c r="B879" s="384" t="s">
        <v>269</v>
      </c>
      <c r="C879" s="389"/>
      <c r="D879" s="389">
        <v>2.5</v>
      </c>
      <c r="E879" s="384"/>
      <c r="F879" s="389"/>
      <c r="G879" s="389"/>
      <c r="T879" s="384" t="str">
        <f>IFERROR(__xludf.DUMMYFUNCTION("""COMPUTED_VALUE"""),"Фокс")</f>
        <v>Фокс</v>
      </c>
      <c r="U879" s="385"/>
      <c r="W879" s="384" t="str">
        <f>IFERROR(__xludf.DUMMYFUNCTION("""COMPUTED_VALUE"""),"Stacy")</f>
        <v>Stacy</v>
      </c>
      <c r="X879" s="385"/>
    </row>
    <row r="880">
      <c r="A880" s="384" t="s">
        <v>126</v>
      </c>
      <c r="B880" s="384" t="s">
        <v>265</v>
      </c>
      <c r="C880" s="389"/>
      <c r="D880" s="389">
        <v>2.25</v>
      </c>
      <c r="E880" s="384" t="s">
        <v>263</v>
      </c>
      <c r="F880" s="389"/>
      <c r="G880" s="389"/>
      <c r="T880" s="384" t="str">
        <f>IFERROR(__xludf.DUMMYFUNCTION("""COMPUTED_VALUE"""),"Шоу Бой")</f>
        <v>Шоу Бой</v>
      </c>
      <c r="U880" s="385"/>
      <c r="W880" s="384" t="str">
        <f>IFERROR(__xludf.DUMMYFUNCTION("""COMPUTED_VALUE"""),"WhoIsWho")</f>
        <v>WhoIsWho</v>
      </c>
      <c r="X880" s="385"/>
    </row>
    <row r="881">
      <c r="A881" s="384" t="s">
        <v>114</v>
      </c>
      <c r="B881" s="384" t="s">
        <v>261</v>
      </c>
      <c r="C881" s="389">
        <v>2.5</v>
      </c>
      <c r="D881" s="389">
        <v>3.75</v>
      </c>
      <c r="E881" s="384"/>
      <c r="F881" s="389"/>
      <c r="G881" s="389"/>
      <c r="T881" s="384" t="str">
        <f>IFERROR(__xludf.DUMMYFUNCTION("""COMPUTED_VALUE"""),"Шпиц")</f>
        <v>Шпиц</v>
      </c>
      <c r="U881" s="385"/>
      <c r="W881" s="384" t="str">
        <f>IFERROR(__xludf.DUMMYFUNCTION("""COMPUTED_VALUE"""),"Young")</f>
        <v>Young</v>
      </c>
      <c r="X881" s="385"/>
    </row>
    <row r="882">
      <c r="A882" s="384" t="s">
        <v>91</v>
      </c>
      <c r="B882" s="384" t="s">
        <v>261</v>
      </c>
      <c r="C882" s="389">
        <v>2.5</v>
      </c>
      <c r="D882" s="389">
        <v>2.0</v>
      </c>
      <c r="E882" s="384"/>
      <c r="F882" s="389"/>
      <c r="G882" s="389"/>
      <c r="T882" s="384" t="str">
        <f>IFERROR(__xludf.DUMMYFUNCTION("""COMPUTED_VALUE"""),"Юрия")</f>
        <v>Юрия</v>
      </c>
      <c r="U882" s="385"/>
      <c r="W882" s="384" t="str">
        <f>IFERROR(__xludf.DUMMYFUNCTION("""COMPUTED_VALUE"""),"Авраам")</f>
        <v>Авраам</v>
      </c>
      <c r="X882" s="385"/>
    </row>
    <row r="883">
      <c r="A883" s="384" t="s">
        <v>84</v>
      </c>
      <c r="B883" s="384" t="s">
        <v>261</v>
      </c>
      <c r="C883" s="389">
        <v>2.5</v>
      </c>
      <c r="D883" s="389">
        <v>3.75</v>
      </c>
      <c r="E883" s="384"/>
      <c r="F883" s="389"/>
      <c r="G883" s="389"/>
      <c r="T883" s="384" t="str">
        <f>IFERROR(__xludf.DUMMYFUNCTION("""COMPUTED_VALUE"""),"A1 ")</f>
        <v>A1 </v>
      </c>
      <c r="U883" s="385"/>
      <c r="W883" s="384" t="str">
        <f>IFERROR(__xludf.DUMMYFUNCTION("""COMPUTED_VALUE"""),"Админ")</f>
        <v>Админ</v>
      </c>
      <c r="X883" s="385"/>
    </row>
    <row r="884">
      <c r="A884" s="384" t="s">
        <v>108</v>
      </c>
      <c r="B884" s="384" t="s">
        <v>261</v>
      </c>
      <c r="C884" s="389">
        <v>2.5</v>
      </c>
      <c r="D884" s="389">
        <v>3.5</v>
      </c>
      <c r="E884" s="384"/>
      <c r="F884" s="389"/>
      <c r="G884" s="389"/>
      <c r="T884" s="384" t="str">
        <f>IFERROR(__xludf.DUMMYFUNCTION("""COMPUTED_VALUE"""),"Alice ")</f>
        <v>Alice </v>
      </c>
      <c r="U884" s="385"/>
      <c r="W884" s="384" t="str">
        <f>IFERROR(__xludf.DUMMYFUNCTION("""COMPUTED_VALUE"""),"Артик")</f>
        <v>Артик</v>
      </c>
      <c r="X884" s="385"/>
    </row>
    <row r="885">
      <c r="A885" s="384" t="s">
        <v>133</v>
      </c>
      <c r="B885" s="384" t="s">
        <v>261</v>
      </c>
      <c r="C885" s="389">
        <v>2.5</v>
      </c>
      <c r="D885" s="389">
        <v>2.5</v>
      </c>
      <c r="E885" s="384"/>
      <c r="F885" s="389"/>
      <c r="G885" s="389"/>
      <c r="T885" s="384" t="str">
        <f>IFERROR(__xludf.DUMMYFUNCTION("""COMPUTED_VALUE"""),"Bublik")</f>
        <v>Bublik</v>
      </c>
      <c r="U885" s="385"/>
      <c r="W885" s="384" t="str">
        <f>IFERROR(__xludf.DUMMYFUNCTION("""COMPUTED_VALUE"""),"Астория")</f>
        <v>Астория</v>
      </c>
      <c r="X885" s="385"/>
    </row>
    <row r="886">
      <c r="A886" s="384" t="s">
        <v>83</v>
      </c>
      <c r="B886" s="384" t="s">
        <v>261</v>
      </c>
      <c r="C886" s="389">
        <v>2.5</v>
      </c>
      <c r="D886" s="389">
        <v>2.25</v>
      </c>
      <c r="E886" s="384" t="s">
        <v>11</v>
      </c>
      <c r="F886" s="389"/>
      <c r="G886" s="389">
        <v>0.5</v>
      </c>
      <c r="T886" s="384" t="str">
        <f>IFERROR(__xludf.DUMMYFUNCTION("""COMPUTED_VALUE"""),"BWDMoscow")</f>
        <v>BWDMoscow</v>
      </c>
      <c r="U886" s="385"/>
      <c r="W886" s="384" t="str">
        <f>IFERROR(__xludf.DUMMYFUNCTION("""COMPUTED_VALUE"""),"Аш")</f>
        <v>Аш</v>
      </c>
      <c r="X886" s="385"/>
    </row>
    <row r="887">
      <c r="A887" s="384" t="s">
        <v>86</v>
      </c>
      <c r="B887" s="384" t="s">
        <v>271</v>
      </c>
      <c r="C887" s="389">
        <v>2.5</v>
      </c>
      <c r="D887" s="389">
        <v>3.0</v>
      </c>
      <c r="E887" s="384"/>
      <c r="F887" s="389"/>
      <c r="G887" s="389"/>
      <c r="T887" s="384" t="str">
        <f>IFERROR(__xludf.DUMMYFUNCTION("""COMPUTED_VALUE"""),"Castor Troy ")</f>
        <v>Castor Troy </v>
      </c>
      <c r="U887" s="385"/>
      <c r="W887" s="384" t="str">
        <f>IFERROR(__xludf.DUMMYFUNCTION("""COMPUTED_VALUE"""),"Волга")</f>
        <v>Волга</v>
      </c>
      <c r="X887" s="385"/>
    </row>
    <row r="888">
      <c r="A888" s="384" t="s">
        <v>95</v>
      </c>
      <c r="B888" s="384" t="s">
        <v>269</v>
      </c>
      <c r="C888" s="389"/>
      <c r="D888" s="389">
        <v>0.25</v>
      </c>
      <c r="E888" s="384"/>
      <c r="F888" s="389"/>
      <c r="G888" s="389"/>
      <c r="T888" s="384" t="str">
        <f>IFERROR(__xludf.DUMMYFUNCTION("""COMPUTED_VALUE"""),"Cristo")</f>
        <v>Cristo</v>
      </c>
      <c r="U888" s="385"/>
      <c r="W888" s="384" t="str">
        <f>IFERROR(__xludf.DUMMYFUNCTION("""COMPUTED_VALUE"""),"Градиент")</f>
        <v>Градиент</v>
      </c>
      <c r="X888" s="385"/>
    </row>
    <row r="889">
      <c r="A889" s="384" t="s">
        <v>100</v>
      </c>
      <c r="B889" s="384" t="s">
        <v>265</v>
      </c>
      <c r="C889" s="389"/>
      <c r="D889" s="389">
        <v>2.25</v>
      </c>
      <c r="E889" s="384"/>
      <c r="F889" s="389"/>
      <c r="G889" s="389"/>
      <c r="T889" s="384" t="str">
        <f>IFERROR(__xludf.DUMMYFUNCTION("""COMPUTED_VALUE"""),"Curly")</f>
        <v>Curly</v>
      </c>
      <c r="U889" s="385"/>
      <c r="W889" s="384" t="str">
        <f>IFERROR(__xludf.DUMMYFUNCTION("""COMPUTED_VALUE"""),"Инсомнич")</f>
        <v>Инсомнич</v>
      </c>
      <c r="X889" s="385"/>
    </row>
    <row r="890">
      <c r="A890" s="384" t="s">
        <v>126</v>
      </c>
      <c r="B890" s="384" t="s">
        <v>269</v>
      </c>
      <c r="C890" s="389"/>
      <c r="D890" s="389">
        <v>2.5</v>
      </c>
      <c r="E890" s="384"/>
      <c r="F890" s="389"/>
      <c r="G890" s="389"/>
      <c r="T890" s="384" t="str">
        <f>IFERROR(__xludf.DUMMYFUNCTION("""COMPUTED_VALUE"""),"Helga")</f>
        <v>Helga</v>
      </c>
      <c r="U890" s="385"/>
      <c r="W890" s="384" t="str">
        <f>IFERROR(__xludf.DUMMYFUNCTION("""COMPUTED_VALUE"""),"Красавчик")</f>
        <v>Красавчик</v>
      </c>
      <c r="X890" s="385"/>
    </row>
    <row r="891">
      <c r="A891" s="384" t="s">
        <v>114</v>
      </c>
      <c r="B891" s="384" t="s">
        <v>261</v>
      </c>
      <c r="C891" s="389">
        <v>2.5</v>
      </c>
      <c r="D891" s="389">
        <v>3.25</v>
      </c>
      <c r="E891" s="384"/>
      <c r="F891" s="389"/>
      <c r="G891" s="389"/>
      <c r="T891" s="384" t="str">
        <f>IFERROR(__xludf.DUMMYFUNCTION("""COMPUTED_VALUE"""),"Infinity ")</f>
        <v>Infinity </v>
      </c>
      <c r="U891" s="385"/>
      <c r="W891" s="384" t="str">
        <f>IFERROR(__xludf.DUMMYFUNCTION("""COMPUTED_VALUE"""),"Крестный отец (BLR)")</f>
        <v>Крестный отец (BLR)</v>
      </c>
      <c r="X891" s="385"/>
    </row>
    <row r="892">
      <c r="A892" s="384" t="s">
        <v>91</v>
      </c>
      <c r="B892" s="384" t="s">
        <v>261</v>
      </c>
      <c r="C892" s="389">
        <v>2.5</v>
      </c>
      <c r="D892" s="389">
        <v>3.25</v>
      </c>
      <c r="E892" s="384"/>
      <c r="F892" s="389"/>
      <c r="G892" s="389"/>
      <c r="T892" s="384" t="str">
        <f>IFERROR(__xludf.DUMMYFUNCTION("""COMPUTED_VALUE"""),"Ketamin")</f>
        <v>Ketamin</v>
      </c>
      <c r="U892" s="385"/>
      <c r="W892" s="384" t="str">
        <f>IFERROR(__xludf.DUMMYFUNCTION("""COMPUTED_VALUE"""),"Крёстный Отец (RU)")</f>
        <v>Крёстный Отец (RU)</v>
      </c>
      <c r="X892" s="385"/>
    </row>
    <row r="893">
      <c r="A893" s="384" t="s">
        <v>84</v>
      </c>
      <c r="B893" s="384" t="s">
        <v>269</v>
      </c>
      <c r="C893" s="389">
        <v>2.5</v>
      </c>
      <c r="D893" s="389">
        <v>2.75</v>
      </c>
      <c r="E893" s="384"/>
      <c r="F893" s="389"/>
      <c r="G893" s="389"/>
      <c r="T893" s="384" t="str">
        <f>IFERROR(__xludf.DUMMYFUNCTION("""COMPUTED_VALUE"""),"Light")</f>
        <v>Light</v>
      </c>
      <c r="U893" s="385"/>
      <c r="W893" s="384" t="str">
        <f>IFERROR(__xludf.DUMMYFUNCTION("""COMPUTED_VALUE"""),"Крот")</f>
        <v>Крот</v>
      </c>
      <c r="X893" s="385"/>
    </row>
    <row r="894">
      <c r="A894" s="384" t="s">
        <v>108</v>
      </c>
      <c r="B894" s="384" t="s">
        <v>271</v>
      </c>
      <c r="C894" s="389"/>
      <c r="D894" s="389">
        <v>2.5</v>
      </c>
      <c r="E894" s="384"/>
      <c r="F894" s="389"/>
      <c r="G894" s="389"/>
      <c r="T894" s="384" t="str">
        <f>IFERROR(__xludf.DUMMYFUNCTION("""COMPUTED_VALUE"""),"Morti")</f>
        <v>Morti</v>
      </c>
      <c r="U894" s="385"/>
      <c r="W894" s="384" t="str">
        <f>IFERROR(__xludf.DUMMYFUNCTION("""COMPUTED_VALUE"""),"Левша")</f>
        <v>Левша</v>
      </c>
      <c r="X894" s="385"/>
    </row>
    <row r="895">
      <c r="A895" s="384" t="s">
        <v>133</v>
      </c>
      <c r="B895" s="384" t="s">
        <v>269</v>
      </c>
      <c r="C895" s="389">
        <v>2.5</v>
      </c>
      <c r="D895" s="389">
        <v>4.25</v>
      </c>
      <c r="E895" s="384"/>
      <c r="F895" s="389"/>
      <c r="G895" s="389"/>
      <c r="T895" s="384" t="str">
        <f>IFERROR(__xludf.DUMMYFUNCTION("""COMPUTED_VALUE"""),"MSR")</f>
        <v>MSR</v>
      </c>
      <c r="U895" s="385"/>
      <c r="W895" s="384" t="str">
        <f>IFERROR(__xludf.DUMMYFUNCTION("""COMPUTED_VALUE"""),"Лисичка")</f>
        <v>Лисичка</v>
      </c>
      <c r="X895" s="385"/>
    </row>
    <row r="896">
      <c r="A896" s="384" t="s">
        <v>83</v>
      </c>
      <c r="B896" s="384" t="s">
        <v>261</v>
      </c>
      <c r="C896" s="389"/>
      <c r="D896" s="389">
        <v>3.0</v>
      </c>
      <c r="E896" s="384"/>
      <c r="F896" s="389"/>
      <c r="G896" s="389"/>
      <c r="T896" s="384" t="str">
        <f>IFERROR(__xludf.DUMMYFUNCTION("""COMPUTED_VALUE"""),"NLIP")</f>
        <v>NLIP</v>
      </c>
      <c r="U896" s="385"/>
      <c r="W896" s="384" t="str">
        <f>IFERROR(__xludf.DUMMYFUNCTION("""COMPUTED_VALUE"""),"Маваши")</f>
        <v>Маваши</v>
      </c>
      <c r="X896" s="385"/>
    </row>
    <row r="897">
      <c r="A897" s="384" t="s">
        <v>86</v>
      </c>
      <c r="B897" s="384" t="s">
        <v>265</v>
      </c>
      <c r="C897" s="389">
        <v>2.5</v>
      </c>
      <c r="D897" s="389">
        <v>4.0</v>
      </c>
      <c r="E897" s="384"/>
      <c r="F897" s="389"/>
      <c r="G897" s="389"/>
      <c r="T897" s="384" t="str">
        <f>IFERROR(__xludf.DUMMYFUNCTION("""COMPUTED_VALUE"""),"SCHOKK ")</f>
        <v>SCHOKK </v>
      </c>
      <c r="U897" s="385"/>
      <c r="W897" s="384" t="str">
        <f>IFERROR(__xludf.DUMMYFUNCTION("""COMPUTED_VALUE"""),"Манекен")</f>
        <v>Манекен</v>
      </c>
      <c r="X897" s="385"/>
    </row>
    <row r="898">
      <c r="A898" s="384" t="s">
        <v>95</v>
      </c>
      <c r="B898" s="384" t="s">
        <v>261</v>
      </c>
      <c r="C898" s="389"/>
      <c r="D898" s="389">
        <v>3.5</v>
      </c>
      <c r="E898" s="384"/>
      <c r="F898" s="389"/>
      <c r="G898" s="389"/>
      <c r="T898" s="384" t="str">
        <f>IFERROR(__xludf.DUMMYFUNCTION("""COMPUTED_VALUE"""),"SOVEST")</f>
        <v>SOVEST</v>
      </c>
      <c r="U898" s="385"/>
      <c r="W898" s="384" t="str">
        <f>IFERROR(__xludf.DUMMYFUNCTION("""COMPUTED_VALUE"""),"Марго")</f>
        <v>Марго</v>
      </c>
      <c r="X898" s="385"/>
    </row>
    <row r="899">
      <c r="A899" s="384" t="s">
        <v>100</v>
      </c>
      <c r="B899" s="384" t="s">
        <v>261</v>
      </c>
      <c r="C899" s="389"/>
      <c r="D899" s="389">
        <v>2.5</v>
      </c>
      <c r="E899" s="384" t="s">
        <v>11</v>
      </c>
      <c r="F899" s="389"/>
      <c r="G899" s="389">
        <v>0.5</v>
      </c>
      <c r="T899" s="384" t="str">
        <f>IFERROR(__xludf.DUMMYFUNCTION("""COMPUTED_VALUE"""),"Stacy")</f>
        <v>Stacy</v>
      </c>
      <c r="U899" s="385"/>
      <c r="W899" s="384" t="str">
        <f>IFERROR(__xludf.DUMMYFUNCTION("""COMPUTED_VALUE"""),"Ментик")</f>
        <v>Ментик</v>
      </c>
      <c r="X899" s="385"/>
    </row>
    <row r="900">
      <c r="A900" s="384" t="s">
        <v>126</v>
      </c>
      <c r="B900" s="384" t="s">
        <v>261</v>
      </c>
      <c r="C900" s="389"/>
      <c r="D900" s="389">
        <v>1.75</v>
      </c>
      <c r="E900" s="384"/>
      <c r="F900" s="389"/>
      <c r="G900" s="389"/>
      <c r="T900" s="384" t="str">
        <f>IFERROR(__xludf.DUMMYFUNCTION("""COMPUTED_VALUE"""),"WhoIsWho")</f>
        <v>WhoIsWho</v>
      </c>
      <c r="U900" s="385"/>
      <c r="W900" s="384" t="str">
        <f>IFERROR(__xludf.DUMMYFUNCTION("""COMPUTED_VALUE"""),"Мишель ")</f>
        <v>Мишель </v>
      </c>
      <c r="X900" s="385"/>
    </row>
    <row r="901">
      <c r="A901" s="384" t="s">
        <v>114</v>
      </c>
      <c r="B901" s="384" t="s">
        <v>261</v>
      </c>
      <c r="C901" s="389"/>
      <c r="D901" s="389">
        <v>2.0</v>
      </c>
      <c r="E901" s="384"/>
      <c r="F901" s="389"/>
      <c r="G901" s="389"/>
      <c r="T901" s="384" t="str">
        <f>IFERROR(__xludf.DUMMYFUNCTION("""COMPUTED_VALUE"""),"Young")</f>
        <v>Young</v>
      </c>
      <c r="U901" s="385"/>
      <c r="W901" s="384" t="str">
        <f>IFERROR(__xludf.DUMMYFUNCTION("""COMPUTED_VALUE"""),"Наполеон")</f>
        <v>Наполеон</v>
      </c>
      <c r="X901" s="385"/>
    </row>
    <row r="902">
      <c r="A902" s="384" t="s">
        <v>91</v>
      </c>
      <c r="B902" s="384" t="s">
        <v>261</v>
      </c>
      <c r="C902" s="389"/>
      <c r="D902" s="389">
        <v>1.75</v>
      </c>
      <c r="E902" s="384"/>
      <c r="F902" s="389"/>
      <c r="G902" s="389"/>
      <c r="T902" s="384" t="str">
        <f>IFERROR(__xludf.DUMMYFUNCTION("QUERY('Турнирная таблица по Алфавиту'!C7:BG66,""select C,AJ order by AJ desc"")"),"Тихий закат")</f>
        <v>Тихий закат</v>
      </c>
      <c r="U902" s="385">
        <f>IFERROR(__xludf.DUMMYFUNCTION("""COMPUTED_VALUE"""),23.75)</f>
        <v>23.75</v>
      </c>
      <c r="W902" s="384" t="str">
        <f>IFERROR(__xludf.DUMMYFUNCTION("""COMPUTED_VALUE"""),"Писатель ")</f>
        <v>Писатель </v>
      </c>
      <c r="X902" s="385"/>
    </row>
    <row r="903">
      <c r="A903" s="384" t="s">
        <v>100</v>
      </c>
      <c r="B903" s="384" t="s">
        <v>269</v>
      </c>
      <c r="C903" s="389">
        <v>2.5</v>
      </c>
      <c r="D903" s="389">
        <v>3.5</v>
      </c>
      <c r="E903" s="384"/>
      <c r="F903" s="389"/>
      <c r="G903" s="389"/>
      <c r="T903" s="384" t="str">
        <f>IFERROR(__xludf.DUMMYFUNCTION("""COMPUTED_VALUE"""),"Манекен")</f>
        <v>Манекен</v>
      </c>
      <c r="U903" s="385">
        <f>IFERROR(__xludf.DUMMYFUNCTION("""COMPUTED_VALUE"""),23.5)</f>
        <v>23.5</v>
      </c>
      <c r="W903" s="384" t="str">
        <f>IFERROR(__xludf.DUMMYFUNCTION("""COMPUTED_VALUE"""),"Правда ")</f>
        <v>Правда </v>
      </c>
      <c r="X903" s="385"/>
    </row>
    <row r="904">
      <c r="A904" s="384" t="s">
        <v>114</v>
      </c>
      <c r="B904" s="384" t="s">
        <v>261</v>
      </c>
      <c r="C904" s="389"/>
      <c r="D904" s="389">
        <v>1.75</v>
      </c>
      <c r="E904" s="384"/>
      <c r="F904" s="389"/>
      <c r="G904" s="389"/>
      <c r="T904" s="384" t="str">
        <f>IFERROR(__xludf.DUMMYFUNCTION("""COMPUTED_VALUE"""),"Андерсен")</f>
        <v>Андерсен</v>
      </c>
      <c r="U904" s="385">
        <f>IFERROR(__xludf.DUMMYFUNCTION("""COMPUTED_VALUE"""),20.5)</f>
        <v>20.5</v>
      </c>
      <c r="W904" s="384" t="str">
        <f>IFERROR(__xludf.DUMMYFUNCTION("""COMPUTED_VALUE"""),"Продюсер")</f>
        <v>Продюсер</v>
      </c>
      <c r="X904" s="385"/>
    </row>
    <row r="905">
      <c r="A905" s="384" t="s">
        <v>135</v>
      </c>
      <c r="B905" s="384" t="s">
        <v>271</v>
      </c>
      <c r="C905" s="389"/>
      <c r="D905" s="389">
        <v>2.75</v>
      </c>
      <c r="E905" s="384"/>
      <c r="F905" s="389"/>
      <c r="G905" s="389"/>
      <c r="T905" s="384" t="str">
        <f>IFERROR(__xludf.DUMMYFUNCTION("""COMPUTED_VALUE"""),"Старый")</f>
        <v>Старый</v>
      </c>
      <c r="U905" s="385">
        <f>IFERROR(__xludf.DUMMYFUNCTION("""COMPUTED_VALUE"""),18.5)</f>
        <v>18.5</v>
      </c>
      <c r="W905" s="384" t="str">
        <f>IFERROR(__xludf.DUMMYFUNCTION("""COMPUTED_VALUE"""),"Старый")</f>
        <v>Старый</v>
      </c>
      <c r="X905" s="385"/>
    </row>
    <row r="906">
      <c r="A906" s="384" t="s">
        <v>108</v>
      </c>
      <c r="B906" s="384" t="s">
        <v>261</v>
      </c>
      <c r="C906" s="389"/>
      <c r="D906" s="389">
        <v>3.25</v>
      </c>
      <c r="E906" s="384"/>
      <c r="F906" s="389"/>
      <c r="G906" s="389"/>
      <c r="T906" s="384" t="str">
        <f>IFERROR(__xludf.DUMMYFUNCTION("""COMPUTED_VALUE"""),"Маваши")</f>
        <v>Маваши</v>
      </c>
      <c r="U906" s="385">
        <f>IFERROR(__xludf.DUMMYFUNCTION("""COMPUTED_VALUE"""),18.0)</f>
        <v>18</v>
      </c>
      <c r="W906" s="384" t="str">
        <f>IFERROR(__xludf.DUMMYFUNCTION("""COMPUTED_VALUE"""),"СЭНСЭЙ")</f>
        <v>СЭНСЭЙ</v>
      </c>
      <c r="X906" s="385"/>
    </row>
    <row r="907">
      <c r="A907" s="384" t="s">
        <v>84</v>
      </c>
      <c r="B907" s="384" t="s">
        <v>265</v>
      </c>
      <c r="C907" s="389">
        <v>2.5</v>
      </c>
      <c r="D907" s="389">
        <v>3.75</v>
      </c>
      <c r="E907" s="384"/>
      <c r="F907" s="389"/>
      <c r="G907" s="389"/>
      <c r="T907" s="384" t="str">
        <f>IFERROR(__xludf.DUMMYFUNCTION("""COMPUTED_VALUE"""),"Астория")</f>
        <v>Астория</v>
      </c>
      <c r="U907" s="385">
        <f>IFERROR(__xludf.DUMMYFUNCTION("""COMPUTED_VALUE"""),17.75)</f>
        <v>17.75</v>
      </c>
      <c r="W907" s="384" t="str">
        <f>IFERROR(__xludf.DUMMYFUNCTION("""COMPUTED_VALUE"""),"Coach")</f>
        <v>Coach</v>
      </c>
      <c r="X907" s="385"/>
    </row>
    <row r="908">
      <c r="A908" s="384" t="s">
        <v>134</v>
      </c>
      <c r="B908" s="384" t="s">
        <v>261</v>
      </c>
      <c r="C908" s="389"/>
      <c r="D908" s="389">
        <v>2.0</v>
      </c>
      <c r="E908" s="384"/>
      <c r="F908" s="389"/>
      <c r="G908" s="389"/>
      <c r="T908" s="384" t="str">
        <f>IFERROR(__xludf.DUMMYFUNCTION("""COMPUTED_VALUE"""),"Аш")</f>
        <v>Аш</v>
      </c>
      <c r="U908" s="385">
        <f>IFERROR(__xludf.DUMMYFUNCTION("""COMPUTED_VALUE"""),17.75)</f>
        <v>17.75</v>
      </c>
      <c r="W908" s="384" t="str">
        <f>IFERROR(__xludf.DUMMYFUNCTION("""COMPUTED_VALUE"""),"Тихий закат")</f>
        <v>Тихий закат</v>
      </c>
      <c r="X908" s="385"/>
    </row>
    <row r="909">
      <c r="A909" s="384" t="s">
        <v>128</v>
      </c>
      <c r="B909" s="384" t="s">
        <v>269</v>
      </c>
      <c r="C909" s="389">
        <v>2.5</v>
      </c>
      <c r="D909" s="389">
        <v>2.5</v>
      </c>
      <c r="E909" s="384"/>
      <c r="F909" s="389"/>
      <c r="G909" s="389"/>
      <c r="T909" s="384" t="str">
        <f>IFERROR(__xludf.DUMMYFUNCTION("""COMPUTED_VALUE"""),"A1 ")</f>
        <v>A1 </v>
      </c>
      <c r="U909" s="385">
        <f>IFERROR(__xludf.DUMMYFUNCTION("""COMPUTED_VALUE"""),15.5)</f>
        <v>15.5</v>
      </c>
      <c r="W909" s="384" t="str">
        <f>IFERROR(__xludf.DUMMYFUNCTION("""COMPUTED_VALUE"""),"Физик")</f>
        <v>Физик</v>
      </c>
      <c r="X909" s="385"/>
    </row>
    <row r="910">
      <c r="A910" s="384" t="s">
        <v>105</v>
      </c>
      <c r="B910" s="384" t="s">
        <v>261</v>
      </c>
      <c r="C910" s="389"/>
      <c r="D910" s="389">
        <v>2.25</v>
      </c>
      <c r="E910" s="384" t="s">
        <v>11</v>
      </c>
      <c r="F910" s="389"/>
      <c r="G910" s="389">
        <v>0.5</v>
      </c>
      <c r="T910" s="384" t="str">
        <f>IFERROR(__xludf.DUMMYFUNCTION("""COMPUTED_VALUE"""),"WhoIsWho")</f>
        <v>WhoIsWho</v>
      </c>
      <c r="U910" s="385">
        <f>IFERROR(__xludf.DUMMYFUNCTION("""COMPUTED_VALUE"""),14.0)</f>
        <v>14</v>
      </c>
      <c r="W910" s="384" t="str">
        <f>IFERROR(__xludf.DUMMYFUNCTION("""COMPUTED_VALUE"""),"Флэш")</f>
        <v>Флэш</v>
      </c>
      <c r="X910" s="385"/>
    </row>
    <row r="911">
      <c r="A911" s="384" t="s">
        <v>113</v>
      </c>
      <c r="B911" s="384" t="s">
        <v>261</v>
      </c>
      <c r="C911" s="389"/>
      <c r="D911" s="389">
        <v>1.0</v>
      </c>
      <c r="E911" s="384"/>
      <c r="F911" s="389"/>
      <c r="G911" s="389"/>
      <c r="T911" s="384" t="str">
        <f>IFERROR(__xludf.DUMMYFUNCTION("""COMPUTED_VALUE"""),"Ментик")</f>
        <v>Ментик</v>
      </c>
      <c r="U911" s="385">
        <f>IFERROR(__xludf.DUMMYFUNCTION("""COMPUTED_VALUE"""),11.5)</f>
        <v>11.5</v>
      </c>
      <c r="W911" s="384" t="str">
        <f>IFERROR(__xludf.DUMMYFUNCTION("""COMPUTED_VALUE"""),"Фокс")</f>
        <v>Фокс</v>
      </c>
      <c r="X911" s="385"/>
    </row>
    <row r="912">
      <c r="A912" s="384" t="s">
        <v>83</v>
      </c>
      <c r="B912" s="384" t="s">
        <v>261</v>
      </c>
      <c r="C912" s="389"/>
      <c r="D912" s="389">
        <v>2.25</v>
      </c>
      <c r="E912" s="384"/>
      <c r="F912" s="389"/>
      <c r="G912" s="389"/>
      <c r="T912" s="384" t="str">
        <f>IFERROR(__xludf.DUMMYFUNCTION("""COMPUTED_VALUE"""),"Авраам")</f>
        <v>Авраам</v>
      </c>
      <c r="U912" s="385"/>
      <c r="W912" s="384" t="str">
        <f>IFERROR(__xludf.DUMMYFUNCTION("""COMPUTED_VALUE"""),"Шоу Бой")</f>
        <v>Шоу Бой</v>
      </c>
      <c r="X912" s="385"/>
    </row>
    <row r="913">
      <c r="A913" s="384" t="s">
        <v>100</v>
      </c>
      <c r="B913" s="384" t="s">
        <v>271</v>
      </c>
      <c r="C913" s="389"/>
      <c r="D913" s="389">
        <v>2.25</v>
      </c>
      <c r="E913" s="384"/>
      <c r="F913" s="389"/>
      <c r="G913" s="389"/>
      <c r="T913" s="384" t="str">
        <f>IFERROR(__xludf.DUMMYFUNCTION("""COMPUTED_VALUE"""),"Админ")</f>
        <v>Админ</v>
      </c>
      <c r="U913" s="385"/>
      <c r="W913" s="384" t="str">
        <f>IFERROR(__xludf.DUMMYFUNCTION("""COMPUTED_VALUE"""),"Шпиц")</f>
        <v>Шпиц</v>
      </c>
      <c r="X913" s="385"/>
    </row>
    <row r="914">
      <c r="A914" s="384" t="s">
        <v>114</v>
      </c>
      <c r="B914" s="384" t="s">
        <v>269</v>
      </c>
      <c r="C914" s="389">
        <v>2.5</v>
      </c>
      <c r="D914" s="389">
        <v>3.5</v>
      </c>
      <c r="E914" s="384" t="s">
        <v>260</v>
      </c>
      <c r="F914" s="389"/>
      <c r="G914" s="389"/>
      <c r="T914" s="384" t="str">
        <f>IFERROR(__xludf.DUMMYFUNCTION("""COMPUTED_VALUE"""),"Артик")</f>
        <v>Артик</v>
      </c>
      <c r="U914" s="385"/>
      <c r="W914" s="384" t="str">
        <f>IFERROR(__xludf.DUMMYFUNCTION("""COMPUTED_VALUE"""),"Юрия")</f>
        <v>Юрия</v>
      </c>
      <c r="X914" s="385"/>
    </row>
    <row r="915">
      <c r="A915" s="384" t="s">
        <v>135</v>
      </c>
      <c r="B915" s="384" t="s">
        <v>265</v>
      </c>
      <c r="C915" s="389">
        <v>2.5</v>
      </c>
      <c r="D915" s="389">
        <v>3.0</v>
      </c>
      <c r="E915" s="384"/>
      <c r="F915" s="389"/>
      <c r="G915" s="389"/>
      <c r="T915" s="384" t="str">
        <f>IFERROR(__xludf.DUMMYFUNCTION("""COMPUTED_VALUE"""),"Бамблби")</f>
        <v>Бамблби</v>
      </c>
      <c r="U915" s="385"/>
      <c r="W915" s="384" t="str">
        <f>IFERROR(__xludf.DUMMYFUNCTION("""COMPUTED_VALUE"""),"Alice ")</f>
        <v>Alice </v>
      </c>
      <c r="X915" s="385"/>
    </row>
    <row r="916">
      <c r="A916" s="384" t="s">
        <v>108</v>
      </c>
      <c r="B916" s="384" t="s">
        <v>261</v>
      </c>
      <c r="C916" s="389"/>
      <c r="D916" s="389">
        <v>3.75</v>
      </c>
      <c r="E916" s="384"/>
      <c r="F916" s="389"/>
      <c r="G916" s="389"/>
      <c r="T916" s="384" t="str">
        <f>IFERROR(__xludf.DUMMYFUNCTION("""COMPUTED_VALUE"""),"Волга")</f>
        <v>Волга</v>
      </c>
      <c r="U916" s="385"/>
      <c r="W916" s="384" t="str">
        <f>IFERROR(__xludf.DUMMYFUNCTION("""COMPUTED_VALUE"""),"Bublik")</f>
        <v>Bublik</v>
      </c>
      <c r="X916" s="385"/>
    </row>
    <row r="917">
      <c r="A917" s="384" t="s">
        <v>84</v>
      </c>
      <c r="B917" s="384" t="s">
        <v>261</v>
      </c>
      <c r="C917" s="389"/>
      <c r="D917" s="389">
        <v>2.5</v>
      </c>
      <c r="E917" s="384"/>
      <c r="F917" s="389"/>
      <c r="G917" s="389"/>
      <c r="T917" s="384" t="str">
        <f>IFERROR(__xludf.DUMMYFUNCTION("""COMPUTED_VALUE"""),"Градиент")</f>
        <v>Градиент</v>
      </c>
      <c r="U917" s="385"/>
      <c r="W917" s="384" t="str">
        <f>IFERROR(__xludf.DUMMYFUNCTION("""COMPUTED_VALUE"""),"BWDMoscow")</f>
        <v>BWDMoscow</v>
      </c>
      <c r="X917" s="385"/>
    </row>
    <row r="918">
      <c r="A918" s="384" t="s">
        <v>134</v>
      </c>
      <c r="B918" s="384" t="s">
        <v>269</v>
      </c>
      <c r="C918" s="389">
        <v>2.5</v>
      </c>
      <c r="D918" s="389">
        <v>2.75</v>
      </c>
      <c r="E918" s="384"/>
      <c r="F918" s="389"/>
      <c r="G918" s="389"/>
      <c r="T918" s="384" t="str">
        <f>IFERROR(__xludf.DUMMYFUNCTION("""COMPUTED_VALUE"""),"Дровосек")</f>
        <v>Дровосек</v>
      </c>
      <c r="U918" s="385"/>
      <c r="W918" s="384" t="str">
        <f>IFERROR(__xludf.DUMMYFUNCTION("""COMPUTED_VALUE"""),"Castor Troy ")</f>
        <v>Castor Troy </v>
      </c>
      <c r="X918" s="385"/>
    </row>
    <row r="919">
      <c r="A919" s="384" t="s">
        <v>128</v>
      </c>
      <c r="B919" s="384" t="s">
        <v>261</v>
      </c>
      <c r="C919" s="389"/>
      <c r="D919" s="389">
        <v>1.75</v>
      </c>
      <c r="E919" s="384" t="s">
        <v>263</v>
      </c>
      <c r="F919" s="389"/>
      <c r="G919" s="389"/>
      <c r="T919" s="384" t="str">
        <f>IFERROR(__xludf.DUMMYFUNCTION("""COMPUTED_VALUE"""),"Зверюга")</f>
        <v>Зверюга</v>
      </c>
      <c r="U919" s="385"/>
      <c r="W919" s="384" t="str">
        <f>IFERROR(__xludf.DUMMYFUNCTION("""COMPUTED_VALUE"""),"Cristo")</f>
        <v>Cristo</v>
      </c>
      <c r="X919" s="385"/>
    </row>
    <row r="920">
      <c r="A920" s="384" t="s">
        <v>105</v>
      </c>
      <c r="B920" s="384" t="s">
        <v>261</v>
      </c>
      <c r="C920" s="389"/>
      <c r="D920" s="389">
        <v>2.25</v>
      </c>
      <c r="E920" s="384"/>
      <c r="F920" s="389"/>
      <c r="G920" s="389"/>
      <c r="T920" s="384" t="str">
        <f>IFERROR(__xludf.DUMMYFUNCTION("""COMPUTED_VALUE"""),"Инсомнич")</f>
        <v>Инсомнич</v>
      </c>
      <c r="U920" s="385"/>
      <c r="W920" s="384" t="str">
        <f>IFERROR(__xludf.DUMMYFUNCTION("""COMPUTED_VALUE"""),"Curly")</f>
        <v>Curly</v>
      </c>
      <c r="X920" s="385"/>
    </row>
    <row r="921">
      <c r="A921" s="384" t="s">
        <v>113</v>
      </c>
      <c r="B921" s="384" t="s">
        <v>261</v>
      </c>
      <c r="C921" s="389"/>
      <c r="D921" s="389">
        <v>2.0</v>
      </c>
      <c r="E921" s="384" t="s">
        <v>11</v>
      </c>
      <c r="F921" s="389"/>
      <c r="G921" s="389">
        <v>0.5</v>
      </c>
      <c r="T921" s="384" t="str">
        <f>IFERROR(__xludf.DUMMYFUNCTION("""COMPUTED_VALUE"""),"Красавчик")</f>
        <v>Красавчик</v>
      </c>
      <c r="U921" s="385"/>
      <c r="W921" s="384" t="str">
        <f>IFERROR(__xludf.DUMMYFUNCTION("""COMPUTED_VALUE"""),"Helga")</f>
        <v>Helga</v>
      </c>
      <c r="X921" s="385"/>
    </row>
    <row r="922">
      <c r="A922" s="384" t="s">
        <v>83</v>
      </c>
      <c r="B922" s="384" t="s">
        <v>261</v>
      </c>
      <c r="C922" s="389"/>
      <c r="D922" s="389">
        <v>2.5</v>
      </c>
      <c r="E922" s="384" t="s">
        <v>263</v>
      </c>
      <c r="F922" s="389"/>
      <c r="G922" s="389"/>
      <c r="T922" s="384" t="str">
        <f>IFERROR(__xludf.DUMMYFUNCTION("""COMPUTED_VALUE"""),"Крестный отец (BLR)")</f>
        <v>Крестный отец (BLR)</v>
      </c>
      <c r="U922" s="385"/>
      <c r="W922" s="384" t="str">
        <f>IFERROR(__xludf.DUMMYFUNCTION("""COMPUTED_VALUE"""),"Infinity ")</f>
        <v>Infinity </v>
      </c>
      <c r="X922" s="385"/>
    </row>
    <row r="923">
      <c r="A923" s="384" t="s">
        <v>100</v>
      </c>
      <c r="B923" s="384" t="s">
        <v>265</v>
      </c>
      <c r="C923" s="389">
        <v>2.5</v>
      </c>
      <c r="D923" s="389">
        <v>2.75</v>
      </c>
      <c r="E923" s="384"/>
      <c r="F923" s="389"/>
      <c r="G923" s="389"/>
      <c r="T923" s="384" t="str">
        <f>IFERROR(__xludf.DUMMYFUNCTION("""COMPUTED_VALUE"""),"Крёстный Отец (RU)")</f>
        <v>Крёстный Отец (RU)</v>
      </c>
      <c r="U923" s="385"/>
      <c r="W923" s="384" t="str">
        <f>IFERROR(__xludf.DUMMYFUNCTION("""COMPUTED_VALUE"""),"Ketamin")</f>
        <v>Ketamin</v>
      </c>
      <c r="X923" s="385"/>
    </row>
    <row r="924">
      <c r="A924" s="384" t="s">
        <v>114</v>
      </c>
      <c r="B924" s="384" t="s">
        <v>271</v>
      </c>
      <c r="C924" s="389"/>
      <c r="D924" s="389">
        <v>2.75</v>
      </c>
      <c r="E924" s="384" t="s">
        <v>11</v>
      </c>
      <c r="F924" s="389">
        <v>0.5</v>
      </c>
      <c r="G924" s="389">
        <v>0.5</v>
      </c>
      <c r="T924" s="384" t="str">
        <f>IFERROR(__xludf.DUMMYFUNCTION("""COMPUTED_VALUE"""),"Крот")</f>
        <v>Крот</v>
      </c>
      <c r="U924" s="385"/>
      <c r="W924" s="384" t="str">
        <f>IFERROR(__xludf.DUMMYFUNCTION("""COMPUTED_VALUE"""),"Morti")</f>
        <v>Morti</v>
      </c>
      <c r="X924" s="385"/>
    </row>
    <row r="925">
      <c r="A925" s="384" t="s">
        <v>135</v>
      </c>
      <c r="B925" s="384" t="s">
        <v>269</v>
      </c>
      <c r="C925" s="389">
        <v>2.5</v>
      </c>
      <c r="D925" s="389">
        <v>4.0</v>
      </c>
      <c r="E925" s="384"/>
      <c r="F925" s="389"/>
      <c r="G925" s="389"/>
      <c r="T925" s="384" t="str">
        <f>IFERROR(__xludf.DUMMYFUNCTION("""COMPUTED_VALUE"""),"Левша")</f>
        <v>Левша</v>
      </c>
      <c r="U925" s="385"/>
      <c r="W925" s="384" t="str">
        <f>IFERROR(__xludf.DUMMYFUNCTION("""COMPUTED_VALUE"""),"MSR")</f>
        <v>MSR</v>
      </c>
      <c r="X925" s="385"/>
    </row>
    <row r="926">
      <c r="A926" s="384" t="s">
        <v>108</v>
      </c>
      <c r="B926" s="384" t="s">
        <v>261</v>
      </c>
      <c r="C926" s="389"/>
      <c r="D926" s="389">
        <v>2.75</v>
      </c>
      <c r="E926" s="384"/>
      <c r="F926" s="389"/>
      <c r="G926" s="389"/>
      <c r="T926" s="384" t="str">
        <f>IFERROR(__xludf.DUMMYFUNCTION("""COMPUTED_VALUE"""),"Лисичка")</f>
        <v>Лисичка</v>
      </c>
      <c r="U926" s="385"/>
      <c r="W926" s="384" t="str">
        <f>IFERROR(__xludf.DUMMYFUNCTION("""COMPUTED_VALUE"""),"NLIP")</f>
        <v>NLIP</v>
      </c>
      <c r="X926" s="385"/>
    </row>
    <row r="927">
      <c r="A927" s="384" t="s">
        <v>84</v>
      </c>
      <c r="B927" s="384" t="s">
        <v>261</v>
      </c>
      <c r="C927" s="389"/>
      <c r="D927" s="389">
        <v>3.75</v>
      </c>
      <c r="E927" s="384"/>
      <c r="F927" s="389"/>
      <c r="G927" s="389"/>
      <c r="T927" s="384" t="str">
        <f>IFERROR(__xludf.DUMMYFUNCTION("""COMPUTED_VALUE"""),"Марго")</f>
        <v>Марго</v>
      </c>
      <c r="U927" s="385"/>
      <c r="W927" s="384" t="str">
        <f>IFERROR(__xludf.DUMMYFUNCTION("""COMPUTED_VALUE"""),"Rocket woman ")</f>
        <v>Rocket woman </v>
      </c>
      <c r="X927" s="385"/>
    </row>
    <row r="928">
      <c r="A928" s="384" t="s">
        <v>134</v>
      </c>
      <c r="B928" s="384" t="s">
        <v>261</v>
      </c>
      <c r="C928" s="389"/>
      <c r="D928" s="389">
        <v>2.5</v>
      </c>
      <c r="E928" s="384"/>
      <c r="F928" s="389"/>
      <c r="G928" s="389"/>
      <c r="T928" s="384" t="str">
        <f>IFERROR(__xludf.DUMMYFUNCTION("""COMPUTED_VALUE"""),"Мишель ")</f>
        <v>Мишель </v>
      </c>
      <c r="U928" s="385"/>
      <c r="W928" s="384" t="str">
        <f>IFERROR(__xludf.DUMMYFUNCTION("""COMPUTED_VALUE"""),"SCHOKK ")</f>
        <v>SCHOKK </v>
      </c>
      <c r="X928" s="385"/>
    </row>
    <row r="929">
      <c r="A929" s="384" t="s">
        <v>128</v>
      </c>
      <c r="B929" s="384" t="s">
        <v>269</v>
      </c>
      <c r="C929" s="389">
        <v>2.5</v>
      </c>
      <c r="D929" s="389">
        <v>3.5</v>
      </c>
      <c r="E929" s="384"/>
      <c r="F929" s="389"/>
      <c r="G929" s="389"/>
      <c r="T929" s="384" t="str">
        <f>IFERROR(__xludf.DUMMYFUNCTION("""COMPUTED_VALUE"""),"Наполеон")</f>
        <v>Наполеон</v>
      </c>
      <c r="U929" s="385"/>
      <c r="W929" s="384" t="str">
        <f>IFERROR(__xludf.DUMMYFUNCTION("""COMPUTED_VALUE"""),"SOVEST")</f>
        <v>SOVEST</v>
      </c>
      <c r="X929" s="385"/>
    </row>
    <row r="930">
      <c r="A930" s="384" t="s">
        <v>105</v>
      </c>
      <c r="B930" s="384" t="s">
        <v>261</v>
      </c>
      <c r="C930" s="389"/>
      <c r="D930" s="389">
        <v>2.0</v>
      </c>
      <c r="E930" s="384"/>
      <c r="F930" s="389"/>
      <c r="G930" s="389"/>
      <c r="T930" s="384" t="str">
        <f>IFERROR(__xludf.DUMMYFUNCTION("""COMPUTED_VALUE"""),"Панда из Руанды")</f>
        <v>Панда из Руанды</v>
      </c>
      <c r="U930" s="385"/>
      <c r="W930" s="384" t="str">
        <f>IFERROR(__xludf.DUMMYFUNCTION("""COMPUTED_VALUE"""),"WhoIsWho")</f>
        <v>WhoIsWho</v>
      </c>
      <c r="X930" s="385"/>
    </row>
    <row r="931">
      <c r="A931" s="384" t="s">
        <v>113</v>
      </c>
      <c r="B931" s="384" t="s">
        <v>261</v>
      </c>
      <c r="C931" s="389"/>
      <c r="D931" s="389">
        <v>1.25</v>
      </c>
      <c r="E931" s="384"/>
      <c r="F931" s="389"/>
      <c r="G931" s="389"/>
      <c r="T931" s="384" t="str">
        <f>IFERROR(__xludf.DUMMYFUNCTION("""COMPUTED_VALUE"""),"Писатель ")</f>
        <v>Писатель </v>
      </c>
      <c r="U931" s="385"/>
      <c r="W931" s="384" t="str">
        <f>IFERROR(__xludf.DUMMYFUNCTION("""COMPUTED_VALUE"""),"Young")</f>
        <v>Young</v>
      </c>
      <c r="X931" s="385"/>
    </row>
    <row r="932">
      <c r="A932" s="384" t="s">
        <v>83</v>
      </c>
      <c r="B932" s="384" t="s">
        <v>261</v>
      </c>
      <c r="C932" s="389"/>
      <c r="D932" s="389">
        <v>2.25</v>
      </c>
      <c r="E932" s="384"/>
      <c r="F932" s="389"/>
      <c r="G932" s="389"/>
      <c r="T932" s="384" t="str">
        <f>IFERROR(__xludf.DUMMYFUNCTION("""COMPUTED_VALUE"""),"Правда ")</f>
        <v>Правда </v>
      </c>
      <c r="U932" s="385"/>
      <c r="W932" s="384" t="str">
        <f>IFERROR(__xludf.DUMMYFUNCTION("""COMPUTED_VALUE"""),"Авраам")</f>
        <v>Авраам</v>
      </c>
      <c r="X932" s="385"/>
    </row>
    <row r="933">
      <c r="A933" s="384" t="s">
        <v>100</v>
      </c>
      <c r="B933" s="384" t="s">
        <v>261</v>
      </c>
      <c r="C933" s="389"/>
      <c r="D933" s="389">
        <v>3.25</v>
      </c>
      <c r="E933" s="384"/>
      <c r="F933" s="389"/>
      <c r="G933" s="389"/>
      <c r="T933" s="384" t="str">
        <f>IFERROR(__xludf.DUMMYFUNCTION("""COMPUTED_VALUE"""),"Продюсер")</f>
        <v>Продюсер</v>
      </c>
      <c r="U933" s="385"/>
      <c r="W933" s="384" t="str">
        <f>IFERROR(__xludf.DUMMYFUNCTION("""COMPUTED_VALUE"""),"Админ")</f>
        <v>Админ</v>
      </c>
      <c r="X933" s="385"/>
    </row>
    <row r="934">
      <c r="A934" s="384" t="s">
        <v>114</v>
      </c>
      <c r="B934" s="384" t="s">
        <v>269</v>
      </c>
      <c r="C934" s="389">
        <v>2.5</v>
      </c>
      <c r="D934" s="389">
        <v>2.75</v>
      </c>
      <c r="E934" s="384"/>
      <c r="F934" s="389"/>
      <c r="G934" s="389"/>
      <c r="T934" s="384" t="str">
        <f>IFERROR(__xludf.DUMMYFUNCTION("""COMPUTED_VALUE"""),"РФ")</f>
        <v>РФ</v>
      </c>
      <c r="U934" s="385"/>
      <c r="W934" s="384" t="str">
        <f>IFERROR(__xludf.DUMMYFUNCTION("""COMPUTED_VALUE"""),"Артик")</f>
        <v>Артик</v>
      </c>
      <c r="X934" s="385"/>
    </row>
    <row r="935">
      <c r="A935" s="384" t="s">
        <v>135</v>
      </c>
      <c r="B935" s="384" t="s">
        <v>261</v>
      </c>
      <c r="C935" s="389"/>
      <c r="D935" s="389">
        <v>2.0</v>
      </c>
      <c r="E935" s="384" t="s">
        <v>11</v>
      </c>
      <c r="F935" s="389"/>
      <c r="G935" s="389">
        <v>0.5</v>
      </c>
      <c r="T935" s="384" t="str">
        <f>IFERROR(__xludf.DUMMYFUNCTION("""COMPUTED_VALUE"""),"СЭНСЭЙ")</f>
        <v>СЭНСЭЙ</v>
      </c>
      <c r="U935" s="385"/>
      <c r="W935" s="384" t="str">
        <f>IFERROR(__xludf.DUMMYFUNCTION("""COMPUTED_VALUE"""),"Астория")</f>
        <v>Астория</v>
      </c>
      <c r="X935" s="385"/>
    </row>
    <row r="936">
      <c r="A936" s="384" t="s">
        <v>108</v>
      </c>
      <c r="B936" s="384" t="s">
        <v>269</v>
      </c>
      <c r="C936" s="389">
        <v>2.5</v>
      </c>
      <c r="D936" s="389">
        <v>3.5</v>
      </c>
      <c r="E936" s="384"/>
      <c r="F936" s="389"/>
      <c r="G936" s="389"/>
      <c r="T936" s="384" t="str">
        <f>IFERROR(__xludf.DUMMYFUNCTION("""COMPUTED_VALUE"""),"Coach")</f>
        <v>Coach</v>
      </c>
      <c r="U936" s="385"/>
      <c r="W936" s="384" t="str">
        <f>IFERROR(__xludf.DUMMYFUNCTION("""COMPUTED_VALUE"""),"Аш")</f>
        <v>Аш</v>
      </c>
      <c r="X936" s="385"/>
    </row>
    <row r="937">
      <c r="A937" s="384" t="s">
        <v>84</v>
      </c>
      <c r="B937" s="384" t="s">
        <v>261</v>
      </c>
      <c r="C937" s="389"/>
      <c r="D937" s="389">
        <v>1.75</v>
      </c>
      <c r="E937" s="384"/>
      <c r="F937" s="389"/>
      <c r="G937" s="389"/>
      <c r="T937" s="384" t="str">
        <f>IFERROR(__xludf.DUMMYFUNCTION("""COMPUTED_VALUE"""),"Физик")</f>
        <v>Физик</v>
      </c>
      <c r="U937" s="385"/>
      <c r="W937" s="384" t="str">
        <f>IFERROR(__xludf.DUMMYFUNCTION("""COMPUTED_VALUE"""),"Бамблби")</f>
        <v>Бамблби</v>
      </c>
      <c r="X937" s="385"/>
    </row>
    <row r="938">
      <c r="A938" s="384" t="s">
        <v>134</v>
      </c>
      <c r="B938" s="384" t="s">
        <v>265</v>
      </c>
      <c r="C938" s="389">
        <v>2.5</v>
      </c>
      <c r="D938" s="389">
        <v>3.5</v>
      </c>
      <c r="E938" s="384"/>
      <c r="F938" s="389"/>
      <c r="G938" s="389"/>
      <c r="T938" s="384" t="str">
        <f>IFERROR(__xludf.DUMMYFUNCTION("""COMPUTED_VALUE"""),"Флэш")</f>
        <v>Флэш</v>
      </c>
      <c r="U938" s="385"/>
      <c r="W938" s="384" t="str">
        <f>IFERROR(__xludf.DUMMYFUNCTION("""COMPUTED_VALUE"""),"Волга")</f>
        <v>Волга</v>
      </c>
      <c r="X938" s="385"/>
    </row>
    <row r="939">
      <c r="A939" s="384" t="s">
        <v>128</v>
      </c>
      <c r="B939" s="384" t="s">
        <v>261</v>
      </c>
      <c r="C939" s="389"/>
      <c r="D939" s="389">
        <v>1.25</v>
      </c>
      <c r="E939" s="384"/>
      <c r="F939" s="389"/>
      <c r="G939" s="389"/>
      <c r="T939" s="384" t="str">
        <f>IFERROR(__xludf.DUMMYFUNCTION("""COMPUTED_VALUE"""),"Фокс")</f>
        <v>Фокс</v>
      </c>
      <c r="U939" s="385"/>
      <c r="W939" s="384" t="str">
        <f>IFERROR(__xludf.DUMMYFUNCTION("""COMPUTED_VALUE"""),"Зверюга")</f>
        <v>Зверюга</v>
      </c>
      <c r="X939" s="385"/>
    </row>
    <row r="940">
      <c r="A940" s="384" t="s">
        <v>105</v>
      </c>
      <c r="B940" s="384" t="s">
        <v>261</v>
      </c>
      <c r="C940" s="389"/>
      <c r="D940" s="389">
        <v>2.5</v>
      </c>
      <c r="E940" s="384"/>
      <c r="F940" s="389"/>
      <c r="G940" s="389"/>
      <c r="T940" s="384" t="str">
        <f>IFERROR(__xludf.DUMMYFUNCTION("""COMPUTED_VALUE"""),"Шоу Бой")</f>
        <v>Шоу Бой</v>
      </c>
      <c r="U940" s="385"/>
      <c r="W940" s="384" t="str">
        <f>IFERROR(__xludf.DUMMYFUNCTION("""COMPUTED_VALUE"""),"Инсомнич")</f>
        <v>Инсомнич</v>
      </c>
      <c r="X940" s="385"/>
    </row>
    <row r="941">
      <c r="A941" s="384" t="s">
        <v>113</v>
      </c>
      <c r="B941" s="384" t="s">
        <v>271</v>
      </c>
      <c r="C941" s="389"/>
      <c r="D941" s="389">
        <v>3.0</v>
      </c>
      <c r="E941" s="384"/>
      <c r="F941" s="389"/>
      <c r="G941" s="389"/>
      <c r="T941" s="384" t="str">
        <f>IFERROR(__xludf.DUMMYFUNCTION("""COMPUTED_VALUE"""),"Шпиц")</f>
        <v>Шпиц</v>
      </c>
      <c r="U941" s="385"/>
      <c r="W941" s="384" t="str">
        <f>IFERROR(__xludf.DUMMYFUNCTION("""COMPUTED_VALUE"""),"Красавчик")</f>
        <v>Красавчик</v>
      </c>
      <c r="X941" s="385"/>
    </row>
    <row r="942">
      <c r="A942" s="384" t="s">
        <v>83</v>
      </c>
      <c r="B942" s="384" t="s">
        <v>261</v>
      </c>
      <c r="C942" s="389"/>
      <c r="D942" s="389">
        <v>1.75</v>
      </c>
      <c r="E942" s="384"/>
      <c r="F942" s="389"/>
      <c r="G942" s="389"/>
      <c r="T942" s="384" t="str">
        <f>IFERROR(__xludf.DUMMYFUNCTION("""COMPUTED_VALUE"""),"Юрия")</f>
        <v>Юрия</v>
      </c>
      <c r="U942" s="385"/>
      <c r="W942" s="384" t="str">
        <f>IFERROR(__xludf.DUMMYFUNCTION("""COMPUTED_VALUE"""),"Крестный отец (BLR)")</f>
        <v>Крестный отец (BLR)</v>
      </c>
      <c r="X942" s="385"/>
    </row>
    <row r="943">
      <c r="A943" s="384" t="s">
        <v>100</v>
      </c>
      <c r="B943" s="384" t="s">
        <v>261</v>
      </c>
      <c r="C943" s="389">
        <v>2.5</v>
      </c>
      <c r="D943" s="389">
        <v>4.0</v>
      </c>
      <c r="E943" s="384" t="s">
        <v>260</v>
      </c>
      <c r="F943" s="389"/>
      <c r="G943" s="389"/>
      <c r="T943" s="384" t="str">
        <f>IFERROR(__xludf.DUMMYFUNCTION("""COMPUTED_VALUE"""),"Alice ")</f>
        <v>Alice </v>
      </c>
      <c r="U943" s="385"/>
      <c r="W943" s="384" t="str">
        <f>IFERROR(__xludf.DUMMYFUNCTION("""COMPUTED_VALUE"""),"Крёстный Отец (RU)")</f>
        <v>Крёстный Отец (RU)</v>
      </c>
      <c r="X943" s="385"/>
    </row>
    <row r="944">
      <c r="A944" s="384" t="s">
        <v>114</v>
      </c>
      <c r="B944" s="384" t="s">
        <v>261</v>
      </c>
      <c r="C944" s="389">
        <v>2.5</v>
      </c>
      <c r="D944" s="389">
        <v>3.5</v>
      </c>
      <c r="E944" s="384"/>
      <c r="F944" s="389"/>
      <c r="G944" s="389"/>
      <c r="T944" s="384" t="str">
        <f>IFERROR(__xludf.DUMMYFUNCTION("""COMPUTED_VALUE"""),"Bublik")</f>
        <v>Bublik</v>
      </c>
      <c r="U944" s="385"/>
      <c r="W944" s="384" t="str">
        <f>IFERROR(__xludf.DUMMYFUNCTION("""COMPUTED_VALUE"""),"Крот")</f>
        <v>Крот</v>
      </c>
      <c r="X944" s="385"/>
    </row>
    <row r="945">
      <c r="A945" s="384" t="s">
        <v>135</v>
      </c>
      <c r="B945" s="384" t="s">
        <v>261</v>
      </c>
      <c r="C945" s="389">
        <v>2.5</v>
      </c>
      <c r="D945" s="389">
        <v>2.5</v>
      </c>
      <c r="E945" s="384"/>
      <c r="F945" s="389"/>
      <c r="G945" s="389"/>
      <c r="T945" s="384" t="str">
        <f>IFERROR(__xludf.DUMMYFUNCTION("""COMPUTED_VALUE"""),"BWDMoscow")</f>
        <v>BWDMoscow</v>
      </c>
      <c r="U945" s="385"/>
      <c r="W945" s="384" t="str">
        <f>IFERROR(__xludf.DUMMYFUNCTION("""COMPUTED_VALUE"""),"Манекен")</f>
        <v>Манекен</v>
      </c>
      <c r="X945" s="385"/>
    </row>
    <row r="946">
      <c r="A946" s="384" t="s">
        <v>108</v>
      </c>
      <c r="B946" s="384" t="s">
        <v>261</v>
      </c>
      <c r="C946" s="389">
        <v>2.5</v>
      </c>
      <c r="D946" s="389">
        <v>3.0</v>
      </c>
      <c r="E946" s="384"/>
      <c r="F946" s="389"/>
      <c r="G946" s="389"/>
      <c r="T946" s="384" t="str">
        <f>IFERROR(__xludf.DUMMYFUNCTION("""COMPUTED_VALUE"""),"Castor Troy ")</f>
        <v>Castor Troy </v>
      </c>
      <c r="U946" s="385"/>
      <c r="W946" s="384" t="str">
        <f>IFERROR(__xludf.DUMMYFUNCTION("""COMPUTED_VALUE"""),"Марго")</f>
        <v>Марго</v>
      </c>
      <c r="X946" s="385"/>
    </row>
    <row r="947">
      <c r="A947" s="384" t="s">
        <v>84</v>
      </c>
      <c r="B947" s="384" t="s">
        <v>261</v>
      </c>
      <c r="C947" s="389">
        <v>2.5</v>
      </c>
      <c r="D947" s="389">
        <v>2.75</v>
      </c>
      <c r="E947" s="384"/>
      <c r="F947" s="389"/>
      <c r="G947" s="389"/>
      <c r="T947" s="384" t="str">
        <f>IFERROR(__xludf.DUMMYFUNCTION("""COMPUTED_VALUE"""),"Cristo")</f>
        <v>Cristo</v>
      </c>
      <c r="U947" s="385"/>
      <c r="W947" s="384" t="str">
        <f>IFERROR(__xludf.DUMMYFUNCTION("""COMPUTED_VALUE"""),"Ментик")</f>
        <v>Ментик</v>
      </c>
      <c r="X947" s="385"/>
    </row>
    <row r="948">
      <c r="A948" s="384" t="s">
        <v>134</v>
      </c>
      <c r="B948" s="384" t="s">
        <v>269</v>
      </c>
      <c r="C948" s="389"/>
      <c r="D948" s="389">
        <v>2.5</v>
      </c>
      <c r="E948" s="384"/>
      <c r="F948" s="389"/>
      <c r="G948" s="389"/>
      <c r="T948" s="384" t="str">
        <f>IFERROR(__xludf.DUMMYFUNCTION("""COMPUTED_VALUE"""),"Curly")</f>
        <v>Curly</v>
      </c>
      <c r="U948" s="385"/>
      <c r="W948" s="384" t="str">
        <f>IFERROR(__xludf.DUMMYFUNCTION("""COMPUTED_VALUE"""),"Мишель ")</f>
        <v>Мишель </v>
      </c>
      <c r="X948" s="385"/>
    </row>
    <row r="949">
      <c r="A949" s="384" t="s">
        <v>128</v>
      </c>
      <c r="B949" s="384" t="s">
        <v>269</v>
      </c>
      <c r="C949" s="389"/>
      <c r="D949" s="389">
        <v>2.5</v>
      </c>
      <c r="E949" s="384"/>
      <c r="F949" s="389"/>
      <c r="G949" s="389"/>
      <c r="T949" s="384" t="str">
        <f>IFERROR(__xludf.DUMMYFUNCTION("""COMPUTED_VALUE"""),"GALAY")</f>
        <v>GALAY</v>
      </c>
      <c r="U949" s="385"/>
      <c r="W949" s="384" t="str">
        <f>IFERROR(__xludf.DUMMYFUNCTION("""COMPUTED_VALUE"""),"Наполеон")</f>
        <v>Наполеон</v>
      </c>
      <c r="X949" s="385"/>
    </row>
    <row r="950">
      <c r="A950" s="384" t="s">
        <v>105</v>
      </c>
      <c r="B950" s="384" t="s">
        <v>261</v>
      </c>
      <c r="C950" s="389">
        <v>2.5</v>
      </c>
      <c r="D950" s="389">
        <v>2.5</v>
      </c>
      <c r="E950" s="384" t="s">
        <v>11</v>
      </c>
      <c r="F950" s="389"/>
      <c r="G950" s="389">
        <v>1.0</v>
      </c>
      <c r="T950" s="384" t="str">
        <f>IFERROR(__xludf.DUMMYFUNCTION("""COMPUTED_VALUE"""),"Helga")</f>
        <v>Helga</v>
      </c>
      <c r="U950" s="385"/>
      <c r="W950" s="384" t="str">
        <f>IFERROR(__xludf.DUMMYFUNCTION("""COMPUTED_VALUE"""),"Панда из Руанды")</f>
        <v>Панда из Руанды</v>
      </c>
      <c r="X950" s="385"/>
    </row>
    <row r="951">
      <c r="A951" s="384" t="s">
        <v>113</v>
      </c>
      <c r="B951" s="384" t="s">
        <v>271</v>
      </c>
      <c r="C951" s="389">
        <v>2.5</v>
      </c>
      <c r="D951" s="389">
        <v>4.5</v>
      </c>
      <c r="E951" s="384"/>
      <c r="F951" s="389"/>
      <c r="G951" s="389"/>
      <c r="T951" s="384" t="str">
        <f>IFERROR(__xludf.DUMMYFUNCTION("""COMPUTED_VALUE"""),"Infinity ")</f>
        <v>Infinity </v>
      </c>
      <c r="U951" s="385"/>
      <c r="W951" s="384" t="str">
        <f>IFERROR(__xludf.DUMMYFUNCTION("""COMPUTED_VALUE"""),"Писатель ")</f>
        <v>Писатель </v>
      </c>
      <c r="X951" s="385"/>
    </row>
    <row r="952">
      <c r="A952" s="384" t="s">
        <v>83</v>
      </c>
      <c r="B952" s="384" t="s">
        <v>265</v>
      </c>
      <c r="C952" s="389"/>
      <c r="D952" s="389">
        <v>2.5</v>
      </c>
      <c r="E952" s="384"/>
      <c r="F952" s="389"/>
      <c r="G952" s="389"/>
      <c r="T952" s="384" t="str">
        <f>IFERROR(__xludf.DUMMYFUNCTION("""COMPUTED_VALUE"""),"Ketamin")</f>
        <v>Ketamin</v>
      </c>
      <c r="U952" s="385"/>
      <c r="W952" s="384" t="str">
        <f>IFERROR(__xludf.DUMMYFUNCTION("""COMPUTED_VALUE"""),"Правда ")</f>
        <v>Правда </v>
      </c>
      <c r="X952" s="385"/>
    </row>
    <row r="953">
      <c r="A953" s="384" t="s">
        <v>127</v>
      </c>
      <c r="B953" s="384" t="s">
        <v>269</v>
      </c>
      <c r="C953" s="389">
        <v>2.5</v>
      </c>
      <c r="D953" s="389">
        <v>2.5</v>
      </c>
      <c r="E953" s="384"/>
      <c r="F953" s="389"/>
      <c r="G953" s="389"/>
      <c r="T953" s="384" t="str">
        <f>IFERROR(__xludf.DUMMYFUNCTION("""COMPUTED_VALUE"""),"Light")</f>
        <v>Light</v>
      </c>
      <c r="U953" s="385"/>
      <c r="W953" s="384" t="str">
        <f>IFERROR(__xludf.DUMMYFUNCTION("""COMPUTED_VALUE"""),"Старый")</f>
        <v>Старый</v>
      </c>
      <c r="X953" s="385"/>
    </row>
    <row r="954">
      <c r="A954" s="384" t="s">
        <v>83</v>
      </c>
      <c r="B954" s="384" t="s">
        <v>269</v>
      </c>
      <c r="C954" s="389">
        <v>2.5</v>
      </c>
      <c r="D954" s="389">
        <v>3.5</v>
      </c>
      <c r="E954" s="384"/>
      <c r="F954" s="389"/>
      <c r="G954" s="389"/>
      <c r="T954" s="384" t="str">
        <f>IFERROR(__xludf.DUMMYFUNCTION("""COMPUTED_VALUE"""),"Morti")</f>
        <v>Morti</v>
      </c>
      <c r="U954" s="385"/>
      <c r="W954" s="384" t="str">
        <f>IFERROR(__xludf.DUMMYFUNCTION("""COMPUTED_VALUE"""),"СЭНСЭЙ")</f>
        <v>СЭНСЭЙ</v>
      </c>
      <c r="X954" s="385"/>
    </row>
    <row r="955">
      <c r="A955" s="384" t="s">
        <v>117</v>
      </c>
      <c r="B955" s="384" t="s">
        <v>261</v>
      </c>
      <c r="C955" s="389"/>
      <c r="D955" s="389">
        <v>2.25</v>
      </c>
      <c r="E955" s="384"/>
      <c r="F955" s="389"/>
      <c r="G955" s="389"/>
      <c r="T955" s="384" t="str">
        <f>IFERROR(__xludf.DUMMYFUNCTION("""COMPUTED_VALUE"""),"MSR")</f>
        <v>MSR</v>
      </c>
      <c r="U955" s="385"/>
      <c r="W955" s="384" t="str">
        <f>IFERROR(__xludf.DUMMYFUNCTION("""COMPUTED_VALUE"""),"Coach")</f>
        <v>Coach</v>
      </c>
      <c r="X955" s="385"/>
    </row>
    <row r="956">
      <c r="A956" s="384" t="s">
        <v>118</v>
      </c>
      <c r="B956" s="384" t="s">
        <v>261</v>
      </c>
      <c r="C956" s="389"/>
      <c r="D956" s="389">
        <v>2.0</v>
      </c>
      <c r="E956" s="384"/>
      <c r="F956" s="389"/>
      <c r="G956" s="389"/>
      <c r="T956" s="384" t="str">
        <f>IFERROR(__xludf.DUMMYFUNCTION("""COMPUTED_VALUE"""),"NLIP")</f>
        <v>NLIP</v>
      </c>
      <c r="U956" s="385"/>
      <c r="W956" s="384" t="str">
        <f>IFERROR(__xludf.DUMMYFUNCTION("""COMPUTED_VALUE"""),"Тихий закат")</f>
        <v>Тихий закат</v>
      </c>
      <c r="X956" s="385"/>
    </row>
    <row r="957">
      <c r="A957" s="384" t="s">
        <v>100</v>
      </c>
      <c r="B957" s="384" t="s">
        <v>261</v>
      </c>
      <c r="C957" s="389"/>
      <c r="D957" s="389">
        <v>1.75</v>
      </c>
      <c r="E957" s="384" t="s">
        <v>11</v>
      </c>
      <c r="F957" s="389"/>
      <c r="G957" s="389">
        <v>0.5</v>
      </c>
      <c r="T957" s="384" t="str">
        <f>IFERROR(__xludf.DUMMYFUNCTION("""COMPUTED_VALUE"""),"Rocket woman ")</f>
        <v>Rocket woman </v>
      </c>
      <c r="U957" s="385"/>
      <c r="W957" s="384" t="str">
        <f>IFERROR(__xludf.DUMMYFUNCTION("""COMPUTED_VALUE"""),"Физик")</f>
        <v>Физик</v>
      </c>
      <c r="X957" s="385"/>
    </row>
    <row r="958">
      <c r="A958" s="384" t="s">
        <v>130</v>
      </c>
      <c r="B958" s="384" t="s">
        <v>265</v>
      </c>
      <c r="C958" s="389">
        <v>2.5</v>
      </c>
      <c r="D958" s="389">
        <v>4.25</v>
      </c>
      <c r="E958" s="384"/>
      <c r="F958" s="389"/>
      <c r="G958" s="389"/>
      <c r="T958" s="384" t="str">
        <f>IFERROR(__xludf.DUMMYFUNCTION("""COMPUTED_VALUE"""),"SCHOKK ")</f>
        <v>SCHOKK </v>
      </c>
      <c r="U958" s="385"/>
      <c r="W958" s="384" t="str">
        <f>IFERROR(__xludf.DUMMYFUNCTION("""COMPUTED_VALUE"""),"Флэш")</f>
        <v>Флэш</v>
      </c>
      <c r="X958" s="385"/>
    </row>
    <row r="959">
      <c r="A959" s="384" t="s">
        <v>169</v>
      </c>
      <c r="B959" s="384" t="s">
        <v>261</v>
      </c>
      <c r="C959" s="389"/>
      <c r="D959" s="389">
        <v>1.75</v>
      </c>
      <c r="E959" s="384"/>
      <c r="F959" s="389"/>
      <c r="G959" s="389"/>
      <c r="T959" s="384" t="str">
        <f>IFERROR(__xludf.DUMMYFUNCTION("""COMPUTED_VALUE"""),"SOVEST")</f>
        <v>SOVEST</v>
      </c>
      <c r="U959" s="385"/>
      <c r="W959" s="384" t="str">
        <f>IFERROR(__xludf.DUMMYFUNCTION("""COMPUTED_VALUE"""),"Фокс")</f>
        <v>Фокс</v>
      </c>
      <c r="X959" s="385"/>
    </row>
    <row r="960">
      <c r="A960" s="384" t="s">
        <v>114</v>
      </c>
      <c r="B960" s="384" t="s">
        <v>271</v>
      </c>
      <c r="C960" s="389"/>
      <c r="D960" s="389">
        <v>2.5</v>
      </c>
      <c r="E960" s="384"/>
      <c r="F960" s="389"/>
      <c r="G960" s="389"/>
      <c r="T960" s="384" t="str">
        <f>IFERROR(__xludf.DUMMYFUNCTION("""COMPUTED_VALUE"""),"Stacy")</f>
        <v>Stacy</v>
      </c>
      <c r="U960" s="385"/>
      <c r="W960" s="384" t="str">
        <f>IFERROR(__xludf.DUMMYFUNCTION("""COMPUTED_VALUE"""),"Шоу Бой")</f>
        <v>Шоу Бой</v>
      </c>
      <c r="X960" s="385"/>
    </row>
    <row r="961">
      <c r="A961" s="384" t="s">
        <v>102</v>
      </c>
      <c r="B961" s="384" t="s">
        <v>261</v>
      </c>
      <c r="C961" s="389"/>
      <c r="D961" s="389">
        <v>1.75</v>
      </c>
      <c r="E961" s="384"/>
      <c r="F961" s="389"/>
      <c r="G961" s="389"/>
      <c r="T961" s="384" t="str">
        <f>IFERROR(__xludf.DUMMYFUNCTION("""COMPUTED_VALUE"""),"Young")</f>
        <v>Young</v>
      </c>
      <c r="U961" s="385"/>
      <c r="W961" s="384" t="str">
        <f>IFERROR(__xludf.DUMMYFUNCTION("""COMPUTED_VALUE"""),"Шпиц")</f>
        <v>Шпиц</v>
      </c>
      <c r="X961" s="385"/>
    </row>
    <row r="962">
      <c r="A962" s="384" t="s">
        <v>120</v>
      </c>
      <c r="B962" s="384" t="s">
        <v>261</v>
      </c>
      <c r="C962" s="389"/>
      <c r="D962" s="389">
        <v>3.0</v>
      </c>
      <c r="E962" s="384"/>
      <c r="F962" s="389"/>
      <c r="G962" s="389"/>
      <c r="T962" s="384" t="str">
        <f>IFERROR(__xludf.DUMMYFUNCTION("QUERY('Турнирная таблица по Алфавиту'!C7:BG66,""select C,AK order by AK desc"")"),"Старый")</f>
        <v>Старый</v>
      </c>
      <c r="U962" s="385">
        <f>IFERROR(__xludf.DUMMYFUNCTION("""COMPUTED_VALUE"""),26.5)</f>
        <v>26.5</v>
      </c>
      <c r="W962" s="384" t="str">
        <f>IFERROR(__xludf.DUMMYFUNCTION("""COMPUTED_VALUE"""),"Юрия")</f>
        <v>Юрия</v>
      </c>
      <c r="X962" s="385"/>
    </row>
    <row r="963">
      <c r="A963" s="384" t="s">
        <v>127</v>
      </c>
      <c r="B963" s="384" t="s">
        <v>261</v>
      </c>
      <c r="C963" s="389">
        <v>2.5</v>
      </c>
      <c r="D963" s="389">
        <v>2.25</v>
      </c>
      <c r="E963" s="384"/>
      <c r="F963" s="389"/>
      <c r="G963" s="389"/>
      <c r="T963" s="384" t="str">
        <f>IFERROR(__xludf.DUMMYFUNCTION("""COMPUTED_VALUE"""),"Rocket woman ")</f>
        <v>Rocket woman </v>
      </c>
      <c r="U963" s="385">
        <f>IFERROR(__xludf.DUMMYFUNCTION("""COMPUTED_VALUE"""),24.25)</f>
        <v>24.25</v>
      </c>
      <c r="W963" s="384" t="str">
        <f>IFERROR(__xludf.DUMMYFUNCTION("""COMPUTED_VALUE"""),"A1 ")</f>
        <v>A1 </v>
      </c>
      <c r="X963" s="385"/>
    </row>
    <row r="964">
      <c r="A964" s="384" t="s">
        <v>83</v>
      </c>
      <c r="B964" s="384" t="s">
        <v>265</v>
      </c>
      <c r="C964" s="389"/>
      <c r="D964" s="389">
        <v>2.5</v>
      </c>
      <c r="E964" s="384"/>
      <c r="F964" s="389"/>
      <c r="G964" s="389"/>
      <c r="T964" s="384" t="str">
        <f>IFERROR(__xludf.DUMMYFUNCTION("""COMPUTED_VALUE"""),"Аш")</f>
        <v>Аш</v>
      </c>
      <c r="U964" s="385">
        <f>IFERROR(__xludf.DUMMYFUNCTION("""COMPUTED_VALUE"""),23.25)</f>
        <v>23.25</v>
      </c>
      <c r="W964" s="384" t="str">
        <f>IFERROR(__xludf.DUMMYFUNCTION("""COMPUTED_VALUE"""),"Alice ")</f>
        <v>Alice </v>
      </c>
      <c r="X964" s="385"/>
    </row>
    <row r="965">
      <c r="A965" s="384" t="s">
        <v>117</v>
      </c>
      <c r="B965" s="384" t="s">
        <v>261</v>
      </c>
      <c r="C965" s="389">
        <v>2.5</v>
      </c>
      <c r="D965" s="389">
        <v>3.0</v>
      </c>
      <c r="E965" s="384"/>
      <c r="F965" s="389"/>
      <c r="G965" s="389"/>
      <c r="T965" s="384" t="str">
        <f>IFERROR(__xludf.DUMMYFUNCTION("""COMPUTED_VALUE"""),"Волга")</f>
        <v>Волга</v>
      </c>
      <c r="U965" s="385">
        <f>IFERROR(__xludf.DUMMYFUNCTION("""COMPUTED_VALUE"""),21.75)</f>
        <v>21.75</v>
      </c>
      <c r="W965" s="384" t="str">
        <f>IFERROR(__xludf.DUMMYFUNCTION("""COMPUTED_VALUE"""),"Bublik")</f>
        <v>Bublik</v>
      </c>
      <c r="X965" s="385"/>
    </row>
    <row r="966">
      <c r="A966" s="384" t="s">
        <v>118</v>
      </c>
      <c r="B966" s="384" t="s">
        <v>261</v>
      </c>
      <c r="C966" s="389">
        <v>2.5</v>
      </c>
      <c r="D966" s="389">
        <v>3.25</v>
      </c>
      <c r="E966" s="384"/>
      <c r="F966" s="389"/>
      <c r="G966" s="389"/>
      <c r="T966" s="384" t="str">
        <f>IFERROR(__xludf.DUMMYFUNCTION("""COMPUTED_VALUE"""),"Астория")</f>
        <v>Астория</v>
      </c>
      <c r="U966" s="385">
        <f>IFERROR(__xludf.DUMMYFUNCTION("""COMPUTED_VALUE"""),19.5)</f>
        <v>19.5</v>
      </c>
      <c r="W966" s="384" t="str">
        <f>IFERROR(__xludf.DUMMYFUNCTION("""COMPUTED_VALUE"""),"BWDMoscow")</f>
        <v>BWDMoscow</v>
      </c>
      <c r="X966" s="385"/>
    </row>
    <row r="967">
      <c r="A967" s="384" t="s">
        <v>100</v>
      </c>
      <c r="B967" s="384" t="s">
        <v>269</v>
      </c>
      <c r="C967" s="389"/>
      <c r="D967" s="389">
        <v>2.25</v>
      </c>
      <c r="E967" s="384"/>
      <c r="F967" s="389"/>
      <c r="G967" s="389"/>
      <c r="T967" s="384" t="str">
        <f>IFERROR(__xludf.DUMMYFUNCTION("""COMPUTED_VALUE"""),"Красавчик")</f>
        <v>Красавчик</v>
      </c>
      <c r="U967" s="385">
        <f>IFERROR(__xludf.DUMMYFUNCTION("""COMPUTED_VALUE"""),18.25)</f>
        <v>18.25</v>
      </c>
      <c r="W967" s="384" t="str">
        <f>IFERROR(__xludf.DUMMYFUNCTION("""COMPUTED_VALUE"""),"Castor Troy ")</f>
        <v>Castor Troy </v>
      </c>
      <c r="X967" s="385"/>
    </row>
    <row r="968">
      <c r="A968" s="384" t="s">
        <v>130</v>
      </c>
      <c r="B968" s="384" t="s">
        <v>261</v>
      </c>
      <c r="C968" s="389">
        <v>2.5</v>
      </c>
      <c r="D968" s="389">
        <v>2.5</v>
      </c>
      <c r="E968" s="384"/>
      <c r="F968" s="389"/>
      <c r="G968" s="389"/>
      <c r="T968" s="384" t="str">
        <f>IFERROR(__xludf.DUMMYFUNCTION("""COMPUTED_VALUE"""),"Фокс")</f>
        <v>Фокс</v>
      </c>
      <c r="U968" s="385">
        <f>IFERROR(__xludf.DUMMYFUNCTION("""COMPUTED_VALUE"""),18.25)</f>
        <v>18.25</v>
      </c>
      <c r="W968" s="384" t="str">
        <f>IFERROR(__xludf.DUMMYFUNCTION("""COMPUTED_VALUE"""),"Cristo")</f>
        <v>Cristo</v>
      </c>
      <c r="X968" s="385"/>
    </row>
    <row r="969">
      <c r="A969" s="384" t="s">
        <v>169</v>
      </c>
      <c r="B969" s="384" t="s">
        <v>269</v>
      </c>
      <c r="C969" s="389"/>
      <c r="D969" s="389">
        <v>2.5</v>
      </c>
      <c r="E969" s="384"/>
      <c r="F969" s="389"/>
      <c r="G969" s="389"/>
      <c r="T969" s="384" t="str">
        <f>IFERROR(__xludf.DUMMYFUNCTION("""COMPUTED_VALUE"""),"Левша")</f>
        <v>Левша</v>
      </c>
      <c r="U969" s="385">
        <f>IFERROR(__xludf.DUMMYFUNCTION("""COMPUTED_VALUE"""),17.5)</f>
        <v>17.5</v>
      </c>
      <c r="W969" s="384" t="str">
        <f>IFERROR(__xludf.DUMMYFUNCTION("""COMPUTED_VALUE"""),"Curly")</f>
        <v>Curly</v>
      </c>
      <c r="X969" s="385"/>
    </row>
    <row r="970">
      <c r="A970" s="384" t="s">
        <v>114</v>
      </c>
      <c r="B970" s="384" t="s">
        <v>261</v>
      </c>
      <c r="C970" s="389">
        <v>2.5</v>
      </c>
      <c r="D970" s="389">
        <v>4.5</v>
      </c>
      <c r="E970" s="384"/>
      <c r="F970" s="389"/>
      <c r="G970" s="389"/>
      <c r="T970" s="384" t="str">
        <f>IFERROR(__xludf.DUMMYFUNCTION("""COMPUTED_VALUE"""),"Ментик")</f>
        <v>Ментик</v>
      </c>
      <c r="U970" s="385">
        <f>IFERROR(__xludf.DUMMYFUNCTION("""COMPUTED_VALUE"""),15.75)</f>
        <v>15.75</v>
      </c>
      <c r="W970" s="384" t="str">
        <f>IFERROR(__xludf.DUMMYFUNCTION("""COMPUTED_VALUE"""),"GALAY")</f>
        <v>GALAY</v>
      </c>
      <c r="X970" s="385"/>
    </row>
    <row r="971">
      <c r="A971" s="384" t="s">
        <v>102</v>
      </c>
      <c r="B971" s="384" t="s">
        <v>261</v>
      </c>
      <c r="C971" s="389">
        <v>2.5</v>
      </c>
      <c r="D971" s="389">
        <v>2.75</v>
      </c>
      <c r="E971" s="384" t="s">
        <v>11</v>
      </c>
      <c r="F971" s="389"/>
      <c r="G971" s="389">
        <v>0.5</v>
      </c>
      <c r="T971" s="384" t="str">
        <f>IFERROR(__xludf.DUMMYFUNCTION("""COMPUTED_VALUE"""),"Helga")</f>
        <v>Helga</v>
      </c>
      <c r="U971" s="385">
        <f>IFERROR(__xludf.DUMMYFUNCTION("""COMPUTED_VALUE"""),10.5)</f>
        <v>10.5</v>
      </c>
      <c r="W971" s="384" t="str">
        <f>IFERROR(__xludf.DUMMYFUNCTION("""COMPUTED_VALUE"""),"Helga")</f>
        <v>Helga</v>
      </c>
      <c r="X971" s="385"/>
    </row>
    <row r="972">
      <c r="A972" s="384" t="s">
        <v>120</v>
      </c>
      <c r="B972" s="384" t="s">
        <v>271</v>
      </c>
      <c r="C972" s="389">
        <v>2.5</v>
      </c>
      <c r="D972" s="389">
        <v>4.5</v>
      </c>
      <c r="E972" s="384"/>
      <c r="F972" s="389"/>
      <c r="G972" s="389"/>
      <c r="T972" s="384" t="str">
        <f>IFERROR(__xludf.DUMMYFUNCTION("""COMPUTED_VALUE"""),"Авраам")</f>
        <v>Авраам</v>
      </c>
      <c r="U972" s="385"/>
      <c r="W972" s="384" t="str">
        <f>IFERROR(__xludf.DUMMYFUNCTION("""COMPUTED_VALUE"""),"Infinity ")</f>
        <v>Infinity </v>
      </c>
      <c r="X972" s="385"/>
    </row>
    <row r="973">
      <c r="A973" s="384" t="s">
        <v>127</v>
      </c>
      <c r="B973" s="384" t="s">
        <v>265</v>
      </c>
      <c r="C973" s="389"/>
      <c r="D973" s="389">
        <v>2.0</v>
      </c>
      <c r="E973" s="384"/>
      <c r="F973" s="389"/>
      <c r="G973" s="389"/>
      <c r="T973" s="384" t="str">
        <f>IFERROR(__xludf.DUMMYFUNCTION("""COMPUTED_VALUE"""),"Админ")</f>
        <v>Админ</v>
      </c>
      <c r="U973" s="385"/>
      <c r="W973" s="384" t="str">
        <f>IFERROR(__xludf.DUMMYFUNCTION("""COMPUTED_VALUE"""),"Light")</f>
        <v>Light</v>
      </c>
      <c r="X973" s="385"/>
    </row>
    <row r="974">
      <c r="A974" s="384" t="s">
        <v>83</v>
      </c>
      <c r="B974" s="384" t="s">
        <v>261</v>
      </c>
      <c r="C974" s="389">
        <v>2.5</v>
      </c>
      <c r="D974" s="389">
        <v>3.25</v>
      </c>
      <c r="E974" s="384"/>
      <c r="F974" s="389"/>
      <c r="G974" s="389"/>
      <c r="T974" s="384" t="str">
        <f>IFERROR(__xludf.DUMMYFUNCTION("""COMPUTED_VALUE"""),"Андерсен")</f>
        <v>Андерсен</v>
      </c>
      <c r="U974" s="385"/>
      <c r="W974" s="384" t="str">
        <f>IFERROR(__xludf.DUMMYFUNCTION("""COMPUTED_VALUE"""),"Morti")</f>
        <v>Morti</v>
      </c>
      <c r="X974" s="385"/>
    </row>
    <row r="975">
      <c r="A975" s="384" t="s">
        <v>117</v>
      </c>
      <c r="B975" s="384" t="s">
        <v>261</v>
      </c>
      <c r="C975" s="389">
        <v>2.5</v>
      </c>
      <c r="D975" s="389">
        <v>2.75</v>
      </c>
      <c r="E975" s="384"/>
      <c r="F975" s="389"/>
      <c r="G975" s="389"/>
      <c r="T975" s="384" t="str">
        <f>IFERROR(__xludf.DUMMYFUNCTION("""COMPUTED_VALUE"""),"Артик")</f>
        <v>Артик</v>
      </c>
      <c r="U975" s="385"/>
      <c r="W975" s="384" t="str">
        <f>IFERROR(__xludf.DUMMYFUNCTION("""COMPUTED_VALUE"""),"MSR")</f>
        <v>MSR</v>
      </c>
      <c r="X975" s="385"/>
    </row>
    <row r="976">
      <c r="A976" s="384" t="s">
        <v>118</v>
      </c>
      <c r="B976" s="384" t="s">
        <v>261</v>
      </c>
      <c r="C976" s="389">
        <v>2.5</v>
      </c>
      <c r="D976" s="389">
        <v>4.0</v>
      </c>
      <c r="E976" s="384"/>
      <c r="F976" s="389"/>
      <c r="G976" s="389"/>
      <c r="T976" s="384" t="str">
        <f>IFERROR(__xludf.DUMMYFUNCTION("""COMPUTED_VALUE"""),"Бамблби")</f>
        <v>Бамблби</v>
      </c>
      <c r="U976" s="385"/>
      <c r="W976" s="384" t="str">
        <f>IFERROR(__xludf.DUMMYFUNCTION("""COMPUTED_VALUE"""),"NLIP")</f>
        <v>NLIP</v>
      </c>
      <c r="X976" s="385"/>
    </row>
    <row r="977">
      <c r="A977" s="384" t="s">
        <v>100</v>
      </c>
      <c r="B977" s="384" t="s">
        <v>271</v>
      </c>
      <c r="C977" s="389">
        <v>2.5</v>
      </c>
      <c r="D977" s="389">
        <v>3.5</v>
      </c>
      <c r="E977" s="384"/>
      <c r="F977" s="389"/>
      <c r="G977" s="389"/>
      <c r="T977" s="384" t="str">
        <f>IFERROR(__xludf.DUMMYFUNCTION("""COMPUTED_VALUE"""),"Градиент")</f>
        <v>Градиент</v>
      </c>
      <c r="U977" s="385"/>
      <c r="W977" s="384" t="str">
        <f>IFERROR(__xludf.DUMMYFUNCTION("""COMPUTED_VALUE"""),"Rocket woman ")</f>
        <v>Rocket woman </v>
      </c>
      <c r="X977" s="385"/>
    </row>
    <row r="978">
      <c r="A978" s="384" t="s">
        <v>130</v>
      </c>
      <c r="B978" s="384" t="s">
        <v>261</v>
      </c>
      <c r="C978" s="389">
        <v>2.5</v>
      </c>
      <c r="D978" s="389">
        <v>2.0</v>
      </c>
      <c r="E978" s="384"/>
      <c r="F978" s="389"/>
      <c r="G978" s="389"/>
      <c r="T978" s="384" t="str">
        <f>IFERROR(__xludf.DUMMYFUNCTION("""COMPUTED_VALUE"""),"Дровосек")</f>
        <v>Дровосек</v>
      </c>
      <c r="U978" s="385"/>
      <c r="W978" s="384" t="str">
        <f>IFERROR(__xludf.DUMMYFUNCTION("""COMPUTED_VALUE"""),"SCHOKK ")</f>
        <v>SCHOKK </v>
      </c>
      <c r="X978" s="385"/>
    </row>
    <row r="979">
      <c r="A979" s="384" t="s">
        <v>169</v>
      </c>
      <c r="B979" s="384" t="s">
        <v>261</v>
      </c>
      <c r="C979" s="389">
        <v>2.5</v>
      </c>
      <c r="D979" s="389">
        <v>2.5</v>
      </c>
      <c r="E979" s="384"/>
      <c r="F979" s="389"/>
      <c r="G979" s="389"/>
      <c r="T979" s="384" t="str">
        <f>IFERROR(__xludf.DUMMYFUNCTION("""COMPUTED_VALUE"""),"Зверюга")</f>
        <v>Зверюга</v>
      </c>
      <c r="U979" s="385"/>
      <c r="W979" s="384" t="str">
        <f>IFERROR(__xludf.DUMMYFUNCTION("""COMPUTED_VALUE"""),"SOVEST")</f>
        <v>SOVEST</v>
      </c>
      <c r="X979" s="385"/>
    </row>
    <row r="980">
      <c r="A980" s="384" t="s">
        <v>114</v>
      </c>
      <c r="B980" s="384" t="s">
        <v>261</v>
      </c>
      <c r="C980" s="389">
        <v>2.5</v>
      </c>
      <c r="D980" s="389">
        <v>3.5</v>
      </c>
      <c r="E980" s="384" t="s">
        <v>11</v>
      </c>
      <c r="F980" s="389"/>
      <c r="G980" s="389">
        <v>0.5</v>
      </c>
      <c r="T980" s="384" t="str">
        <f>IFERROR(__xludf.DUMMYFUNCTION("""COMPUTED_VALUE"""),"Инсомнич")</f>
        <v>Инсомнич</v>
      </c>
      <c r="U980" s="385"/>
      <c r="W980" s="384" t="str">
        <f>IFERROR(__xludf.DUMMYFUNCTION("""COMPUTED_VALUE"""),"Stacy")</f>
        <v>Stacy</v>
      </c>
      <c r="X980" s="385"/>
    </row>
    <row r="981">
      <c r="A981" s="384" t="s">
        <v>102</v>
      </c>
      <c r="B981" s="384" t="s">
        <v>269</v>
      </c>
      <c r="C981" s="389"/>
      <c r="D981" s="389">
        <v>2.5</v>
      </c>
      <c r="E981" s="384"/>
      <c r="F981" s="389"/>
      <c r="G981" s="389"/>
      <c r="T981" s="384" t="str">
        <f>IFERROR(__xludf.DUMMYFUNCTION("""COMPUTED_VALUE"""),"Крестный отец (BLR)")</f>
        <v>Крестный отец (BLR)</v>
      </c>
      <c r="U981" s="385"/>
      <c r="W981" s="384" t="str">
        <f>IFERROR(__xludf.DUMMYFUNCTION("""COMPUTED_VALUE"""),"WhoIsWho")</f>
        <v>WhoIsWho</v>
      </c>
      <c r="X981" s="385"/>
    </row>
    <row r="982">
      <c r="A982" s="384" t="s">
        <v>120</v>
      </c>
      <c r="B982" s="384" t="s">
        <v>269</v>
      </c>
      <c r="C982" s="389"/>
      <c r="D982" s="389">
        <v>1.75</v>
      </c>
      <c r="E982" s="384"/>
      <c r="F982" s="389"/>
      <c r="G982" s="389"/>
      <c r="T982" s="384" t="str">
        <f>IFERROR(__xludf.DUMMYFUNCTION("""COMPUTED_VALUE"""),"Крёстный Отец (RU)")</f>
        <v>Крёстный Отец (RU)</v>
      </c>
      <c r="U982" s="385"/>
      <c r="W982" s="384" t="str">
        <f>IFERROR(__xludf.DUMMYFUNCTION("""COMPUTED_VALUE"""),"Авраам")</f>
        <v>Авраам</v>
      </c>
      <c r="X982" s="385"/>
    </row>
    <row r="983">
      <c r="A983" s="384" t="s">
        <v>127</v>
      </c>
      <c r="B983" s="384" t="s">
        <v>261</v>
      </c>
      <c r="C983" s="389"/>
      <c r="D983" s="389">
        <v>2.0</v>
      </c>
      <c r="E983" s="384" t="s">
        <v>263</v>
      </c>
      <c r="F983" s="389"/>
      <c r="G983" s="389"/>
      <c r="T983" s="384" t="str">
        <f>IFERROR(__xludf.DUMMYFUNCTION("""COMPUTED_VALUE"""),"Крот")</f>
        <v>Крот</v>
      </c>
      <c r="U983" s="385"/>
      <c r="W983" s="384" t="str">
        <f>IFERROR(__xludf.DUMMYFUNCTION("""COMPUTED_VALUE"""),"Админ")</f>
        <v>Админ</v>
      </c>
      <c r="X983" s="385"/>
    </row>
    <row r="984">
      <c r="A984" s="384" t="s">
        <v>83</v>
      </c>
      <c r="B984" s="384" t="s">
        <v>261</v>
      </c>
      <c r="C984" s="389"/>
      <c r="D984" s="389">
        <v>3.0</v>
      </c>
      <c r="E984" s="384"/>
      <c r="F984" s="389"/>
      <c r="G984" s="389"/>
      <c r="T984" s="384" t="str">
        <f>IFERROR(__xludf.DUMMYFUNCTION("""COMPUTED_VALUE"""),"Лисичка")</f>
        <v>Лисичка</v>
      </c>
      <c r="U984" s="385"/>
      <c r="W984" s="384" t="str">
        <f>IFERROR(__xludf.DUMMYFUNCTION("""COMPUTED_VALUE"""),"Андерсен")</f>
        <v>Андерсен</v>
      </c>
      <c r="X984" s="385"/>
    </row>
    <row r="985">
      <c r="A985" s="384" t="s">
        <v>117</v>
      </c>
      <c r="B985" s="384" t="s">
        <v>261</v>
      </c>
      <c r="C985" s="389"/>
      <c r="D985" s="389">
        <v>2.0</v>
      </c>
      <c r="E985" s="384"/>
      <c r="F985" s="389"/>
      <c r="G985" s="389"/>
      <c r="T985" s="384" t="str">
        <f>IFERROR(__xludf.DUMMYFUNCTION("""COMPUTED_VALUE"""),"Маваши")</f>
        <v>Маваши</v>
      </c>
      <c r="U985" s="385"/>
      <c r="W985" s="384" t="str">
        <f>IFERROR(__xludf.DUMMYFUNCTION("""COMPUTED_VALUE"""),"Артик")</f>
        <v>Артик</v>
      </c>
      <c r="X985" s="385"/>
    </row>
    <row r="986">
      <c r="A986" s="384" t="s">
        <v>118</v>
      </c>
      <c r="B986" s="384" t="s">
        <v>261</v>
      </c>
      <c r="C986" s="389"/>
      <c r="D986" s="389">
        <v>1.75</v>
      </c>
      <c r="E986" s="384" t="s">
        <v>263</v>
      </c>
      <c r="F986" s="389"/>
      <c r="G986" s="389"/>
      <c r="T986" s="384" t="str">
        <f>IFERROR(__xludf.DUMMYFUNCTION("""COMPUTED_VALUE"""),"Манекен")</f>
        <v>Манекен</v>
      </c>
      <c r="U986" s="385"/>
      <c r="W986" s="384" t="str">
        <f>IFERROR(__xludf.DUMMYFUNCTION("""COMPUTED_VALUE"""),"Астория")</f>
        <v>Астория</v>
      </c>
      <c r="X986" s="385"/>
    </row>
    <row r="987">
      <c r="A987" s="384" t="s">
        <v>100</v>
      </c>
      <c r="B987" s="384" t="s">
        <v>269</v>
      </c>
      <c r="C987" s="389">
        <v>2.5</v>
      </c>
      <c r="D987" s="389">
        <v>4.0</v>
      </c>
      <c r="E987" s="384" t="s">
        <v>260</v>
      </c>
      <c r="F987" s="389"/>
      <c r="G987" s="389"/>
      <c r="T987" s="384" t="str">
        <f>IFERROR(__xludf.DUMMYFUNCTION("""COMPUTED_VALUE"""),"Марго")</f>
        <v>Марго</v>
      </c>
      <c r="U987" s="385"/>
      <c r="W987" s="384" t="str">
        <f>IFERROR(__xludf.DUMMYFUNCTION("""COMPUTED_VALUE"""),"Аш")</f>
        <v>Аш</v>
      </c>
      <c r="X987" s="385"/>
    </row>
    <row r="988">
      <c r="A988" s="384" t="s">
        <v>130</v>
      </c>
      <c r="B988" s="384" t="s">
        <v>261</v>
      </c>
      <c r="C988" s="389"/>
      <c r="D988" s="389">
        <v>3.0</v>
      </c>
      <c r="E988" s="384" t="s">
        <v>11</v>
      </c>
      <c r="F988" s="389">
        <v>0.5</v>
      </c>
      <c r="G988" s="389">
        <v>0.5</v>
      </c>
      <c r="T988" s="384" t="str">
        <f>IFERROR(__xludf.DUMMYFUNCTION("""COMPUTED_VALUE"""),"Мишель ")</f>
        <v>Мишель </v>
      </c>
      <c r="U988" s="385"/>
      <c r="W988" s="384" t="str">
        <f>IFERROR(__xludf.DUMMYFUNCTION("""COMPUTED_VALUE"""),"Бамблби")</f>
        <v>Бамблби</v>
      </c>
      <c r="X988" s="385"/>
    </row>
    <row r="989">
      <c r="A989" s="384" t="s">
        <v>169</v>
      </c>
      <c r="B989" s="384" t="s">
        <v>269</v>
      </c>
      <c r="C989" s="389">
        <v>2.5</v>
      </c>
      <c r="D989" s="389">
        <v>2.5</v>
      </c>
      <c r="E989" s="384"/>
      <c r="F989" s="389"/>
      <c r="G989" s="389"/>
      <c r="T989" s="384" t="str">
        <f>IFERROR(__xludf.DUMMYFUNCTION("""COMPUTED_VALUE"""),"Наполеон")</f>
        <v>Наполеон</v>
      </c>
      <c r="U989" s="385"/>
      <c r="W989" s="384" t="str">
        <f>IFERROR(__xludf.DUMMYFUNCTION("""COMPUTED_VALUE"""),"Зверюга")</f>
        <v>Зверюга</v>
      </c>
      <c r="X989" s="385"/>
    </row>
    <row r="990">
      <c r="A990" s="384" t="s">
        <v>114</v>
      </c>
      <c r="B990" s="384" t="s">
        <v>271</v>
      </c>
      <c r="C990" s="389"/>
      <c r="D990" s="389">
        <v>2.5</v>
      </c>
      <c r="E990" s="384"/>
      <c r="F990" s="389"/>
      <c r="G990" s="389"/>
      <c r="T990" s="384" t="str">
        <f>IFERROR(__xludf.DUMMYFUNCTION("""COMPUTED_VALUE"""),"Панда из Руанды")</f>
        <v>Панда из Руанды</v>
      </c>
      <c r="U990" s="385"/>
      <c r="W990" s="384" t="str">
        <f>IFERROR(__xludf.DUMMYFUNCTION("""COMPUTED_VALUE"""),"Инсомнич")</f>
        <v>Инсомнич</v>
      </c>
      <c r="X990" s="385"/>
    </row>
    <row r="991">
      <c r="A991" s="384" t="s">
        <v>102</v>
      </c>
      <c r="B991" s="384" t="s">
        <v>265</v>
      </c>
      <c r="C991" s="389">
        <v>2.5</v>
      </c>
      <c r="D991" s="389">
        <v>3.75</v>
      </c>
      <c r="E991" s="384"/>
      <c r="F991" s="389"/>
      <c r="G991" s="389"/>
      <c r="T991" s="384" t="str">
        <f>IFERROR(__xludf.DUMMYFUNCTION("""COMPUTED_VALUE"""),"Писатель ")</f>
        <v>Писатель </v>
      </c>
      <c r="U991" s="385"/>
      <c r="W991" s="384" t="str">
        <f>IFERROR(__xludf.DUMMYFUNCTION("""COMPUTED_VALUE"""),"Красавчик")</f>
        <v>Красавчик</v>
      </c>
      <c r="X991" s="385"/>
    </row>
    <row r="992">
      <c r="A992" s="384" t="s">
        <v>120</v>
      </c>
      <c r="B992" s="384" t="s">
        <v>261</v>
      </c>
      <c r="C992" s="389"/>
      <c r="D992" s="389">
        <v>3.0</v>
      </c>
      <c r="E992" s="384"/>
      <c r="F992" s="389"/>
      <c r="G992" s="389"/>
      <c r="T992" s="384" t="str">
        <f>IFERROR(__xludf.DUMMYFUNCTION("""COMPUTED_VALUE"""),"Правда ")</f>
        <v>Правда </v>
      </c>
      <c r="U992" s="385"/>
      <c r="W992" s="384" t="str">
        <f>IFERROR(__xludf.DUMMYFUNCTION("""COMPUTED_VALUE"""),"Крестный отец (BLR)")</f>
        <v>Крестный отец (BLR)</v>
      </c>
      <c r="X992" s="385"/>
    </row>
    <row r="993">
      <c r="A993" s="384" t="s">
        <v>127</v>
      </c>
      <c r="B993" s="384" t="s">
        <v>261</v>
      </c>
      <c r="C993" s="389">
        <v>2.5</v>
      </c>
      <c r="D993" s="389">
        <v>3.75</v>
      </c>
      <c r="E993" s="384"/>
      <c r="F993" s="389"/>
      <c r="G993" s="389"/>
      <c r="T993" s="384" t="str">
        <f>IFERROR(__xludf.DUMMYFUNCTION("""COMPUTED_VALUE"""),"Продюсер")</f>
        <v>Продюсер</v>
      </c>
      <c r="U993" s="385"/>
      <c r="W993" s="384" t="str">
        <f>IFERROR(__xludf.DUMMYFUNCTION("""COMPUTED_VALUE"""),"Крёстный Отец (RU)")</f>
        <v>Крёстный Отец (RU)</v>
      </c>
      <c r="X993" s="385"/>
    </row>
    <row r="994">
      <c r="A994" s="384" t="s">
        <v>83</v>
      </c>
      <c r="B994" s="384" t="s">
        <v>261</v>
      </c>
      <c r="C994" s="389">
        <v>2.5</v>
      </c>
      <c r="D994" s="389">
        <v>3.25</v>
      </c>
      <c r="E994" s="384"/>
      <c r="F994" s="389"/>
      <c r="G994" s="389"/>
      <c r="T994" s="384" t="str">
        <f>IFERROR(__xludf.DUMMYFUNCTION("""COMPUTED_VALUE"""),"РФ")</f>
        <v>РФ</v>
      </c>
      <c r="U994" s="385"/>
      <c r="W994" s="384" t="str">
        <f>IFERROR(__xludf.DUMMYFUNCTION("""COMPUTED_VALUE"""),"Крот")</f>
        <v>Крот</v>
      </c>
      <c r="X994" s="385"/>
    </row>
    <row r="995">
      <c r="A995" s="384" t="s">
        <v>117</v>
      </c>
      <c r="B995" s="384" t="s">
        <v>261</v>
      </c>
      <c r="C995" s="389">
        <v>2.5</v>
      </c>
      <c r="D995" s="389">
        <v>3.0</v>
      </c>
      <c r="E995" s="384" t="s">
        <v>11</v>
      </c>
      <c r="F995" s="389"/>
      <c r="G995" s="389">
        <v>0.5</v>
      </c>
      <c r="T995" s="384" t="str">
        <f>IFERROR(__xludf.DUMMYFUNCTION("""COMPUTED_VALUE"""),"СЭНСЭЙ")</f>
        <v>СЭНСЭЙ</v>
      </c>
      <c r="U995" s="385"/>
      <c r="W995" s="384" t="str">
        <f>IFERROR(__xludf.DUMMYFUNCTION("""COMPUTED_VALUE"""),"Левша")</f>
        <v>Левша</v>
      </c>
      <c r="X995" s="385"/>
    </row>
    <row r="996">
      <c r="A996" s="384" t="s">
        <v>118</v>
      </c>
      <c r="B996" s="384" t="s">
        <v>271</v>
      </c>
      <c r="C996" s="389">
        <v>2.5</v>
      </c>
      <c r="D996" s="389">
        <v>3.0</v>
      </c>
      <c r="E996" s="384"/>
      <c r="F996" s="389"/>
      <c r="G996" s="389"/>
      <c r="T996" s="384" t="str">
        <f>IFERROR(__xludf.DUMMYFUNCTION("""COMPUTED_VALUE"""),"Coach")</f>
        <v>Coach</v>
      </c>
      <c r="U996" s="385"/>
      <c r="W996" s="384" t="str">
        <f>IFERROR(__xludf.DUMMYFUNCTION("""COMPUTED_VALUE"""),"Лисичка")</f>
        <v>Лисичка</v>
      </c>
      <c r="X996" s="385"/>
    </row>
    <row r="997">
      <c r="A997" s="384" t="s">
        <v>100</v>
      </c>
      <c r="B997" s="384" t="s">
        <v>261</v>
      </c>
      <c r="C997" s="389">
        <v>2.5</v>
      </c>
      <c r="D997" s="389">
        <v>4.0</v>
      </c>
      <c r="E997" s="384"/>
      <c r="F997" s="389"/>
      <c r="G997" s="389"/>
      <c r="T997" s="384" t="str">
        <f>IFERROR(__xludf.DUMMYFUNCTION("""COMPUTED_VALUE"""),"Тихий закат")</f>
        <v>Тихий закат</v>
      </c>
      <c r="U997" s="385"/>
      <c r="W997" s="384" t="str">
        <f>IFERROR(__xludf.DUMMYFUNCTION("""COMPUTED_VALUE"""),"Маваши")</f>
        <v>Маваши</v>
      </c>
      <c r="X997" s="385"/>
    </row>
    <row r="998">
      <c r="A998" s="384" t="s">
        <v>130</v>
      </c>
      <c r="B998" s="384" t="s">
        <v>265</v>
      </c>
      <c r="C998" s="389"/>
      <c r="D998" s="389">
        <v>1.75</v>
      </c>
      <c r="E998" s="384"/>
      <c r="F998" s="389"/>
      <c r="G998" s="389"/>
      <c r="T998" s="384" t="str">
        <f>IFERROR(__xludf.DUMMYFUNCTION("""COMPUTED_VALUE"""),"Физик")</f>
        <v>Физик</v>
      </c>
      <c r="U998" s="385"/>
      <c r="W998" s="384" t="str">
        <f>IFERROR(__xludf.DUMMYFUNCTION("""COMPUTED_VALUE"""),"Манекен")</f>
        <v>Манекен</v>
      </c>
      <c r="X998" s="385"/>
    </row>
    <row r="999">
      <c r="A999" s="384" t="s">
        <v>169</v>
      </c>
      <c r="B999" s="384" t="s">
        <v>269</v>
      </c>
      <c r="C999" s="389"/>
      <c r="D999" s="389">
        <v>0.75</v>
      </c>
      <c r="E999" s="384"/>
      <c r="F999" s="389"/>
      <c r="G999" s="389"/>
      <c r="T999" s="384" t="str">
        <f>IFERROR(__xludf.DUMMYFUNCTION("""COMPUTED_VALUE"""),"Флэш")</f>
        <v>Флэш</v>
      </c>
      <c r="U999" s="385"/>
      <c r="W999" s="384" t="str">
        <f>IFERROR(__xludf.DUMMYFUNCTION("""COMPUTED_VALUE"""),"Марго")</f>
        <v>Марго</v>
      </c>
      <c r="X999" s="385"/>
    </row>
    <row r="1000">
      <c r="A1000" s="384" t="s">
        <v>114</v>
      </c>
      <c r="B1000" s="384" t="s">
        <v>269</v>
      </c>
      <c r="C1000" s="389"/>
      <c r="D1000" s="389">
        <v>2.0</v>
      </c>
      <c r="E1000" s="384"/>
      <c r="F1000" s="389"/>
      <c r="G1000" s="389"/>
      <c r="T1000" s="384" t="str">
        <f>IFERROR(__xludf.DUMMYFUNCTION("""COMPUTED_VALUE"""),"Шоу Бой")</f>
        <v>Шоу Бой</v>
      </c>
      <c r="U1000" s="385"/>
      <c r="W1000" s="384" t="str">
        <f>IFERROR(__xludf.DUMMYFUNCTION("""COMPUTED_VALUE"""),"Ментик")</f>
        <v>Ментик</v>
      </c>
      <c r="X1000" s="385"/>
    </row>
    <row r="1001">
      <c r="A1001" s="384" t="s">
        <v>102</v>
      </c>
      <c r="B1001" s="384" t="s">
        <v>261</v>
      </c>
      <c r="C1001" s="389">
        <v>2.5</v>
      </c>
      <c r="D1001" s="389">
        <v>4.0</v>
      </c>
      <c r="E1001" s="384"/>
      <c r="F1001" s="389"/>
      <c r="G1001" s="389"/>
      <c r="T1001" s="384" t="str">
        <f>IFERROR(__xludf.DUMMYFUNCTION("""COMPUTED_VALUE"""),"Шпиц")</f>
        <v>Шпиц</v>
      </c>
      <c r="U1001" s="385"/>
      <c r="W1001" s="384" t="str">
        <f>IFERROR(__xludf.DUMMYFUNCTION("""COMPUTED_VALUE"""),"Мишель ")</f>
        <v>Мишель </v>
      </c>
      <c r="X1001" s="385"/>
    </row>
    <row r="1002">
      <c r="A1002" s="384" t="s">
        <v>120</v>
      </c>
      <c r="B1002" s="384" t="s">
        <v>261</v>
      </c>
      <c r="C1002" s="389">
        <v>2.5</v>
      </c>
      <c r="D1002" s="389">
        <v>2.5</v>
      </c>
      <c r="E1002" s="384"/>
      <c r="F1002" s="389"/>
      <c r="G1002" s="389"/>
      <c r="T1002" s="384" t="str">
        <f>IFERROR(__xludf.DUMMYFUNCTION("""COMPUTED_VALUE"""),"Юрия")</f>
        <v>Юрия</v>
      </c>
      <c r="U1002" s="385"/>
      <c r="W1002" s="384" t="str">
        <f>IFERROR(__xludf.DUMMYFUNCTION("""COMPUTED_VALUE"""),"Наполеон")</f>
        <v>Наполеон</v>
      </c>
      <c r="X1002" s="385"/>
    </row>
    <row r="1003">
      <c r="A1003" s="384" t="s">
        <v>130</v>
      </c>
      <c r="B1003" s="384" t="s">
        <v>269</v>
      </c>
      <c r="C1003" s="389">
        <v>2.5</v>
      </c>
      <c r="D1003" s="389">
        <v>2.5</v>
      </c>
      <c r="E1003" s="384"/>
      <c r="F1003" s="389"/>
      <c r="G1003" s="389"/>
      <c r="T1003" s="384" t="str">
        <f>IFERROR(__xludf.DUMMYFUNCTION("""COMPUTED_VALUE"""),"A1 ")</f>
        <v>A1 </v>
      </c>
      <c r="U1003" s="385"/>
      <c r="W1003" s="384" t="str">
        <f>IFERROR(__xludf.DUMMYFUNCTION("""COMPUTED_VALUE"""),"Панда из Руанды")</f>
        <v>Панда из Руанды</v>
      </c>
      <c r="X1003" s="385"/>
    </row>
    <row r="1004">
      <c r="A1004" s="384" t="s">
        <v>114</v>
      </c>
      <c r="B1004" s="384" t="s">
        <v>265</v>
      </c>
      <c r="C1004" s="389">
        <v>2.5</v>
      </c>
      <c r="D1004" s="389">
        <v>2.0</v>
      </c>
      <c r="E1004" s="384"/>
      <c r="F1004" s="389"/>
      <c r="G1004" s="389"/>
      <c r="T1004" s="384" t="str">
        <f>IFERROR(__xludf.DUMMYFUNCTION("""COMPUTED_VALUE"""),"Alice ")</f>
        <v>Alice </v>
      </c>
      <c r="U1004" s="385"/>
      <c r="W1004" s="384" t="str">
        <f>IFERROR(__xludf.DUMMYFUNCTION("""COMPUTED_VALUE"""),"Писатель ")</f>
        <v>Писатель </v>
      </c>
      <c r="X1004" s="385"/>
    </row>
    <row r="1005">
      <c r="A1005" s="384" t="s">
        <v>113</v>
      </c>
      <c r="B1005" s="384" t="s">
        <v>261</v>
      </c>
      <c r="C1005" s="389"/>
      <c r="D1005" s="389">
        <v>3.0</v>
      </c>
      <c r="E1005" s="384"/>
      <c r="F1005" s="389"/>
      <c r="G1005" s="389"/>
      <c r="T1005" s="384" t="str">
        <f>IFERROR(__xludf.DUMMYFUNCTION("""COMPUTED_VALUE"""),"Bublik")</f>
        <v>Bublik</v>
      </c>
      <c r="U1005" s="385"/>
      <c r="W1005" s="384" t="str">
        <f>IFERROR(__xludf.DUMMYFUNCTION("""COMPUTED_VALUE"""),"Правда ")</f>
        <v>Правда </v>
      </c>
      <c r="X1005" s="385"/>
    </row>
    <row r="1006">
      <c r="A1006" s="384" t="s">
        <v>90</v>
      </c>
      <c r="B1006" s="384" t="s">
        <v>261</v>
      </c>
      <c r="C1006" s="389"/>
      <c r="D1006" s="389">
        <v>2.5</v>
      </c>
      <c r="E1006" s="384"/>
      <c r="F1006" s="389"/>
      <c r="G1006" s="389"/>
      <c r="T1006" s="384" t="str">
        <f>IFERROR(__xludf.DUMMYFUNCTION("""COMPUTED_VALUE"""),"BWDMoscow")</f>
        <v>BWDMoscow</v>
      </c>
      <c r="U1006" s="385"/>
      <c r="W1006" s="384" t="str">
        <f>IFERROR(__xludf.DUMMYFUNCTION("""COMPUTED_VALUE"""),"Продюсер")</f>
        <v>Продюсер</v>
      </c>
      <c r="X1006" s="385"/>
    </row>
    <row r="1007">
      <c r="A1007" s="384" t="s">
        <v>101</v>
      </c>
      <c r="B1007" s="384" t="s">
        <v>271</v>
      </c>
      <c r="C1007" s="389"/>
      <c r="D1007" s="389">
        <v>0.0</v>
      </c>
      <c r="E1007" s="384"/>
      <c r="F1007" s="389"/>
      <c r="G1007" s="389"/>
      <c r="T1007" s="384" t="str">
        <f>IFERROR(__xludf.DUMMYFUNCTION("""COMPUTED_VALUE"""),"Castor Troy ")</f>
        <v>Castor Troy </v>
      </c>
      <c r="U1007" s="385"/>
      <c r="W1007" s="384" t="str">
        <f>IFERROR(__xludf.DUMMYFUNCTION("""COMPUTED_VALUE"""),"Старый")</f>
        <v>Старый</v>
      </c>
      <c r="X1007" s="385"/>
    </row>
    <row r="1008">
      <c r="A1008" s="384" t="s">
        <v>112</v>
      </c>
      <c r="B1008" s="384" t="s">
        <v>261</v>
      </c>
      <c r="C1008" s="389"/>
      <c r="D1008" s="389">
        <v>2.25</v>
      </c>
      <c r="E1008" s="384"/>
      <c r="F1008" s="389"/>
      <c r="G1008" s="389"/>
      <c r="T1008" s="384" t="str">
        <f>IFERROR(__xludf.DUMMYFUNCTION("""COMPUTED_VALUE"""),"Cristo")</f>
        <v>Cristo</v>
      </c>
      <c r="U1008" s="385"/>
      <c r="W1008" s="384" t="str">
        <f>IFERROR(__xludf.DUMMYFUNCTION("""COMPUTED_VALUE"""),"СЭНСЭЙ")</f>
        <v>СЭНСЭЙ</v>
      </c>
      <c r="X1008" s="385"/>
    </row>
    <row r="1009">
      <c r="A1009" s="384" t="s">
        <v>97</v>
      </c>
      <c r="B1009" s="384" t="s">
        <v>261</v>
      </c>
      <c r="C1009" s="389"/>
      <c r="D1009" s="389">
        <v>2.5</v>
      </c>
      <c r="E1009" s="384"/>
      <c r="F1009" s="389"/>
      <c r="G1009" s="389"/>
      <c r="T1009" s="384" t="str">
        <f>IFERROR(__xludf.DUMMYFUNCTION("""COMPUTED_VALUE"""),"Curly")</f>
        <v>Curly</v>
      </c>
      <c r="U1009" s="385"/>
      <c r="W1009" s="384" t="str">
        <f>IFERROR(__xludf.DUMMYFUNCTION("""COMPUTED_VALUE"""),"Coach")</f>
        <v>Coach</v>
      </c>
      <c r="X1009" s="385"/>
    </row>
    <row r="1010">
      <c r="A1010" s="384" t="s">
        <v>281</v>
      </c>
      <c r="B1010" s="384" t="s">
        <v>261</v>
      </c>
      <c r="C1010" s="389"/>
      <c r="D1010" s="389">
        <v>2.25</v>
      </c>
      <c r="E1010" s="384"/>
      <c r="F1010" s="389"/>
      <c r="G1010" s="389"/>
      <c r="T1010" s="384" t="str">
        <f>IFERROR(__xludf.DUMMYFUNCTION("""COMPUTED_VALUE"""),"GALAY")</f>
        <v>GALAY</v>
      </c>
      <c r="U1010" s="385"/>
      <c r="W1010" s="384" t="str">
        <f>IFERROR(__xludf.DUMMYFUNCTION("""COMPUTED_VALUE"""),"Тихий закат")</f>
        <v>Тихий закат</v>
      </c>
      <c r="X1010" s="385"/>
    </row>
    <row r="1011">
      <c r="A1011" s="384" t="s">
        <v>86</v>
      </c>
      <c r="B1011" s="384" t="s">
        <v>269</v>
      </c>
      <c r="C1011" s="389">
        <v>2.5</v>
      </c>
      <c r="D1011" s="389">
        <v>2.0</v>
      </c>
      <c r="E1011" s="384"/>
      <c r="F1011" s="389"/>
      <c r="G1011" s="389"/>
      <c r="T1011" s="384" t="str">
        <f>IFERROR(__xludf.DUMMYFUNCTION("""COMPUTED_VALUE"""),"Infinity ")</f>
        <v>Infinity </v>
      </c>
      <c r="U1011" s="385"/>
      <c r="W1011" s="384" t="str">
        <f>IFERROR(__xludf.DUMMYFUNCTION("""COMPUTED_VALUE"""),"Физик")</f>
        <v>Физик</v>
      </c>
      <c r="X1011" s="385"/>
    </row>
    <row r="1012">
      <c r="A1012" s="384" t="s">
        <v>100</v>
      </c>
      <c r="B1012" s="384" t="s">
        <v>261</v>
      </c>
      <c r="C1012" s="389"/>
      <c r="D1012" s="389">
        <v>2.75</v>
      </c>
      <c r="E1012" s="384"/>
      <c r="F1012" s="389"/>
      <c r="G1012" s="389"/>
      <c r="T1012" s="384" t="str">
        <f>IFERROR(__xludf.DUMMYFUNCTION("""COMPUTED_VALUE"""),"Ketamin")</f>
        <v>Ketamin</v>
      </c>
      <c r="U1012" s="385"/>
      <c r="W1012" s="384" t="str">
        <f>IFERROR(__xludf.DUMMYFUNCTION("""COMPUTED_VALUE"""),"Флэш")</f>
        <v>Флэш</v>
      </c>
      <c r="X1012" s="385"/>
    </row>
    <row r="1013">
      <c r="A1013" s="384" t="s">
        <v>130</v>
      </c>
      <c r="B1013" s="384" t="s">
        <v>261</v>
      </c>
      <c r="C1013" s="389">
        <v>2.5</v>
      </c>
      <c r="D1013" s="389">
        <v>3.25</v>
      </c>
      <c r="E1013" s="384"/>
      <c r="F1013" s="389"/>
      <c r="G1013" s="389"/>
      <c r="T1013" s="384" t="str">
        <f>IFERROR(__xludf.DUMMYFUNCTION("""COMPUTED_VALUE"""),"Light")</f>
        <v>Light</v>
      </c>
      <c r="U1013" s="385"/>
      <c r="W1013" s="384" t="str">
        <f>IFERROR(__xludf.DUMMYFUNCTION("""COMPUTED_VALUE"""),"Фокс")</f>
        <v>Фокс</v>
      </c>
      <c r="X1013" s="385"/>
    </row>
    <row r="1014">
      <c r="A1014" s="384" t="s">
        <v>114</v>
      </c>
      <c r="B1014" s="384" t="s">
        <v>261</v>
      </c>
      <c r="C1014" s="389">
        <v>2.5</v>
      </c>
      <c r="D1014" s="389">
        <v>3.0</v>
      </c>
      <c r="E1014" s="384"/>
      <c r="F1014" s="389"/>
      <c r="G1014" s="389"/>
      <c r="T1014" s="384" t="str">
        <f>IFERROR(__xludf.DUMMYFUNCTION("""COMPUTED_VALUE"""),"Morti")</f>
        <v>Morti</v>
      </c>
      <c r="U1014" s="385"/>
      <c r="W1014" s="384" t="str">
        <f>IFERROR(__xludf.DUMMYFUNCTION("""COMPUTED_VALUE"""),"Шоу Бой")</f>
        <v>Шоу Бой</v>
      </c>
      <c r="X1014" s="385"/>
    </row>
    <row r="1015">
      <c r="A1015" s="384" t="s">
        <v>113</v>
      </c>
      <c r="B1015" s="384" t="s">
        <v>271</v>
      </c>
      <c r="C1015" s="389">
        <v>2.5</v>
      </c>
      <c r="D1015" s="389">
        <v>4.5</v>
      </c>
      <c r="E1015" s="384"/>
      <c r="F1015" s="389"/>
      <c r="G1015" s="389"/>
      <c r="T1015" s="384" t="str">
        <f>IFERROR(__xludf.DUMMYFUNCTION("""COMPUTED_VALUE"""),"MSR")</f>
        <v>MSR</v>
      </c>
      <c r="U1015" s="385"/>
      <c r="W1015" s="384" t="str">
        <f>IFERROR(__xludf.DUMMYFUNCTION("""COMPUTED_VALUE"""),"Юрия")</f>
        <v>Юрия</v>
      </c>
      <c r="X1015" s="385"/>
    </row>
    <row r="1016">
      <c r="A1016" s="384" t="s">
        <v>90</v>
      </c>
      <c r="B1016" s="384" t="s">
        <v>261</v>
      </c>
      <c r="C1016" s="389">
        <v>2.5</v>
      </c>
      <c r="D1016" s="389">
        <v>2.75</v>
      </c>
      <c r="E1016" s="384"/>
      <c r="F1016" s="389"/>
      <c r="G1016" s="389"/>
      <c r="T1016" s="384" t="str">
        <f>IFERROR(__xludf.DUMMYFUNCTION("""COMPUTED_VALUE"""),"NLIP")</f>
        <v>NLIP</v>
      </c>
      <c r="U1016" s="385"/>
      <c r="W1016" s="384" t="str">
        <f>IFERROR(__xludf.DUMMYFUNCTION("""COMPUTED_VALUE"""),"Bublik")</f>
        <v>Bublik</v>
      </c>
      <c r="X1016" s="385"/>
    </row>
    <row r="1017">
      <c r="A1017" s="384" t="s">
        <v>101</v>
      </c>
      <c r="B1017" s="384" t="s">
        <v>269</v>
      </c>
      <c r="C1017" s="389"/>
      <c r="D1017" s="389">
        <v>1.75</v>
      </c>
      <c r="E1017" s="384"/>
      <c r="F1017" s="389"/>
      <c r="G1017" s="389"/>
      <c r="T1017" s="384" t="str">
        <f>IFERROR(__xludf.DUMMYFUNCTION("""COMPUTED_VALUE"""),"SCHOKK ")</f>
        <v>SCHOKK </v>
      </c>
      <c r="U1017" s="385"/>
      <c r="W1017" s="384" t="str">
        <f>IFERROR(__xludf.DUMMYFUNCTION("""COMPUTED_VALUE"""),"BWDMoscow")</f>
        <v>BWDMoscow</v>
      </c>
      <c r="X1017" s="385"/>
    </row>
    <row r="1018">
      <c r="A1018" s="384" t="s">
        <v>112</v>
      </c>
      <c r="B1018" s="384" t="s">
        <v>265</v>
      </c>
      <c r="C1018" s="389"/>
      <c r="D1018" s="389">
        <v>1.5</v>
      </c>
      <c r="E1018" s="384"/>
      <c r="F1018" s="389"/>
      <c r="G1018" s="389"/>
      <c r="T1018" s="384" t="str">
        <f>IFERROR(__xludf.DUMMYFUNCTION("""COMPUTED_VALUE"""),"SOVEST")</f>
        <v>SOVEST</v>
      </c>
      <c r="U1018" s="385"/>
      <c r="W1018" s="384" t="str">
        <f>IFERROR(__xludf.DUMMYFUNCTION("""COMPUTED_VALUE"""),"Castor Troy ")</f>
        <v>Castor Troy </v>
      </c>
      <c r="X1018" s="385"/>
    </row>
    <row r="1019">
      <c r="A1019" s="384" t="s">
        <v>97</v>
      </c>
      <c r="B1019" s="384" t="s">
        <v>261</v>
      </c>
      <c r="C1019" s="389">
        <v>2.5</v>
      </c>
      <c r="D1019" s="389">
        <v>3.25</v>
      </c>
      <c r="E1019" s="384"/>
      <c r="F1019" s="389"/>
      <c r="G1019" s="389"/>
      <c r="T1019" s="384" t="str">
        <f>IFERROR(__xludf.DUMMYFUNCTION("""COMPUTED_VALUE"""),"Stacy")</f>
        <v>Stacy</v>
      </c>
      <c r="U1019" s="385"/>
      <c r="W1019" s="384" t="str">
        <f>IFERROR(__xludf.DUMMYFUNCTION("""COMPUTED_VALUE"""),"Cristo")</f>
        <v>Cristo</v>
      </c>
      <c r="X1019" s="385"/>
    </row>
    <row r="1020">
      <c r="A1020" s="384" t="s">
        <v>281</v>
      </c>
      <c r="B1020" s="384" t="s">
        <v>261</v>
      </c>
      <c r="C1020" s="389">
        <v>2.5</v>
      </c>
      <c r="D1020" s="389">
        <v>2.75</v>
      </c>
      <c r="E1020" s="384"/>
      <c r="F1020" s="389"/>
      <c r="G1020" s="389"/>
      <c r="T1020" s="384" t="str">
        <f>IFERROR(__xludf.DUMMYFUNCTION("""COMPUTED_VALUE"""),"WhoIsWho")</f>
        <v>WhoIsWho</v>
      </c>
      <c r="U1020" s="385"/>
      <c r="W1020" s="384" t="str">
        <f>IFERROR(__xludf.DUMMYFUNCTION("""COMPUTED_VALUE"""),"Curly")</f>
        <v>Curly</v>
      </c>
      <c r="X1020" s="385"/>
    </row>
    <row r="1021">
      <c r="A1021" s="384" t="s">
        <v>86</v>
      </c>
      <c r="B1021" s="384" t="s">
        <v>269</v>
      </c>
      <c r="C1021" s="389"/>
      <c r="D1021" s="389">
        <v>1.75</v>
      </c>
      <c r="E1021" s="384"/>
      <c r="F1021" s="389"/>
      <c r="G1021" s="389"/>
      <c r="T1021" s="384" t="str">
        <f>IFERROR(__xludf.DUMMYFUNCTION("""COMPUTED_VALUE"""),"Young")</f>
        <v>Young</v>
      </c>
      <c r="U1021" s="385"/>
      <c r="W1021" s="384" t="str">
        <f>IFERROR(__xludf.DUMMYFUNCTION("""COMPUTED_VALUE"""),"Infinity ")</f>
        <v>Infinity </v>
      </c>
      <c r="X1021" s="385"/>
    </row>
    <row r="1022">
      <c r="A1022" s="384" t="s">
        <v>100</v>
      </c>
      <c r="B1022" s="384" t="s">
        <v>261</v>
      </c>
      <c r="C1022" s="389">
        <v>2.5</v>
      </c>
      <c r="D1022" s="389">
        <v>3.5</v>
      </c>
      <c r="E1022" s="384" t="s">
        <v>11</v>
      </c>
      <c r="F1022" s="389"/>
      <c r="G1022" s="389">
        <v>0.5</v>
      </c>
      <c r="T1022" s="384" t="str">
        <f>IFERROR(__xludf.DUMMYFUNCTION("QUERY('Турнирная таблица по Алфавиту'!C7:BG66,""select C,AL order by AL desc"")"),"Ментик")</f>
        <v>Ментик</v>
      </c>
      <c r="U1022" s="385">
        <f>IFERROR(__xludf.DUMMYFUNCTION("""COMPUTED_VALUE"""),23.25)</f>
        <v>23.25</v>
      </c>
      <c r="W1022" s="384" t="str">
        <f>IFERROR(__xludf.DUMMYFUNCTION("""COMPUTED_VALUE"""),"Ketamin")</f>
        <v>Ketamin</v>
      </c>
      <c r="X1022" s="385"/>
    </row>
    <row r="1023">
      <c r="A1023" s="384" t="s">
        <v>130</v>
      </c>
      <c r="B1023" s="384" t="s">
        <v>261</v>
      </c>
      <c r="C1023" s="389">
        <v>2.5</v>
      </c>
      <c r="D1023" s="389">
        <v>3.5</v>
      </c>
      <c r="E1023" s="384"/>
      <c r="F1023" s="389"/>
      <c r="G1023" s="389"/>
      <c r="T1023" s="384" t="str">
        <f>IFERROR(__xludf.DUMMYFUNCTION("""COMPUTED_VALUE"""),"Фокс")</f>
        <v>Фокс</v>
      </c>
      <c r="U1023" s="385">
        <f>IFERROR(__xludf.DUMMYFUNCTION("""COMPUTED_VALUE"""),22.75)</f>
        <v>22.75</v>
      </c>
      <c r="W1023" s="384" t="str">
        <f>IFERROR(__xludf.DUMMYFUNCTION("""COMPUTED_VALUE"""),"Light")</f>
        <v>Light</v>
      </c>
      <c r="X1023" s="385"/>
    </row>
    <row r="1024">
      <c r="A1024" s="384" t="s">
        <v>114</v>
      </c>
      <c r="B1024" s="384" t="s">
        <v>261</v>
      </c>
      <c r="C1024" s="389">
        <v>2.5</v>
      </c>
      <c r="D1024" s="389">
        <v>3.75</v>
      </c>
      <c r="E1024" s="384" t="s">
        <v>260</v>
      </c>
      <c r="F1024" s="389"/>
      <c r="G1024" s="389"/>
      <c r="T1024" s="384" t="str">
        <f>IFERROR(__xludf.DUMMYFUNCTION("""COMPUTED_VALUE"""),"SOVEST")</f>
        <v>SOVEST</v>
      </c>
      <c r="U1024" s="385">
        <f>IFERROR(__xludf.DUMMYFUNCTION("""COMPUTED_VALUE"""),22.25)</f>
        <v>22.25</v>
      </c>
      <c r="W1024" s="384" t="str">
        <f>IFERROR(__xludf.DUMMYFUNCTION("""COMPUTED_VALUE"""),"Morti")</f>
        <v>Morti</v>
      </c>
      <c r="X1024" s="385"/>
    </row>
    <row r="1025">
      <c r="A1025" s="384" t="s">
        <v>113</v>
      </c>
      <c r="B1025" s="384" t="s">
        <v>265</v>
      </c>
      <c r="C1025" s="389"/>
      <c r="D1025" s="389">
        <v>1.5</v>
      </c>
      <c r="E1025" s="384"/>
      <c r="F1025" s="389"/>
      <c r="G1025" s="389"/>
      <c r="T1025" s="384" t="str">
        <f>IFERROR(__xludf.DUMMYFUNCTION("""COMPUTED_VALUE"""),"Старый")</f>
        <v>Старый</v>
      </c>
      <c r="U1025" s="385">
        <f>IFERROR(__xludf.DUMMYFUNCTION("""COMPUTED_VALUE"""),21.25)</f>
        <v>21.25</v>
      </c>
      <c r="W1025" s="384" t="str">
        <f>IFERROR(__xludf.DUMMYFUNCTION("""COMPUTED_VALUE"""),"MSR")</f>
        <v>MSR</v>
      </c>
      <c r="X1025" s="385"/>
    </row>
    <row r="1026">
      <c r="A1026" s="384" t="s">
        <v>90</v>
      </c>
      <c r="B1026" s="384" t="s">
        <v>261</v>
      </c>
      <c r="C1026" s="389">
        <v>2.5</v>
      </c>
      <c r="D1026" s="389">
        <v>3.5</v>
      </c>
      <c r="E1026" s="384"/>
      <c r="F1026" s="389"/>
      <c r="G1026" s="389"/>
      <c r="T1026" s="384" t="str">
        <f>IFERROR(__xludf.DUMMYFUNCTION("""COMPUTED_VALUE"""),"Аш")</f>
        <v>Аш</v>
      </c>
      <c r="U1026" s="385">
        <f>IFERROR(__xludf.DUMMYFUNCTION("""COMPUTED_VALUE"""),19.5)</f>
        <v>19.5</v>
      </c>
      <c r="W1026" s="384" t="str">
        <f>IFERROR(__xludf.DUMMYFUNCTION("""COMPUTED_VALUE"""),"NLIP")</f>
        <v>NLIP</v>
      </c>
      <c r="X1026" s="385"/>
    </row>
    <row r="1027">
      <c r="A1027" s="384" t="s">
        <v>101</v>
      </c>
      <c r="B1027" s="384" t="s">
        <v>271</v>
      </c>
      <c r="C1027" s="389">
        <v>2.5</v>
      </c>
      <c r="D1027" s="389">
        <v>3.75</v>
      </c>
      <c r="E1027" s="384" t="s">
        <v>260</v>
      </c>
      <c r="F1027" s="389"/>
      <c r="G1027" s="389"/>
      <c r="T1027" s="384" t="str">
        <f>IFERROR(__xludf.DUMMYFUNCTION("""COMPUTED_VALUE"""),"SCHOKK ")</f>
        <v>SCHOKK </v>
      </c>
      <c r="U1027" s="385">
        <f>IFERROR(__xludf.DUMMYFUNCTION("""COMPUTED_VALUE"""),18.25)</f>
        <v>18.25</v>
      </c>
      <c r="W1027" s="384" t="str">
        <f>IFERROR(__xludf.DUMMYFUNCTION("""COMPUTED_VALUE"""),"Rocket woman ")</f>
        <v>Rocket woman </v>
      </c>
      <c r="X1027" s="385"/>
    </row>
    <row r="1028">
      <c r="A1028" s="384" t="s">
        <v>112</v>
      </c>
      <c r="B1028" s="384" t="s">
        <v>261</v>
      </c>
      <c r="C1028" s="389">
        <v>2.5</v>
      </c>
      <c r="D1028" s="389">
        <v>2.5</v>
      </c>
      <c r="E1028" s="384" t="s">
        <v>11</v>
      </c>
      <c r="F1028" s="389"/>
      <c r="G1028" s="389">
        <v>0.5</v>
      </c>
      <c r="T1028" s="384" t="str">
        <f>IFERROR(__xludf.DUMMYFUNCTION("""COMPUTED_VALUE"""),"Ketamin")</f>
        <v>Ketamin</v>
      </c>
      <c r="U1028" s="385">
        <f>IFERROR(__xludf.DUMMYFUNCTION("""COMPUTED_VALUE"""),16.5)</f>
        <v>16.5</v>
      </c>
      <c r="W1028" s="384" t="str">
        <f>IFERROR(__xludf.DUMMYFUNCTION("""COMPUTED_VALUE"""),"SOVEST")</f>
        <v>SOVEST</v>
      </c>
      <c r="X1028" s="385"/>
    </row>
    <row r="1029">
      <c r="A1029" s="384" t="s">
        <v>97</v>
      </c>
      <c r="B1029" s="384" t="s">
        <v>269</v>
      </c>
      <c r="C1029" s="389"/>
      <c r="D1029" s="389">
        <v>2.5</v>
      </c>
      <c r="E1029" s="384" t="s">
        <v>263</v>
      </c>
      <c r="F1029" s="389"/>
      <c r="G1029" s="389"/>
      <c r="T1029" s="384" t="str">
        <f>IFERROR(__xludf.DUMMYFUNCTION("""COMPUTED_VALUE"""),"Правда ")</f>
        <v>Правда </v>
      </c>
      <c r="U1029" s="385">
        <f>IFERROR(__xludf.DUMMYFUNCTION("""COMPUTED_VALUE"""),15.5)</f>
        <v>15.5</v>
      </c>
      <c r="W1029" s="384" t="str">
        <f>IFERROR(__xludf.DUMMYFUNCTION("""COMPUTED_VALUE"""),"Stacy")</f>
        <v>Stacy</v>
      </c>
      <c r="X1029" s="385"/>
    </row>
    <row r="1030">
      <c r="A1030" s="384" t="s">
        <v>281</v>
      </c>
      <c r="B1030" s="384" t="s">
        <v>261</v>
      </c>
      <c r="C1030" s="389">
        <v>2.5</v>
      </c>
      <c r="D1030" s="389">
        <v>4.5</v>
      </c>
      <c r="E1030" s="384"/>
      <c r="F1030" s="389"/>
      <c r="G1030" s="389"/>
      <c r="T1030" s="384" t="str">
        <f>IFERROR(__xludf.DUMMYFUNCTION("""COMPUTED_VALUE"""),"Флэш")</f>
        <v>Флэш</v>
      </c>
      <c r="U1030" s="385">
        <f>IFERROR(__xludf.DUMMYFUNCTION("""COMPUTED_VALUE"""),14.75)</f>
        <v>14.75</v>
      </c>
      <c r="W1030" s="384" t="str">
        <f>IFERROR(__xludf.DUMMYFUNCTION("""COMPUTED_VALUE"""),"WhoIsWho")</f>
        <v>WhoIsWho</v>
      </c>
      <c r="X1030" s="385"/>
    </row>
    <row r="1031">
      <c r="A1031" s="384" t="s">
        <v>86</v>
      </c>
      <c r="B1031" s="384" t="s">
        <v>261</v>
      </c>
      <c r="C1031" s="389">
        <v>2.5</v>
      </c>
      <c r="D1031" s="389">
        <v>3.5</v>
      </c>
      <c r="E1031" s="384"/>
      <c r="F1031" s="389"/>
      <c r="G1031" s="389"/>
      <c r="T1031" s="384" t="str">
        <f>IFERROR(__xludf.DUMMYFUNCTION("""COMPUTED_VALUE"""),"Астория")</f>
        <v>Астория</v>
      </c>
      <c r="U1031" s="385">
        <f>IFERROR(__xludf.DUMMYFUNCTION("""COMPUTED_VALUE"""),11.25)</f>
        <v>11.25</v>
      </c>
      <c r="W1031" s="384" t="str">
        <f>IFERROR(__xludf.DUMMYFUNCTION("""COMPUTED_VALUE"""),"Young")</f>
        <v>Young</v>
      </c>
      <c r="X1031" s="385"/>
    </row>
    <row r="1032">
      <c r="A1032" s="384" t="s">
        <v>100</v>
      </c>
      <c r="B1032" s="384" t="s">
        <v>269</v>
      </c>
      <c r="C1032" s="389"/>
      <c r="D1032" s="389">
        <v>2.5</v>
      </c>
      <c r="E1032" s="384"/>
      <c r="F1032" s="389"/>
      <c r="G1032" s="389"/>
      <c r="T1032" s="384" t="str">
        <f>IFERROR(__xludf.DUMMYFUNCTION("""COMPUTED_VALUE"""),"Авраам")</f>
        <v>Авраам</v>
      </c>
      <c r="U1032" s="385"/>
      <c r="W1032" s="384" t="str">
        <f>IFERROR(__xludf.DUMMYFUNCTION("""COMPUTED_VALUE"""),"Авраам")</f>
        <v>Авраам</v>
      </c>
      <c r="X1032" s="385"/>
    </row>
    <row r="1033">
      <c r="A1033" s="384" t="s">
        <v>130</v>
      </c>
      <c r="B1033" s="384" t="s">
        <v>261</v>
      </c>
      <c r="C1033" s="389">
        <v>2.5</v>
      </c>
      <c r="D1033" s="389">
        <v>2.25</v>
      </c>
      <c r="E1033" s="384" t="s">
        <v>11</v>
      </c>
      <c r="F1033" s="389"/>
      <c r="G1033" s="389">
        <v>0.5</v>
      </c>
      <c r="T1033" s="384" t="str">
        <f>IFERROR(__xludf.DUMMYFUNCTION("""COMPUTED_VALUE"""),"Админ")</f>
        <v>Админ</v>
      </c>
      <c r="U1033" s="385"/>
      <c r="W1033" s="384" t="str">
        <f>IFERROR(__xludf.DUMMYFUNCTION("""COMPUTED_VALUE"""),"Админ")</f>
        <v>Админ</v>
      </c>
      <c r="X1033" s="385"/>
    </row>
    <row r="1034">
      <c r="A1034" s="384" t="s">
        <v>114</v>
      </c>
      <c r="B1034" s="384" t="s">
        <v>271</v>
      </c>
      <c r="C1034" s="389">
        <v>2.5</v>
      </c>
      <c r="D1034" s="389">
        <v>5.0</v>
      </c>
      <c r="E1034" s="384"/>
      <c r="F1034" s="389"/>
      <c r="G1034" s="389"/>
      <c r="T1034" s="384" t="str">
        <f>IFERROR(__xludf.DUMMYFUNCTION("""COMPUTED_VALUE"""),"Андерсен")</f>
        <v>Андерсен</v>
      </c>
      <c r="U1034" s="385"/>
      <c r="W1034" s="384" t="str">
        <f>IFERROR(__xludf.DUMMYFUNCTION("""COMPUTED_VALUE"""),"Андерсен")</f>
        <v>Андерсен</v>
      </c>
      <c r="X1034" s="385"/>
    </row>
    <row r="1035">
      <c r="A1035" s="384" t="s">
        <v>113</v>
      </c>
      <c r="B1035" s="384" t="s">
        <v>261</v>
      </c>
      <c r="C1035" s="389">
        <v>2.5</v>
      </c>
      <c r="D1035" s="389">
        <v>4.0</v>
      </c>
      <c r="E1035" s="384"/>
      <c r="F1035" s="389"/>
      <c r="G1035" s="389"/>
      <c r="T1035" s="384" t="str">
        <f>IFERROR(__xludf.DUMMYFUNCTION("""COMPUTED_VALUE"""),"Артик")</f>
        <v>Артик</v>
      </c>
      <c r="U1035" s="385"/>
      <c r="W1035" s="384" t="str">
        <f>IFERROR(__xludf.DUMMYFUNCTION("""COMPUTED_VALUE"""),"Артик")</f>
        <v>Артик</v>
      </c>
      <c r="X1035" s="385"/>
    </row>
    <row r="1036">
      <c r="A1036" s="384" t="s">
        <v>90</v>
      </c>
      <c r="B1036" s="384" t="s">
        <v>261</v>
      </c>
      <c r="C1036" s="389">
        <v>2.5</v>
      </c>
      <c r="D1036" s="389">
        <v>2.5</v>
      </c>
      <c r="E1036" s="384"/>
      <c r="F1036" s="389"/>
      <c r="G1036" s="389"/>
      <c r="T1036" s="384" t="str">
        <f>IFERROR(__xludf.DUMMYFUNCTION("""COMPUTED_VALUE"""),"Бамблби")</f>
        <v>Бамблби</v>
      </c>
      <c r="U1036" s="385"/>
      <c r="W1036" s="384" t="str">
        <f>IFERROR(__xludf.DUMMYFUNCTION("""COMPUTED_VALUE"""),"Астория")</f>
        <v>Астория</v>
      </c>
      <c r="X1036" s="385"/>
    </row>
    <row r="1037">
      <c r="A1037" s="384" t="s">
        <v>101</v>
      </c>
      <c r="B1037" s="384" t="s">
        <v>261</v>
      </c>
      <c r="C1037" s="389">
        <v>2.5</v>
      </c>
      <c r="D1037" s="389">
        <v>2.5</v>
      </c>
      <c r="E1037" s="384"/>
      <c r="F1037" s="389"/>
      <c r="G1037" s="389"/>
      <c r="T1037" s="384" t="str">
        <f>IFERROR(__xludf.DUMMYFUNCTION("""COMPUTED_VALUE"""),"Волга")</f>
        <v>Волга</v>
      </c>
      <c r="U1037" s="385"/>
      <c r="W1037" s="384" t="str">
        <f>IFERROR(__xludf.DUMMYFUNCTION("""COMPUTED_VALUE"""),"Аш")</f>
        <v>Аш</v>
      </c>
      <c r="X1037" s="385"/>
    </row>
    <row r="1038">
      <c r="A1038" s="384" t="s">
        <v>112</v>
      </c>
      <c r="B1038" s="384" t="s">
        <v>269</v>
      </c>
      <c r="C1038" s="389"/>
      <c r="D1038" s="389">
        <v>1.75</v>
      </c>
      <c r="E1038" s="384"/>
      <c r="F1038" s="389"/>
      <c r="G1038" s="389"/>
      <c r="T1038" s="384" t="str">
        <f>IFERROR(__xludf.DUMMYFUNCTION("""COMPUTED_VALUE"""),"Градиент")</f>
        <v>Градиент</v>
      </c>
      <c r="U1038" s="385"/>
      <c r="W1038" s="384" t="str">
        <f>IFERROR(__xludf.DUMMYFUNCTION("""COMPUTED_VALUE"""),"Бамблби")</f>
        <v>Бамблби</v>
      </c>
      <c r="X1038" s="385"/>
    </row>
    <row r="1039">
      <c r="A1039" s="384" t="s">
        <v>97</v>
      </c>
      <c r="B1039" s="384" t="s">
        <v>269</v>
      </c>
      <c r="C1039" s="389"/>
      <c r="D1039" s="389">
        <v>2.0</v>
      </c>
      <c r="E1039" s="384"/>
      <c r="F1039" s="389"/>
      <c r="G1039" s="389"/>
      <c r="T1039" s="384" t="str">
        <f>IFERROR(__xludf.DUMMYFUNCTION("""COMPUTED_VALUE"""),"Дровосек")</f>
        <v>Дровосек</v>
      </c>
      <c r="U1039" s="385"/>
      <c r="W1039" s="384" t="str">
        <f>IFERROR(__xludf.DUMMYFUNCTION("""COMPUTED_VALUE"""),"Волга")</f>
        <v>Волга</v>
      </c>
      <c r="X1039" s="385"/>
    </row>
    <row r="1040">
      <c r="A1040" s="384" t="s">
        <v>281</v>
      </c>
      <c r="B1040" s="384" t="s">
        <v>265</v>
      </c>
      <c r="C1040" s="389"/>
      <c r="D1040" s="389">
        <v>1.5</v>
      </c>
      <c r="E1040" s="384"/>
      <c r="F1040" s="389"/>
      <c r="G1040" s="389"/>
      <c r="T1040" s="384" t="str">
        <f>IFERROR(__xludf.DUMMYFUNCTION("""COMPUTED_VALUE"""),"Зверюга")</f>
        <v>Зверюга</v>
      </c>
      <c r="U1040" s="385"/>
      <c r="W1040" s="384" t="str">
        <f>IFERROR(__xludf.DUMMYFUNCTION("""COMPUTED_VALUE"""),"Дровосек")</f>
        <v>Дровосек</v>
      </c>
      <c r="X1040" s="385"/>
    </row>
    <row r="1041">
      <c r="A1041" s="384" t="s">
        <v>86</v>
      </c>
      <c r="B1041" s="384" t="s">
        <v>261</v>
      </c>
      <c r="C1041" s="389">
        <v>2.5</v>
      </c>
      <c r="D1041" s="389">
        <v>3.75</v>
      </c>
      <c r="E1041" s="384"/>
      <c r="F1041" s="389"/>
      <c r="G1041" s="389"/>
      <c r="T1041" s="384" t="str">
        <f>IFERROR(__xludf.DUMMYFUNCTION("""COMPUTED_VALUE"""),"Инсомнич")</f>
        <v>Инсомнич</v>
      </c>
      <c r="U1041" s="385"/>
      <c r="W1041" s="384" t="str">
        <f>IFERROR(__xludf.DUMMYFUNCTION("""COMPUTED_VALUE"""),"Зверюга")</f>
        <v>Зверюга</v>
      </c>
      <c r="X1041" s="385"/>
    </row>
    <row r="1042">
      <c r="A1042" s="384" t="s">
        <v>100</v>
      </c>
      <c r="B1042" s="384" t="s">
        <v>261</v>
      </c>
      <c r="C1042" s="389">
        <v>2.5</v>
      </c>
      <c r="D1042" s="389">
        <v>3.25</v>
      </c>
      <c r="E1042" s="384"/>
      <c r="F1042" s="389"/>
      <c r="G1042" s="389"/>
      <c r="T1042" s="384" t="str">
        <f>IFERROR(__xludf.DUMMYFUNCTION("""COMPUTED_VALUE"""),"Красавчик")</f>
        <v>Красавчик</v>
      </c>
      <c r="U1042" s="385"/>
      <c r="W1042" s="384" t="str">
        <f>IFERROR(__xludf.DUMMYFUNCTION("""COMPUTED_VALUE"""),"Инсомнич")</f>
        <v>Инсомнич</v>
      </c>
      <c r="X1042" s="385"/>
    </row>
    <row r="1043">
      <c r="A1043" s="384" t="s">
        <v>130</v>
      </c>
      <c r="B1043" s="384" t="s">
        <v>269</v>
      </c>
      <c r="C1043" s="389"/>
      <c r="D1043" s="389">
        <v>2.5</v>
      </c>
      <c r="E1043" s="384"/>
      <c r="F1043" s="389"/>
      <c r="G1043" s="389"/>
      <c r="T1043" s="384" t="str">
        <f>IFERROR(__xludf.DUMMYFUNCTION("""COMPUTED_VALUE"""),"Крестный отец (BLR)")</f>
        <v>Крестный отец (BLR)</v>
      </c>
      <c r="U1043" s="385"/>
      <c r="W1043" s="384" t="str">
        <f>IFERROR(__xludf.DUMMYFUNCTION("""COMPUTED_VALUE"""),"Красавчик")</f>
        <v>Красавчик</v>
      </c>
      <c r="X1043" s="385"/>
    </row>
    <row r="1044">
      <c r="A1044" s="384" t="s">
        <v>114</v>
      </c>
      <c r="B1044" s="384" t="s">
        <v>261</v>
      </c>
      <c r="C1044" s="389">
        <v>2.5</v>
      </c>
      <c r="D1044" s="389">
        <v>2.75</v>
      </c>
      <c r="E1044" s="384"/>
      <c r="F1044" s="389"/>
      <c r="G1044" s="389"/>
      <c r="T1044" s="384" t="str">
        <f>IFERROR(__xludf.DUMMYFUNCTION("""COMPUTED_VALUE"""),"Крёстный Отец (RU)")</f>
        <v>Крёстный Отец (RU)</v>
      </c>
      <c r="U1044" s="385"/>
      <c r="W1044" s="384" t="str">
        <f>IFERROR(__xludf.DUMMYFUNCTION("""COMPUTED_VALUE"""),"Крестный отец (BLR)")</f>
        <v>Крестный отец (BLR)</v>
      </c>
      <c r="X1044" s="385"/>
    </row>
    <row r="1045">
      <c r="A1045" s="384" t="s">
        <v>113</v>
      </c>
      <c r="B1045" s="384" t="s">
        <v>269</v>
      </c>
      <c r="C1045" s="389"/>
      <c r="D1045" s="389">
        <v>1.5</v>
      </c>
      <c r="E1045" s="384"/>
      <c r="F1045" s="389"/>
      <c r="G1045" s="389"/>
      <c r="T1045" s="384" t="str">
        <f>IFERROR(__xludf.DUMMYFUNCTION("""COMPUTED_VALUE"""),"Крот")</f>
        <v>Крот</v>
      </c>
      <c r="U1045" s="385"/>
      <c r="W1045" s="384" t="str">
        <f>IFERROR(__xludf.DUMMYFUNCTION("""COMPUTED_VALUE"""),"Крёстный Отец (RU)")</f>
        <v>Крёстный Отец (RU)</v>
      </c>
      <c r="X1045" s="385"/>
    </row>
    <row r="1046">
      <c r="A1046" s="384" t="s">
        <v>90</v>
      </c>
      <c r="B1046" s="384" t="s">
        <v>261</v>
      </c>
      <c r="C1046" s="389">
        <v>2.5</v>
      </c>
      <c r="D1046" s="389">
        <v>3.0</v>
      </c>
      <c r="E1046" s="384" t="s">
        <v>260</v>
      </c>
      <c r="F1046" s="389"/>
      <c r="G1046" s="389"/>
      <c r="T1046" s="384" t="str">
        <f>IFERROR(__xludf.DUMMYFUNCTION("""COMPUTED_VALUE"""),"Левша")</f>
        <v>Левша</v>
      </c>
      <c r="U1046" s="385"/>
      <c r="W1046" s="384" t="str">
        <f>IFERROR(__xludf.DUMMYFUNCTION("""COMPUTED_VALUE"""),"Крот")</f>
        <v>Крот</v>
      </c>
      <c r="X1046" s="385"/>
    </row>
    <row r="1047">
      <c r="A1047" s="384" t="s">
        <v>101</v>
      </c>
      <c r="B1047" s="384" t="s">
        <v>261</v>
      </c>
      <c r="C1047" s="389">
        <v>2.5</v>
      </c>
      <c r="D1047" s="389">
        <v>2.25</v>
      </c>
      <c r="E1047" s="384" t="s">
        <v>11</v>
      </c>
      <c r="F1047" s="389"/>
      <c r="G1047" s="389">
        <v>0.5</v>
      </c>
      <c r="T1047" s="384" t="str">
        <f>IFERROR(__xludf.DUMMYFUNCTION("""COMPUTED_VALUE"""),"Лисичка")</f>
        <v>Лисичка</v>
      </c>
      <c r="U1047" s="385"/>
      <c r="W1047" s="384" t="str">
        <f>IFERROR(__xludf.DUMMYFUNCTION("""COMPUTED_VALUE"""),"Левша")</f>
        <v>Левша</v>
      </c>
      <c r="X1047" s="385"/>
    </row>
    <row r="1048">
      <c r="A1048" s="384" t="s">
        <v>112</v>
      </c>
      <c r="B1048" s="384" t="s">
        <v>271</v>
      </c>
      <c r="C1048" s="389">
        <v>2.5</v>
      </c>
      <c r="D1048" s="389">
        <v>3.0</v>
      </c>
      <c r="E1048" s="384"/>
      <c r="F1048" s="389"/>
      <c r="G1048" s="389"/>
      <c r="T1048" s="384" t="str">
        <f>IFERROR(__xludf.DUMMYFUNCTION("""COMPUTED_VALUE"""),"Маваши")</f>
        <v>Маваши</v>
      </c>
      <c r="U1048" s="385"/>
      <c r="W1048" s="384" t="str">
        <f>IFERROR(__xludf.DUMMYFUNCTION("""COMPUTED_VALUE"""),"Лисичка")</f>
        <v>Лисичка</v>
      </c>
      <c r="X1048" s="385"/>
    </row>
    <row r="1049">
      <c r="A1049" s="384" t="s">
        <v>97</v>
      </c>
      <c r="B1049" s="384" t="s">
        <v>265</v>
      </c>
      <c r="C1049" s="389"/>
      <c r="D1049" s="389">
        <v>1.75</v>
      </c>
      <c r="E1049" s="384" t="s">
        <v>263</v>
      </c>
      <c r="F1049" s="389"/>
      <c r="G1049" s="389"/>
      <c r="T1049" s="384" t="str">
        <f>IFERROR(__xludf.DUMMYFUNCTION("""COMPUTED_VALUE"""),"Манекен")</f>
        <v>Манекен</v>
      </c>
      <c r="U1049" s="385"/>
      <c r="W1049" s="384" t="str">
        <f>IFERROR(__xludf.DUMMYFUNCTION("""COMPUTED_VALUE"""),"Маваши")</f>
        <v>Маваши</v>
      </c>
      <c r="X1049" s="385"/>
    </row>
    <row r="1050">
      <c r="A1050" s="384" t="s">
        <v>281</v>
      </c>
      <c r="B1050" s="384" t="s">
        <v>261</v>
      </c>
      <c r="C1050" s="389">
        <v>2.5</v>
      </c>
      <c r="D1050" s="389">
        <v>2.75</v>
      </c>
      <c r="E1050" s="384"/>
      <c r="F1050" s="389"/>
      <c r="G1050" s="389"/>
      <c r="T1050" s="384" t="str">
        <f>IFERROR(__xludf.DUMMYFUNCTION("""COMPUTED_VALUE"""),"Марго")</f>
        <v>Марго</v>
      </c>
      <c r="U1050" s="385"/>
      <c r="W1050" s="384" t="str">
        <f>IFERROR(__xludf.DUMMYFUNCTION("""COMPUTED_VALUE"""),"Марго")</f>
        <v>Марго</v>
      </c>
      <c r="X1050" s="385"/>
    </row>
    <row r="1051">
      <c r="A1051" s="384" t="s">
        <v>86</v>
      </c>
      <c r="B1051" s="384" t="s">
        <v>261</v>
      </c>
      <c r="C1051" s="389">
        <v>2.5</v>
      </c>
      <c r="D1051" s="389">
        <v>3.25</v>
      </c>
      <c r="E1051" s="384"/>
      <c r="F1051" s="389"/>
      <c r="G1051" s="389"/>
      <c r="T1051" s="384" t="str">
        <f>IFERROR(__xludf.DUMMYFUNCTION("""COMPUTED_VALUE"""),"Мишель ")</f>
        <v>Мишель </v>
      </c>
      <c r="U1051" s="385"/>
      <c r="W1051" s="384" t="str">
        <f>IFERROR(__xludf.DUMMYFUNCTION("""COMPUTED_VALUE"""),"Ментик")</f>
        <v>Ментик</v>
      </c>
      <c r="X1051" s="385"/>
    </row>
    <row r="1052">
      <c r="A1052" s="384" t="s">
        <v>100</v>
      </c>
      <c r="B1052" s="384" t="s">
        <v>261</v>
      </c>
      <c r="C1052" s="389">
        <v>2.5</v>
      </c>
      <c r="D1052" s="389">
        <v>2.5</v>
      </c>
      <c r="E1052" s="384" t="s">
        <v>260</v>
      </c>
      <c r="F1052" s="389"/>
      <c r="G1052" s="389"/>
      <c r="T1052" s="384" t="str">
        <f>IFERROR(__xludf.DUMMYFUNCTION("""COMPUTED_VALUE"""),"Наполеон")</f>
        <v>Наполеон</v>
      </c>
      <c r="U1052" s="385"/>
      <c r="W1052" s="384" t="str">
        <f>IFERROR(__xludf.DUMMYFUNCTION("""COMPUTED_VALUE"""),"Панда из Руанды")</f>
        <v>Панда из Руанды</v>
      </c>
      <c r="X1052" s="385"/>
    </row>
    <row r="1053">
      <c r="A1053" s="384" t="s">
        <v>130</v>
      </c>
      <c r="B1053" s="384" t="s">
        <v>261</v>
      </c>
      <c r="C1053" s="389"/>
      <c r="D1053" s="389">
        <v>3.0</v>
      </c>
      <c r="E1053" s="384"/>
      <c r="F1053" s="389"/>
      <c r="G1053" s="389"/>
      <c r="T1053" s="384" t="str">
        <f>IFERROR(__xludf.DUMMYFUNCTION("""COMPUTED_VALUE"""),"Панда из Руанды")</f>
        <v>Панда из Руанды</v>
      </c>
      <c r="U1053" s="385"/>
      <c r="W1053" s="384" t="str">
        <f>IFERROR(__xludf.DUMMYFUNCTION("""COMPUTED_VALUE"""),"Правда ")</f>
        <v>Правда </v>
      </c>
      <c r="X1053" s="385"/>
    </row>
    <row r="1054">
      <c r="A1054" s="384" t="s">
        <v>114</v>
      </c>
      <c r="B1054" s="384" t="s">
        <v>261</v>
      </c>
      <c r="C1054" s="389"/>
      <c r="D1054" s="389">
        <v>2.25</v>
      </c>
      <c r="E1054" s="384"/>
      <c r="F1054" s="389"/>
      <c r="G1054" s="389"/>
      <c r="T1054" s="384" t="str">
        <f>IFERROR(__xludf.DUMMYFUNCTION("""COMPUTED_VALUE"""),"Писатель ")</f>
        <v>Писатель </v>
      </c>
      <c r="U1054" s="385"/>
      <c r="W1054" s="384" t="str">
        <f>IFERROR(__xludf.DUMMYFUNCTION("""COMPUTED_VALUE"""),"Продюсер")</f>
        <v>Продюсер</v>
      </c>
      <c r="X1054" s="385"/>
    </row>
    <row r="1055">
      <c r="A1055" s="384" t="s">
        <v>113</v>
      </c>
      <c r="B1055" s="384" t="s">
        <v>261</v>
      </c>
      <c r="C1055" s="389"/>
      <c r="D1055" s="389">
        <v>2.25</v>
      </c>
      <c r="E1055" s="384" t="s">
        <v>11</v>
      </c>
      <c r="F1055" s="389"/>
      <c r="G1055" s="389">
        <v>0.5</v>
      </c>
      <c r="T1055" s="384" t="str">
        <f>IFERROR(__xludf.DUMMYFUNCTION("""COMPUTED_VALUE"""),"Продюсер")</f>
        <v>Продюсер</v>
      </c>
      <c r="U1055" s="385"/>
      <c r="W1055" s="384" t="str">
        <f>IFERROR(__xludf.DUMMYFUNCTION("""COMPUTED_VALUE"""),"РФ")</f>
        <v>РФ</v>
      </c>
      <c r="X1055" s="385"/>
    </row>
    <row r="1056">
      <c r="A1056" s="384" t="s">
        <v>137</v>
      </c>
      <c r="B1056" s="384" t="s">
        <v>261</v>
      </c>
      <c r="C1056" s="389"/>
      <c r="D1056" s="389">
        <v>1.5</v>
      </c>
      <c r="E1056" s="384"/>
      <c r="F1056" s="389"/>
      <c r="G1056" s="389"/>
      <c r="T1056" s="384" t="str">
        <f>IFERROR(__xludf.DUMMYFUNCTION("""COMPUTED_VALUE"""),"РФ")</f>
        <v>РФ</v>
      </c>
      <c r="U1056" s="385"/>
      <c r="W1056" s="384" t="str">
        <f>IFERROR(__xludf.DUMMYFUNCTION("""COMPUTED_VALUE"""),"Старый")</f>
        <v>Старый</v>
      </c>
      <c r="X1056" s="385"/>
    </row>
    <row r="1057">
      <c r="A1057" s="384" t="s">
        <v>92</v>
      </c>
      <c r="B1057" s="384" t="s">
        <v>261</v>
      </c>
      <c r="C1057" s="389"/>
      <c r="D1057" s="389">
        <v>1.75</v>
      </c>
      <c r="E1057" s="384"/>
      <c r="F1057" s="389"/>
      <c r="G1057" s="389"/>
      <c r="T1057" s="384" t="str">
        <f>IFERROR(__xludf.DUMMYFUNCTION("""COMPUTED_VALUE"""),"СЭНСЭЙ")</f>
        <v>СЭНСЭЙ</v>
      </c>
      <c r="U1057" s="385"/>
      <c r="W1057" s="384" t="str">
        <f>IFERROR(__xludf.DUMMYFUNCTION("""COMPUTED_VALUE"""),"СЭНСЭЙ")</f>
        <v>СЭНСЭЙ</v>
      </c>
      <c r="X1057" s="385"/>
    </row>
    <row r="1058">
      <c r="A1058" s="384" t="s">
        <v>281</v>
      </c>
      <c r="B1058" s="384" t="s">
        <v>269</v>
      </c>
      <c r="C1058" s="389">
        <v>2.5</v>
      </c>
      <c r="D1058" s="389">
        <v>3.5</v>
      </c>
      <c r="E1058" s="384"/>
      <c r="F1058" s="389"/>
      <c r="G1058" s="389"/>
      <c r="T1058" s="384" t="str">
        <f>IFERROR(__xludf.DUMMYFUNCTION("""COMPUTED_VALUE"""),"Coach")</f>
        <v>Coach</v>
      </c>
      <c r="U1058" s="385"/>
      <c r="W1058" s="384" t="str">
        <f>IFERROR(__xludf.DUMMYFUNCTION("""COMPUTED_VALUE"""),"Физик")</f>
        <v>Физик</v>
      </c>
      <c r="X1058" s="385"/>
    </row>
    <row r="1059">
      <c r="A1059" s="384" t="s">
        <v>122</v>
      </c>
      <c r="B1059" s="384" t="s">
        <v>261</v>
      </c>
      <c r="C1059" s="389"/>
      <c r="D1059" s="389">
        <v>2.0</v>
      </c>
      <c r="E1059" s="384"/>
      <c r="F1059" s="389"/>
      <c r="G1059" s="389"/>
      <c r="T1059" s="384" t="str">
        <f>IFERROR(__xludf.DUMMYFUNCTION("""COMPUTED_VALUE"""),"Тихий закат")</f>
        <v>Тихий закат</v>
      </c>
      <c r="U1059" s="385"/>
      <c r="W1059" s="384" t="str">
        <f>IFERROR(__xludf.DUMMYFUNCTION("""COMPUTED_VALUE"""),"Флэш")</f>
        <v>Флэш</v>
      </c>
      <c r="X1059" s="385"/>
    </row>
    <row r="1060">
      <c r="A1060" s="384" t="s">
        <v>120</v>
      </c>
      <c r="B1060" s="384" t="s">
        <v>269</v>
      </c>
      <c r="C1060" s="389">
        <v>2.5</v>
      </c>
      <c r="D1060" s="389">
        <v>3.5</v>
      </c>
      <c r="E1060" s="384"/>
      <c r="F1060" s="389"/>
      <c r="G1060" s="389"/>
      <c r="T1060" s="384" t="str">
        <f>IFERROR(__xludf.DUMMYFUNCTION("""COMPUTED_VALUE"""),"Физик")</f>
        <v>Физик</v>
      </c>
      <c r="U1060" s="385"/>
      <c r="W1060" s="384" t="str">
        <f>IFERROR(__xludf.DUMMYFUNCTION("""COMPUTED_VALUE"""),"Фокс")</f>
        <v>Фокс</v>
      </c>
      <c r="X1060" s="385"/>
    </row>
    <row r="1061">
      <c r="A1061" s="384" t="s">
        <v>85</v>
      </c>
      <c r="B1061" s="384" t="s">
        <v>271</v>
      </c>
      <c r="C1061" s="389"/>
      <c r="D1061" s="389">
        <v>2.25</v>
      </c>
      <c r="E1061" s="384"/>
      <c r="F1061" s="389"/>
      <c r="G1061" s="389"/>
      <c r="T1061" s="384" t="str">
        <f>IFERROR(__xludf.DUMMYFUNCTION("""COMPUTED_VALUE"""),"Шоу Бой")</f>
        <v>Шоу Бой</v>
      </c>
      <c r="U1061" s="385"/>
      <c r="W1061" s="384" t="str">
        <f>IFERROR(__xludf.DUMMYFUNCTION("""COMPUTED_VALUE"""),"Шоу Бой")</f>
        <v>Шоу Бой</v>
      </c>
      <c r="X1061" s="385"/>
    </row>
    <row r="1062">
      <c r="A1062" s="384" t="s">
        <v>138</v>
      </c>
      <c r="B1062" s="384" t="s">
        <v>265</v>
      </c>
      <c r="C1062" s="389">
        <v>2.5</v>
      </c>
      <c r="D1062" s="389">
        <v>4.25</v>
      </c>
      <c r="E1062" s="384"/>
      <c r="F1062" s="389"/>
      <c r="G1062" s="389"/>
      <c r="T1062" s="384" t="str">
        <f>IFERROR(__xludf.DUMMYFUNCTION("""COMPUTED_VALUE"""),"Шпиц")</f>
        <v>Шпиц</v>
      </c>
      <c r="U1062" s="385"/>
      <c r="W1062" s="384" t="str">
        <f>IFERROR(__xludf.DUMMYFUNCTION("""COMPUTED_VALUE"""),"Шпиц")</f>
        <v>Шпиц</v>
      </c>
      <c r="X1062" s="385"/>
    </row>
    <row r="1063">
      <c r="A1063" s="384" t="s">
        <v>130</v>
      </c>
      <c r="B1063" s="384" t="s">
        <v>269</v>
      </c>
      <c r="C1063" s="389">
        <v>2.5</v>
      </c>
      <c r="D1063" s="389">
        <v>4.0</v>
      </c>
      <c r="E1063" s="384"/>
      <c r="F1063" s="389"/>
      <c r="G1063" s="389"/>
      <c r="T1063" s="384" t="str">
        <f>IFERROR(__xludf.DUMMYFUNCTION("""COMPUTED_VALUE"""),"Юрия")</f>
        <v>Юрия</v>
      </c>
      <c r="U1063" s="385"/>
      <c r="W1063" s="384" t="str">
        <f>IFERROR(__xludf.DUMMYFUNCTION("""COMPUTED_VALUE"""),"Юрия")</f>
        <v>Юрия</v>
      </c>
      <c r="X1063" s="385"/>
    </row>
    <row r="1064">
      <c r="A1064" s="384" t="s">
        <v>114</v>
      </c>
      <c r="B1064" s="384" t="s">
        <v>265</v>
      </c>
      <c r="C1064" s="389">
        <v>2.5</v>
      </c>
      <c r="D1064" s="389">
        <v>3.5</v>
      </c>
      <c r="E1064" s="384"/>
      <c r="F1064" s="389"/>
      <c r="G1064" s="389"/>
      <c r="T1064" s="384" t="str">
        <f>IFERROR(__xludf.DUMMYFUNCTION("""COMPUTED_VALUE"""),"A1 ")</f>
        <v>A1 </v>
      </c>
      <c r="U1064" s="385"/>
      <c r="W1064" s="384" t="str">
        <f>IFERROR(__xludf.DUMMYFUNCTION("""COMPUTED_VALUE"""),"A1 ")</f>
        <v>A1 </v>
      </c>
      <c r="X1064" s="385"/>
    </row>
    <row r="1065">
      <c r="A1065" s="384" t="s">
        <v>113</v>
      </c>
      <c r="B1065" s="384" t="s">
        <v>261</v>
      </c>
      <c r="C1065" s="389"/>
      <c r="D1065" s="389">
        <v>2.0</v>
      </c>
      <c r="E1065" s="384"/>
      <c r="F1065" s="389"/>
      <c r="G1065" s="389"/>
      <c r="T1065" s="384" t="str">
        <f>IFERROR(__xludf.DUMMYFUNCTION("""COMPUTED_VALUE"""),"Alice ")</f>
        <v>Alice </v>
      </c>
      <c r="U1065" s="385"/>
      <c r="W1065" s="384" t="str">
        <f>IFERROR(__xludf.DUMMYFUNCTION("""COMPUTED_VALUE"""),"Alice ")</f>
        <v>Alice </v>
      </c>
      <c r="X1065" s="385"/>
    </row>
    <row r="1066">
      <c r="A1066" s="384" t="s">
        <v>137</v>
      </c>
      <c r="B1066" s="384" t="s">
        <v>261</v>
      </c>
      <c r="C1066" s="389"/>
      <c r="D1066" s="389">
        <v>2.0</v>
      </c>
      <c r="E1066" s="384"/>
      <c r="F1066" s="389"/>
      <c r="G1066" s="389"/>
      <c r="T1066" s="384" t="str">
        <f>IFERROR(__xludf.DUMMYFUNCTION("""COMPUTED_VALUE"""),"Bublik")</f>
        <v>Bublik</v>
      </c>
      <c r="U1066" s="385"/>
      <c r="W1066" s="384" t="str">
        <f>IFERROR(__xludf.DUMMYFUNCTION("""COMPUTED_VALUE"""),"Bublik")</f>
        <v>Bublik</v>
      </c>
      <c r="X1066" s="385"/>
    </row>
    <row r="1067">
      <c r="A1067" s="384" t="s">
        <v>92</v>
      </c>
      <c r="B1067" s="384" t="s">
        <v>269</v>
      </c>
      <c r="C1067" s="389">
        <v>2.5</v>
      </c>
      <c r="D1067" s="389">
        <v>3.5</v>
      </c>
      <c r="E1067" s="384"/>
      <c r="F1067" s="389"/>
      <c r="G1067" s="389"/>
      <c r="T1067" s="384" t="str">
        <f>IFERROR(__xludf.DUMMYFUNCTION("""COMPUTED_VALUE"""),"BWDMoscow")</f>
        <v>BWDMoscow</v>
      </c>
      <c r="U1067" s="385"/>
      <c r="W1067" s="384" t="str">
        <f>IFERROR(__xludf.DUMMYFUNCTION("""COMPUTED_VALUE"""),"BWDMoscow")</f>
        <v>BWDMoscow</v>
      </c>
      <c r="X1067" s="385"/>
    </row>
    <row r="1068">
      <c r="A1068" s="384" t="s">
        <v>281</v>
      </c>
      <c r="B1068" s="384" t="s">
        <v>261</v>
      </c>
      <c r="C1068" s="389"/>
      <c r="D1068" s="389">
        <v>2.25</v>
      </c>
      <c r="E1068" s="384"/>
      <c r="F1068" s="389"/>
      <c r="G1068" s="389"/>
      <c r="T1068" s="384" t="str">
        <f>IFERROR(__xludf.DUMMYFUNCTION("""COMPUTED_VALUE"""),"Castor Troy ")</f>
        <v>Castor Troy </v>
      </c>
      <c r="U1068" s="385"/>
      <c r="W1068" s="384" t="str">
        <f>IFERROR(__xludf.DUMMYFUNCTION("""COMPUTED_VALUE"""),"Castor Troy ")</f>
        <v>Castor Troy </v>
      </c>
      <c r="X1068" s="385"/>
    </row>
    <row r="1069">
      <c r="A1069" s="384" t="s">
        <v>122</v>
      </c>
      <c r="B1069" s="384" t="s">
        <v>261</v>
      </c>
      <c r="C1069" s="389"/>
      <c r="D1069" s="389">
        <v>1.75</v>
      </c>
      <c r="E1069" s="384"/>
      <c r="F1069" s="389"/>
      <c r="G1069" s="389"/>
      <c r="T1069" s="384" t="str">
        <f>IFERROR(__xludf.DUMMYFUNCTION("""COMPUTED_VALUE"""),"Cristo")</f>
        <v>Cristo</v>
      </c>
      <c r="U1069" s="385"/>
      <c r="W1069" s="384" t="str">
        <f>IFERROR(__xludf.DUMMYFUNCTION("""COMPUTED_VALUE"""),"Cristo")</f>
        <v>Cristo</v>
      </c>
      <c r="X1069" s="385"/>
    </row>
    <row r="1070">
      <c r="A1070" s="384" t="s">
        <v>120</v>
      </c>
      <c r="B1070" s="384" t="s">
        <v>261</v>
      </c>
      <c r="C1070" s="389"/>
      <c r="D1070" s="389">
        <v>2.0</v>
      </c>
      <c r="E1070" s="384"/>
      <c r="F1070" s="389"/>
      <c r="G1070" s="389"/>
      <c r="T1070" s="384" t="str">
        <f>IFERROR(__xludf.DUMMYFUNCTION("""COMPUTED_VALUE"""),"Curly")</f>
        <v>Curly</v>
      </c>
      <c r="U1070" s="385"/>
      <c r="W1070" s="384" t="str">
        <f>IFERROR(__xludf.DUMMYFUNCTION("""COMPUTED_VALUE"""),"Curly")</f>
        <v>Curly</v>
      </c>
      <c r="X1070" s="385"/>
    </row>
    <row r="1071">
      <c r="A1071" s="384" t="s">
        <v>85</v>
      </c>
      <c r="B1071" s="384" t="s">
        <v>271</v>
      </c>
      <c r="C1071" s="389"/>
      <c r="D1071" s="389">
        <v>1.0</v>
      </c>
      <c r="E1071" s="384"/>
      <c r="F1071" s="389"/>
      <c r="G1071" s="389"/>
      <c r="T1071" s="384" t="str">
        <f>IFERROR(__xludf.DUMMYFUNCTION("""COMPUTED_VALUE"""),"GALAY")</f>
        <v>GALAY</v>
      </c>
      <c r="U1071" s="385"/>
      <c r="W1071" s="384" t="str">
        <f>IFERROR(__xludf.DUMMYFUNCTION("""COMPUTED_VALUE"""),"Helga")</f>
        <v>Helga</v>
      </c>
      <c r="X1071" s="385"/>
    </row>
    <row r="1072">
      <c r="A1072" s="384" t="s">
        <v>138</v>
      </c>
      <c r="B1072" s="384" t="s">
        <v>261</v>
      </c>
      <c r="C1072" s="389"/>
      <c r="D1072" s="389">
        <v>2.75</v>
      </c>
      <c r="E1072" s="384" t="s">
        <v>11</v>
      </c>
      <c r="F1072" s="389"/>
      <c r="G1072" s="389">
        <v>0.5</v>
      </c>
      <c r="T1072" s="384" t="str">
        <f>IFERROR(__xludf.DUMMYFUNCTION("""COMPUTED_VALUE"""),"Helga")</f>
        <v>Helga</v>
      </c>
      <c r="U1072" s="385"/>
      <c r="W1072" s="384" t="str">
        <f>IFERROR(__xludf.DUMMYFUNCTION("""COMPUTED_VALUE"""),"Infinity ")</f>
        <v>Infinity </v>
      </c>
      <c r="X1072" s="385"/>
    </row>
    <row r="1073">
      <c r="A1073" s="384" t="s">
        <v>130</v>
      </c>
      <c r="B1073" s="384" t="s">
        <v>261</v>
      </c>
      <c r="C1073" s="389">
        <v>2.5</v>
      </c>
      <c r="D1073" s="389">
        <v>3.25</v>
      </c>
      <c r="E1073" s="384"/>
      <c r="F1073" s="389"/>
      <c r="G1073" s="389"/>
      <c r="T1073" s="384" t="str">
        <f>IFERROR(__xludf.DUMMYFUNCTION("""COMPUTED_VALUE"""),"Infinity ")</f>
        <v>Infinity </v>
      </c>
      <c r="U1073" s="385"/>
      <c r="W1073" s="384" t="str">
        <f>IFERROR(__xludf.DUMMYFUNCTION("""COMPUTED_VALUE"""),"Ketamin")</f>
        <v>Ketamin</v>
      </c>
      <c r="X1073" s="385"/>
    </row>
    <row r="1074">
      <c r="A1074" s="384" t="s">
        <v>114</v>
      </c>
      <c r="B1074" s="384" t="s">
        <v>261</v>
      </c>
      <c r="C1074" s="389">
        <v>2.5</v>
      </c>
      <c r="D1074" s="389">
        <v>3.75</v>
      </c>
      <c r="E1074" s="384"/>
      <c r="F1074" s="389"/>
      <c r="G1074" s="389"/>
      <c r="T1074" s="384" t="str">
        <f>IFERROR(__xludf.DUMMYFUNCTION("""COMPUTED_VALUE"""),"Light")</f>
        <v>Light</v>
      </c>
      <c r="U1074" s="385"/>
      <c r="W1074" s="384" t="str">
        <f>IFERROR(__xludf.DUMMYFUNCTION("""COMPUTED_VALUE"""),"Morti")</f>
        <v>Morti</v>
      </c>
      <c r="X1074" s="385"/>
    </row>
    <row r="1075">
      <c r="A1075" s="384" t="s">
        <v>113</v>
      </c>
      <c r="B1075" s="384" t="s">
        <v>261</v>
      </c>
      <c r="C1075" s="389">
        <v>2.5</v>
      </c>
      <c r="D1075" s="389">
        <v>4.25</v>
      </c>
      <c r="E1075" s="384"/>
      <c r="F1075" s="389"/>
      <c r="G1075" s="389"/>
      <c r="T1075" s="384" t="str">
        <f>IFERROR(__xludf.DUMMYFUNCTION("""COMPUTED_VALUE"""),"Morti")</f>
        <v>Morti</v>
      </c>
      <c r="U1075" s="385"/>
      <c r="W1075" s="384" t="str">
        <f>IFERROR(__xludf.DUMMYFUNCTION("""COMPUTED_VALUE"""),"MSR")</f>
        <v>MSR</v>
      </c>
      <c r="X1075" s="385"/>
    </row>
    <row r="1076">
      <c r="A1076" s="384" t="s">
        <v>137</v>
      </c>
      <c r="B1076" s="384" t="s">
        <v>261</v>
      </c>
      <c r="C1076" s="389">
        <v>2.5</v>
      </c>
      <c r="D1076" s="389">
        <v>3.25</v>
      </c>
      <c r="E1076" s="384"/>
      <c r="F1076" s="389"/>
      <c r="G1076" s="389"/>
      <c r="T1076" s="384" t="str">
        <f>IFERROR(__xludf.DUMMYFUNCTION("""COMPUTED_VALUE"""),"MSR")</f>
        <v>MSR</v>
      </c>
      <c r="U1076" s="385"/>
      <c r="W1076" s="384" t="str">
        <f>IFERROR(__xludf.DUMMYFUNCTION("""COMPUTED_VALUE"""),"Rocket woman ")</f>
        <v>Rocket woman </v>
      </c>
      <c r="X1076" s="385"/>
    </row>
    <row r="1077">
      <c r="A1077" s="384" t="s">
        <v>92</v>
      </c>
      <c r="B1077" s="384" t="s">
        <v>269</v>
      </c>
      <c r="C1077" s="389"/>
      <c r="D1077" s="389">
        <v>2.0</v>
      </c>
      <c r="E1077" s="384"/>
      <c r="F1077" s="389"/>
      <c r="G1077" s="389"/>
      <c r="T1077" s="384" t="str">
        <f>IFERROR(__xludf.DUMMYFUNCTION("""COMPUTED_VALUE"""),"NLIP")</f>
        <v>NLIP</v>
      </c>
      <c r="U1077" s="385"/>
      <c r="W1077" s="384" t="str">
        <f>IFERROR(__xludf.DUMMYFUNCTION("""COMPUTED_VALUE"""),"SCHOKK ")</f>
        <v>SCHOKK </v>
      </c>
      <c r="X1077" s="385"/>
    </row>
    <row r="1078">
      <c r="A1078" s="384" t="s">
        <v>281</v>
      </c>
      <c r="B1078" s="384" t="s">
        <v>261</v>
      </c>
      <c r="C1078" s="389">
        <v>2.5</v>
      </c>
      <c r="D1078" s="389">
        <v>1.5</v>
      </c>
      <c r="E1078" s="384" t="s">
        <v>11</v>
      </c>
      <c r="F1078" s="389"/>
      <c r="G1078" s="389">
        <v>0.5</v>
      </c>
      <c r="T1078" s="384" t="str">
        <f>IFERROR(__xludf.DUMMYFUNCTION("""COMPUTED_VALUE"""),"Rocket woman ")</f>
        <v>Rocket woman </v>
      </c>
      <c r="U1078" s="385"/>
      <c r="W1078" s="384" t="str">
        <f>IFERROR(__xludf.DUMMYFUNCTION("""COMPUTED_VALUE"""),"SOVEST")</f>
        <v>SOVEST</v>
      </c>
      <c r="X1078" s="385"/>
    </row>
    <row r="1079">
      <c r="A1079" s="384" t="s">
        <v>122</v>
      </c>
      <c r="B1079" s="384" t="s">
        <v>265</v>
      </c>
      <c r="C1079" s="389"/>
      <c r="D1079" s="389">
        <v>1.5</v>
      </c>
      <c r="E1079" s="384"/>
      <c r="F1079" s="389"/>
      <c r="G1079" s="389"/>
      <c r="T1079" s="384" t="str">
        <f>IFERROR(__xludf.DUMMYFUNCTION("""COMPUTED_VALUE"""),"Stacy")</f>
        <v>Stacy</v>
      </c>
      <c r="U1079" s="385"/>
      <c r="W1079" s="384" t="str">
        <f>IFERROR(__xludf.DUMMYFUNCTION("""COMPUTED_VALUE"""),"Stacy")</f>
        <v>Stacy</v>
      </c>
      <c r="X1079" s="385"/>
    </row>
    <row r="1080">
      <c r="A1080" s="384" t="s">
        <v>120</v>
      </c>
      <c r="B1080" s="384" t="s">
        <v>261</v>
      </c>
      <c r="C1080" s="389">
        <v>2.5</v>
      </c>
      <c r="D1080" s="389">
        <v>3.75</v>
      </c>
      <c r="E1080" s="384"/>
      <c r="F1080" s="389"/>
      <c r="G1080" s="389"/>
      <c r="T1080" s="384" t="str">
        <f>IFERROR(__xludf.DUMMYFUNCTION("""COMPUTED_VALUE"""),"WhoIsWho")</f>
        <v>WhoIsWho</v>
      </c>
      <c r="U1080" s="385"/>
      <c r="W1080" s="384" t="str">
        <f>IFERROR(__xludf.DUMMYFUNCTION("""COMPUTED_VALUE"""),"WhoIsWho")</f>
        <v>WhoIsWho</v>
      </c>
      <c r="X1080" s="385"/>
    </row>
    <row r="1081">
      <c r="A1081" s="384" t="s">
        <v>85</v>
      </c>
      <c r="B1081" s="384" t="s">
        <v>271</v>
      </c>
      <c r="C1081" s="389">
        <v>2.5</v>
      </c>
      <c r="D1081" s="389">
        <v>4.5</v>
      </c>
      <c r="E1081" s="384"/>
      <c r="F1081" s="389"/>
      <c r="G1081" s="389"/>
      <c r="T1081" s="384" t="str">
        <f>IFERROR(__xludf.DUMMYFUNCTION("""COMPUTED_VALUE"""),"Young")</f>
        <v>Young</v>
      </c>
      <c r="U1081" s="385"/>
      <c r="W1081" s="384" t="str">
        <f>IFERROR(__xludf.DUMMYFUNCTION("""COMPUTED_VALUE"""),"Young")</f>
        <v>Young</v>
      </c>
      <c r="X1081" s="385"/>
    </row>
    <row r="1082">
      <c r="A1082" s="384" t="s">
        <v>138</v>
      </c>
      <c r="B1082" s="384" t="s">
        <v>269</v>
      </c>
      <c r="C1082" s="389"/>
      <c r="D1082" s="389">
        <v>2.25</v>
      </c>
      <c r="E1082" s="384"/>
      <c r="F1082" s="389"/>
      <c r="G1082" s="389"/>
      <c r="T1082" s="384" t="str">
        <f>IFERROR(__xludf.DUMMYFUNCTION("QUERY('Турнирная таблица по Алфавиту'!C7:BG66,""select C,AM order by AM desc"")"),"Ментик")</f>
        <v>Ментик</v>
      </c>
      <c r="U1082" s="385">
        <f>IFERROR(__xludf.DUMMYFUNCTION("""COMPUTED_VALUE"""),23.5)</f>
        <v>23.5</v>
      </c>
      <c r="W1082" s="384" t="str">
        <f>IFERROR(__xludf.DUMMYFUNCTION("""COMPUTED_VALUE"""),"Авраам")</f>
        <v>Авраам</v>
      </c>
      <c r="X1082" s="385"/>
    </row>
    <row r="1083">
      <c r="A1083" s="384" t="s">
        <v>130</v>
      </c>
      <c r="B1083" s="384" t="s">
        <v>261</v>
      </c>
      <c r="C1083" s="389"/>
      <c r="D1083" s="389">
        <v>2.25</v>
      </c>
      <c r="E1083" s="384"/>
      <c r="F1083" s="389"/>
      <c r="G1083" s="389"/>
      <c r="T1083" s="384" t="str">
        <f>IFERROR(__xludf.DUMMYFUNCTION("""COMPUTED_VALUE"""),"Астория")</f>
        <v>Астория</v>
      </c>
      <c r="U1083" s="385">
        <f>IFERROR(__xludf.DUMMYFUNCTION("""COMPUTED_VALUE"""),23.0)</f>
        <v>23</v>
      </c>
      <c r="W1083" s="384" t="str">
        <f>IFERROR(__xludf.DUMMYFUNCTION("""COMPUTED_VALUE"""),"Админ")</f>
        <v>Админ</v>
      </c>
      <c r="X1083" s="385"/>
    </row>
    <row r="1084">
      <c r="A1084" s="384" t="s">
        <v>114</v>
      </c>
      <c r="B1084" s="384" t="s">
        <v>271</v>
      </c>
      <c r="C1084" s="389"/>
      <c r="D1084" s="389">
        <v>1.75</v>
      </c>
      <c r="E1084" s="384" t="s">
        <v>11</v>
      </c>
      <c r="F1084" s="389"/>
      <c r="G1084" s="389">
        <v>0.5</v>
      </c>
      <c r="T1084" s="384" t="str">
        <f>IFERROR(__xludf.DUMMYFUNCTION("""COMPUTED_VALUE"""),"Наполеон")</f>
        <v>Наполеон</v>
      </c>
      <c r="U1084" s="385">
        <f>IFERROR(__xludf.DUMMYFUNCTION("""COMPUTED_VALUE"""),22.75)</f>
        <v>22.75</v>
      </c>
      <c r="W1084" s="384" t="str">
        <f>IFERROR(__xludf.DUMMYFUNCTION("""COMPUTED_VALUE"""),"Андерсен")</f>
        <v>Андерсен</v>
      </c>
      <c r="X1084" s="385"/>
    </row>
    <row r="1085">
      <c r="A1085" s="384" t="s">
        <v>113</v>
      </c>
      <c r="B1085" s="384" t="s">
        <v>261</v>
      </c>
      <c r="C1085" s="389"/>
      <c r="D1085" s="389">
        <v>3.5</v>
      </c>
      <c r="E1085" s="384"/>
      <c r="F1085" s="389"/>
      <c r="G1085" s="389"/>
      <c r="T1085" s="384" t="str">
        <f>IFERROR(__xludf.DUMMYFUNCTION("""COMPUTED_VALUE"""),"Morti")</f>
        <v>Morti</v>
      </c>
      <c r="U1085" s="385">
        <f>IFERROR(__xludf.DUMMYFUNCTION("""COMPUTED_VALUE"""),22.0)</f>
        <v>22</v>
      </c>
      <c r="W1085" s="384" t="str">
        <f>IFERROR(__xludf.DUMMYFUNCTION("""COMPUTED_VALUE"""),"Астория")</f>
        <v>Астория</v>
      </c>
      <c r="X1085" s="385"/>
    </row>
    <row r="1086">
      <c r="A1086" s="384" t="s">
        <v>137</v>
      </c>
      <c r="B1086" s="384" t="s">
        <v>269</v>
      </c>
      <c r="C1086" s="389">
        <v>2.5</v>
      </c>
      <c r="D1086" s="389">
        <v>3.5</v>
      </c>
      <c r="E1086" s="384"/>
      <c r="F1086" s="389"/>
      <c r="G1086" s="389"/>
      <c r="T1086" s="384" t="str">
        <f>IFERROR(__xludf.DUMMYFUNCTION("""COMPUTED_VALUE"""),"A1 ")</f>
        <v>A1 </v>
      </c>
      <c r="U1086" s="385">
        <f>IFERROR(__xludf.DUMMYFUNCTION("""COMPUTED_VALUE"""),21.5)</f>
        <v>21.5</v>
      </c>
      <c r="W1086" s="384" t="str">
        <f>IFERROR(__xludf.DUMMYFUNCTION("""COMPUTED_VALUE"""),"Аш")</f>
        <v>Аш</v>
      </c>
      <c r="X1086" s="385"/>
    </row>
    <row r="1087">
      <c r="A1087" s="384" t="s">
        <v>92</v>
      </c>
      <c r="B1087" s="384" t="s">
        <v>265</v>
      </c>
      <c r="C1087" s="389">
        <v>2.5</v>
      </c>
      <c r="D1087" s="389">
        <v>3.5</v>
      </c>
      <c r="E1087" s="384"/>
      <c r="F1087" s="389"/>
      <c r="G1087" s="389"/>
      <c r="T1087" s="384" t="str">
        <f>IFERROR(__xludf.DUMMYFUNCTION("""COMPUTED_VALUE"""),"Юрия")</f>
        <v>Юрия</v>
      </c>
      <c r="U1087" s="385">
        <f>IFERROR(__xludf.DUMMYFUNCTION("""COMPUTED_VALUE"""),21.0)</f>
        <v>21</v>
      </c>
      <c r="W1087" s="384" t="str">
        <f>IFERROR(__xludf.DUMMYFUNCTION("""COMPUTED_VALUE"""),"Бамблби")</f>
        <v>Бамблби</v>
      </c>
      <c r="X1087" s="385"/>
    </row>
    <row r="1088">
      <c r="A1088" s="384" t="s">
        <v>281</v>
      </c>
      <c r="B1088" s="384" t="s">
        <v>261</v>
      </c>
      <c r="C1088" s="389"/>
      <c r="D1088" s="389">
        <v>1.75</v>
      </c>
      <c r="E1088" s="384"/>
      <c r="F1088" s="389"/>
      <c r="G1088" s="389"/>
      <c r="T1088" s="384" t="str">
        <f>IFERROR(__xludf.DUMMYFUNCTION("""COMPUTED_VALUE"""),"Фокс")</f>
        <v>Фокс</v>
      </c>
      <c r="U1088" s="385">
        <f>IFERROR(__xludf.DUMMYFUNCTION("""COMPUTED_VALUE"""),20.5)</f>
        <v>20.5</v>
      </c>
      <c r="W1088" s="384" t="str">
        <f>IFERROR(__xludf.DUMMYFUNCTION("""COMPUTED_VALUE"""),"Волга")</f>
        <v>Волга</v>
      </c>
      <c r="X1088" s="385"/>
    </row>
    <row r="1089">
      <c r="A1089" s="384" t="s">
        <v>122</v>
      </c>
      <c r="B1089" s="384" t="s">
        <v>261</v>
      </c>
      <c r="C1089" s="389"/>
      <c r="D1089" s="389">
        <v>2.0</v>
      </c>
      <c r="E1089" s="384"/>
      <c r="F1089" s="389"/>
      <c r="G1089" s="389"/>
      <c r="T1089" s="384" t="str">
        <f>IFERROR(__xludf.DUMMYFUNCTION("""COMPUTED_VALUE"""),"Infinity ")</f>
        <v>Infinity </v>
      </c>
      <c r="U1089" s="385">
        <f>IFERROR(__xludf.DUMMYFUNCTION("""COMPUTED_VALUE"""),20.0)</f>
        <v>20</v>
      </c>
      <c r="W1089" s="384" t="str">
        <f>IFERROR(__xludf.DUMMYFUNCTION("""COMPUTED_VALUE"""),"Дровосек")</f>
        <v>Дровосек</v>
      </c>
      <c r="X1089" s="385"/>
    </row>
    <row r="1090">
      <c r="A1090" s="384" t="s">
        <v>120</v>
      </c>
      <c r="B1090" s="384" t="s">
        <v>269</v>
      </c>
      <c r="C1090" s="389">
        <v>2.5</v>
      </c>
      <c r="D1090" s="389">
        <v>4.0</v>
      </c>
      <c r="E1090" s="384"/>
      <c r="F1090" s="389"/>
      <c r="G1090" s="389"/>
      <c r="T1090" s="384" t="str">
        <f>IFERROR(__xludf.DUMMYFUNCTION("""COMPUTED_VALUE"""),"Bublik")</f>
        <v>Bublik</v>
      </c>
      <c r="U1090" s="385">
        <f>IFERROR(__xludf.DUMMYFUNCTION("""COMPUTED_VALUE"""),19.75)</f>
        <v>19.75</v>
      </c>
      <c r="W1090" s="384" t="str">
        <f>IFERROR(__xludf.DUMMYFUNCTION("""COMPUTED_VALUE"""),"Зверюга")</f>
        <v>Зверюга</v>
      </c>
      <c r="X1090" s="385"/>
    </row>
    <row r="1091">
      <c r="A1091" s="384" t="s">
        <v>85</v>
      </c>
      <c r="B1091" s="384" t="s">
        <v>261</v>
      </c>
      <c r="C1091" s="389"/>
      <c r="D1091" s="389">
        <v>1.5</v>
      </c>
      <c r="E1091" s="384"/>
      <c r="F1091" s="389"/>
      <c r="G1091" s="389"/>
      <c r="T1091" s="384" t="str">
        <f>IFERROR(__xludf.DUMMYFUNCTION("""COMPUTED_VALUE"""),"GALAY")</f>
        <v>GALAY</v>
      </c>
      <c r="U1091" s="385">
        <f>IFERROR(__xludf.DUMMYFUNCTION("""COMPUTED_VALUE"""),15.0)</f>
        <v>15</v>
      </c>
      <c r="W1091" s="384" t="str">
        <f>IFERROR(__xludf.DUMMYFUNCTION("""COMPUTED_VALUE"""),"Инсомнич")</f>
        <v>Инсомнич</v>
      </c>
      <c r="X1091" s="385"/>
    </row>
    <row r="1092">
      <c r="A1092" s="384" t="s">
        <v>138</v>
      </c>
      <c r="B1092" s="384" t="s">
        <v>261</v>
      </c>
      <c r="C1092" s="389"/>
      <c r="D1092" s="389">
        <v>1.5</v>
      </c>
      <c r="E1092" s="384"/>
      <c r="F1092" s="389"/>
      <c r="G1092" s="389"/>
      <c r="T1092" s="384" t="str">
        <f>IFERROR(__xludf.DUMMYFUNCTION("""COMPUTED_VALUE"""),"Авраам")</f>
        <v>Авраам</v>
      </c>
      <c r="U1092" s="385"/>
      <c r="W1092" s="384" t="str">
        <f>IFERROR(__xludf.DUMMYFUNCTION("""COMPUTED_VALUE"""),"Красавчик")</f>
        <v>Красавчик</v>
      </c>
      <c r="X1092" s="385"/>
    </row>
    <row r="1093">
      <c r="A1093" s="384" t="s">
        <v>130</v>
      </c>
      <c r="B1093" s="384" t="s">
        <v>265</v>
      </c>
      <c r="C1093" s="389"/>
      <c r="D1093" s="389">
        <v>2.0</v>
      </c>
      <c r="E1093" s="384"/>
      <c r="F1093" s="389"/>
      <c r="G1093" s="389"/>
      <c r="T1093" s="384" t="str">
        <f>IFERROR(__xludf.DUMMYFUNCTION("""COMPUTED_VALUE"""),"Админ")</f>
        <v>Админ</v>
      </c>
      <c r="U1093" s="385"/>
      <c r="W1093" s="384" t="str">
        <f>IFERROR(__xludf.DUMMYFUNCTION("""COMPUTED_VALUE"""),"Крестный отец (BLR)")</f>
        <v>Крестный отец (BLR)</v>
      </c>
      <c r="X1093" s="385"/>
    </row>
    <row r="1094">
      <c r="A1094" s="384" t="s">
        <v>114</v>
      </c>
      <c r="B1094" s="384" t="s">
        <v>269</v>
      </c>
      <c r="C1094" s="389"/>
      <c r="D1094" s="389">
        <v>2.5</v>
      </c>
      <c r="E1094" s="384"/>
      <c r="F1094" s="389"/>
      <c r="G1094" s="389"/>
      <c r="T1094" s="384" t="str">
        <f>IFERROR(__xludf.DUMMYFUNCTION("""COMPUTED_VALUE"""),"Андерсен")</f>
        <v>Андерсен</v>
      </c>
      <c r="U1094" s="385"/>
      <c r="W1094" s="384" t="str">
        <f>IFERROR(__xludf.DUMMYFUNCTION("""COMPUTED_VALUE"""),"Крёстный Отец (RU)")</f>
        <v>Крёстный Отец (RU)</v>
      </c>
      <c r="X1094" s="385"/>
    </row>
    <row r="1095">
      <c r="A1095" s="384" t="s">
        <v>113</v>
      </c>
      <c r="B1095" s="384" t="s">
        <v>261</v>
      </c>
      <c r="C1095" s="389">
        <v>2.5</v>
      </c>
      <c r="D1095" s="389">
        <v>4.5</v>
      </c>
      <c r="E1095" s="384"/>
      <c r="F1095" s="389"/>
      <c r="G1095" s="389"/>
      <c r="T1095" s="384" t="str">
        <f>IFERROR(__xludf.DUMMYFUNCTION("""COMPUTED_VALUE"""),"Артик")</f>
        <v>Артик</v>
      </c>
      <c r="U1095" s="385"/>
      <c r="W1095" s="384" t="str">
        <f>IFERROR(__xludf.DUMMYFUNCTION("""COMPUTED_VALUE"""),"Крот")</f>
        <v>Крот</v>
      </c>
      <c r="X1095" s="385"/>
    </row>
    <row r="1096">
      <c r="A1096" s="384" t="s">
        <v>137</v>
      </c>
      <c r="B1096" s="384" t="s">
        <v>261</v>
      </c>
      <c r="C1096" s="389">
        <v>2.5</v>
      </c>
      <c r="D1096" s="389">
        <v>2.5</v>
      </c>
      <c r="E1096" s="384"/>
      <c r="F1096" s="389"/>
      <c r="G1096" s="389"/>
      <c r="T1096" s="384" t="str">
        <f>IFERROR(__xludf.DUMMYFUNCTION("""COMPUTED_VALUE"""),"Аш")</f>
        <v>Аш</v>
      </c>
      <c r="U1096" s="385"/>
      <c r="W1096" s="384" t="str">
        <f>IFERROR(__xludf.DUMMYFUNCTION("""COMPUTED_VALUE"""),"Левша")</f>
        <v>Левша</v>
      </c>
      <c r="X1096" s="385"/>
    </row>
    <row r="1097">
      <c r="A1097" s="384" t="s">
        <v>92</v>
      </c>
      <c r="B1097" s="384" t="s">
        <v>261</v>
      </c>
      <c r="C1097" s="389">
        <v>2.5</v>
      </c>
      <c r="D1097" s="389">
        <v>3.0</v>
      </c>
      <c r="E1097" s="384"/>
      <c r="F1097" s="389"/>
      <c r="G1097" s="389"/>
      <c r="T1097" s="384" t="str">
        <f>IFERROR(__xludf.DUMMYFUNCTION("""COMPUTED_VALUE"""),"Бамблби")</f>
        <v>Бамблби</v>
      </c>
      <c r="U1097" s="385"/>
      <c r="W1097" s="384" t="str">
        <f>IFERROR(__xludf.DUMMYFUNCTION("""COMPUTED_VALUE"""),"Лисичка")</f>
        <v>Лисичка</v>
      </c>
      <c r="X1097" s="385"/>
    </row>
    <row r="1098">
      <c r="A1098" s="384" t="s">
        <v>281</v>
      </c>
      <c r="B1098" s="384" t="s">
        <v>261</v>
      </c>
      <c r="C1098" s="389">
        <v>2.5</v>
      </c>
      <c r="D1098" s="389">
        <v>4.25</v>
      </c>
      <c r="E1098" s="384"/>
      <c r="F1098" s="389"/>
      <c r="G1098" s="389"/>
      <c r="T1098" s="384" t="str">
        <f>IFERROR(__xludf.DUMMYFUNCTION("""COMPUTED_VALUE"""),"Волга")</f>
        <v>Волга</v>
      </c>
      <c r="U1098" s="385"/>
      <c r="W1098" s="384" t="str">
        <f>IFERROR(__xludf.DUMMYFUNCTION("""COMPUTED_VALUE"""),"Маваши")</f>
        <v>Маваши</v>
      </c>
      <c r="X1098" s="385"/>
    </row>
    <row r="1099">
      <c r="A1099" s="384" t="s">
        <v>122</v>
      </c>
      <c r="B1099" s="384" t="s">
        <v>261</v>
      </c>
      <c r="C1099" s="389">
        <v>2.5</v>
      </c>
      <c r="D1099" s="389">
        <v>2.0</v>
      </c>
      <c r="E1099" s="384"/>
      <c r="F1099" s="389"/>
      <c r="G1099" s="389"/>
      <c r="T1099" s="384" t="str">
        <f>IFERROR(__xludf.DUMMYFUNCTION("""COMPUTED_VALUE"""),"Градиент")</f>
        <v>Градиент</v>
      </c>
      <c r="U1099" s="385"/>
      <c r="W1099" s="384" t="str">
        <f>IFERROR(__xludf.DUMMYFUNCTION("""COMPUTED_VALUE"""),"Манекен")</f>
        <v>Манекен</v>
      </c>
      <c r="X1099" s="385"/>
    </row>
    <row r="1100">
      <c r="A1100" s="384" t="s">
        <v>120</v>
      </c>
      <c r="B1100" s="384" t="s">
        <v>261</v>
      </c>
      <c r="C1100" s="389">
        <v>2.5</v>
      </c>
      <c r="D1100" s="389">
        <v>2.25</v>
      </c>
      <c r="E1100" s="384" t="s">
        <v>11</v>
      </c>
      <c r="F1100" s="389"/>
      <c r="G1100" s="389">
        <v>0.5</v>
      </c>
      <c r="T1100" s="384" t="str">
        <f>IFERROR(__xludf.DUMMYFUNCTION("""COMPUTED_VALUE"""),"Дровосек")</f>
        <v>Дровосек</v>
      </c>
      <c r="U1100" s="385"/>
      <c r="W1100" s="384" t="str">
        <f>IFERROR(__xludf.DUMMYFUNCTION("""COMPUTED_VALUE"""),"Ментик")</f>
        <v>Ментик</v>
      </c>
      <c r="X1100" s="385"/>
    </row>
    <row r="1101">
      <c r="A1101" s="384" t="s">
        <v>85</v>
      </c>
      <c r="B1101" s="384" t="s">
        <v>269</v>
      </c>
      <c r="C1101" s="389"/>
      <c r="D1101" s="389">
        <v>2.5</v>
      </c>
      <c r="E1101" s="384"/>
      <c r="F1101" s="389"/>
      <c r="G1101" s="389"/>
      <c r="T1101" s="384" t="str">
        <f>IFERROR(__xludf.DUMMYFUNCTION("""COMPUTED_VALUE"""),"Зверюга")</f>
        <v>Зверюга</v>
      </c>
      <c r="U1101" s="385"/>
      <c r="W1101" s="384" t="str">
        <f>IFERROR(__xludf.DUMMYFUNCTION("""COMPUTED_VALUE"""),"Мишель ")</f>
        <v>Мишель </v>
      </c>
      <c r="X1101" s="385"/>
    </row>
    <row r="1102">
      <c r="A1102" s="384" t="s">
        <v>138</v>
      </c>
      <c r="B1102" s="384" t="s">
        <v>271</v>
      </c>
      <c r="C1102" s="389">
        <v>2.5</v>
      </c>
      <c r="D1102" s="389">
        <v>2.5</v>
      </c>
      <c r="E1102" s="384"/>
      <c r="F1102" s="389"/>
      <c r="G1102" s="389"/>
      <c r="T1102" s="384" t="str">
        <f>IFERROR(__xludf.DUMMYFUNCTION("""COMPUTED_VALUE"""),"Инсомнич")</f>
        <v>Инсомнич</v>
      </c>
      <c r="U1102" s="385"/>
      <c r="W1102" s="384" t="str">
        <f>IFERROR(__xludf.DUMMYFUNCTION("""COMPUTED_VALUE"""),"Наполеон")</f>
        <v>Наполеон</v>
      </c>
      <c r="X1102" s="385"/>
    </row>
    <row r="1103">
      <c r="A1103" s="384" t="s">
        <v>121</v>
      </c>
      <c r="B1103" s="384" t="s">
        <v>261</v>
      </c>
      <c r="C1103" s="389">
        <v>2.5</v>
      </c>
      <c r="D1103" s="389">
        <v>2.75</v>
      </c>
      <c r="E1103" s="384" t="s">
        <v>11</v>
      </c>
      <c r="F1103" s="389">
        <v>0.5</v>
      </c>
      <c r="G1103" s="389">
        <v>0.5</v>
      </c>
      <c r="T1103" s="384" t="str">
        <f>IFERROR(__xludf.DUMMYFUNCTION("""COMPUTED_VALUE"""),"Красавчик")</f>
        <v>Красавчик</v>
      </c>
      <c r="U1103" s="385"/>
      <c r="W1103" s="384" t="str">
        <f>IFERROR(__xludf.DUMMYFUNCTION("""COMPUTED_VALUE"""),"Панда из Руанды")</f>
        <v>Панда из Руанды</v>
      </c>
      <c r="X1103" s="385"/>
    </row>
    <row r="1104">
      <c r="A1104" s="384" t="s">
        <v>89</v>
      </c>
      <c r="B1104" s="384" t="s">
        <v>261</v>
      </c>
      <c r="C1104" s="389">
        <v>2.5</v>
      </c>
      <c r="D1104" s="389">
        <v>2.75</v>
      </c>
      <c r="E1104" s="384"/>
      <c r="F1104" s="389"/>
      <c r="G1104" s="389"/>
      <c r="T1104" s="384" t="str">
        <f>IFERROR(__xludf.DUMMYFUNCTION("""COMPUTED_VALUE"""),"Крестный отец (BLR)")</f>
        <v>Крестный отец (BLR)</v>
      </c>
      <c r="U1104" s="385"/>
      <c r="W1104" s="384" t="str">
        <f>IFERROR(__xludf.DUMMYFUNCTION("""COMPUTED_VALUE"""),"Писатель ")</f>
        <v>Писатель </v>
      </c>
      <c r="X1104" s="385"/>
    </row>
    <row r="1105">
      <c r="A1105" s="384" t="s">
        <v>113</v>
      </c>
      <c r="B1105" s="384" t="s">
        <v>261</v>
      </c>
      <c r="C1105" s="389">
        <v>2.5</v>
      </c>
      <c r="D1105" s="389">
        <v>4.5</v>
      </c>
      <c r="E1105" s="384"/>
      <c r="F1105" s="389"/>
      <c r="G1105" s="389"/>
      <c r="T1105" s="384" t="str">
        <f>IFERROR(__xludf.DUMMYFUNCTION("""COMPUTED_VALUE"""),"Крёстный Отец (RU)")</f>
        <v>Крёстный Отец (RU)</v>
      </c>
      <c r="U1105" s="385"/>
      <c r="W1105" s="384" t="str">
        <f>IFERROR(__xludf.DUMMYFUNCTION("""COMPUTED_VALUE"""),"Правда ")</f>
        <v>Правда </v>
      </c>
      <c r="X1105" s="385"/>
    </row>
    <row r="1106">
      <c r="A1106" s="384" t="s">
        <v>94</v>
      </c>
      <c r="B1106" s="384" t="s">
        <v>271</v>
      </c>
      <c r="C1106" s="389">
        <v>2.5</v>
      </c>
      <c r="D1106" s="389">
        <v>4.25</v>
      </c>
      <c r="E1106" s="384"/>
      <c r="F1106" s="389"/>
      <c r="G1106" s="389"/>
      <c r="T1106" s="384" t="str">
        <f>IFERROR(__xludf.DUMMYFUNCTION("""COMPUTED_VALUE"""),"Крот")</f>
        <v>Крот</v>
      </c>
      <c r="U1106" s="385"/>
      <c r="W1106" s="384" t="str">
        <f>IFERROR(__xludf.DUMMYFUNCTION("""COMPUTED_VALUE"""),"Продюсер")</f>
        <v>Продюсер</v>
      </c>
      <c r="X1106" s="385"/>
    </row>
    <row r="1107">
      <c r="A1107" s="384" t="s">
        <v>124</v>
      </c>
      <c r="B1107" s="384" t="s">
        <v>261</v>
      </c>
      <c r="C1107" s="389">
        <v>2.5</v>
      </c>
      <c r="D1107" s="389">
        <v>2.75</v>
      </c>
      <c r="E1107" s="384" t="s">
        <v>260</v>
      </c>
      <c r="F1107" s="389"/>
      <c r="G1107" s="389"/>
      <c r="T1107" s="384" t="str">
        <f>IFERROR(__xludf.DUMMYFUNCTION("""COMPUTED_VALUE"""),"Левша")</f>
        <v>Левша</v>
      </c>
      <c r="U1107" s="385"/>
      <c r="W1107" s="384" t="str">
        <f>IFERROR(__xludf.DUMMYFUNCTION("""COMPUTED_VALUE"""),"РФ")</f>
        <v>РФ</v>
      </c>
      <c r="X1107" s="385"/>
    </row>
    <row r="1108">
      <c r="A1108" s="384" t="s">
        <v>135</v>
      </c>
      <c r="B1108" s="384" t="s">
        <v>261</v>
      </c>
      <c r="C1108" s="389">
        <v>2.5</v>
      </c>
      <c r="D1108" s="389">
        <v>4.0</v>
      </c>
      <c r="E1108" s="384"/>
      <c r="F1108" s="389"/>
      <c r="G1108" s="389"/>
      <c r="T1108" s="384" t="str">
        <f>IFERROR(__xludf.DUMMYFUNCTION("""COMPUTED_VALUE"""),"Лисичка")</f>
        <v>Лисичка</v>
      </c>
      <c r="U1108" s="385"/>
      <c r="W1108" s="384" t="str">
        <f>IFERROR(__xludf.DUMMYFUNCTION("""COMPUTED_VALUE"""),"Старый")</f>
        <v>Старый</v>
      </c>
      <c r="X1108" s="385"/>
    </row>
    <row r="1109">
      <c r="A1109" s="384" t="s">
        <v>110</v>
      </c>
      <c r="B1109" s="384" t="s">
        <v>269</v>
      </c>
      <c r="C1109" s="389"/>
      <c r="D1109" s="389">
        <v>2.5</v>
      </c>
      <c r="E1109" s="384"/>
      <c r="F1109" s="389"/>
      <c r="G1109" s="389"/>
      <c r="T1109" s="384" t="str">
        <f>IFERROR(__xludf.DUMMYFUNCTION("""COMPUTED_VALUE"""),"Маваши")</f>
        <v>Маваши</v>
      </c>
      <c r="U1109" s="385"/>
      <c r="W1109" s="384" t="str">
        <f>IFERROR(__xludf.DUMMYFUNCTION("""COMPUTED_VALUE"""),"СЭНСЭЙ")</f>
        <v>СЭНСЭЙ</v>
      </c>
      <c r="X1109" s="385"/>
    </row>
    <row r="1110">
      <c r="A1110" s="384" t="s">
        <v>98</v>
      </c>
      <c r="B1110" s="384" t="s">
        <v>265</v>
      </c>
      <c r="C1110" s="389"/>
      <c r="D1110" s="389">
        <v>1.75</v>
      </c>
      <c r="E1110" s="384" t="s">
        <v>263</v>
      </c>
      <c r="F1110" s="389"/>
      <c r="G1110" s="389"/>
      <c r="T1110" s="384" t="str">
        <f>IFERROR(__xludf.DUMMYFUNCTION("""COMPUTED_VALUE"""),"Манекен")</f>
        <v>Манекен</v>
      </c>
      <c r="U1110" s="385"/>
      <c r="W1110" s="384" t="str">
        <f>IFERROR(__xludf.DUMMYFUNCTION("""COMPUTED_VALUE"""),"Coach")</f>
        <v>Coach</v>
      </c>
      <c r="X1110" s="385"/>
    </row>
    <row r="1111">
      <c r="A1111" s="384" t="s">
        <v>103</v>
      </c>
      <c r="B1111" s="384" t="s">
        <v>261</v>
      </c>
      <c r="C1111" s="389">
        <v>2.5</v>
      </c>
      <c r="D1111" s="389">
        <v>2.75</v>
      </c>
      <c r="E1111" s="384" t="s">
        <v>260</v>
      </c>
      <c r="F1111" s="389"/>
      <c r="G1111" s="389"/>
      <c r="T1111" s="384" t="str">
        <f>IFERROR(__xludf.DUMMYFUNCTION("""COMPUTED_VALUE"""),"Марго")</f>
        <v>Марго</v>
      </c>
      <c r="U1111" s="385"/>
      <c r="W1111" s="384" t="str">
        <f>IFERROR(__xludf.DUMMYFUNCTION("""COMPUTED_VALUE"""),"Физик")</f>
        <v>Физик</v>
      </c>
      <c r="X1111" s="385"/>
    </row>
    <row r="1112">
      <c r="A1112" s="384" t="s">
        <v>130</v>
      </c>
      <c r="B1112" s="384" t="s">
        <v>269</v>
      </c>
      <c r="C1112" s="389"/>
      <c r="D1112" s="389">
        <v>2.5</v>
      </c>
      <c r="E1112" s="384"/>
      <c r="F1112" s="389"/>
      <c r="G1112" s="389"/>
      <c r="T1112" s="384" t="str">
        <f>IFERROR(__xludf.DUMMYFUNCTION("""COMPUTED_VALUE"""),"Мишель ")</f>
        <v>Мишель </v>
      </c>
      <c r="U1112" s="385"/>
      <c r="W1112" s="384" t="str">
        <f>IFERROR(__xludf.DUMMYFUNCTION("""COMPUTED_VALUE"""),"Флэш")</f>
        <v>Флэш</v>
      </c>
      <c r="X1112" s="385"/>
    </row>
    <row r="1113">
      <c r="A1113" s="384" t="s">
        <v>121</v>
      </c>
      <c r="B1113" s="384" t="s">
        <v>265</v>
      </c>
      <c r="C1113" s="389">
        <v>2.5</v>
      </c>
      <c r="D1113" s="389">
        <v>4.5</v>
      </c>
      <c r="E1113" s="384"/>
      <c r="F1113" s="389"/>
      <c r="G1113" s="389"/>
      <c r="T1113" s="384" t="str">
        <f>IFERROR(__xludf.DUMMYFUNCTION("""COMPUTED_VALUE"""),"Панда из Руанды")</f>
        <v>Панда из Руанды</v>
      </c>
      <c r="U1113" s="385"/>
      <c r="W1113" s="384" t="str">
        <f>IFERROR(__xludf.DUMMYFUNCTION("""COMPUTED_VALUE"""),"Фокс")</f>
        <v>Фокс</v>
      </c>
      <c r="X1113" s="385"/>
    </row>
    <row r="1114">
      <c r="A1114" s="384" t="s">
        <v>89</v>
      </c>
      <c r="B1114" s="384" t="s">
        <v>269</v>
      </c>
      <c r="C1114" s="389">
        <v>2.5</v>
      </c>
      <c r="D1114" s="389">
        <v>3.75</v>
      </c>
      <c r="E1114" s="384"/>
      <c r="F1114" s="389"/>
      <c r="G1114" s="389"/>
      <c r="T1114" s="384" t="str">
        <f>IFERROR(__xludf.DUMMYFUNCTION("""COMPUTED_VALUE"""),"Писатель ")</f>
        <v>Писатель </v>
      </c>
      <c r="U1114" s="385"/>
      <c r="W1114" s="384" t="str">
        <f>IFERROR(__xludf.DUMMYFUNCTION("""COMPUTED_VALUE"""),"Шоу Бой")</f>
        <v>Шоу Бой</v>
      </c>
      <c r="X1114" s="385"/>
    </row>
    <row r="1115">
      <c r="A1115" s="384" t="s">
        <v>113</v>
      </c>
      <c r="B1115" s="384" t="s">
        <v>261</v>
      </c>
      <c r="C1115" s="389"/>
      <c r="D1115" s="389">
        <v>2.0</v>
      </c>
      <c r="E1115" s="384" t="s">
        <v>11</v>
      </c>
      <c r="F1115" s="389"/>
      <c r="G1115" s="389">
        <v>0.5</v>
      </c>
      <c r="T1115" s="384" t="str">
        <f>IFERROR(__xludf.DUMMYFUNCTION("""COMPUTED_VALUE"""),"Правда ")</f>
        <v>Правда </v>
      </c>
      <c r="U1115" s="385"/>
      <c r="W1115" s="384" t="str">
        <f>IFERROR(__xludf.DUMMYFUNCTION("""COMPUTED_VALUE"""),"Шпиц")</f>
        <v>Шпиц</v>
      </c>
      <c r="X1115" s="385"/>
    </row>
    <row r="1116">
      <c r="A1116" s="384" t="s">
        <v>94</v>
      </c>
      <c r="B1116" s="384" t="s">
        <v>269</v>
      </c>
      <c r="C1116" s="389">
        <v>2.5</v>
      </c>
      <c r="D1116" s="389">
        <v>2.75</v>
      </c>
      <c r="E1116" s="384"/>
      <c r="F1116" s="389"/>
      <c r="G1116" s="389"/>
      <c r="T1116" s="384" t="str">
        <f>IFERROR(__xludf.DUMMYFUNCTION("""COMPUTED_VALUE"""),"Продюсер")</f>
        <v>Продюсер</v>
      </c>
      <c r="U1116" s="385"/>
      <c r="W1116" s="384" t="str">
        <f>IFERROR(__xludf.DUMMYFUNCTION("""COMPUTED_VALUE"""),"Юрия")</f>
        <v>Юрия</v>
      </c>
      <c r="X1116" s="385"/>
    </row>
    <row r="1117">
      <c r="A1117" s="384" t="s">
        <v>124</v>
      </c>
      <c r="B1117" s="384" t="s">
        <v>271</v>
      </c>
      <c r="C1117" s="389"/>
      <c r="D1117" s="389">
        <v>3.0</v>
      </c>
      <c r="E1117" s="384"/>
      <c r="F1117" s="389"/>
      <c r="G1117" s="389"/>
      <c r="T1117" s="384" t="str">
        <f>IFERROR(__xludf.DUMMYFUNCTION("""COMPUTED_VALUE"""),"РФ")</f>
        <v>РФ</v>
      </c>
      <c r="U1117" s="385"/>
      <c r="W1117" s="384" t="str">
        <f>IFERROR(__xludf.DUMMYFUNCTION("""COMPUTED_VALUE"""),"Alice ")</f>
        <v>Alice </v>
      </c>
      <c r="X1117" s="385"/>
    </row>
    <row r="1118">
      <c r="A1118" s="384" t="s">
        <v>135</v>
      </c>
      <c r="B1118" s="384" t="s">
        <v>261</v>
      </c>
      <c r="C1118" s="389"/>
      <c r="D1118" s="389">
        <v>2.0</v>
      </c>
      <c r="E1118" s="384"/>
      <c r="F1118" s="389"/>
      <c r="G1118" s="389"/>
      <c r="T1118" s="384" t="str">
        <f>IFERROR(__xludf.DUMMYFUNCTION("""COMPUTED_VALUE"""),"Старый")</f>
        <v>Старый</v>
      </c>
      <c r="U1118" s="385"/>
      <c r="W1118" s="384" t="str">
        <f>IFERROR(__xludf.DUMMYFUNCTION("""COMPUTED_VALUE"""),"Bublik")</f>
        <v>Bublik</v>
      </c>
      <c r="X1118" s="385"/>
    </row>
    <row r="1119">
      <c r="A1119" s="384" t="s">
        <v>110</v>
      </c>
      <c r="B1119" s="384" t="s">
        <v>261</v>
      </c>
      <c r="C1119" s="389"/>
      <c r="D1119" s="389">
        <v>1.5</v>
      </c>
      <c r="E1119" s="384"/>
      <c r="F1119" s="389"/>
      <c r="G1119" s="389"/>
      <c r="T1119" s="384" t="str">
        <f>IFERROR(__xludf.DUMMYFUNCTION("""COMPUTED_VALUE"""),"СЭНСЭЙ")</f>
        <v>СЭНСЭЙ</v>
      </c>
      <c r="U1119" s="385"/>
      <c r="W1119" s="384" t="str">
        <f>IFERROR(__xludf.DUMMYFUNCTION("""COMPUTED_VALUE"""),"BWDMoscow")</f>
        <v>BWDMoscow</v>
      </c>
      <c r="X1119" s="385"/>
    </row>
    <row r="1120">
      <c r="A1120" s="384" t="s">
        <v>98</v>
      </c>
      <c r="B1120" s="384" t="s">
        <v>261</v>
      </c>
      <c r="C1120" s="389"/>
      <c r="D1120" s="389">
        <v>2.75</v>
      </c>
      <c r="E1120" s="384"/>
      <c r="F1120" s="389"/>
      <c r="G1120" s="389"/>
      <c r="T1120" s="384" t="str">
        <f>IFERROR(__xludf.DUMMYFUNCTION("""COMPUTED_VALUE"""),"Coach")</f>
        <v>Coach</v>
      </c>
      <c r="U1120" s="385"/>
      <c r="W1120" s="384" t="str">
        <f>IFERROR(__xludf.DUMMYFUNCTION("""COMPUTED_VALUE"""),"Castor Troy ")</f>
        <v>Castor Troy </v>
      </c>
      <c r="X1120" s="385"/>
    </row>
    <row r="1121">
      <c r="A1121" s="384" t="s">
        <v>103</v>
      </c>
      <c r="B1121" s="384" t="s">
        <v>261</v>
      </c>
      <c r="C1121" s="389"/>
      <c r="D1121" s="389">
        <v>2.0</v>
      </c>
      <c r="E1121" s="384"/>
      <c r="F1121" s="389"/>
      <c r="G1121" s="389"/>
      <c r="T1121" s="384" t="str">
        <f>IFERROR(__xludf.DUMMYFUNCTION("""COMPUTED_VALUE"""),"Тихий закат")</f>
        <v>Тихий закат</v>
      </c>
      <c r="U1121" s="385"/>
      <c r="W1121" s="384" t="str">
        <f>IFERROR(__xludf.DUMMYFUNCTION("""COMPUTED_VALUE"""),"Cristo")</f>
        <v>Cristo</v>
      </c>
      <c r="X1121" s="385"/>
    </row>
    <row r="1122">
      <c r="A1122" s="384" t="s">
        <v>130</v>
      </c>
      <c r="B1122" s="384" t="s">
        <v>261</v>
      </c>
      <c r="C1122" s="389"/>
      <c r="D1122" s="389">
        <v>2.5</v>
      </c>
      <c r="E1122" s="384"/>
      <c r="F1122" s="389"/>
      <c r="G1122" s="389"/>
      <c r="T1122" s="384" t="str">
        <f>IFERROR(__xludf.DUMMYFUNCTION("""COMPUTED_VALUE"""),"Физик")</f>
        <v>Физик</v>
      </c>
      <c r="U1122" s="385"/>
      <c r="W1122" s="384" t="str">
        <f>IFERROR(__xludf.DUMMYFUNCTION("""COMPUTED_VALUE"""),"Helga")</f>
        <v>Helga</v>
      </c>
      <c r="X1122" s="385"/>
    </row>
    <row r="1123">
      <c r="A1123" s="384" t="s">
        <v>121</v>
      </c>
      <c r="B1123" s="384" t="s">
        <v>269</v>
      </c>
      <c r="C1123" s="389">
        <v>2.5</v>
      </c>
      <c r="D1123" s="389">
        <v>3.5</v>
      </c>
      <c r="E1123" s="384" t="s">
        <v>260</v>
      </c>
      <c r="F1123" s="389"/>
      <c r="G1123" s="389"/>
      <c r="T1123" s="384" t="str">
        <f>IFERROR(__xludf.DUMMYFUNCTION("""COMPUTED_VALUE"""),"Флэш")</f>
        <v>Флэш</v>
      </c>
      <c r="U1123" s="385"/>
      <c r="W1123" s="384" t="str">
        <f>IFERROR(__xludf.DUMMYFUNCTION("""COMPUTED_VALUE"""),"Infinity ")</f>
        <v>Infinity </v>
      </c>
      <c r="X1123" s="385"/>
    </row>
    <row r="1124">
      <c r="A1124" s="384" t="s">
        <v>89</v>
      </c>
      <c r="B1124" s="384" t="s">
        <v>271</v>
      </c>
      <c r="C1124" s="389"/>
      <c r="D1124" s="389">
        <v>2.5</v>
      </c>
      <c r="E1124" s="384"/>
      <c r="F1124" s="389"/>
      <c r="G1124" s="389"/>
      <c r="T1124" s="384" t="str">
        <f>IFERROR(__xludf.DUMMYFUNCTION("""COMPUTED_VALUE"""),"Шоу Бой")</f>
        <v>Шоу Бой</v>
      </c>
      <c r="U1124" s="385"/>
      <c r="W1124" s="384" t="str">
        <f>IFERROR(__xludf.DUMMYFUNCTION("""COMPUTED_VALUE"""),"Light")</f>
        <v>Light</v>
      </c>
      <c r="X1124" s="385"/>
    </row>
    <row r="1125">
      <c r="A1125" s="384" t="s">
        <v>113</v>
      </c>
      <c r="B1125" s="384" t="s">
        <v>269</v>
      </c>
      <c r="C1125" s="389">
        <v>2.5</v>
      </c>
      <c r="D1125" s="389">
        <v>4.25</v>
      </c>
      <c r="E1125" s="384"/>
      <c r="F1125" s="389"/>
      <c r="G1125" s="389"/>
      <c r="T1125" s="384" t="str">
        <f>IFERROR(__xludf.DUMMYFUNCTION("""COMPUTED_VALUE"""),"Шпиц")</f>
        <v>Шпиц</v>
      </c>
      <c r="U1125" s="385"/>
      <c r="W1125" s="384" t="str">
        <f>IFERROR(__xludf.DUMMYFUNCTION("""COMPUTED_VALUE"""),"Morti")</f>
        <v>Morti</v>
      </c>
      <c r="X1125" s="385"/>
    </row>
    <row r="1126">
      <c r="A1126" s="384" t="s">
        <v>94</v>
      </c>
      <c r="B1126" s="384" t="s">
        <v>261</v>
      </c>
      <c r="C1126" s="389"/>
      <c r="D1126" s="389">
        <v>1.5</v>
      </c>
      <c r="E1126" s="384" t="s">
        <v>263</v>
      </c>
      <c r="F1126" s="389"/>
      <c r="G1126" s="389"/>
      <c r="T1126" s="384" t="str">
        <f>IFERROR(__xludf.DUMMYFUNCTION("""COMPUTED_VALUE"""),"Alice ")</f>
        <v>Alice </v>
      </c>
      <c r="U1126" s="385"/>
      <c r="W1126" s="384" t="str">
        <f>IFERROR(__xludf.DUMMYFUNCTION("""COMPUTED_VALUE"""),"MSR")</f>
        <v>MSR</v>
      </c>
      <c r="X1126" s="385"/>
    </row>
    <row r="1127">
      <c r="A1127" s="384" t="s">
        <v>124</v>
      </c>
      <c r="B1127" s="384" t="s">
        <v>265</v>
      </c>
      <c r="C1127" s="389">
        <v>2.5</v>
      </c>
      <c r="D1127" s="389">
        <v>1.75</v>
      </c>
      <c r="E1127" s="384"/>
      <c r="F1127" s="389"/>
      <c r="G1127" s="389"/>
      <c r="T1127" s="384" t="str">
        <f>IFERROR(__xludf.DUMMYFUNCTION("""COMPUTED_VALUE"""),"BWDMoscow")</f>
        <v>BWDMoscow</v>
      </c>
      <c r="U1127" s="385"/>
      <c r="W1127" s="384" t="str">
        <f>IFERROR(__xludf.DUMMYFUNCTION("""COMPUTED_VALUE"""),"NLIP")</f>
        <v>NLIP</v>
      </c>
      <c r="X1127" s="385"/>
    </row>
    <row r="1128">
      <c r="A1128" s="384" t="s">
        <v>135</v>
      </c>
      <c r="B1128" s="384" t="s">
        <v>261</v>
      </c>
      <c r="C1128" s="389"/>
      <c r="D1128" s="389">
        <v>1.75</v>
      </c>
      <c r="E1128" s="384"/>
      <c r="F1128" s="389"/>
      <c r="G1128" s="389"/>
      <c r="T1128" s="384" t="str">
        <f>IFERROR(__xludf.DUMMYFUNCTION("""COMPUTED_VALUE"""),"Castor Troy ")</f>
        <v>Castor Troy </v>
      </c>
      <c r="U1128" s="385"/>
      <c r="W1128" s="384" t="str">
        <f>IFERROR(__xludf.DUMMYFUNCTION("""COMPUTED_VALUE"""),"Rocket woman ")</f>
        <v>Rocket woman </v>
      </c>
      <c r="X1128" s="385"/>
    </row>
    <row r="1129">
      <c r="A1129" s="384" t="s">
        <v>110</v>
      </c>
      <c r="B1129" s="384" t="s">
        <v>261</v>
      </c>
      <c r="C1129" s="389"/>
      <c r="D1129" s="389">
        <v>2.75</v>
      </c>
      <c r="E1129" s="384"/>
      <c r="F1129" s="389"/>
      <c r="G1129" s="389"/>
      <c r="T1129" s="384" t="str">
        <f>IFERROR(__xludf.DUMMYFUNCTION("""COMPUTED_VALUE"""),"Cristo")</f>
        <v>Cristo</v>
      </c>
      <c r="U1129" s="385"/>
      <c r="W1129" s="384" t="str">
        <f>IFERROR(__xludf.DUMMYFUNCTION("""COMPUTED_VALUE"""),"SCHOKK ")</f>
        <v>SCHOKK </v>
      </c>
      <c r="X1129" s="385"/>
    </row>
    <row r="1130">
      <c r="A1130" s="384" t="s">
        <v>98</v>
      </c>
      <c r="B1130" s="384" t="s">
        <v>261</v>
      </c>
      <c r="C1130" s="389"/>
      <c r="D1130" s="389">
        <v>3.0</v>
      </c>
      <c r="E1130" s="384" t="s">
        <v>11</v>
      </c>
      <c r="F1130" s="389">
        <v>0.5</v>
      </c>
      <c r="G1130" s="389">
        <v>0.5</v>
      </c>
      <c r="T1130" s="384" t="str">
        <f>IFERROR(__xludf.DUMMYFUNCTION("""COMPUTED_VALUE"""),"Curly")</f>
        <v>Curly</v>
      </c>
      <c r="U1130" s="385"/>
      <c r="W1130" s="384" t="str">
        <f>IFERROR(__xludf.DUMMYFUNCTION("""COMPUTED_VALUE"""),"SOVEST")</f>
        <v>SOVEST</v>
      </c>
      <c r="X1130" s="385"/>
    </row>
    <row r="1131">
      <c r="A1131" s="384" t="s">
        <v>103</v>
      </c>
      <c r="B1131" s="384" t="s">
        <v>261</v>
      </c>
      <c r="C1131" s="389"/>
      <c r="D1131" s="389">
        <v>2.5</v>
      </c>
      <c r="E1131" s="384" t="s">
        <v>263</v>
      </c>
      <c r="F1131" s="389"/>
      <c r="G1131" s="389"/>
      <c r="T1131" s="384" t="str">
        <f>IFERROR(__xludf.DUMMYFUNCTION("""COMPUTED_VALUE"""),"Helga")</f>
        <v>Helga</v>
      </c>
      <c r="U1131" s="385"/>
      <c r="W1131" s="384" t="str">
        <f>IFERROR(__xludf.DUMMYFUNCTION("""COMPUTED_VALUE"""),"WhoIsWho")</f>
        <v>WhoIsWho</v>
      </c>
      <c r="X1131" s="385"/>
    </row>
    <row r="1132">
      <c r="A1132" s="384" t="s">
        <v>130</v>
      </c>
      <c r="B1132" s="384" t="s">
        <v>261</v>
      </c>
      <c r="C1132" s="389"/>
      <c r="D1132" s="389">
        <v>2.25</v>
      </c>
      <c r="E1132" s="384"/>
      <c r="F1132" s="389"/>
      <c r="G1132" s="389"/>
      <c r="T1132" s="384" t="str">
        <f>IFERROR(__xludf.DUMMYFUNCTION("""COMPUTED_VALUE"""),"Ketamin")</f>
        <v>Ketamin</v>
      </c>
      <c r="U1132" s="385"/>
      <c r="W1132" s="384" t="str">
        <f>IFERROR(__xludf.DUMMYFUNCTION("""COMPUTED_VALUE"""),"Авраам")</f>
        <v>Авраам</v>
      </c>
      <c r="X1132" s="385"/>
    </row>
    <row r="1133">
      <c r="A1133" s="384" t="s">
        <v>121</v>
      </c>
      <c r="B1133" s="384" t="s">
        <v>261</v>
      </c>
      <c r="C1133" s="389">
        <v>2.5</v>
      </c>
      <c r="D1133" s="389">
        <v>4.25</v>
      </c>
      <c r="E1133" s="384"/>
      <c r="F1133" s="389"/>
      <c r="G1133" s="389"/>
      <c r="T1133" s="384" t="str">
        <f>IFERROR(__xludf.DUMMYFUNCTION("""COMPUTED_VALUE"""),"Light")</f>
        <v>Light</v>
      </c>
      <c r="U1133" s="385"/>
      <c r="W1133" s="384" t="str">
        <f>IFERROR(__xludf.DUMMYFUNCTION("""COMPUTED_VALUE"""),"Админ")</f>
        <v>Админ</v>
      </c>
      <c r="X1133" s="385"/>
    </row>
    <row r="1134">
      <c r="A1134" s="384" t="s">
        <v>89</v>
      </c>
      <c r="B1134" s="384" t="s">
        <v>271</v>
      </c>
      <c r="C1134" s="389">
        <v>2.5</v>
      </c>
      <c r="D1134" s="389">
        <v>3.75</v>
      </c>
      <c r="E1134" s="384"/>
      <c r="F1134" s="389"/>
      <c r="G1134" s="389"/>
      <c r="T1134" s="384" t="str">
        <f>IFERROR(__xludf.DUMMYFUNCTION("""COMPUTED_VALUE"""),"MSR")</f>
        <v>MSR</v>
      </c>
      <c r="U1134" s="385"/>
      <c r="W1134" s="384" t="str">
        <f>IFERROR(__xludf.DUMMYFUNCTION("""COMPUTED_VALUE"""),"Андерсен")</f>
        <v>Андерсен</v>
      </c>
      <c r="X1134" s="385"/>
    </row>
    <row r="1135">
      <c r="A1135" s="384" t="s">
        <v>113</v>
      </c>
      <c r="B1135" s="384" t="s">
        <v>261</v>
      </c>
      <c r="C1135" s="389">
        <v>2.5</v>
      </c>
      <c r="D1135" s="389">
        <v>4.0</v>
      </c>
      <c r="E1135" s="384"/>
      <c r="F1135" s="389"/>
      <c r="G1135" s="389"/>
      <c r="T1135" s="384" t="str">
        <f>IFERROR(__xludf.DUMMYFUNCTION("""COMPUTED_VALUE"""),"NLIP")</f>
        <v>NLIP</v>
      </c>
      <c r="U1135" s="385"/>
      <c r="W1135" s="384" t="str">
        <f>IFERROR(__xludf.DUMMYFUNCTION("""COMPUTED_VALUE"""),"Астория")</f>
        <v>Астория</v>
      </c>
      <c r="X1135" s="385"/>
    </row>
    <row r="1136">
      <c r="A1136" s="384" t="s">
        <v>94</v>
      </c>
      <c r="B1136" s="384" t="s">
        <v>269</v>
      </c>
      <c r="C1136" s="389"/>
      <c r="D1136" s="389">
        <v>2.25</v>
      </c>
      <c r="E1136" s="384"/>
      <c r="F1136" s="389"/>
      <c r="G1136" s="389"/>
      <c r="T1136" s="384" t="str">
        <f>IFERROR(__xludf.DUMMYFUNCTION("""COMPUTED_VALUE"""),"Rocket woman ")</f>
        <v>Rocket woman </v>
      </c>
      <c r="U1136" s="385"/>
      <c r="W1136" s="384" t="str">
        <f>IFERROR(__xludf.DUMMYFUNCTION("""COMPUTED_VALUE"""),"Аш")</f>
        <v>Аш</v>
      </c>
      <c r="X1136" s="385"/>
    </row>
    <row r="1137">
      <c r="A1137" s="384" t="s">
        <v>124</v>
      </c>
      <c r="B1137" s="384" t="s">
        <v>261</v>
      </c>
      <c r="C1137" s="389">
        <v>2.5</v>
      </c>
      <c r="D1137" s="389">
        <v>2.75</v>
      </c>
      <c r="E1137" s="384"/>
      <c r="F1137" s="389"/>
      <c r="G1137" s="389"/>
      <c r="T1137" s="384" t="str">
        <f>IFERROR(__xludf.DUMMYFUNCTION("""COMPUTED_VALUE"""),"SCHOKK ")</f>
        <v>SCHOKK </v>
      </c>
      <c r="U1137" s="385"/>
      <c r="W1137" s="384" t="str">
        <f>IFERROR(__xludf.DUMMYFUNCTION("""COMPUTED_VALUE"""),"Бамблби")</f>
        <v>Бамблби</v>
      </c>
      <c r="X1137" s="385"/>
    </row>
    <row r="1138">
      <c r="A1138" s="384" t="s">
        <v>135</v>
      </c>
      <c r="B1138" s="384" t="s">
        <v>261</v>
      </c>
      <c r="C1138" s="389">
        <v>2.5</v>
      </c>
      <c r="D1138" s="389">
        <v>2.0</v>
      </c>
      <c r="E1138" s="384" t="s">
        <v>11</v>
      </c>
      <c r="F1138" s="389"/>
      <c r="G1138" s="389">
        <v>0.5</v>
      </c>
      <c r="T1138" s="384" t="str">
        <f>IFERROR(__xludf.DUMMYFUNCTION("""COMPUTED_VALUE"""),"SOVEST")</f>
        <v>SOVEST</v>
      </c>
      <c r="U1138" s="385"/>
      <c r="W1138" s="384" t="str">
        <f>IFERROR(__xludf.DUMMYFUNCTION("""COMPUTED_VALUE"""),"Волга")</f>
        <v>Волга</v>
      </c>
      <c r="X1138" s="385"/>
    </row>
    <row r="1139">
      <c r="A1139" s="384" t="s">
        <v>110</v>
      </c>
      <c r="B1139" s="384" t="s">
        <v>261</v>
      </c>
      <c r="C1139" s="389">
        <v>2.5</v>
      </c>
      <c r="D1139" s="389">
        <v>3.75</v>
      </c>
      <c r="E1139" s="384"/>
      <c r="F1139" s="389"/>
      <c r="G1139" s="389"/>
      <c r="T1139" s="384" t="str">
        <f>IFERROR(__xludf.DUMMYFUNCTION("""COMPUTED_VALUE"""),"Stacy")</f>
        <v>Stacy</v>
      </c>
      <c r="U1139" s="385"/>
      <c r="W1139" s="384" t="str">
        <f>IFERROR(__xludf.DUMMYFUNCTION("""COMPUTED_VALUE"""),"Дровосек")</f>
        <v>Дровосек</v>
      </c>
      <c r="X1139" s="385"/>
    </row>
    <row r="1140">
      <c r="A1140" s="384" t="s">
        <v>98</v>
      </c>
      <c r="B1140" s="384" t="s">
        <v>261</v>
      </c>
      <c r="C1140" s="389">
        <v>2.5</v>
      </c>
      <c r="D1140" s="389">
        <v>2.25</v>
      </c>
      <c r="E1140" s="384"/>
      <c r="F1140" s="389"/>
      <c r="G1140" s="389"/>
      <c r="T1140" s="384" t="str">
        <f>IFERROR(__xludf.DUMMYFUNCTION("""COMPUTED_VALUE"""),"WhoIsWho")</f>
        <v>WhoIsWho</v>
      </c>
      <c r="U1140" s="385"/>
      <c r="W1140" s="384" t="str">
        <f>IFERROR(__xludf.DUMMYFUNCTION("""COMPUTED_VALUE"""),"Зверюга")</f>
        <v>Зверюга</v>
      </c>
      <c r="X1140" s="385"/>
    </row>
    <row r="1141">
      <c r="A1141" s="384" t="s">
        <v>103</v>
      </c>
      <c r="B1141" s="384" t="s">
        <v>265</v>
      </c>
      <c r="C1141" s="389"/>
      <c r="D1141" s="389">
        <v>1.75</v>
      </c>
      <c r="E1141" s="384"/>
      <c r="F1141" s="389"/>
      <c r="G1141" s="389"/>
      <c r="T1141" s="384" t="str">
        <f>IFERROR(__xludf.DUMMYFUNCTION("""COMPUTED_VALUE"""),"Young")</f>
        <v>Young</v>
      </c>
      <c r="U1141" s="385"/>
      <c r="W1141" s="384" t="str">
        <f>IFERROR(__xludf.DUMMYFUNCTION("""COMPUTED_VALUE"""),"Инсомнич")</f>
        <v>Инсомнич</v>
      </c>
      <c r="X1141" s="385"/>
    </row>
    <row r="1142">
      <c r="A1142" s="384" t="s">
        <v>130</v>
      </c>
      <c r="B1142" s="384" t="s">
        <v>269</v>
      </c>
      <c r="C1142" s="389"/>
      <c r="D1142" s="389">
        <v>2.25</v>
      </c>
      <c r="E1142" s="384"/>
      <c r="F1142" s="389"/>
      <c r="G1142" s="389"/>
      <c r="T1142" s="384" t="str">
        <f>IFERROR(__xludf.DUMMYFUNCTION("QUERY('Турнирная таблица по Алфавиту'!C7:BG66,""select C,AN order by AN desc"")"),"Фокс")</f>
        <v>Фокс</v>
      </c>
      <c r="U1142" s="385">
        <f>IFERROR(__xludf.DUMMYFUNCTION("""COMPUTED_VALUE"""),29.0)</f>
        <v>29</v>
      </c>
      <c r="W1142" s="384" t="str">
        <f>IFERROR(__xludf.DUMMYFUNCTION("""COMPUTED_VALUE"""),"Красавчик")</f>
        <v>Красавчик</v>
      </c>
      <c r="X1142" s="385"/>
    </row>
    <row r="1143">
      <c r="A1143" s="384" t="s">
        <v>121</v>
      </c>
      <c r="B1143" s="384" t="s">
        <v>269</v>
      </c>
      <c r="C1143" s="389">
        <v>2.5</v>
      </c>
      <c r="D1143" s="389">
        <v>3.0</v>
      </c>
      <c r="E1143" s="384"/>
      <c r="F1143" s="389"/>
      <c r="G1143" s="389"/>
      <c r="T1143" s="384" t="str">
        <f>IFERROR(__xludf.DUMMYFUNCTION("""COMPUTED_VALUE"""),"Morti")</f>
        <v>Morti</v>
      </c>
      <c r="U1143" s="385">
        <f>IFERROR(__xludf.DUMMYFUNCTION("""COMPUTED_VALUE"""),24.5)</f>
        <v>24.5</v>
      </c>
      <c r="W1143" s="384" t="str">
        <f>IFERROR(__xludf.DUMMYFUNCTION("""COMPUTED_VALUE"""),"Крёстный Отец (RU)")</f>
        <v>Крёстный Отец (RU)</v>
      </c>
      <c r="X1143" s="385"/>
    </row>
    <row r="1144">
      <c r="A1144" s="384" t="s">
        <v>89</v>
      </c>
      <c r="B1144" s="384" t="s">
        <v>265</v>
      </c>
      <c r="C1144" s="389">
        <v>2.5</v>
      </c>
      <c r="D1144" s="389">
        <v>3.5</v>
      </c>
      <c r="E1144" s="384"/>
      <c r="F1144" s="389"/>
      <c r="G1144" s="389"/>
      <c r="T1144" s="384" t="str">
        <f>IFERROR(__xludf.DUMMYFUNCTION("""COMPUTED_VALUE"""),"Волга")</f>
        <v>Волга</v>
      </c>
      <c r="U1144" s="385">
        <f>IFERROR(__xludf.DUMMYFUNCTION("""COMPUTED_VALUE"""),24.25)</f>
        <v>24.25</v>
      </c>
      <c r="W1144" s="384" t="str">
        <f>IFERROR(__xludf.DUMMYFUNCTION("""COMPUTED_VALUE"""),"Левша")</f>
        <v>Левша</v>
      </c>
      <c r="X1144" s="385"/>
    </row>
    <row r="1145">
      <c r="A1145" s="384" t="s">
        <v>113</v>
      </c>
      <c r="B1145" s="384" t="s">
        <v>271</v>
      </c>
      <c r="C1145" s="389"/>
      <c r="D1145" s="389">
        <v>2.0</v>
      </c>
      <c r="E1145" s="384" t="s">
        <v>11</v>
      </c>
      <c r="F1145" s="389"/>
      <c r="G1145" s="389">
        <v>1.0</v>
      </c>
      <c r="T1145" s="384" t="str">
        <f>IFERROR(__xludf.DUMMYFUNCTION("""COMPUTED_VALUE"""),"Инсомнич")</f>
        <v>Инсомнич</v>
      </c>
      <c r="U1145" s="385">
        <f>IFERROR(__xludf.DUMMYFUNCTION("""COMPUTED_VALUE"""),24.25)</f>
        <v>24.25</v>
      </c>
      <c r="W1145" s="384" t="str">
        <f>IFERROR(__xludf.DUMMYFUNCTION("""COMPUTED_VALUE"""),"Лисичка")</f>
        <v>Лисичка</v>
      </c>
      <c r="X1145" s="385"/>
    </row>
    <row r="1146">
      <c r="A1146" s="384" t="s">
        <v>94</v>
      </c>
      <c r="B1146" s="384" t="s">
        <v>269</v>
      </c>
      <c r="C1146" s="389">
        <v>2.5</v>
      </c>
      <c r="D1146" s="389">
        <v>3.0</v>
      </c>
      <c r="E1146" s="384"/>
      <c r="F1146" s="389"/>
      <c r="G1146" s="389"/>
      <c r="T1146" s="384" t="str">
        <f>IFERROR(__xludf.DUMMYFUNCTION("""COMPUTED_VALUE"""),"Ментик")</f>
        <v>Ментик</v>
      </c>
      <c r="U1146" s="385">
        <f>IFERROR(__xludf.DUMMYFUNCTION("""COMPUTED_VALUE"""),22.5)</f>
        <v>22.5</v>
      </c>
      <c r="W1146" s="384" t="str">
        <f>IFERROR(__xludf.DUMMYFUNCTION("""COMPUTED_VALUE"""),"Маваши")</f>
        <v>Маваши</v>
      </c>
      <c r="X1146" s="385"/>
    </row>
    <row r="1147">
      <c r="A1147" s="384" t="s">
        <v>124</v>
      </c>
      <c r="B1147" s="384" t="s">
        <v>261</v>
      </c>
      <c r="C1147" s="389"/>
      <c r="D1147" s="389">
        <v>2.5</v>
      </c>
      <c r="E1147" s="384"/>
      <c r="F1147" s="389"/>
      <c r="G1147" s="389"/>
      <c r="T1147" s="384" t="str">
        <f>IFERROR(__xludf.DUMMYFUNCTION("""COMPUTED_VALUE"""),"СЭНСЭЙ")</f>
        <v>СЭНСЭЙ</v>
      </c>
      <c r="U1147" s="385">
        <f>IFERROR(__xludf.DUMMYFUNCTION("""COMPUTED_VALUE"""),21.25)</f>
        <v>21.25</v>
      </c>
      <c r="W1147" s="384" t="str">
        <f>IFERROR(__xludf.DUMMYFUNCTION("""COMPUTED_VALUE"""),"Манекен")</f>
        <v>Манекен</v>
      </c>
      <c r="X1147" s="385"/>
    </row>
    <row r="1148">
      <c r="A1148" s="384" t="s">
        <v>135</v>
      </c>
      <c r="B1148" s="384" t="s">
        <v>261</v>
      </c>
      <c r="C1148" s="389"/>
      <c r="D1148" s="389">
        <v>2.0</v>
      </c>
      <c r="E1148" s="384"/>
      <c r="F1148" s="389"/>
      <c r="G1148" s="389"/>
      <c r="T1148" s="384" t="str">
        <f>IFERROR(__xludf.DUMMYFUNCTION("""COMPUTED_VALUE"""),"Флэш")</f>
        <v>Флэш</v>
      </c>
      <c r="U1148" s="385">
        <f>IFERROR(__xludf.DUMMYFUNCTION("""COMPUTED_VALUE"""),19.5)</f>
        <v>19.5</v>
      </c>
      <c r="W1148" s="384" t="str">
        <f>IFERROR(__xludf.DUMMYFUNCTION("""COMPUTED_VALUE"""),"Марго")</f>
        <v>Марго</v>
      </c>
      <c r="X1148" s="385"/>
    </row>
    <row r="1149">
      <c r="A1149" s="384" t="s">
        <v>110</v>
      </c>
      <c r="B1149" s="384" t="s">
        <v>261</v>
      </c>
      <c r="C1149" s="389"/>
      <c r="D1149" s="389">
        <v>2.0</v>
      </c>
      <c r="E1149" s="384"/>
      <c r="F1149" s="389"/>
      <c r="G1149" s="389"/>
      <c r="T1149" s="384" t="str">
        <f>IFERROR(__xludf.DUMMYFUNCTION("""COMPUTED_VALUE"""),"Мишель ")</f>
        <v>Мишель </v>
      </c>
      <c r="U1149" s="385">
        <f>IFERROR(__xludf.DUMMYFUNCTION("""COMPUTED_VALUE"""),18.25)</f>
        <v>18.25</v>
      </c>
      <c r="W1149" s="384" t="str">
        <f>IFERROR(__xludf.DUMMYFUNCTION("""COMPUTED_VALUE"""),"Ментик")</f>
        <v>Ментик</v>
      </c>
      <c r="X1149" s="385"/>
    </row>
    <row r="1150">
      <c r="A1150" s="384" t="s">
        <v>98</v>
      </c>
      <c r="B1150" s="384" t="s">
        <v>261</v>
      </c>
      <c r="C1150" s="389"/>
      <c r="D1150" s="389">
        <v>1.75</v>
      </c>
      <c r="E1150" s="384"/>
      <c r="F1150" s="389"/>
      <c r="G1150" s="389"/>
      <c r="T1150" s="384" t="str">
        <f>IFERROR(__xludf.DUMMYFUNCTION("""COMPUTED_VALUE"""),"Физик")</f>
        <v>Физик</v>
      </c>
      <c r="U1150" s="385">
        <f>IFERROR(__xludf.DUMMYFUNCTION("""COMPUTED_VALUE"""),16.5)</f>
        <v>16.5</v>
      </c>
      <c r="W1150" s="384" t="str">
        <f>IFERROR(__xludf.DUMMYFUNCTION("""COMPUTED_VALUE"""),"Наполеон")</f>
        <v>Наполеон</v>
      </c>
      <c r="X1150" s="385"/>
    </row>
    <row r="1151">
      <c r="A1151" s="384" t="s">
        <v>103</v>
      </c>
      <c r="B1151" s="384" t="s">
        <v>261</v>
      </c>
      <c r="C1151" s="389"/>
      <c r="D1151" s="389">
        <v>2.0</v>
      </c>
      <c r="E1151" s="384"/>
      <c r="F1151" s="389"/>
      <c r="G1151" s="389"/>
      <c r="T1151" s="384" t="str">
        <f>IFERROR(__xludf.DUMMYFUNCTION("""COMPUTED_VALUE"""),"Маваши")</f>
        <v>Маваши</v>
      </c>
      <c r="U1151" s="385">
        <f>IFERROR(__xludf.DUMMYFUNCTION("""COMPUTED_VALUE"""),14.5)</f>
        <v>14.5</v>
      </c>
      <c r="W1151" s="384" t="str">
        <f>IFERROR(__xludf.DUMMYFUNCTION("""COMPUTED_VALUE"""),"Панда из Руанды")</f>
        <v>Панда из Руанды</v>
      </c>
      <c r="X1151" s="385"/>
    </row>
    <row r="1152">
      <c r="A1152" s="384" t="s">
        <v>130</v>
      </c>
      <c r="B1152" s="384" t="s">
        <v>261</v>
      </c>
      <c r="C1152" s="389"/>
      <c r="D1152" s="389">
        <v>2.25</v>
      </c>
      <c r="E1152" s="384"/>
      <c r="F1152" s="389"/>
      <c r="G1152" s="389"/>
      <c r="T1152" s="384" t="str">
        <f>IFERROR(__xludf.DUMMYFUNCTION("""COMPUTED_VALUE"""),"Авраам")</f>
        <v>Авраам</v>
      </c>
      <c r="U1152" s="385"/>
      <c r="W1152" s="384" t="str">
        <f>IFERROR(__xludf.DUMMYFUNCTION("""COMPUTED_VALUE"""),"Продюсер")</f>
        <v>Продюсер</v>
      </c>
      <c r="X1152" s="385"/>
    </row>
    <row r="1153">
      <c r="A1153" s="384" t="s">
        <v>89</v>
      </c>
      <c r="B1153" s="384" t="s">
        <v>269</v>
      </c>
      <c r="C1153" s="389"/>
      <c r="D1153" s="389">
        <v>2.5</v>
      </c>
      <c r="E1153" s="384"/>
      <c r="F1153" s="389"/>
      <c r="G1153" s="389"/>
      <c r="T1153" s="384" t="str">
        <f>IFERROR(__xludf.DUMMYFUNCTION("""COMPUTED_VALUE"""),"Админ")</f>
        <v>Админ</v>
      </c>
      <c r="U1153" s="385"/>
      <c r="W1153" s="384" t="str">
        <f>IFERROR(__xludf.DUMMYFUNCTION("""COMPUTED_VALUE"""),"РФ")</f>
        <v>РФ</v>
      </c>
      <c r="X1153" s="385"/>
    </row>
    <row r="1154">
      <c r="A1154" s="384" t="s">
        <v>94</v>
      </c>
      <c r="B1154" s="384" t="s">
        <v>261</v>
      </c>
      <c r="C1154" s="389">
        <v>2.5</v>
      </c>
      <c r="D1154" s="389">
        <v>2.0</v>
      </c>
      <c r="E1154" s="384"/>
      <c r="F1154" s="389"/>
      <c r="G1154" s="389"/>
      <c r="T1154" s="384" t="str">
        <f>IFERROR(__xludf.DUMMYFUNCTION("""COMPUTED_VALUE"""),"Андерсен")</f>
        <v>Андерсен</v>
      </c>
      <c r="U1154" s="385"/>
      <c r="W1154" s="384" t="str">
        <f>IFERROR(__xludf.DUMMYFUNCTION("""COMPUTED_VALUE"""),"Старый")</f>
        <v>Старый</v>
      </c>
      <c r="X1154" s="385"/>
    </row>
    <row r="1155">
      <c r="A1155" s="384" t="s">
        <v>130</v>
      </c>
      <c r="B1155" s="384" t="s">
        <v>261</v>
      </c>
      <c r="C1155" s="389">
        <v>2.5</v>
      </c>
      <c r="D1155" s="389">
        <v>3.5</v>
      </c>
      <c r="E1155" s="384" t="s">
        <v>260</v>
      </c>
      <c r="F1155" s="389"/>
      <c r="G1155" s="389"/>
      <c r="T1155" s="384" t="str">
        <f>IFERROR(__xludf.DUMMYFUNCTION("""COMPUTED_VALUE"""),"Артик")</f>
        <v>Артик</v>
      </c>
      <c r="U1155" s="385"/>
      <c r="W1155" s="384" t="str">
        <f>IFERROR(__xludf.DUMMYFUNCTION("""COMPUTED_VALUE"""),"СЭНСЭЙ")</f>
        <v>СЭНСЭЙ</v>
      </c>
      <c r="X1155" s="385"/>
    </row>
    <row r="1156">
      <c r="A1156" s="384" t="s">
        <v>118</v>
      </c>
      <c r="B1156" s="384" t="s">
        <v>261</v>
      </c>
      <c r="C1156" s="389">
        <v>2.5</v>
      </c>
      <c r="D1156" s="389">
        <v>1.75</v>
      </c>
      <c r="E1156" s="384"/>
      <c r="F1156" s="389"/>
      <c r="G1156" s="389"/>
      <c r="T1156" s="384" t="str">
        <f>IFERROR(__xludf.DUMMYFUNCTION("""COMPUTED_VALUE"""),"Астория")</f>
        <v>Астория</v>
      </c>
      <c r="U1156" s="385"/>
      <c r="W1156" s="384" t="str">
        <f>IFERROR(__xludf.DUMMYFUNCTION("""COMPUTED_VALUE"""),"Coach")</f>
        <v>Coach</v>
      </c>
      <c r="X1156" s="385"/>
    </row>
    <row r="1157">
      <c r="A1157" s="384" t="s">
        <v>106</v>
      </c>
      <c r="B1157" s="384" t="s">
        <v>261</v>
      </c>
      <c r="C1157" s="389">
        <v>2.5</v>
      </c>
      <c r="D1157" s="389">
        <v>3.5</v>
      </c>
      <c r="E1157" s="384" t="s">
        <v>11</v>
      </c>
      <c r="F1157" s="389">
        <v>1.0</v>
      </c>
      <c r="G1157" s="389">
        <v>0.5</v>
      </c>
      <c r="T1157" s="384" t="str">
        <f>IFERROR(__xludf.DUMMYFUNCTION("""COMPUTED_VALUE"""),"Аш")</f>
        <v>Аш</v>
      </c>
      <c r="U1157" s="385"/>
      <c r="W1157" s="384" t="str">
        <f>IFERROR(__xludf.DUMMYFUNCTION("""COMPUTED_VALUE"""),"Физик")</f>
        <v>Физик</v>
      </c>
      <c r="X1157" s="385"/>
    </row>
    <row r="1158">
      <c r="A1158" s="384" t="s">
        <v>128</v>
      </c>
      <c r="B1158" s="384" t="s">
        <v>261</v>
      </c>
      <c r="C1158" s="389">
        <v>2.5</v>
      </c>
      <c r="D1158" s="389">
        <v>4.25</v>
      </c>
      <c r="E1158" s="384"/>
      <c r="F1158" s="389"/>
      <c r="G1158" s="389"/>
      <c r="T1158" s="384" t="str">
        <f>IFERROR(__xludf.DUMMYFUNCTION("""COMPUTED_VALUE"""),"Бамблби")</f>
        <v>Бамблби</v>
      </c>
      <c r="U1158" s="385"/>
      <c r="W1158" s="384" t="str">
        <f>IFERROR(__xludf.DUMMYFUNCTION("""COMPUTED_VALUE"""),"Флэш")</f>
        <v>Флэш</v>
      </c>
      <c r="X1158" s="385"/>
    </row>
    <row r="1159">
      <c r="A1159" s="384" t="s">
        <v>99</v>
      </c>
      <c r="B1159" s="384" t="s">
        <v>261</v>
      </c>
      <c r="C1159" s="389">
        <v>2.5</v>
      </c>
      <c r="D1159" s="389">
        <v>4.0</v>
      </c>
      <c r="E1159" s="384" t="s">
        <v>260</v>
      </c>
      <c r="F1159" s="389"/>
      <c r="G1159" s="389"/>
      <c r="T1159" s="384" t="str">
        <f>IFERROR(__xludf.DUMMYFUNCTION("""COMPUTED_VALUE"""),"Градиент")</f>
        <v>Градиент</v>
      </c>
      <c r="U1159" s="385"/>
      <c r="W1159" s="384" t="str">
        <f>IFERROR(__xludf.DUMMYFUNCTION("""COMPUTED_VALUE"""),"Фокс")</f>
        <v>Фокс</v>
      </c>
      <c r="X1159" s="385"/>
    </row>
    <row r="1160">
      <c r="A1160" s="384" t="s">
        <v>104</v>
      </c>
      <c r="B1160" s="384" t="s">
        <v>271</v>
      </c>
      <c r="C1160" s="389">
        <v>2.5</v>
      </c>
      <c r="D1160" s="389">
        <v>3.75</v>
      </c>
      <c r="E1160" s="384"/>
      <c r="F1160" s="389"/>
      <c r="G1160" s="389"/>
      <c r="T1160" s="384" t="str">
        <f>IFERROR(__xludf.DUMMYFUNCTION("""COMPUTED_VALUE"""),"Дровосек")</f>
        <v>Дровосек</v>
      </c>
      <c r="U1160" s="385"/>
      <c r="W1160" s="384" t="str">
        <f>IFERROR(__xludf.DUMMYFUNCTION("""COMPUTED_VALUE"""),"Шоу Бой")</f>
        <v>Шоу Бой</v>
      </c>
      <c r="X1160" s="385"/>
    </row>
    <row r="1161">
      <c r="A1161" s="384" t="s">
        <v>102</v>
      </c>
      <c r="B1161" s="384" t="s">
        <v>265</v>
      </c>
      <c r="C1161" s="389"/>
      <c r="D1161" s="389">
        <v>2.5</v>
      </c>
      <c r="E1161" s="384"/>
      <c r="F1161" s="389"/>
      <c r="G1161" s="389"/>
      <c r="T1161" s="384" t="str">
        <f>IFERROR(__xludf.DUMMYFUNCTION("""COMPUTED_VALUE"""),"Зверюга")</f>
        <v>Зверюга</v>
      </c>
      <c r="U1161" s="385"/>
      <c r="W1161" s="384" t="str">
        <f>IFERROR(__xludf.DUMMYFUNCTION("""COMPUTED_VALUE"""),"Шпиц")</f>
        <v>Шпиц</v>
      </c>
      <c r="X1161" s="385"/>
    </row>
    <row r="1162">
      <c r="A1162" s="384" t="s">
        <v>121</v>
      </c>
      <c r="B1162" s="384" t="s">
        <v>269</v>
      </c>
      <c r="C1162" s="389"/>
      <c r="D1162" s="389">
        <v>2.25</v>
      </c>
      <c r="E1162" s="384" t="s">
        <v>263</v>
      </c>
      <c r="F1162" s="389"/>
      <c r="G1162" s="389"/>
      <c r="T1162" s="384" t="str">
        <f>IFERROR(__xludf.DUMMYFUNCTION("""COMPUTED_VALUE"""),"Красавчик")</f>
        <v>Красавчик</v>
      </c>
      <c r="U1162" s="385"/>
      <c r="W1162" s="384" t="str">
        <f>IFERROR(__xludf.DUMMYFUNCTION("""COMPUTED_VALUE"""),"Юрия")</f>
        <v>Юрия</v>
      </c>
      <c r="X1162" s="385"/>
    </row>
    <row r="1163">
      <c r="A1163" s="384" t="s">
        <v>89</v>
      </c>
      <c r="B1163" s="384" t="s">
        <v>269</v>
      </c>
      <c r="C1163" s="389">
        <v>2.5</v>
      </c>
      <c r="D1163" s="389">
        <v>3.5</v>
      </c>
      <c r="E1163" s="384"/>
      <c r="F1163" s="389"/>
      <c r="G1163" s="389"/>
      <c r="T1163" s="384" t="str">
        <f>IFERROR(__xludf.DUMMYFUNCTION("""COMPUTED_VALUE"""),"Крестный отец (BLR)")</f>
        <v>Крестный отец (BLR)</v>
      </c>
      <c r="U1163" s="385"/>
      <c r="W1163" s="384" t="str">
        <f>IFERROR(__xludf.DUMMYFUNCTION("""COMPUTED_VALUE"""),"A1 ")</f>
        <v>A1 </v>
      </c>
      <c r="X1163" s="385"/>
    </row>
    <row r="1164">
      <c r="A1164" s="384" t="s">
        <v>94</v>
      </c>
      <c r="B1164" s="384" t="s">
        <v>271</v>
      </c>
      <c r="C1164" s="389"/>
      <c r="D1164" s="389">
        <v>3.25</v>
      </c>
      <c r="E1164" s="384"/>
      <c r="F1164" s="389"/>
      <c r="G1164" s="389"/>
      <c r="T1164" s="384" t="str">
        <f>IFERROR(__xludf.DUMMYFUNCTION("""COMPUTED_VALUE"""),"Крёстный Отец (RU)")</f>
        <v>Крёстный Отец (RU)</v>
      </c>
      <c r="U1164" s="385"/>
      <c r="W1164" s="384" t="str">
        <f>IFERROR(__xludf.DUMMYFUNCTION("""COMPUTED_VALUE"""),"Alice ")</f>
        <v>Alice </v>
      </c>
      <c r="X1164" s="385"/>
    </row>
    <row r="1165">
      <c r="A1165" s="384" t="s">
        <v>130</v>
      </c>
      <c r="B1165" s="384" t="s">
        <v>269</v>
      </c>
      <c r="C1165" s="389">
        <v>2.5</v>
      </c>
      <c r="D1165" s="389">
        <v>4.0</v>
      </c>
      <c r="E1165" s="384"/>
      <c r="F1165" s="389"/>
      <c r="G1165" s="389"/>
      <c r="T1165" s="384" t="str">
        <f>IFERROR(__xludf.DUMMYFUNCTION("""COMPUTED_VALUE"""),"Крот")</f>
        <v>Крот</v>
      </c>
      <c r="U1165" s="385"/>
      <c r="W1165" s="384" t="str">
        <f>IFERROR(__xludf.DUMMYFUNCTION("""COMPUTED_VALUE"""),"BWDMoscow")</f>
        <v>BWDMoscow</v>
      </c>
      <c r="X1165" s="385"/>
    </row>
    <row r="1166">
      <c r="A1166" s="384" t="s">
        <v>118</v>
      </c>
      <c r="B1166" s="384" t="s">
        <v>265</v>
      </c>
      <c r="C1166" s="389">
        <v>2.5</v>
      </c>
      <c r="D1166" s="389">
        <v>3.75</v>
      </c>
      <c r="E1166" s="384"/>
      <c r="F1166" s="389"/>
      <c r="G1166" s="389"/>
      <c r="T1166" s="384" t="str">
        <f>IFERROR(__xludf.DUMMYFUNCTION("""COMPUTED_VALUE"""),"Левша")</f>
        <v>Левша</v>
      </c>
      <c r="U1166" s="385"/>
      <c r="W1166" s="384" t="str">
        <f>IFERROR(__xludf.DUMMYFUNCTION("""COMPUTED_VALUE"""),"Castor Troy ")</f>
        <v>Castor Troy </v>
      </c>
      <c r="X1166" s="385"/>
    </row>
    <row r="1167">
      <c r="A1167" s="384" t="s">
        <v>106</v>
      </c>
      <c r="B1167" s="384" t="s">
        <v>261</v>
      </c>
      <c r="C1167" s="389"/>
      <c r="D1167" s="389">
        <v>1.25</v>
      </c>
      <c r="E1167" s="384"/>
      <c r="F1167" s="389"/>
      <c r="G1167" s="389"/>
      <c r="T1167" s="384" t="str">
        <f>IFERROR(__xludf.DUMMYFUNCTION("""COMPUTED_VALUE"""),"Лисичка")</f>
        <v>Лисичка</v>
      </c>
      <c r="U1167" s="385"/>
      <c r="W1167" s="384" t="str">
        <f>IFERROR(__xludf.DUMMYFUNCTION("""COMPUTED_VALUE"""),"Cristo")</f>
        <v>Cristo</v>
      </c>
      <c r="X1167" s="385"/>
    </row>
    <row r="1168">
      <c r="A1168" s="384" t="s">
        <v>128</v>
      </c>
      <c r="B1168" s="384" t="s">
        <v>261</v>
      </c>
      <c r="C1168" s="389"/>
      <c r="D1168" s="389">
        <v>2.75</v>
      </c>
      <c r="E1168" s="384"/>
      <c r="F1168" s="389"/>
      <c r="G1168" s="389"/>
      <c r="T1168" s="384" t="str">
        <f>IFERROR(__xludf.DUMMYFUNCTION("""COMPUTED_VALUE"""),"Манекен")</f>
        <v>Манекен</v>
      </c>
      <c r="U1168" s="385"/>
      <c r="W1168" s="384" t="str">
        <f>IFERROR(__xludf.DUMMYFUNCTION("""COMPUTED_VALUE"""),"Curly")</f>
        <v>Curly</v>
      </c>
      <c r="X1168" s="385"/>
    </row>
    <row r="1169">
      <c r="A1169" s="384" t="s">
        <v>99</v>
      </c>
      <c r="B1169" s="384" t="s">
        <v>261</v>
      </c>
      <c r="C1169" s="389"/>
      <c r="D1169" s="389">
        <v>2.75</v>
      </c>
      <c r="E1169" s="384"/>
      <c r="F1169" s="389"/>
      <c r="G1169" s="389"/>
      <c r="T1169" s="384" t="str">
        <f>IFERROR(__xludf.DUMMYFUNCTION("""COMPUTED_VALUE"""),"Марго")</f>
        <v>Марго</v>
      </c>
      <c r="U1169" s="385"/>
      <c r="W1169" s="384" t="str">
        <f>IFERROR(__xludf.DUMMYFUNCTION("""COMPUTED_VALUE"""),"Helga")</f>
        <v>Helga</v>
      </c>
      <c r="X1169" s="385"/>
    </row>
    <row r="1170">
      <c r="A1170" s="384" t="s">
        <v>104</v>
      </c>
      <c r="B1170" s="384" t="s">
        <v>261</v>
      </c>
      <c r="C1170" s="389"/>
      <c r="D1170" s="389">
        <v>1.0</v>
      </c>
      <c r="E1170" s="384"/>
      <c r="F1170" s="389"/>
      <c r="G1170" s="389"/>
      <c r="T1170" s="384" t="str">
        <f>IFERROR(__xludf.DUMMYFUNCTION("""COMPUTED_VALUE"""),"Наполеон")</f>
        <v>Наполеон</v>
      </c>
      <c r="U1170" s="385"/>
      <c r="W1170" s="384" t="str">
        <f>IFERROR(__xludf.DUMMYFUNCTION("""COMPUTED_VALUE"""),"Infinity ")</f>
        <v>Infinity </v>
      </c>
      <c r="X1170" s="385"/>
    </row>
    <row r="1171">
      <c r="A1171" s="384" t="s">
        <v>102</v>
      </c>
      <c r="B1171" s="384" t="s">
        <v>261</v>
      </c>
      <c r="C1171" s="389"/>
      <c r="D1171" s="389">
        <v>1.75</v>
      </c>
      <c r="E1171" s="384" t="s">
        <v>11</v>
      </c>
      <c r="F1171" s="389"/>
      <c r="G1171" s="389">
        <v>0.5</v>
      </c>
      <c r="T1171" s="384" t="str">
        <f>IFERROR(__xludf.DUMMYFUNCTION("""COMPUTED_VALUE"""),"Панда из Руанды")</f>
        <v>Панда из Руанды</v>
      </c>
      <c r="U1171" s="385"/>
      <c r="W1171" s="384" t="str">
        <f>IFERROR(__xludf.DUMMYFUNCTION("""COMPUTED_VALUE"""),"Ketamin")</f>
        <v>Ketamin</v>
      </c>
      <c r="X1171" s="385"/>
    </row>
    <row r="1172">
      <c r="A1172" s="384" t="s">
        <v>121</v>
      </c>
      <c r="B1172" s="384" t="s">
        <v>261</v>
      </c>
      <c r="C1172" s="389"/>
      <c r="D1172" s="389">
        <v>4.0</v>
      </c>
      <c r="E1172" s="384"/>
      <c r="F1172" s="389"/>
      <c r="G1172" s="389"/>
      <c r="T1172" s="384" t="str">
        <f>IFERROR(__xludf.DUMMYFUNCTION("""COMPUTED_VALUE"""),"Писатель ")</f>
        <v>Писатель </v>
      </c>
      <c r="U1172" s="385"/>
      <c r="W1172" s="384" t="str">
        <f>IFERROR(__xludf.DUMMYFUNCTION("""COMPUTED_VALUE"""),"Light")</f>
        <v>Light</v>
      </c>
      <c r="X1172" s="385"/>
    </row>
    <row r="1173">
      <c r="A1173" s="384" t="s">
        <v>89</v>
      </c>
      <c r="B1173" s="384" t="s">
        <v>269</v>
      </c>
      <c r="C1173" s="389">
        <v>2.5</v>
      </c>
      <c r="D1173" s="389">
        <v>3.75</v>
      </c>
      <c r="E1173" s="384"/>
      <c r="F1173" s="389"/>
      <c r="G1173" s="389"/>
      <c r="T1173" s="384" t="str">
        <f>IFERROR(__xludf.DUMMYFUNCTION("""COMPUTED_VALUE"""),"Правда ")</f>
        <v>Правда </v>
      </c>
      <c r="U1173" s="385"/>
      <c r="W1173" s="384" t="str">
        <f>IFERROR(__xludf.DUMMYFUNCTION("""COMPUTED_VALUE"""),"Morti")</f>
        <v>Morti</v>
      </c>
      <c r="X1173" s="385"/>
    </row>
    <row r="1174">
      <c r="A1174" s="384" t="s">
        <v>94</v>
      </c>
      <c r="B1174" s="384" t="s">
        <v>265</v>
      </c>
      <c r="C1174" s="389">
        <v>2.5</v>
      </c>
      <c r="D1174" s="389">
        <v>3.5</v>
      </c>
      <c r="E1174" s="384"/>
      <c r="F1174" s="389"/>
      <c r="G1174" s="389"/>
      <c r="T1174" s="384" t="str">
        <f>IFERROR(__xludf.DUMMYFUNCTION("""COMPUTED_VALUE"""),"Продюсер")</f>
        <v>Продюсер</v>
      </c>
      <c r="U1174" s="385"/>
      <c r="W1174" s="384" t="str">
        <f>IFERROR(__xludf.DUMMYFUNCTION("""COMPUTED_VALUE"""),"MSR")</f>
        <v>MSR</v>
      </c>
      <c r="X1174" s="385"/>
    </row>
    <row r="1175">
      <c r="A1175" s="384" t="s">
        <v>130</v>
      </c>
      <c r="B1175" s="384" t="s">
        <v>261</v>
      </c>
      <c r="C1175" s="389"/>
      <c r="D1175" s="389">
        <v>2.0</v>
      </c>
      <c r="E1175" s="384"/>
      <c r="F1175" s="389"/>
      <c r="G1175" s="389"/>
      <c r="T1175" s="384" t="str">
        <f>IFERROR(__xludf.DUMMYFUNCTION("""COMPUTED_VALUE"""),"РФ")</f>
        <v>РФ</v>
      </c>
      <c r="U1175" s="385"/>
      <c r="W1175" s="384" t="str">
        <f>IFERROR(__xludf.DUMMYFUNCTION("""COMPUTED_VALUE"""),"NLIP")</f>
        <v>NLIP</v>
      </c>
      <c r="X1175" s="385"/>
    </row>
    <row r="1176">
      <c r="A1176" s="384" t="s">
        <v>118</v>
      </c>
      <c r="B1176" s="384" t="s">
        <v>271</v>
      </c>
      <c r="C1176" s="389"/>
      <c r="D1176" s="389">
        <v>2.5</v>
      </c>
      <c r="E1176" s="384"/>
      <c r="F1176" s="389"/>
      <c r="G1176" s="389"/>
      <c r="T1176" s="384" t="str">
        <f>IFERROR(__xludf.DUMMYFUNCTION("""COMPUTED_VALUE"""),"Старый")</f>
        <v>Старый</v>
      </c>
      <c r="U1176" s="385"/>
      <c r="W1176" s="384" t="str">
        <f>IFERROR(__xludf.DUMMYFUNCTION("""COMPUTED_VALUE"""),"Rocket woman ")</f>
        <v>Rocket woman </v>
      </c>
      <c r="X1176" s="385"/>
    </row>
    <row r="1177">
      <c r="A1177" s="384" t="s">
        <v>106</v>
      </c>
      <c r="B1177" s="384" t="s">
        <v>261</v>
      </c>
      <c r="C1177" s="389"/>
      <c r="D1177" s="389">
        <v>3.75</v>
      </c>
      <c r="E1177" s="384"/>
      <c r="F1177" s="389"/>
      <c r="G1177" s="389"/>
      <c r="T1177" s="384" t="str">
        <f>IFERROR(__xludf.DUMMYFUNCTION("""COMPUTED_VALUE"""),"Coach")</f>
        <v>Coach</v>
      </c>
      <c r="U1177" s="385"/>
      <c r="W1177" s="384" t="str">
        <f>IFERROR(__xludf.DUMMYFUNCTION("""COMPUTED_VALUE"""),"SCHOKK ")</f>
        <v>SCHOKK </v>
      </c>
      <c r="X1177" s="385"/>
    </row>
    <row r="1178">
      <c r="A1178" s="384" t="s">
        <v>128</v>
      </c>
      <c r="B1178" s="384" t="s">
        <v>261</v>
      </c>
      <c r="C1178" s="389"/>
      <c r="D1178" s="389">
        <v>3.0</v>
      </c>
      <c r="E1178" s="384"/>
      <c r="F1178" s="389"/>
      <c r="G1178" s="389"/>
      <c r="T1178" s="384" t="str">
        <f>IFERROR(__xludf.DUMMYFUNCTION("""COMPUTED_VALUE"""),"Тихий закат")</f>
        <v>Тихий закат</v>
      </c>
      <c r="U1178" s="385"/>
      <c r="W1178" s="384" t="str">
        <f>IFERROR(__xludf.DUMMYFUNCTION("""COMPUTED_VALUE"""),"SOVEST")</f>
        <v>SOVEST</v>
      </c>
      <c r="X1178" s="385"/>
    </row>
    <row r="1179">
      <c r="A1179" s="384" t="s">
        <v>99</v>
      </c>
      <c r="B1179" s="384" t="s">
        <v>261</v>
      </c>
      <c r="C1179" s="389"/>
      <c r="D1179" s="389">
        <v>0.75</v>
      </c>
      <c r="E1179" s="384"/>
      <c r="F1179" s="389"/>
      <c r="G1179" s="389"/>
      <c r="T1179" s="384" t="str">
        <f>IFERROR(__xludf.DUMMYFUNCTION("""COMPUTED_VALUE"""),"Шоу Бой")</f>
        <v>Шоу Бой</v>
      </c>
      <c r="U1179" s="385"/>
      <c r="W1179" s="384" t="str">
        <f>IFERROR(__xludf.DUMMYFUNCTION("""COMPUTED_VALUE"""),"Stacy")</f>
        <v>Stacy</v>
      </c>
      <c r="X1179" s="385"/>
    </row>
    <row r="1180">
      <c r="A1180" s="384" t="s">
        <v>104</v>
      </c>
      <c r="B1180" s="384" t="s">
        <v>261</v>
      </c>
      <c r="C1180" s="389"/>
      <c r="D1180" s="389">
        <v>2.75</v>
      </c>
      <c r="E1180" s="384"/>
      <c r="F1180" s="389"/>
      <c r="G1180" s="389"/>
      <c r="T1180" s="384" t="str">
        <f>IFERROR(__xludf.DUMMYFUNCTION("""COMPUTED_VALUE"""),"Шпиц")</f>
        <v>Шпиц</v>
      </c>
      <c r="U1180" s="385"/>
      <c r="W1180" s="384" t="str">
        <f>IFERROR(__xludf.DUMMYFUNCTION("""COMPUTED_VALUE"""),"WhoIsWho")</f>
        <v>WhoIsWho</v>
      </c>
      <c r="X1180" s="385"/>
    </row>
    <row r="1181">
      <c r="A1181" s="384" t="s">
        <v>102</v>
      </c>
      <c r="B1181" s="384" t="s">
        <v>269</v>
      </c>
      <c r="C1181" s="389">
        <v>2.5</v>
      </c>
      <c r="D1181" s="389">
        <v>3.0</v>
      </c>
      <c r="E1181" s="384"/>
      <c r="F1181" s="389"/>
      <c r="G1181" s="389"/>
      <c r="T1181" s="384" t="str">
        <f>IFERROR(__xludf.DUMMYFUNCTION("""COMPUTED_VALUE"""),"Юрия")</f>
        <v>Юрия</v>
      </c>
      <c r="U1181" s="385"/>
      <c r="W1181" s="384" t="str">
        <f>IFERROR(__xludf.DUMMYFUNCTION("""COMPUTED_VALUE"""),"Young")</f>
        <v>Young</v>
      </c>
      <c r="X1181" s="385"/>
    </row>
    <row r="1182">
      <c r="A1182" s="384" t="s">
        <v>121</v>
      </c>
      <c r="B1182" s="384" t="s">
        <v>261</v>
      </c>
      <c r="C1182" s="389"/>
      <c r="D1182" s="389">
        <v>1.75</v>
      </c>
      <c r="E1182" s="384"/>
      <c r="F1182" s="389"/>
      <c r="G1182" s="389">
        <v>0.5</v>
      </c>
      <c r="T1182" s="384" t="str">
        <f>IFERROR(__xludf.DUMMYFUNCTION("""COMPUTED_VALUE"""),"A1 ")</f>
        <v>A1 </v>
      </c>
      <c r="U1182" s="385"/>
      <c r="W1182" s="384" t="str">
        <f>IFERROR(__xludf.DUMMYFUNCTION("""COMPUTED_VALUE"""),"Админ")</f>
        <v>Админ</v>
      </c>
      <c r="X1182" s="385"/>
    </row>
    <row r="1183">
      <c r="A1183" s="384" t="s">
        <v>89</v>
      </c>
      <c r="B1183" s="384" t="s">
        <v>261</v>
      </c>
      <c r="C1183" s="389">
        <v>2.5</v>
      </c>
      <c r="D1183" s="389">
        <v>3.0</v>
      </c>
      <c r="E1183" s="384" t="s">
        <v>11</v>
      </c>
      <c r="F1183" s="389"/>
      <c r="G1183" s="389">
        <v>0.5</v>
      </c>
      <c r="T1183" s="384" t="str">
        <f>IFERROR(__xludf.DUMMYFUNCTION("""COMPUTED_VALUE"""),"Alice ")</f>
        <v>Alice </v>
      </c>
      <c r="U1183" s="385"/>
      <c r="W1183" s="384" t="str">
        <f>IFERROR(__xludf.DUMMYFUNCTION("""COMPUTED_VALUE"""),"Андерсен")</f>
        <v>Андерсен</v>
      </c>
      <c r="X1183" s="385"/>
    </row>
    <row r="1184">
      <c r="A1184" s="384" t="s">
        <v>94</v>
      </c>
      <c r="B1184" s="384" t="s">
        <v>261</v>
      </c>
      <c r="C1184" s="389">
        <v>2.5</v>
      </c>
      <c r="D1184" s="389">
        <v>3.25</v>
      </c>
      <c r="E1184" s="384"/>
      <c r="F1184" s="389"/>
      <c r="G1184" s="389"/>
      <c r="T1184" s="384" t="str">
        <f>IFERROR(__xludf.DUMMYFUNCTION("""COMPUTED_VALUE"""),"Bublik")</f>
        <v>Bublik</v>
      </c>
      <c r="U1184" s="385"/>
      <c r="W1184" s="384" t="str">
        <f>IFERROR(__xludf.DUMMYFUNCTION("""COMPUTED_VALUE"""),"Артик")</f>
        <v>Артик</v>
      </c>
      <c r="X1184" s="385"/>
    </row>
    <row r="1185">
      <c r="A1185" s="384" t="s">
        <v>130</v>
      </c>
      <c r="B1185" s="384" t="s">
        <v>261</v>
      </c>
      <c r="C1185" s="389">
        <v>2.5</v>
      </c>
      <c r="D1185" s="389">
        <v>3.0</v>
      </c>
      <c r="E1185" s="384"/>
      <c r="F1185" s="389"/>
      <c r="G1185" s="389"/>
      <c r="T1185" s="384" t="str">
        <f>IFERROR(__xludf.DUMMYFUNCTION("""COMPUTED_VALUE"""),"BWDMoscow")</f>
        <v>BWDMoscow</v>
      </c>
      <c r="U1185" s="385"/>
      <c r="W1185" s="384" t="str">
        <f>IFERROR(__xludf.DUMMYFUNCTION("""COMPUTED_VALUE"""),"Астория")</f>
        <v>Астория</v>
      </c>
      <c r="X1185" s="385"/>
    </row>
    <row r="1186">
      <c r="A1186" s="384" t="s">
        <v>118</v>
      </c>
      <c r="B1186" s="384" t="s">
        <v>269</v>
      </c>
      <c r="C1186" s="389"/>
      <c r="D1186" s="389">
        <v>2.5</v>
      </c>
      <c r="E1186" s="384"/>
      <c r="F1186" s="389"/>
      <c r="G1186" s="389"/>
      <c r="T1186" s="384" t="str">
        <f>IFERROR(__xludf.DUMMYFUNCTION("""COMPUTED_VALUE"""),"Castor Troy ")</f>
        <v>Castor Troy </v>
      </c>
      <c r="U1186" s="385"/>
      <c r="W1186" s="384" t="str">
        <f>IFERROR(__xludf.DUMMYFUNCTION("""COMPUTED_VALUE"""),"Аш")</f>
        <v>Аш</v>
      </c>
      <c r="X1186" s="385"/>
    </row>
    <row r="1187">
      <c r="A1187" s="384" t="s">
        <v>106</v>
      </c>
      <c r="B1187" s="384" t="s">
        <v>269</v>
      </c>
      <c r="C1187" s="389"/>
      <c r="D1187" s="389">
        <v>2.5</v>
      </c>
      <c r="E1187" s="384"/>
      <c r="F1187" s="389"/>
      <c r="G1187" s="389"/>
      <c r="T1187" s="384" t="str">
        <f>IFERROR(__xludf.DUMMYFUNCTION("""COMPUTED_VALUE"""),"Cristo")</f>
        <v>Cristo</v>
      </c>
      <c r="U1187" s="385"/>
      <c r="W1187" s="384" t="str">
        <f>IFERROR(__xludf.DUMMYFUNCTION("""COMPUTED_VALUE"""),"Бамблби")</f>
        <v>Бамблби</v>
      </c>
      <c r="X1187" s="385"/>
    </row>
    <row r="1188">
      <c r="A1188" s="384" t="s">
        <v>128</v>
      </c>
      <c r="B1188" s="384" t="s">
        <v>261</v>
      </c>
      <c r="C1188" s="389">
        <v>2.5</v>
      </c>
      <c r="D1188" s="389">
        <v>2.0</v>
      </c>
      <c r="E1188" s="384"/>
      <c r="F1188" s="389"/>
      <c r="G1188" s="389"/>
      <c r="T1188" s="384" t="str">
        <f>IFERROR(__xludf.DUMMYFUNCTION("""COMPUTED_VALUE"""),"Curly")</f>
        <v>Curly</v>
      </c>
      <c r="U1188" s="385"/>
      <c r="W1188" s="384" t="str">
        <f>IFERROR(__xludf.DUMMYFUNCTION("""COMPUTED_VALUE"""),"Волга")</f>
        <v>Волга</v>
      </c>
      <c r="X1188" s="385"/>
    </row>
    <row r="1189">
      <c r="A1189" s="384" t="s">
        <v>99</v>
      </c>
      <c r="B1189" s="384" t="s">
        <v>271</v>
      </c>
      <c r="C1189" s="389">
        <v>2.5</v>
      </c>
      <c r="D1189" s="389">
        <v>3.5</v>
      </c>
      <c r="E1189" s="384"/>
      <c r="F1189" s="389"/>
      <c r="G1189" s="389"/>
      <c r="T1189" s="384" t="str">
        <f>IFERROR(__xludf.DUMMYFUNCTION("""COMPUTED_VALUE"""),"GALAY")</f>
        <v>GALAY</v>
      </c>
      <c r="U1189" s="385"/>
      <c r="W1189" s="384" t="str">
        <f>IFERROR(__xludf.DUMMYFUNCTION("""COMPUTED_VALUE"""),"Градиент")</f>
        <v>Градиент</v>
      </c>
      <c r="X1189" s="385"/>
    </row>
    <row r="1190">
      <c r="A1190" s="384" t="s">
        <v>104</v>
      </c>
      <c r="B1190" s="384" t="s">
        <v>261</v>
      </c>
      <c r="C1190" s="389">
        <v>2.5</v>
      </c>
      <c r="D1190" s="389">
        <v>3.25</v>
      </c>
      <c r="E1190" s="384"/>
      <c r="F1190" s="389"/>
      <c r="G1190" s="389"/>
      <c r="T1190" s="384" t="str">
        <f>IFERROR(__xludf.DUMMYFUNCTION("""COMPUTED_VALUE"""),"Helga")</f>
        <v>Helga</v>
      </c>
      <c r="U1190" s="385"/>
      <c r="W1190" s="384" t="str">
        <f>IFERROR(__xludf.DUMMYFUNCTION("""COMPUTED_VALUE"""),"Дровосек")</f>
        <v>Дровосек</v>
      </c>
      <c r="X1190" s="385"/>
    </row>
    <row r="1191">
      <c r="A1191" s="384" t="s">
        <v>102</v>
      </c>
      <c r="B1191" s="384" t="s">
        <v>265</v>
      </c>
      <c r="C1191" s="389"/>
      <c r="D1191" s="389">
        <v>0.5</v>
      </c>
      <c r="E1191" s="384"/>
      <c r="F1191" s="389"/>
      <c r="G1191" s="389"/>
      <c r="T1191" s="384" t="str">
        <f>IFERROR(__xludf.DUMMYFUNCTION("""COMPUTED_VALUE"""),"Infinity ")</f>
        <v>Infinity </v>
      </c>
      <c r="U1191" s="385"/>
      <c r="W1191" s="384" t="str">
        <f>IFERROR(__xludf.DUMMYFUNCTION("""COMPUTED_VALUE"""),"Зверюга")</f>
        <v>Зверюга</v>
      </c>
      <c r="X1191" s="385"/>
    </row>
    <row r="1192">
      <c r="A1192" s="384" t="s">
        <v>121</v>
      </c>
      <c r="B1192" s="384" t="s">
        <v>261</v>
      </c>
      <c r="C1192" s="389">
        <v>2.5</v>
      </c>
      <c r="D1192" s="389">
        <v>3.25</v>
      </c>
      <c r="E1192" s="384"/>
      <c r="F1192" s="389"/>
      <c r="G1192" s="389"/>
      <c r="T1192" s="384" t="str">
        <f>IFERROR(__xludf.DUMMYFUNCTION("""COMPUTED_VALUE"""),"Ketamin")</f>
        <v>Ketamin</v>
      </c>
      <c r="U1192" s="385"/>
      <c r="W1192" s="384" t="str">
        <f>IFERROR(__xludf.DUMMYFUNCTION("""COMPUTED_VALUE"""),"Инсомнич")</f>
        <v>Инсомнич</v>
      </c>
      <c r="X1192" s="385"/>
    </row>
    <row r="1193">
      <c r="A1193" s="384" t="s">
        <v>89</v>
      </c>
      <c r="B1193" s="384" t="s">
        <v>261</v>
      </c>
      <c r="C1193" s="389"/>
      <c r="D1193" s="389">
        <v>3.5</v>
      </c>
      <c r="E1193" s="384"/>
      <c r="F1193" s="389"/>
      <c r="G1193" s="389"/>
      <c r="T1193" s="384" t="str">
        <f>IFERROR(__xludf.DUMMYFUNCTION("""COMPUTED_VALUE"""),"Light")</f>
        <v>Light</v>
      </c>
      <c r="U1193" s="385"/>
      <c r="W1193" s="384" t="str">
        <f>IFERROR(__xludf.DUMMYFUNCTION("""COMPUTED_VALUE"""),"Красавчик")</f>
        <v>Красавчик</v>
      </c>
      <c r="X1193" s="385"/>
    </row>
    <row r="1194">
      <c r="A1194" s="384" t="s">
        <v>94</v>
      </c>
      <c r="B1194" s="384" t="s">
        <v>271</v>
      </c>
      <c r="C1194" s="389"/>
      <c r="D1194" s="389">
        <v>2.5</v>
      </c>
      <c r="E1194" s="384"/>
      <c r="F1194" s="389"/>
      <c r="G1194" s="389"/>
      <c r="T1194" s="384" t="str">
        <f>IFERROR(__xludf.DUMMYFUNCTION("""COMPUTED_VALUE"""),"MSR")</f>
        <v>MSR</v>
      </c>
      <c r="U1194" s="385"/>
      <c r="W1194" s="384" t="str">
        <f>IFERROR(__xludf.DUMMYFUNCTION("""COMPUTED_VALUE"""),"Крёстный Отец (RU)")</f>
        <v>Крёстный Отец (RU)</v>
      </c>
      <c r="X1194" s="385"/>
    </row>
    <row r="1195">
      <c r="A1195" s="384" t="s">
        <v>130</v>
      </c>
      <c r="B1195" s="384" t="s">
        <v>261</v>
      </c>
      <c r="C1195" s="389"/>
      <c r="D1195" s="389">
        <v>1.75</v>
      </c>
      <c r="E1195" s="384"/>
      <c r="F1195" s="389"/>
      <c r="G1195" s="389"/>
      <c r="T1195" s="384" t="str">
        <f>IFERROR(__xludf.DUMMYFUNCTION("""COMPUTED_VALUE"""),"NLIP")</f>
        <v>NLIP</v>
      </c>
      <c r="U1195" s="385"/>
      <c r="W1195" s="384" t="str">
        <f>IFERROR(__xludf.DUMMYFUNCTION("""COMPUTED_VALUE"""),"Крот")</f>
        <v>Крот</v>
      </c>
      <c r="X1195" s="385"/>
    </row>
    <row r="1196">
      <c r="A1196" s="384" t="s">
        <v>118</v>
      </c>
      <c r="B1196" s="384" t="s">
        <v>269</v>
      </c>
      <c r="C1196" s="389">
        <v>2.5</v>
      </c>
      <c r="D1196" s="389">
        <v>3.5</v>
      </c>
      <c r="E1196" s="384"/>
      <c r="F1196" s="389"/>
      <c r="G1196" s="389"/>
      <c r="T1196" s="384" t="str">
        <f>IFERROR(__xludf.DUMMYFUNCTION("""COMPUTED_VALUE"""),"Rocket woman ")</f>
        <v>Rocket woman </v>
      </c>
      <c r="U1196" s="385"/>
      <c r="W1196" s="384" t="str">
        <f>IFERROR(__xludf.DUMMYFUNCTION("""COMPUTED_VALUE"""),"Левша")</f>
        <v>Левша</v>
      </c>
      <c r="X1196" s="385"/>
    </row>
    <row r="1197">
      <c r="A1197" s="384" t="s">
        <v>106</v>
      </c>
      <c r="B1197" s="384" t="s">
        <v>265</v>
      </c>
      <c r="C1197" s="389">
        <v>2.5</v>
      </c>
      <c r="D1197" s="389">
        <v>4.0</v>
      </c>
      <c r="E1197" s="384"/>
      <c r="F1197" s="389"/>
      <c r="G1197" s="389"/>
      <c r="T1197" s="384" t="str">
        <f>IFERROR(__xludf.DUMMYFUNCTION("""COMPUTED_VALUE"""),"SCHOKK ")</f>
        <v>SCHOKK </v>
      </c>
      <c r="U1197" s="385"/>
      <c r="W1197" s="384" t="str">
        <f>IFERROR(__xludf.DUMMYFUNCTION("""COMPUTED_VALUE"""),"Маваши")</f>
        <v>Маваши</v>
      </c>
      <c r="X1197" s="385"/>
    </row>
    <row r="1198">
      <c r="A1198" s="384" t="s">
        <v>128</v>
      </c>
      <c r="B1198" s="384" t="s">
        <v>261</v>
      </c>
      <c r="C1198" s="389"/>
      <c r="D1198" s="389">
        <v>3.75</v>
      </c>
      <c r="E1198" s="384"/>
      <c r="F1198" s="389"/>
      <c r="G1198" s="389"/>
      <c r="T1198" s="384" t="str">
        <f>IFERROR(__xludf.DUMMYFUNCTION("""COMPUTED_VALUE"""),"SOVEST")</f>
        <v>SOVEST</v>
      </c>
      <c r="U1198" s="385"/>
      <c r="W1198" s="384" t="str">
        <f>IFERROR(__xludf.DUMMYFUNCTION("""COMPUTED_VALUE"""),"Манекен")</f>
        <v>Манекен</v>
      </c>
      <c r="X1198" s="385"/>
    </row>
    <row r="1199">
      <c r="A1199" s="384" t="s">
        <v>99</v>
      </c>
      <c r="B1199" s="384" t="s">
        <v>261</v>
      </c>
      <c r="C1199" s="389"/>
      <c r="D1199" s="389">
        <v>3.0</v>
      </c>
      <c r="E1199" s="384" t="s">
        <v>11</v>
      </c>
      <c r="F1199" s="389"/>
      <c r="G1199" s="389">
        <v>0.5</v>
      </c>
      <c r="T1199" s="384" t="str">
        <f>IFERROR(__xludf.DUMMYFUNCTION("""COMPUTED_VALUE"""),"Stacy")</f>
        <v>Stacy</v>
      </c>
      <c r="U1199" s="385"/>
      <c r="W1199" s="384" t="str">
        <f>IFERROR(__xludf.DUMMYFUNCTION("""COMPUTED_VALUE"""),"Ментик")</f>
        <v>Ментик</v>
      </c>
      <c r="X1199" s="385"/>
    </row>
    <row r="1200">
      <c r="A1200" s="384" t="s">
        <v>104</v>
      </c>
      <c r="B1200" s="384" t="s">
        <v>261</v>
      </c>
      <c r="C1200" s="389"/>
      <c r="D1200" s="389">
        <v>2.5</v>
      </c>
      <c r="E1200" s="384"/>
      <c r="F1200" s="389"/>
      <c r="G1200" s="389"/>
      <c r="T1200" s="384" t="str">
        <f>IFERROR(__xludf.DUMMYFUNCTION("""COMPUTED_VALUE"""),"WhoIsWho")</f>
        <v>WhoIsWho</v>
      </c>
      <c r="U1200" s="385"/>
      <c r="W1200" s="384" t="str">
        <f>IFERROR(__xludf.DUMMYFUNCTION("""COMPUTED_VALUE"""),"Мишель ")</f>
        <v>Мишель </v>
      </c>
      <c r="X1200" s="385"/>
    </row>
    <row r="1201">
      <c r="A1201" s="384" t="s">
        <v>102</v>
      </c>
      <c r="B1201" s="384" t="s">
        <v>269</v>
      </c>
      <c r="C1201" s="389">
        <v>2.5</v>
      </c>
      <c r="D1201" s="389">
        <v>3.25</v>
      </c>
      <c r="E1201" s="384"/>
      <c r="F1201" s="389"/>
      <c r="G1201" s="389"/>
      <c r="T1201" s="384" t="str">
        <f>IFERROR(__xludf.DUMMYFUNCTION("""COMPUTED_VALUE"""),"Young")</f>
        <v>Young</v>
      </c>
      <c r="U1201" s="385"/>
      <c r="W1201" s="384" t="str">
        <f>IFERROR(__xludf.DUMMYFUNCTION("""COMPUTED_VALUE"""),"Наполеон")</f>
        <v>Наполеон</v>
      </c>
      <c r="X1201" s="385"/>
    </row>
    <row r="1202">
      <c r="A1202" s="384" t="s">
        <v>121</v>
      </c>
      <c r="B1202" s="384" t="s">
        <v>261</v>
      </c>
      <c r="C1202" s="389"/>
      <c r="D1202" s="389">
        <v>1.5</v>
      </c>
      <c r="E1202" s="384"/>
      <c r="F1202" s="389"/>
      <c r="G1202" s="389"/>
      <c r="T1202" s="384" t="str">
        <f>IFERROR(__xludf.DUMMYFUNCTION("QUERY('Турнирная таблица по Алфавиту'!C7:BG66,""select C,AO order by AO desc"")"),"Bublik")</f>
        <v>Bublik</v>
      </c>
      <c r="U1202" s="385">
        <f>IFERROR(__xludf.DUMMYFUNCTION("""COMPUTED_VALUE"""),26.0)</f>
        <v>26</v>
      </c>
      <c r="W1202" s="384" t="str">
        <f>IFERROR(__xludf.DUMMYFUNCTION("""COMPUTED_VALUE"""),"Панда из Руанды")</f>
        <v>Панда из Руанды</v>
      </c>
      <c r="X1202" s="385"/>
    </row>
    <row r="1203">
      <c r="A1203" s="384" t="s">
        <v>138</v>
      </c>
      <c r="B1203" s="384" t="s">
        <v>271</v>
      </c>
      <c r="C1203" s="389">
        <v>2.5</v>
      </c>
      <c r="D1203" s="389">
        <v>3.5</v>
      </c>
      <c r="E1203" s="384"/>
      <c r="F1203" s="389"/>
      <c r="G1203" s="389"/>
      <c r="T1203" s="384" t="str">
        <f>IFERROR(__xludf.DUMMYFUNCTION("""COMPUTED_VALUE"""),"Флэш")</f>
        <v>Флэш</v>
      </c>
      <c r="U1203" s="385">
        <f>IFERROR(__xludf.DUMMYFUNCTION("""COMPUTED_VALUE"""),22.0)</f>
        <v>22</v>
      </c>
      <c r="W1203" s="384" t="str">
        <f>IFERROR(__xludf.DUMMYFUNCTION("""COMPUTED_VALUE"""),"Правда ")</f>
        <v>Правда </v>
      </c>
      <c r="X1203" s="385"/>
    </row>
    <row r="1204">
      <c r="A1204" s="384" t="s">
        <v>80</v>
      </c>
      <c r="B1204" s="384" t="s">
        <v>261</v>
      </c>
      <c r="C1204" s="389">
        <v>2.5</v>
      </c>
      <c r="D1204" s="389">
        <v>3.25</v>
      </c>
      <c r="E1204" s="384"/>
      <c r="F1204" s="389"/>
      <c r="G1204" s="389"/>
      <c r="T1204" s="384" t="str">
        <f>IFERROR(__xludf.DUMMYFUNCTION("""COMPUTED_VALUE"""),"Крестный отец (BLR)")</f>
        <v>Крестный отец (BLR)</v>
      </c>
      <c r="U1204" s="385">
        <f>IFERROR(__xludf.DUMMYFUNCTION("""COMPUTED_VALUE"""),21.25)</f>
        <v>21.25</v>
      </c>
      <c r="W1204" s="384" t="str">
        <f>IFERROR(__xludf.DUMMYFUNCTION("""COMPUTED_VALUE"""),"Продюсер")</f>
        <v>Продюсер</v>
      </c>
      <c r="X1204" s="385"/>
    </row>
    <row r="1205">
      <c r="A1205" s="384" t="s">
        <v>105</v>
      </c>
      <c r="B1205" s="384" t="s">
        <v>261</v>
      </c>
      <c r="C1205" s="389">
        <v>2.5</v>
      </c>
      <c r="D1205" s="389">
        <v>3.75</v>
      </c>
      <c r="E1205" s="384"/>
      <c r="F1205" s="389"/>
      <c r="G1205" s="389"/>
      <c r="T1205" s="384" t="str">
        <f>IFERROR(__xludf.DUMMYFUNCTION("""COMPUTED_VALUE"""),"СЭНСЭЙ")</f>
        <v>СЭНСЭЙ</v>
      </c>
      <c r="U1205" s="385">
        <f>IFERROR(__xludf.DUMMYFUNCTION("""COMPUTED_VALUE"""),21.25)</f>
        <v>21.25</v>
      </c>
      <c r="W1205" s="384" t="str">
        <f>IFERROR(__xludf.DUMMYFUNCTION("""COMPUTED_VALUE"""),"РФ")</f>
        <v>РФ</v>
      </c>
      <c r="X1205" s="385"/>
    </row>
    <row r="1206">
      <c r="A1206" s="384" t="s">
        <v>99</v>
      </c>
      <c r="B1206" s="384" t="s">
        <v>261</v>
      </c>
      <c r="C1206" s="389">
        <v>2.5</v>
      </c>
      <c r="D1206" s="389">
        <v>3.0</v>
      </c>
      <c r="E1206" s="384"/>
      <c r="F1206" s="389"/>
      <c r="G1206" s="389"/>
      <c r="T1206" s="384" t="str">
        <f>IFERROR(__xludf.DUMMYFUNCTION("""COMPUTED_VALUE"""),"WhoIsWho")</f>
        <v>WhoIsWho</v>
      </c>
      <c r="U1206" s="385">
        <f>IFERROR(__xludf.DUMMYFUNCTION("""COMPUTED_VALUE"""),20.25)</f>
        <v>20.25</v>
      </c>
      <c r="W1206" s="384" t="str">
        <f>IFERROR(__xludf.DUMMYFUNCTION("""COMPUTED_VALUE"""),"Старый")</f>
        <v>Старый</v>
      </c>
      <c r="X1206" s="385"/>
    </row>
    <row r="1207">
      <c r="A1207" s="384" t="s">
        <v>89</v>
      </c>
      <c r="B1207" s="384" t="s">
        <v>261</v>
      </c>
      <c r="C1207" s="389">
        <v>2.5</v>
      </c>
      <c r="D1207" s="389">
        <v>3.25</v>
      </c>
      <c r="E1207" s="384"/>
      <c r="F1207" s="389"/>
      <c r="G1207" s="389"/>
      <c r="T1207" s="384" t="str">
        <f>IFERROR(__xludf.DUMMYFUNCTION("""COMPUTED_VALUE"""),"Morti")</f>
        <v>Morti</v>
      </c>
      <c r="U1207" s="385">
        <f>IFERROR(__xludf.DUMMYFUNCTION("""COMPUTED_VALUE"""),19.5)</f>
        <v>19.5</v>
      </c>
      <c r="W1207" s="384" t="str">
        <f>IFERROR(__xludf.DUMMYFUNCTION("""COMPUTED_VALUE"""),"СЭНСЭЙ")</f>
        <v>СЭНСЭЙ</v>
      </c>
      <c r="X1207" s="385"/>
    </row>
    <row r="1208">
      <c r="A1208" s="384" t="s">
        <v>81</v>
      </c>
      <c r="B1208" s="384" t="s">
        <v>269</v>
      </c>
      <c r="C1208" s="389"/>
      <c r="D1208" s="389">
        <v>1.75</v>
      </c>
      <c r="E1208" s="384"/>
      <c r="F1208" s="389"/>
      <c r="G1208" s="389"/>
      <c r="T1208" s="384" t="str">
        <f>IFERROR(__xludf.DUMMYFUNCTION("""COMPUTED_VALUE"""),"Фокс")</f>
        <v>Фокс</v>
      </c>
      <c r="U1208" s="385">
        <f>IFERROR(__xludf.DUMMYFUNCTION("""COMPUTED_VALUE"""),19.25)</f>
        <v>19.25</v>
      </c>
      <c r="W1208" s="384" t="str">
        <f>IFERROR(__xludf.DUMMYFUNCTION("""COMPUTED_VALUE"""),"Физик")</f>
        <v>Физик</v>
      </c>
      <c r="X1208" s="385"/>
    </row>
    <row r="1209">
      <c r="A1209" s="384" t="s">
        <v>121</v>
      </c>
      <c r="B1209" s="384" t="s">
        <v>269</v>
      </c>
      <c r="C1209" s="389"/>
      <c r="D1209" s="389">
        <v>2.5</v>
      </c>
      <c r="E1209" s="384"/>
      <c r="F1209" s="389"/>
      <c r="G1209" s="389"/>
      <c r="T1209" s="384" t="str">
        <f>IFERROR(__xludf.DUMMYFUNCTION("""COMPUTED_VALUE"""),"Young")</f>
        <v>Young</v>
      </c>
      <c r="U1209" s="385">
        <f>IFERROR(__xludf.DUMMYFUNCTION("""COMPUTED_VALUE"""),18.75)</f>
        <v>18.75</v>
      </c>
      <c r="W1209" s="384" t="str">
        <f>IFERROR(__xludf.DUMMYFUNCTION("""COMPUTED_VALUE"""),"Фокс")</f>
        <v>Фокс</v>
      </c>
      <c r="X1209" s="385"/>
    </row>
    <row r="1210">
      <c r="A1210" s="384" t="s">
        <v>136</v>
      </c>
      <c r="B1210" s="384" t="s">
        <v>261</v>
      </c>
      <c r="C1210" s="389">
        <v>2.5</v>
      </c>
      <c r="D1210" s="389">
        <v>2.75</v>
      </c>
      <c r="E1210" s="384" t="s">
        <v>11</v>
      </c>
      <c r="F1210" s="389"/>
      <c r="G1210" s="389">
        <v>0.5</v>
      </c>
      <c r="T1210" s="384" t="str">
        <f>IFERROR(__xludf.DUMMYFUNCTION("""COMPUTED_VALUE"""),"Бамблби")</f>
        <v>Бамблби</v>
      </c>
      <c r="U1210" s="385">
        <f>IFERROR(__xludf.DUMMYFUNCTION("""COMPUTED_VALUE"""),14.25)</f>
        <v>14.25</v>
      </c>
      <c r="W1210" s="384" t="str">
        <f>IFERROR(__xludf.DUMMYFUNCTION("""COMPUTED_VALUE"""),"Шоу Бой")</f>
        <v>Шоу Бой</v>
      </c>
      <c r="X1210" s="385"/>
    </row>
    <row r="1211">
      <c r="A1211" s="384" t="s">
        <v>118</v>
      </c>
      <c r="B1211" s="384" t="s">
        <v>265</v>
      </c>
      <c r="C1211" s="389"/>
      <c r="D1211" s="389">
        <v>2.0</v>
      </c>
      <c r="E1211" s="384"/>
      <c r="F1211" s="389"/>
      <c r="G1211" s="389"/>
      <c r="T1211" s="384" t="str">
        <f>IFERROR(__xludf.DUMMYFUNCTION("""COMPUTED_VALUE"""),"Castor Troy ")</f>
        <v>Castor Troy </v>
      </c>
      <c r="U1211" s="385">
        <f>IFERROR(__xludf.DUMMYFUNCTION("""COMPUTED_VALUE"""),11.75)</f>
        <v>11.75</v>
      </c>
      <c r="W1211" s="384" t="str">
        <f>IFERROR(__xludf.DUMMYFUNCTION("""COMPUTED_VALUE"""),"Шпиц")</f>
        <v>Шпиц</v>
      </c>
      <c r="X1211" s="385"/>
    </row>
    <row r="1212">
      <c r="A1212" s="384" t="s">
        <v>91</v>
      </c>
      <c r="B1212" s="384" t="s">
        <v>261</v>
      </c>
      <c r="C1212" s="389">
        <v>2.5</v>
      </c>
      <c r="D1212" s="389">
        <v>3.25</v>
      </c>
      <c r="E1212" s="384"/>
      <c r="F1212" s="389"/>
      <c r="G1212" s="389"/>
      <c r="T1212" s="384" t="str">
        <f>IFERROR(__xludf.DUMMYFUNCTION("""COMPUTED_VALUE"""),"Авраам")</f>
        <v>Авраам</v>
      </c>
      <c r="U1212" s="385"/>
      <c r="W1212" s="384" t="str">
        <f>IFERROR(__xludf.DUMMYFUNCTION("""COMPUTED_VALUE"""),"Юрия")</f>
        <v>Юрия</v>
      </c>
      <c r="X1212" s="385"/>
    </row>
    <row r="1213">
      <c r="A1213" s="384" t="s">
        <v>138</v>
      </c>
      <c r="B1213" s="384" t="s">
        <v>265</v>
      </c>
      <c r="C1213" s="389">
        <v>2.5</v>
      </c>
      <c r="D1213" s="389">
        <v>4.25</v>
      </c>
      <c r="E1213" s="384"/>
      <c r="F1213" s="389"/>
      <c r="G1213" s="389"/>
      <c r="T1213" s="384" t="str">
        <f>IFERROR(__xludf.DUMMYFUNCTION("""COMPUTED_VALUE"""),"Админ")</f>
        <v>Админ</v>
      </c>
      <c r="U1213" s="385"/>
      <c r="W1213" s="384" t="str">
        <f>IFERROR(__xludf.DUMMYFUNCTION("""COMPUTED_VALUE"""),"A1 ")</f>
        <v>A1 </v>
      </c>
      <c r="X1213" s="385"/>
    </row>
    <row r="1214">
      <c r="A1214" s="384" t="s">
        <v>80</v>
      </c>
      <c r="B1214" s="384" t="s">
        <v>269</v>
      </c>
      <c r="C1214" s="389">
        <v>2.5</v>
      </c>
      <c r="D1214" s="389">
        <v>3.75</v>
      </c>
      <c r="E1214" s="384"/>
      <c r="F1214" s="389"/>
      <c r="G1214" s="389"/>
      <c r="T1214" s="384" t="str">
        <f>IFERROR(__xludf.DUMMYFUNCTION("""COMPUTED_VALUE"""),"Андерсен")</f>
        <v>Андерсен</v>
      </c>
      <c r="U1214" s="385"/>
      <c r="W1214" s="384" t="str">
        <f>IFERROR(__xludf.DUMMYFUNCTION("""COMPUTED_VALUE"""),"Alice ")</f>
        <v>Alice </v>
      </c>
      <c r="X1214" s="385"/>
    </row>
    <row r="1215">
      <c r="A1215" s="384" t="s">
        <v>105</v>
      </c>
      <c r="B1215" s="384" t="s">
        <v>269</v>
      </c>
      <c r="C1215" s="389">
        <v>2.5</v>
      </c>
      <c r="D1215" s="389">
        <v>3.25</v>
      </c>
      <c r="E1215" s="384"/>
      <c r="F1215" s="389"/>
      <c r="G1215" s="389"/>
      <c r="T1215" s="384" t="str">
        <f>IFERROR(__xludf.DUMMYFUNCTION("""COMPUTED_VALUE"""),"Артик")</f>
        <v>Артик</v>
      </c>
      <c r="U1215" s="385"/>
      <c r="W1215" s="384" t="str">
        <f>IFERROR(__xludf.DUMMYFUNCTION("""COMPUTED_VALUE"""),"Bublik")</f>
        <v>Bublik</v>
      </c>
      <c r="X1215" s="385"/>
    </row>
    <row r="1216">
      <c r="A1216" s="384" t="s">
        <v>99</v>
      </c>
      <c r="B1216" s="384" t="s">
        <v>261</v>
      </c>
      <c r="C1216" s="389"/>
      <c r="D1216" s="389">
        <v>1.5</v>
      </c>
      <c r="E1216" s="384"/>
      <c r="F1216" s="389"/>
      <c r="G1216" s="389"/>
      <c r="T1216" s="384" t="str">
        <f>IFERROR(__xludf.DUMMYFUNCTION("""COMPUTED_VALUE"""),"Астория")</f>
        <v>Астория</v>
      </c>
      <c r="U1216" s="385"/>
      <c r="W1216" s="384" t="str">
        <f>IFERROR(__xludf.DUMMYFUNCTION("""COMPUTED_VALUE"""),"BWDMoscow")</f>
        <v>BWDMoscow</v>
      </c>
      <c r="X1216" s="385"/>
    </row>
    <row r="1217">
      <c r="A1217" s="384" t="s">
        <v>89</v>
      </c>
      <c r="B1217" s="384" t="s">
        <v>261</v>
      </c>
      <c r="C1217" s="389"/>
      <c r="D1217" s="389">
        <v>2.25</v>
      </c>
      <c r="E1217" s="384"/>
      <c r="F1217" s="389"/>
      <c r="G1217" s="389"/>
      <c r="T1217" s="384" t="str">
        <f>IFERROR(__xludf.DUMMYFUNCTION("""COMPUTED_VALUE"""),"Аш")</f>
        <v>Аш</v>
      </c>
      <c r="U1217" s="385"/>
      <c r="W1217" s="384" t="str">
        <f>IFERROR(__xludf.DUMMYFUNCTION("""COMPUTED_VALUE"""),"Castor Troy ")</f>
        <v>Castor Troy </v>
      </c>
      <c r="X1217" s="385"/>
    </row>
    <row r="1218">
      <c r="A1218" s="384" t="s">
        <v>81</v>
      </c>
      <c r="B1218" s="384" t="s">
        <v>261</v>
      </c>
      <c r="C1218" s="389"/>
      <c r="D1218" s="389">
        <v>2.0</v>
      </c>
      <c r="E1218" s="384"/>
      <c r="F1218" s="389"/>
      <c r="G1218" s="389"/>
      <c r="T1218" s="384" t="str">
        <f>IFERROR(__xludf.DUMMYFUNCTION("""COMPUTED_VALUE"""),"Волга")</f>
        <v>Волга</v>
      </c>
      <c r="U1218" s="385"/>
      <c r="W1218" s="384" t="str">
        <f>IFERROR(__xludf.DUMMYFUNCTION("""COMPUTED_VALUE"""),"Cristo")</f>
        <v>Cristo</v>
      </c>
      <c r="X1218" s="385"/>
    </row>
    <row r="1219">
      <c r="A1219" s="384" t="s">
        <v>121</v>
      </c>
      <c r="B1219" s="384" t="s">
        <v>261</v>
      </c>
      <c r="C1219" s="389"/>
      <c r="D1219" s="389">
        <v>2.75</v>
      </c>
      <c r="E1219" s="384" t="s">
        <v>11</v>
      </c>
      <c r="F1219" s="389"/>
      <c r="G1219" s="389">
        <v>0.5</v>
      </c>
      <c r="T1219" s="384" t="str">
        <f>IFERROR(__xludf.DUMMYFUNCTION("""COMPUTED_VALUE"""),"Градиент")</f>
        <v>Градиент</v>
      </c>
      <c r="U1219" s="385"/>
      <c r="W1219" s="384" t="str">
        <f>IFERROR(__xludf.DUMMYFUNCTION("""COMPUTED_VALUE"""),"Curly")</f>
        <v>Curly</v>
      </c>
      <c r="X1219" s="385"/>
    </row>
    <row r="1220">
      <c r="A1220" s="384" t="s">
        <v>136</v>
      </c>
      <c r="B1220" s="384" t="s">
        <v>271</v>
      </c>
      <c r="C1220" s="389"/>
      <c r="D1220" s="389">
        <v>2.0</v>
      </c>
      <c r="E1220" s="384"/>
      <c r="F1220" s="389"/>
      <c r="G1220" s="389"/>
      <c r="T1220" s="384" t="str">
        <f>IFERROR(__xludf.DUMMYFUNCTION("""COMPUTED_VALUE"""),"Дровосек")</f>
        <v>Дровосек</v>
      </c>
      <c r="U1220" s="385"/>
      <c r="W1220" s="384" t="str">
        <f>IFERROR(__xludf.DUMMYFUNCTION("""COMPUTED_VALUE"""),"Helga")</f>
        <v>Helga</v>
      </c>
      <c r="X1220" s="385"/>
    </row>
    <row r="1221">
      <c r="A1221" s="384" t="s">
        <v>118</v>
      </c>
      <c r="B1221" s="384" t="s">
        <v>261</v>
      </c>
      <c r="C1221" s="389"/>
      <c r="D1221" s="389">
        <v>3.5</v>
      </c>
      <c r="E1221" s="384"/>
      <c r="F1221" s="389"/>
      <c r="G1221" s="389"/>
      <c r="T1221" s="384" t="str">
        <f>IFERROR(__xludf.DUMMYFUNCTION("""COMPUTED_VALUE"""),"Зверюга")</f>
        <v>Зверюга</v>
      </c>
      <c r="U1221" s="385"/>
      <c r="W1221" s="384" t="str">
        <f>IFERROR(__xludf.DUMMYFUNCTION("""COMPUTED_VALUE"""),"Infinity ")</f>
        <v>Infinity </v>
      </c>
      <c r="X1221" s="385"/>
    </row>
    <row r="1222">
      <c r="A1222" s="384" t="s">
        <v>91</v>
      </c>
      <c r="B1222" s="384" t="s">
        <v>261</v>
      </c>
      <c r="C1222" s="389"/>
      <c r="D1222" s="389">
        <v>1.5</v>
      </c>
      <c r="E1222" s="384"/>
      <c r="F1222" s="389"/>
      <c r="G1222" s="389"/>
      <c r="T1222" s="384" t="str">
        <f>IFERROR(__xludf.DUMMYFUNCTION("""COMPUTED_VALUE"""),"Инсомнич")</f>
        <v>Инсомнич</v>
      </c>
      <c r="U1222" s="385"/>
      <c r="W1222" s="384" t="str">
        <f>IFERROR(__xludf.DUMMYFUNCTION("""COMPUTED_VALUE"""),"Ketamin")</f>
        <v>Ketamin</v>
      </c>
      <c r="X1222" s="385"/>
    </row>
    <row r="1223">
      <c r="A1223" s="384" t="s">
        <v>138</v>
      </c>
      <c r="B1223" s="384" t="s">
        <v>261</v>
      </c>
      <c r="C1223" s="389"/>
      <c r="D1223" s="389">
        <v>2.5</v>
      </c>
      <c r="E1223" s="384"/>
      <c r="F1223" s="389"/>
      <c r="G1223" s="389"/>
      <c r="T1223" s="384" t="str">
        <f>IFERROR(__xludf.DUMMYFUNCTION("""COMPUTED_VALUE"""),"Красавчик")</f>
        <v>Красавчик</v>
      </c>
      <c r="U1223" s="385"/>
      <c r="W1223" s="384" t="str">
        <f>IFERROR(__xludf.DUMMYFUNCTION("""COMPUTED_VALUE"""),"Light")</f>
        <v>Light</v>
      </c>
      <c r="X1223" s="385"/>
    </row>
    <row r="1224">
      <c r="A1224" s="384" t="s">
        <v>80</v>
      </c>
      <c r="B1224" s="384" t="s">
        <v>265</v>
      </c>
      <c r="C1224" s="389">
        <v>2.5</v>
      </c>
      <c r="D1224" s="389">
        <v>3.5</v>
      </c>
      <c r="E1224" s="384"/>
      <c r="F1224" s="389"/>
      <c r="G1224" s="389"/>
      <c r="T1224" s="384" t="str">
        <f>IFERROR(__xludf.DUMMYFUNCTION("""COMPUTED_VALUE"""),"Крёстный Отец (RU)")</f>
        <v>Крёстный Отец (RU)</v>
      </c>
      <c r="U1224" s="385"/>
      <c r="W1224" s="384" t="str">
        <f>IFERROR(__xludf.DUMMYFUNCTION("""COMPUTED_VALUE"""),"Morti")</f>
        <v>Morti</v>
      </c>
      <c r="X1224" s="385"/>
    </row>
    <row r="1225">
      <c r="A1225" s="384" t="s">
        <v>105</v>
      </c>
      <c r="B1225" s="384" t="s">
        <v>261</v>
      </c>
      <c r="C1225" s="389"/>
      <c r="D1225" s="389">
        <v>2.5</v>
      </c>
      <c r="E1225" s="384" t="s">
        <v>11</v>
      </c>
      <c r="F1225" s="389"/>
      <c r="G1225" s="389">
        <v>0.5</v>
      </c>
      <c r="T1225" s="384" t="str">
        <f>IFERROR(__xludf.DUMMYFUNCTION("""COMPUTED_VALUE"""),"Крот")</f>
        <v>Крот</v>
      </c>
      <c r="U1225" s="385"/>
      <c r="W1225" s="384" t="str">
        <f>IFERROR(__xludf.DUMMYFUNCTION("""COMPUTED_VALUE"""),"MSR")</f>
        <v>MSR</v>
      </c>
      <c r="X1225" s="385"/>
    </row>
    <row r="1226">
      <c r="A1226" s="384" t="s">
        <v>99</v>
      </c>
      <c r="B1226" s="384" t="s">
        <v>261</v>
      </c>
      <c r="C1226" s="389"/>
      <c r="D1226" s="389">
        <v>2.25</v>
      </c>
      <c r="E1226" s="384"/>
      <c r="F1226" s="389"/>
      <c r="G1226" s="389"/>
      <c r="T1226" s="384" t="str">
        <f>IFERROR(__xludf.DUMMYFUNCTION("""COMPUTED_VALUE"""),"Левша")</f>
        <v>Левша</v>
      </c>
      <c r="U1226" s="385"/>
      <c r="W1226" s="384" t="str">
        <f>IFERROR(__xludf.DUMMYFUNCTION("""COMPUTED_VALUE"""),"NLIP")</f>
        <v>NLIP</v>
      </c>
      <c r="X1226" s="385"/>
    </row>
    <row r="1227">
      <c r="A1227" s="384" t="s">
        <v>89</v>
      </c>
      <c r="B1227" s="384" t="s">
        <v>269</v>
      </c>
      <c r="C1227" s="389">
        <v>2.5</v>
      </c>
      <c r="D1227" s="389">
        <v>3.0</v>
      </c>
      <c r="E1227" s="384"/>
      <c r="F1227" s="389"/>
      <c r="G1227" s="389"/>
      <c r="T1227" s="384" t="str">
        <f>IFERROR(__xludf.DUMMYFUNCTION("""COMPUTED_VALUE"""),"Лисичка")</f>
        <v>Лисичка</v>
      </c>
      <c r="U1227" s="385"/>
      <c r="W1227" s="384" t="str">
        <f>IFERROR(__xludf.DUMMYFUNCTION("""COMPUTED_VALUE"""),"SCHOKK ")</f>
        <v>SCHOKK </v>
      </c>
      <c r="X1227" s="385"/>
    </row>
    <row r="1228">
      <c r="A1228" s="384" t="s">
        <v>81</v>
      </c>
      <c r="B1228" s="384" t="s">
        <v>269</v>
      </c>
      <c r="C1228" s="389">
        <v>2.5</v>
      </c>
      <c r="D1228" s="389">
        <v>3.0</v>
      </c>
      <c r="E1228" s="384"/>
      <c r="F1228" s="389"/>
      <c r="G1228" s="389"/>
      <c r="T1228" s="384" t="str">
        <f>IFERROR(__xludf.DUMMYFUNCTION("""COMPUTED_VALUE"""),"Маваши")</f>
        <v>Маваши</v>
      </c>
      <c r="U1228" s="385"/>
      <c r="W1228" s="384" t="str">
        <f>IFERROR(__xludf.DUMMYFUNCTION("""COMPUTED_VALUE"""),"SOVEST")</f>
        <v>SOVEST</v>
      </c>
      <c r="X1228" s="385"/>
    </row>
    <row r="1229">
      <c r="A1229" s="384" t="s">
        <v>121</v>
      </c>
      <c r="B1229" s="384" t="s">
        <v>271</v>
      </c>
      <c r="C1229" s="389"/>
      <c r="D1229" s="389">
        <v>2.5</v>
      </c>
      <c r="E1229" s="384"/>
      <c r="F1229" s="389"/>
      <c r="G1229" s="389"/>
      <c r="T1229" s="384" t="str">
        <f>IFERROR(__xludf.DUMMYFUNCTION("""COMPUTED_VALUE"""),"Манекен")</f>
        <v>Манекен</v>
      </c>
      <c r="U1229" s="385"/>
      <c r="W1229" s="384" t="str">
        <f>IFERROR(__xludf.DUMMYFUNCTION("""COMPUTED_VALUE"""),"Stacy")</f>
        <v>Stacy</v>
      </c>
      <c r="X1229" s="385"/>
    </row>
    <row r="1230">
      <c r="A1230" s="384" t="s">
        <v>136</v>
      </c>
      <c r="B1230" s="384" t="s">
        <v>261</v>
      </c>
      <c r="C1230" s="389"/>
      <c r="D1230" s="389">
        <v>3.0</v>
      </c>
      <c r="E1230" s="384"/>
      <c r="F1230" s="389"/>
      <c r="G1230" s="389"/>
      <c r="T1230" s="384" t="str">
        <f>IFERROR(__xludf.DUMMYFUNCTION("""COMPUTED_VALUE"""),"Марго")</f>
        <v>Марго</v>
      </c>
      <c r="U1230" s="385"/>
      <c r="W1230" s="384" t="str">
        <f>IFERROR(__xludf.DUMMYFUNCTION("""COMPUTED_VALUE"""),"WhoIsWho")</f>
        <v>WhoIsWho</v>
      </c>
      <c r="X1230" s="385"/>
    </row>
    <row r="1231">
      <c r="A1231" s="384" t="s">
        <v>118</v>
      </c>
      <c r="B1231" s="384" t="s">
        <v>261</v>
      </c>
      <c r="C1231" s="389"/>
      <c r="D1231" s="389">
        <v>3.25</v>
      </c>
      <c r="E1231" s="384"/>
      <c r="F1231" s="389"/>
      <c r="G1231" s="389"/>
      <c r="T1231" s="384" t="str">
        <f>IFERROR(__xludf.DUMMYFUNCTION("""COMPUTED_VALUE"""),"Ментик")</f>
        <v>Ментик</v>
      </c>
      <c r="U1231" s="385"/>
      <c r="W1231" s="384" t="str">
        <f>IFERROR(__xludf.DUMMYFUNCTION("""COMPUTED_VALUE"""),"Young")</f>
        <v>Young</v>
      </c>
      <c r="X1231" s="385"/>
    </row>
    <row r="1232">
      <c r="A1232" s="384" t="s">
        <v>91</v>
      </c>
      <c r="B1232" s="384" t="s">
        <v>261</v>
      </c>
      <c r="C1232" s="389"/>
      <c r="D1232" s="389">
        <v>2.5</v>
      </c>
      <c r="E1232" s="384"/>
      <c r="F1232" s="389"/>
      <c r="G1232" s="389"/>
      <c r="T1232" s="384" t="str">
        <f>IFERROR(__xludf.DUMMYFUNCTION("""COMPUTED_VALUE"""),"Мишель ")</f>
        <v>Мишель </v>
      </c>
      <c r="U1232" s="385"/>
      <c r="W1232" s="384" t="str">
        <f>IFERROR(__xludf.DUMMYFUNCTION("""COMPUTED_VALUE"""),"Авраам")</f>
        <v>Авраам</v>
      </c>
      <c r="X1232" s="385"/>
    </row>
    <row r="1233">
      <c r="A1233" s="384" t="s">
        <v>138</v>
      </c>
      <c r="B1233" s="384" t="s">
        <v>269</v>
      </c>
      <c r="C1233" s="389">
        <v>2.5</v>
      </c>
      <c r="D1233" s="389">
        <v>3.5</v>
      </c>
      <c r="E1233" s="384"/>
      <c r="F1233" s="389"/>
      <c r="G1233" s="389"/>
      <c r="T1233" s="384" t="str">
        <f>IFERROR(__xludf.DUMMYFUNCTION("""COMPUTED_VALUE"""),"Наполеон")</f>
        <v>Наполеон</v>
      </c>
      <c r="U1233" s="385"/>
      <c r="W1233" s="384" t="str">
        <f>IFERROR(__xludf.DUMMYFUNCTION("""COMPUTED_VALUE"""),"Админ")</f>
        <v>Админ</v>
      </c>
      <c r="X1233" s="385"/>
    </row>
    <row r="1234">
      <c r="A1234" s="384" t="s">
        <v>80</v>
      </c>
      <c r="B1234" s="384" t="s">
        <v>269</v>
      </c>
      <c r="C1234" s="389">
        <v>2.5</v>
      </c>
      <c r="D1234" s="389">
        <v>2.75</v>
      </c>
      <c r="E1234" s="384"/>
      <c r="F1234" s="389"/>
      <c r="G1234" s="389"/>
      <c r="T1234" s="384" t="str">
        <f>IFERROR(__xludf.DUMMYFUNCTION("""COMPUTED_VALUE"""),"Панда из Руанды")</f>
        <v>Панда из Руанды</v>
      </c>
      <c r="U1234" s="385"/>
      <c r="W1234" s="384" t="str">
        <f>IFERROR(__xludf.DUMMYFUNCTION("""COMPUTED_VALUE"""),"Артик")</f>
        <v>Артик</v>
      </c>
      <c r="X1234" s="385"/>
    </row>
    <row r="1235">
      <c r="A1235" s="384" t="s">
        <v>105</v>
      </c>
      <c r="B1235" s="384" t="s">
        <v>261</v>
      </c>
      <c r="C1235" s="389"/>
      <c r="D1235" s="389">
        <v>1.75</v>
      </c>
      <c r="E1235" s="384"/>
      <c r="F1235" s="389"/>
      <c r="G1235" s="389"/>
      <c r="T1235" s="384" t="str">
        <f>IFERROR(__xludf.DUMMYFUNCTION("""COMPUTED_VALUE"""),"Писатель ")</f>
        <v>Писатель </v>
      </c>
      <c r="U1235" s="385"/>
      <c r="W1235" s="384" t="str">
        <f>IFERROR(__xludf.DUMMYFUNCTION("""COMPUTED_VALUE"""),"Бамблби")</f>
        <v>Бамблби</v>
      </c>
      <c r="X1235" s="385"/>
    </row>
    <row r="1236">
      <c r="A1236" s="384" t="s">
        <v>99</v>
      </c>
      <c r="B1236" s="384" t="s">
        <v>265</v>
      </c>
      <c r="C1236" s="389">
        <v>2.5</v>
      </c>
      <c r="D1236" s="389">
        <v>4.0</v>
      </c>
      <c r="E1236" s="384"/>
      <c r="F1236" s="389"/>
      <c r="G1236" s="389"/>
      <c r="T1236" s="384" t="str">
        <f>IFERROR(__xludf.DUMMYFUNCTION("""COMPUTED_VALUE"""),"Правда ")</f>
        <v>Правда </v>
      </c>
      <c r="U1236" s="385"/>
      <c r="W1236" s="384" t="str">
        <f>IFERROR(__xludf.DUMMYFUNCTION("""COMPUTED_VALUE"""),"Волга")</f>
        <v>Волга</v>
      </c>
      <c r="X1236" s="385"/>
    </row>
    <row r="1237">
      <c r="A1237" s="384" t="s">
        <v>89</v>
      </c>
      <c r="B1237" s="384" t="s">
        <v>261</v>
      </c>
      <c r="C1237" s="389"/>
      <c r="D1237" s="389">
        <v>2.5</v>
      </c>
      <c r="E1237" s="384"/>
      <c r="F1237" s="389"/>
      <c r="G1237" s="389"/>
      <c r="T1237" s="384" t="str">
        <f>IFERROR(__xludf.DUMMYFUNCTION("""COMPUTED_VALUE"""),"Продюсер")</f>
        <v>Продюсер</v>
      </c>
      <c r="U1237" s="385"/>
      <c r="W1237" s="384" t="str">
        <f>IFERROR(__xludf.DUMMYFUNCTION("""COMPUTED_VALUE"""),"Градиент")</f>
        <v>Градиент</v>
      </c>
      <c r="X1237" s="385"/>
    </row>
    <row r="1238">
      <c r="A1238" s="384" t="s">
        <v>81</v>
      </c>
      <c r="B1238" s="384" t="s">
        <v>261</v>
      </c>
      <c r="C1238" s="389"/>
      <c r="D1238" s="389">
        <v>3.0</v>
      </c>
      <c r="E1238" s="384"/>
      <c r="F1238" s="389"/>
      <c r="G1238" s="389"/>
      <c r="T1238" s="384" t="str">
        <f>IFERROR(__xludf.DUMMYFUNCTION("""COMPUTED_VALUE"""),"РФ")</f>
        <v>РФ</v>
      </c>
      <c r="U1238" s="385"/>
      <c r="W1238" s="384" t="str">
        <f>IFERROR(__xludf.DUMMYFUNCTION("""COMPUTED_VALUE"""),"Дровосек")</f>
        <v>Дровосек</v>
      </c>
      <c r="X1238" s="385"/>
    </row>
    <row r="1239">
      <c r="A1239" s="384" t="s">
        <v>121</v>
      </c>
      <c r="B1239" s="384" t="s">
        <v>261</v>
      </c>
      <c r="C1239" s="389"/>
      <c r="D1239" s="389">
        <v>1.75</v>
      </c>
      <c r="E1239" s="384"/>
      <c r="F1239" s="389"/>
      <c r="G1239" s="389"/>
      <c r="T1239" s="384" t="str">
        <f>IFERROR(__xludf.DUMMYFUNCTION("""COMPUTED_VALUE"""),"Старый")</f>
        <v>Старый</v>
      </c>
      <c r="U1239" s="385"/>
      <c r="W1239" s="384" t="str">
        <f>IFERROR(__xludf.DUMMYFUNCTION("""COMPUTED_VALUE"""),"Зверюга")</f>
        <v>Зверюга</v>
      </c>
      <c r="X1239" s="385"/>
    </row>
    <row r="1240">
      <c r="A1240" s="384" t="s">
        <v>136</v>
      </c>
      <c r="B1240" s="384" t="s">
        <v>261</v>
      </c>
      <c r="C1240" s="389"/>
      <c r="D1240" s="389">
        <v>2.0</v>
      </c>
      <c r="E1240" s="384"/>
      <c r="F1240" s="389"/>
      <c r="G1240" s="389"/>
      <c r="T1240" s="384" t="str">
        <f>IFERROR(__xludf.DUMMYFUNCTION("""COMPUTED_VALUE"""),"Coach")</f>
        <v>Coach</v>
      </c>
      <c r="U1240" s="385"/>
      <c r="W1240" s="384" t="str">
        <f>IFERROR(__xludf.DUMMYFUNCTION("""COMPUTED_VALUE"""),"Инсомнич")</f>
        <v>Инсомнич</v>
      </c>
      <c r="X1240" s="385"/>
    </row>
    <row r="1241">
      <c r="A1241" s="384" t="s">
        <v>118</v>
      </c>
      <c r="B1241" s="384" t="s">
        <v>261</v>
      </c>
      <c r="C1241" s="389"/>
      <c r="D1241" s="389">
        <v>1.5</v>
      </c>
      <c r="E1241" s="384"/>
      <c r="F1241" s="389"/>
      <c r="G1241" s="389"/>
      <c r="T1241" s="384" t="str">
        <f>IFERROR(__xludf.DUMMYFUNCTION("""COMPUTED_VALUE"""),"Тихий закат")</f>
        <v>Тихий закат</v>
      </c>
      <c r="U1241" s="385"/>
      <c r="W1241" s="384" t="str">
        <f>IFERROR(__xludf.DUMMYFUNCTION("""COMPUTED_VALUE"""),"Красавчик")</f>
        <v>Красавчик</v>
      </c>
      <c r="X1241" s="385"/>
    </row>
    <row r="1242">
      <c r="A1242" s="384" t="s">
        <v>91</v>
      </c>
      <c r="B1242" s="384" t="s">
        <v>271</v>
      </c>
      <c r="C1242" s="389"/>
      <c r="D1242" s="389">
        <v>2.5</v>
      </c>
      <c r="E1242" s="384" t="s">
        <v>11</v>
      </c>
      <c r="F1242" s="389"/>
      <c r="G1242" s="389">
        <v>0.5</v>
      </c>
      <c r="T1242" s="384" t="str">
        <f>IFERROR(__xludf.DUMMYFUNCTION("""COMPUTED_VALUE"""),"Физик")</f>
        <v>Физик</v>
      </c>
      <c r="U1242" s="385"/>
      <c r="W1242" s="384" t="str">
        <f>IFERROR(__xludf.DUMMYFUNCTION("""COMPUTED_VALUE"""),"Крестный отец (BLR)")</f>
        <v>Крестный отец (BLR)</v>
      </c>
      <c r="X1242" s="385"/>
    </row>
    <row r="1243">
      <c r="A1243" s="384" t="s">
        <v>138</v>
      </c>
      <c r="B1243" s="384" t="s">
        <v>265</v>
      </c>
      <c r="C1243" s="389">
        <v>2.5</v>
      </c>
      <c r="D1243" s="389">
        <v>4.0</v>
      </c>
      <c r="E1243" s="384"/>
      <c r="F1243" s="389"/>
      <c r="G1243" s="389"/>
      <c r="T1243" s="384" t="str">
        <f>IFERROR(__xludf.DUMMYFUNCTION("""COMPUTED_VALUE"""),"Шоу Бой")</f>
        <v>Шоу Бой</v>
      </c>
      <c r="U1243" s="385"/>
      <c r="W1243" s="384" t="str">
        <f>IFERROR(__xludf.DUMMYFUNCTION("""COMPUTED_VALUE"""),"Крёстный Отец (RU)")</f>
        <v>Крёстный Отец (RU)</v>
      </c>
      <c r="X1243" s="385"/>
    </row>
    <row r="1244">
      <c r="A1244" s="384" t="s">
        <v>80</v>
      </c>
      <c r="B1244" s="384" t="s">
        <v>261</v>
      </c>
      <c r="C1244" s="389"/>
      <c r="D1244" s="389">
        <v>3.25</v>
      </c>
      <c r="E1244" s="384"/>
      <c r="F1244" s="389"/>
      <c r="G1244" s="389"/>
      <c r="T1244" s="384" t="str">
        <f>IFERROR(__xludf.DUMMYFUNCTION("""COMPUTED_VALUE"""),"Шпиц")</f>
        <v>Шпиц</v>
      </c>
      <c r="U1244" s="385"/>
      <c r="W1244" s="384" t="str">
        <f>IFERROR(__xludf.DUMMYFUNCTION("""COMPUTED_VALUE"""),"Крот")</f>
        <v>Крот</v>
      </c>
      <c r="X1244" s="385"/>
    </row>
    <row r="1245">
      <c r="A1245" s="384" t="s">
        <v>105</v>
      </c>
      <c r="B1245" s="384" t="s">
        <v>261</v>
      </c>
      <c r="C1245" s="389"/>
      <c r="D1245" s="389">
        <v>3.0</v>
      </c>
      <c r="E1245" s="384"/>
      <c r="F1245" s="389"/>
      <c r="G1245" s="389"/>
      <c r="T1245" s="384" t="str">
        <f>IFERROR(__xludf.DUMMYFUNCTION("""COMPUTED_VALUE"""),"Юрия")</f>
        <v>Юрия</v>
      </c>
      <c r="U1245" s="385"/>
      <c r="W1245" s="384" t="str">
        <f>IFERROR(__xludf.DUMMYFUNCTION("""COMPUTED_VALUE"""),"Левша")</f>
        <v>Левша</v>
      </c>
      <c r="X1245" s="385"/>
    </row>
    <row r="1246">
      <c r="A1246" s="384" t="s">
        <v>99</v>
      </c>
      <c r="B1246" s="384" t="s">
        <v>271</v>
      </c>
      <c r="C1246" s="389"/>
      <c r="D1246" s="389">
        <v>2.5</v>
      </c>
      <c r="E1246" s="384"/>
      <c r="F1246" s="389"/>
      <c r="G1246" s="389"/>
      <c r="T1246" s="384" t="str">
        <f>IFERROR(__xludf.DUMMYFUNCTION("""COMPUTED_VALUE"""),"A1 ")</f>
        <v>A1 </v>
      </c>
      <c r="U1246" s="385"/>
      <c r="W1246" s="384" t="str">
        <f>IFERROR(__xludf.DUMMYFUNCTION("""COMPUTED_VALUE"""),"Лисичка")</f>
        <v>Лисичка</v>
      </c>
      <c r="X1246" s="385"/>
    </row>
    <row r="1247">
      <c r="A1247" s="384" t="s">
        <v>89</v>
      </c>
      <c r="B1247" s="384" t="s">
        <v>261</v>
      </c>
      <c r="C1247" s="389"/>
      <c r="D1247" s="389">
        <v>1.25</v>
      </c>
      <c r="E1247" s="384"/>
      <c r="F1247" s="389"/>
      <c r="G1247" s="389"/>
      <c r="T1247" s="384" t="str">
        <f>IFERROR(__xludf.DUMMYFUNCTION("""COMPUTED_VALUE"""),"Alice ")</f>
        <v>Alice </v>
      </c>
      <c r="U1247" s="385"/>
      <c r="W1247" s="384" t="str">
        <f>IFERROR(__xludf.DUMMYFUNCTION("""COMPUTED_VALUE"""),"Марго")</f>
        <v>Марго</v>
      </c>
      <c r="X1247" s="385"/>
    </row>
    <row r="1248">
      <c r="A1248" s="384" t="s">
        <v>81</v>
      </c>
      <c r="B1248" s="384" t="s">
        <v>261</v>
      </c>
      <c r="C1248" s="389"/>
      <c r="D1248" s="389">
        <v>2.75</v>
      </c>
      <c r="E1248" s="384" t="s">
        <v>11</v>
      </c>
      <c r="F1248" s="389">
        <v>0.5</v>
      </c>
      <c r="G1248" s="389">
        <v>0.5</v>
      </c>
      <c r="T1248" s="384" t="str">
        <f>IFERROR(__xludf.DUMMYFUNCTION("""COMPUTED_VALUE"""),"BWDMoscow")</f>
        <v>BWDMoscow</v>
      </c>
      <c r="U1248" s="385"/>
      <c r="W1248" s="384" t="str">
        <f>IFERROR(__xludf.DUMMYFUNCTION("""COMPUTED_VALUE"""),"Мишель ")</f>
        <v>Мишель </v>
      </c>
      <c r="X1248" s="385"/>
    </row>
    <row r="1249">
      <c r="A1249" s="384" t="s">
        <v>121</v>
      </c>
      <c r="B1249" s="384" t="s">
        <v>269</v>
      </c>
      <c r="C1249" s="389">
        <v>2.5</v>
      </c>
      <c r="D1249" s="389">
        <v>3.75</v>
      </c>
      <c r="E1249" s="384"/>
      <c r="F1249" s="389"/>
      <c r="G1249" s="389"/>
      <c r="T1249" s="384" t="str">
        <f>IFERROR(__xludf.DUMMYFUNCTION("""COMPUTED_VALUE"""),"Cristo")</f>
        <v>Cristo</v>
      </c>
      <c r="U1249" s="385"/>
      <c r="W1249" s="384" t="str">
        <f>IFERROR(__xludf.DUMMYFUNCTION("""COMPUTED_VALUE"""),"Наполеон")</f>
        <v>Наполеон</v>
      </c>
      <c r="X1249" s="385"/>
    </row>
    <row r="1250">
      <c r="A1250" s="384" t="s">
        <v>136</v>
      </c>
      <c r="B1250" s="384" t="s">
        <v>261</v>
      </c>
      <c r="C1250" s="389"/>
      <c r="D1250" s="389">
        <v>2.0</v>
      </c>
      <c r="E1250" s="384"/>
      <c r="F1250" s="389"/>
      <c r="G1250" s="389"/>
      <c r="T1250" s="384" t="str">
        <f>IFERROR(__xludf.DUMMYFUNCTION("""COMPUTED_VALUE"""),"Curly")</f>
        <v>Curly</v>
      </c>
      <c r="U1250" s="385"/>
      <c r="W1250" s="384" t="str">
        <f>IFERROR(__xludf.DUMMYFUNCTION("""COMPUTED_VALUE"""),"Панда из Руанды")</f>
        <v>Панда из Руанды</v>
      </c>
      <c r="X1250" s="385"/>
    </row>
    <row r="1251">
      <c r="A1251" s="384" t="s">
        <v>118</v>
      </c>
      <c r="B1251" s="384" t="s">
        <v>269</v>
      </c>
      <c r="C1251" s="389">
        <v>2.5</v>
      </c>
      <c r="D1251" s="389">
        <v>1.5</v>
      </c>
      <c r="E1251" s="384"/>
      <c r="F1251" s="389"/>
      <c r="G1251" s="389"/>
      <c r="T1251" s="384" t="str">
        <f>IFERROR(__xludf.DUMMYFUNCTION("""COMPUTED_VALUE"""),"GALAY")</f>
        <v>GALAY</v>
      </c>
      <c r="U1251" s="385"/>
      <c r="W1251" s="384" t="str">
        <f>IFERROR(__xludf.DUMMYFUNCTION("""COMPUTED_VALUE"""),"Писатель ")</f>
        <v>Писатель </v>
      </c>
      <c r="X1251" s="385"/>
    </row>
    <row r="1252">
      <c r="A1252" s="384" t="s">
        <v>91</v>
      </c>
      <c r="B1252" s="384" t="s">
        <v>261</v>
      </c>
      <c r="C1252" s="389"/>
      <c r="D1252" s="389">
        <v>1.5</v>
      </c>
      <c r="E1252" s="384"/>
      <c r="F1252" s="389"/>
      <c r="G1252" s="389"/>
      <c r="T1252" s="384" t="str">
        <f>IFERROR(__xludf.DUMMYFUNCTION("""COMPUTED_VALUE"""),"Helga")</f>
        <v>Helga</v>
      </c>
      <c r="U1252" s="385"/>
      <c r="W1252" s="384" t="str">
        <f>IFERROR(__xludf.DUMMYFUNCTION("""COMPUTED_VALUE"""),"Правда ")</f>
        <v>Правда </v>
      </c>
      <c r="X1252" s="385"/>
    </row>
    <row r="1253">
      <c r="A1253" s="384" t="s">
        <v>80</v>
      </c>
      <c r="B1253" s="384" t="s">
        <v>261</v>
      </c>
      <c r="C1253" s="389">
        <v>2.5</v>
      </c>
      <c r="D1253" s="389">
        <v>3.5</v>
      </c>
      <c r="E1253" s="384"/>
      <c r="F1253" s="389"/>
      <c r="G1253" s="389"/>
      <c r="T1253" s="384" t="str">
        <f>IFERROR(__xludf.DUMMYFUNCTION("""COMPUTED_VALUE"""),"Infinity ")</f>
        <v>Infinity </v>
      </c>
      <c r="U1253" s="385"/>
      <c r="W1253" s="384" t="str">
        <f>IFERROR(__xludf.DUMMYFUNCTION("""COMPUTED_VALUE"""),"Продюсер")</f>
        <v>Продюсер</v>
      </c>
      <c r="X1253" s="385"/>
    </row>
    <row r="1254">
      <c r="A1254" s="384" t="s">
        <v>121</v>
      </c>
      <c r="B1254" s="384" t="s">
        <v>261</v>
      </c>
      <c r="C1254" s="389">
        <v>2.5</v>
      </c>
      <c r="D1254" s="389">
        <v>4.0</v>
      </c>
      <c r="E1254" s="384"/>
      <c r="F1254" s="389"/>
      <c r="G1254" s="389"/>
      <c r="T1254" s="384" t="str">
        <f>IFERROR(__xludf.DUMMYFUNCTION("""COMPUTED_VALUE"""),"Ketamin")</f>
        <v>Ketamin</v>
      </c>
      <c r="U1254" s="385"/>
      <c r="W1254" s="384" t="str">
        <f>IFERROR(__xludf.DUMMYFUNCTION("""COMPUTED_VALUE"""),"РФ")</f>
        <v>РФ</v>
      </c>
      <c r="X1254" s="385"/>
    </row>
    <row r="1255">
      <c r="A1255" s="384" t="s">
        <v>106</v>
      </c>
      <c r="B1255" s="384" t="s">
        <v>261</v>
      </c>
      <c r="C1255" s="389">
        <v>2.5</v>
      </c>
      <c r="D1255" s="389">
        <v>3.5</v>
      </c>
      <c r="E1255" s="384"/>
      <c r="F1255" s="389"/>
      <c r="G1255" s="389"/>
      <c r="T1255" s="384" t="str">
        <f>IFERROR(__xludf.DUMMYFUNCTION("""COMPUTED_VALUE"""),"Light")</f>
        <v>Light</v>
      </c>
      <c r="U1255" s="385"/>
      <c r="W1255" s="384" t="str">
        <f>IFERROR(__xludf.DUMMYFUNCTION("""COMPUTED_VALUE"""),"СЭНСЭЙ")</f>
        <v>СЭНСЭЙ</v>
      </c>
      <c r="X1255" s="385"/>
    </row>
    <row r="1256">
      <c r="A1256" s="384" t="s">
        <v>95</v>
      </c>
      <c r="B1256" s="384" t="s">
        <v>261</v>
      </c>
      <c r="C1256" s="389">
        <v>2.5</v>
      </c>
      <c r="D1256" s="389">
        <v>3.5</v>
      </c>
      <c r="E1256" s="384"/>
      <c r="F1256" s="389"/>
      <c r="G1256" s="389"/>
      <c r="T1256" s="384" t="str">
        <f>IFERROR(__xludf.DUMMYFUNCTION("""COMPUTED_VALUE"""),"MSR")</f>
        <v>MSR</v>
      </c>
      <c r="U1256" s="385"/>
      <c r="W1256" s="384" t="str">
        <f>IFERROR(__xludf.DUMMYFUNCTION("""COMPUTED_VALUE"""),"Coach")</f>
        <v>Coach</v>
      </c>
      <c r="X1256" s="385"/>
    </row>
    <row r="1257">
      <c r="A1257" s="384" t="s">
        <v>89</v>
      </c>
      <c r="B1257" s="384" t="s">
        <v>265</v>
      </c>
      <c r="C1257" s="389"/>
      <c r="D1257" s="389">
        <v>2.25</v>
      </c>
      <c r="E1257" s="384"/>
      <c r="F1257" s="389"/>
      <c r="G1257" s="389"/>
      <c r="T1257" s="384" t="str">
        <f>IFERROR(__xludf.DUMMYFUNCTION("""COMPUTED_VALUE"""),"NLIP")</f>
        <v>NLIP</v>
      </c>
      <c r="U1257" s="385"/>
      <c r="W1257" s="384" t="str">
        <f>IFERROR(__xludf.DUMMYFUNCTION("""COMPUTED_VALUE"""),"Физик")</f>
        <v>Физик</v>
      </c>
      <c r="X1257" s="385"/>
    </row>
    <row r="1258">
      <c r="A1258" s="384" t="s">
        <v>113</v>
      </c>
      <c r="B1258" s="384" t="s">
        <v>271</v>
      </c>
      <c r="C1258" s="389">
        <v>2.5</v>
      </c>
      <c r="D1258" s="389">
        <v>2.75</v>
      </c>
      <c r="E1258" s="384"/>
      <c r="F1258" s="389"/>
      <c r="G1258" s="389"/>
      <c r="T1258" s="384" t="str">
        <f>IFERROR(__xludf.DUMMYFUNCTION("""COMPUTED_VALUE"""),"Rocket woman ")</f>
        <v>Rocket woman </v>
      </c>
      <c r="U1258" s="385"/>
      <c r="W1258" s="384" t="str">
        <f>IFERROR(__xludf.DUMMYFUNCTION("""COMPUTED_VALUE"""),"Флэш")</f>
        <v>Флэш</v>
      </c>
      <c r="X1258" s="385"/>
    </row>
    <row r="1259">
      <c r="A1259" s="384" t="s">
        <v>122</v>
      </c>
      <c r="B1259" s="384" t="s">
        <v>261</v>
      </c>
      <c r="C1259" s="389">
        <v>2.5</v>
      </c>
      <c r="D1259" s="389">
        <v>2.75</v>
      </c>
      <c r="E1259" s="384"/>
      <c r="F1259" s="389"/>
      <c r="G1259" s="389"/>
      <c r="T1259" s="384" t="str">
        <f>IFERROR(__xludf.DUMMYFUNCTION("""COMPUTED_VALUE"""),"SCHOKK ")</f>
        <v>SCHOKK </v>
      </c>
      <c r="U1259" s="385"/>
      <c r="W1259" s="384" t="str">
        <f>IFERROR(__xludf.DUMMYFUNCTION("""COMPUTED_VALUE"""),"Фокс")</f>
        <v>Фокс</v>
      </c>
      <c r="X1259" s="385"/>
    </row>
    <row r="1260">
      <c r="A1260" s="384" t="s">
        <v>126</v>
      </c>
      <c r="B1260" s="384" t="s">
        <v>269</v>
      </c>
      <c r="C1260" s="389"/>
      <c r="D1260" s="389">
        <v>2.5</v>
      </c>
      <c r="E1260" s="384"/>
      <c r="F1260" s="389"/>
      <c r="G1260" s="389"/>
      <c r="T1260" s="384" t="str">
        <f>IFERROR(__xludf.DUMMYFUNCTION("""COMPUTED_VALUE"""),"SOVEST")</f>
        <v>SOVEST</v>
      </c>
      <c r="U1260" s="385"/>
      <c r="W1260" s="384" t="str">
        <f>IFERROR(__xludf.DUMMYFUNCTION("""COMPUTED_VALUE"""),"Шоу Бой")</f>
        <v>Шоу Бой</v>
      </c>
      <c r="X1260" s="385"/>
    </row>
    <row r="1261">
      <c r="A1261" s="384" t="s">
        <v>79</v>
      </c>
      <c r="B1261" s="384" t="s">
        <v>261</v>
      </c>
      <c r="C1261" s="389">
        <v>2.5</v>
      </c>
      <c r="D1261" s="389">
        <v>2.75</v>
      </c>
      <c r="E1261" s="384"/>
      <c r="F1261" s="389"/>
      <c r="G1261" s="389"/>
      <c r="T1261" s="384" t="str">
        <f>IFERROR(__xludf.DUMMYFUNCTION("""COMPUTED_VALUE"""),"Stacy")</f>
        <v>Stacy</v>
      </c>
      <c r="U1261" s="385"/>
      <c r="W1261" s="384" t="str">
        <f>IFERROR(__xludf.DUMMYFUNCTION("""COMPUTED_VALUE"""),"Шпиц")</f>
        <v>Шпиц</v>
      </c>
      <c r="X1261" s="385"/>
    </row>
    <row r="1262">
      <c r="A1262" s="384" t="s">
        <v>124</v>
      </c>
      <c r="B1262" s="384" t="s">
        <v>269</v>
      </c>
      <c r="C1262" s="389"/>
      <c r="D1262" s="389">
        <v>2.0</v>
      </c>
      <c r="E1262" s="384"/>
      <c r="F1262" s="389"/>
      <c r="G1262" s="389"/>
      <c r="T1262" s="384" t="str">
        <f>IFERROR(__xludf.DUMMYFUNCTION("QUERY('Турнирная таблица по Алфавиту'!C7:BG66,""select C,T order by T desc"")"),"Curly")</f>
        <v>Curly</v>
      </c>
      <c r="U1262" s="385">
        <f>IFERROR(__xludf.DUMMYFUNCTION("""COMPUTED_VALUE"""),28.75)</f>
        <v>28.75</v>
      </c>
      <c r="W1262" s="384" t="str">
        <f>IFERROR(__xludf.DUMMYFUNCTION("""COMPUTED_VALUE"""),"Юрия")</f>
        <v>Юрия</v>
      </c>
      <c r="X1262" s="385"/>
    </row>
    <row r="1263">
      <c r="A1263" s="384" t="s">
        <v>80</v>
      </c>
      <c r="B1263" s="384" t="s">
        <v>261</v>
      </c>
      <c r="C1263" s="389"/>
      <c r="D1263" s="389">
        <v>3.0</v>
      </c>
      <c r="E1263" s="384"/>
      <c r="F1263" s="389"/>
      <c r="G1263" s="389"/>
      <c r="T1263" s="384" t="str">
        <f>IFERROR(__xludf.DUMMYFUNCTION("""COMPUTED_VALUE"""),"Артик")</f>
        <v>Артик</v>
      </c>
      <c r="U1263" s="385">
        <f>IFERROR(__xludf.DUMMYFUNCTION("""COMPUTED_VALUE"""),27.5)</f>
        <v>27.5</v>
      </c>
      <c r="W1263" s="384" t="str">
        <f>IFERROR(__xludf.DUMMYFUNCTION("""COMPUTED_VALUE"""),"Alice ")</f>
        <v>Alice </v>
      </c>
      <c r="X1263" s="385"/>
    </row>
    <row r="1264">
      <c r="A1264" s="384" t="s">
        <v>121</v>
      </c>
      <c r="B1264" s="384" t="s">
        <v>261</v>
      </c>
      <c r="C1264" s="389"/>
      <c r="D1264" s="389">
        <v>2.25</v>
      </c>
      <c r="E1264" s="384" t="s">
        <v>11</v>
      </c>
      <c r="F1264" s="389"/>
      <c r="G1264" s="389">
        <v>0.5</v>
      </c>
      <c r="T1264" s="384" t="str">
        <f>IFERROR(__xludf.DUMMYFUNCTION("""COMPUTED_VALUE"""),"Инсомнич")</f>
        <v>Инсомнич</v>
      </c>
      <c r="U1264" s="385">
        <f>IFERROR(__xludf.DUMMYFUNCTION("""COMPUTED_VALUE"""),22.0)</f>
        <v>22</v>
      </c>
      <c r="W1264" s="384" t="str">
        <f>IFERROR(__xludf.DUMMYFUNCTION("""COMPUTED_VALUE"""),"Bublik")</f>
        <v>Bublik</v>
      </c>
      <c r="X1264" s="385"/>
    </row>
    <row r="1265">
      <c r="A1265" s="384" t="s">
        <v>106</v>
      </c>
      <c r="B1265" s="384" t="s">
        <v>261</v>
      </c>
      <c r="C1265" s="389"/>
      <c r="D1265" s="389">
        <v>3.25</v>
      </c>
      <c r="E1265" s="384"/>
      <c r="F1265" s="389"/>
      <c r="G1265" s="389"/>
      <c r="T1265" s="384" t="str">
        <f>IFERROR(__xludf.DUMMYFUNCTION("""COMPUTED_VALUE"""),"Alice ")</f>
        <v>Alice </v>
      </c>
      <c r="U1265" s="385">
        <f>IFERROR(__xludf.DUMMYFUNCTION("""COMPUTED_VALUE"""),21.25)</f>
        <v>21.25</v>
      </c>
      <c r="W1265" s="384" t="str">
        <f>IFERROR(__xludf.DUMMYFUNCTION("""COMPUTED_VALUE"""),"BWDMoscow")</f>
        <v>BWDMoscow</v>
      </c>
      <c r="X1265" s="385"/>
    </row>
    <row r="1266">
      <c r="A1266" s="384" t="s">
        <v>95</v>
      </c>
      <c r="B1266" s="384" t="s">
        <v>269</v>
      </c>
      <c r="C1266" s="389">
        <v>2.5</v>
      </c>
      <c r="D1266" s="389">
        <v>3.5</v>
      </c>
      <c r="E1266" s="384"/>
      <c r="F1266" s="389"/>
      <c r="G1266" s="389"/>
      <c r="T1266" s="384" t="str">
        <f>IFERROR(__xludf.DUMMYFUNCTION("""COMPUTED_VALUE"""),"Писатель ")</f>
        <v>Писатель </v>
      </c>
      <c r="U1266" s="385">
        <f>IFERROR(__xludf.DUMMYFUNCTION("""COMPUTED_VALUE"""),21.0)</f>
        <v>21</v>
      </c>
      <c r="W1266" s="384" t="str">
        <f>IFERROR(__xludf.DUMMYFUNCTION("""COMPUTED_VALUE"""),"Castor Troy ")</f>
        <v>Castor Troy </v>
      </c>
      <c r="X1266" s="385"/>
    </row>
    <row r="1267">
      <c r="A1267" s="384" t="s">
        <v>89</v>
      </c>
      <c r="B1267" s="384" t="s">
        <v>265</v>
      </c>
      <c r="C1267" s="389">
        <v>2.5</v>
      </c>
      <c r="D1267" s="389">
        <v>3.0</v>
      </c>
      <c r="E1267" s="384"/>
      <c r="F1267" s="389"/>
      <c r="G1267" s="389"/>
      <c r="T1267" s="384" t="str">
        <f>IFERROR(__xludf.DUMMYFUNCTION("""COMPUTED_VALUE"""),"Продюсер")</f>
        <v>Продюсер</v>
      </c>
      <c r="U1267" s="385">
        <f>IFERROR(__xludf.DUMMYFUNCTION("""COMPUTED_VALUE"""),20.0)</f>
        <v>20</v>
      </c>
      <c r="W1267" s="384" t="str">
        <f>IFERROR(__xludf.DUMMYFUNCTION("""COMPUTED_VALUE"""),"Cristo")</f>
        <v>Cristo</v>
      </c>
      <c r="X1267" s="385"/>
    </row>
    <row r="1268">
      <c r="A1268" s="384" t="s">
        <v>113</v>
      </c>
      <c r="B1268" s="384" t="s">
        <v>269</v>
      </c>
      <c r="C1268" s="389">
        <v>2.5</v>
      </c>
      <c r="D1268" s="389">
        <v>3.75</v>
      </c>
      <c r="E1268" s="384"/>
      <c r="F1268" s="389"/>
      <c r="G1268" s="389"/>
      <c r="T1268" s="384" t="str">
        <f>IFERROR(__xludf.DUMMYFUNCTION("""COMPUTED_VALUE"""),"Физик")</f>
        <v>Физик</v>
      </c>
      <c r="U1268" s="385">
        <f>IFERROR(__xludf.DUMMYFUNCTION("""COMPUTED_VALUE"""),17.75)</f>
        <v>17.75</v>
      </c>
      <c r="W1268" s="384" t="str">
        <f>IFERROR(__xludf.DUMMYFUNCTION("""COMPUTED_VALUE"""),"Curly")</f>
        <v>Curly</v>
      </c>
      <c r="X1268" s="385"/>
    </row>
    <row r="1269">
      <c r="A1269" s="384" t="s">
        <v>122</v>
      </c>
      <c r="B1269" s="384" t="s">
        <v>261</v>
      </c>
      <c r="C1269" s="389"/>
      <c r="D1269" s="389">
        <v>1.5</v>
      </c>
      <c r="E1269" s="384"/>
      <c r="F1269" s="389"/>
      <c r="G1269" s="389"/>
      <c r="T1269" s="384" t="str">
        <f>IFERROR(__xludf.DUMMYFUNCTION("""COMPUTED_VALUE"""),"Мишель ")</f>
        <v>Мишель </v>
      </c>
      <c r="U1269" s="385">
        <f>IFERROR(__xludf.DUMMYFUNCTION("""COMPUTED_VALUE"""),17.0)</f>
        <v>17</v>
      </c>
      <c r="W1269" s="384" t="str">
        <f>IFERROR(__xludf.DUMMYFUNCTION("""COMPUTED_VALUE"""),"GALAY")</f>
        <v>GALAY</v>
      </c>
      <c r="X1269" s="385"/>
    </row>
    <row r="1270">
      <c r="A1270" s="384" t="s">
        <v>126</v>
      </c>
      <c r="B1270" s="384" t="s">
        <v>271</v>
      </c>
      <c r="C1270" s="389"/>
      <c r="D1270" s="389">
        <v>2.5</v>
      </c>
      <c r="E1270" s="384"/>
      <c r="F1270" s="389"/>
      <c r="G1270" s="389"/>
      <c r="T1270" s="384" t="str">
        <f>IFERROR(__xludf.DUMMYFUNCTION("""COMPUTED_VALUE"""),"A1 ")</f>
        <v>A1 </v>
      </c>
      <c r="U1270" s="385">
        <f>IFERROR(__xludf.DUMMYFUNCTION("""COMPUTED_VALUE"""),15.75)</f>
        <v>15.75</v>
      </c>
      <c r="W1270" s="384" t="str">
        <f>IFERROR(__xludf.DUMMYFUNCTION("""COMPUTED_VALUE"""),"Helga")</f>
        <v>Helga</v>
      </c>
      <c r="X1270" s="385"/>
    </row>
    <row r="1271">
      <c r="A1271" s="384" t="s">
        <v>79</v>
      </c>
      <c r="B1271" s="384" t="s">
        <v>261</v>
      </c>
      <c r="C1271" s="389"/>
      <c r="D1271" s="389">
        <v>3.0</v>
      </c>
      <c r="E1271" s="384"/>
      <c r="F1271" s="389"/>
      <c r="G1271" s="389"/>
      <c r="T1271" s="384" t="str">
        <f>IFERROR(__xludf.DUMMYFUNCTION("""COMPUTED_VALUE"""),"Правда ")</f>
        <v>Правда </v>
      </c>
      <c r="U1271" s="385">
        <f>IFERROR(__xludf.DUMMYFUNCTION("""COMPUTED_VALUE"""),14.75)</f>
        <v>14.75</v>
      </c>
      <c r="W1271" s="384" t="str">
        <f>IFERROR(__xludf.DUMMYFUNCTION("""COMPUTED_VALUE"""),"Infinity ")</f>
        <v>Infinity </v>
      </c>
      <c r="X1271" s="385"/>
    </row>
    <row r="1272">
      <c r="A1272" s="384" t="s">
        <v>124</v>
      </c>
      <c r="B1272" s="384" t="s">
        <v>261</v>
      </c>
      <c r="C1272" s="389"/>
      <c r="D1272" s="389">
        <v>1.75</v>
      </c>
      <c r="E1272" s="384"/>
      <c r="F1272" s="389"/>
      <c r="G1272" s="389"/>
      <c r="T1272" s="384" t="str">
        <f>IFERROR(__xludf.DUMMYFUNCTION("""COMPUTED_VALUE"""),"Авраам")</f>
        <v>Авраам</v>
      </c>
      <c r="U1272" s="385"/>
      <c r="W1272" s="384" t="str">
        <f>IFERROR(__xludf.DUMMYFUNCTION("""COMPUTED_VALUE"""),"Ketamin")</f>
        <v>Ketamin</v>
      </c>
      <c r="X1272" s="385"/>
    </row>
    <row r="1273">
      <c r="A1273" s="384" t="s">
        <v>80</v>
      </c>
      <c r="B1273" s="384" t="s">
        <v>261</v>
      </c>
      <c r="C1273" s="389">
        <v>2.5</v>
      </c>
      <c r="D1273" s="389">
        <v>3.25</v>
      </c>
      <c r="E1273" s="384"/>
      <c r="F1273" s="389"/>
      <c r="G1273" s="389"/>
      <c r="T1273" s="384" t="str">
        <f>IFERROR(__xludf.DUMMYFUNCTION("""COMPUTED_VALUE"""),"Админ")</f>
        <v>Админ</v>
      </c>
      <c r="U1273" s="385"/>
      <c r="W1273" s="384" t="str">
        <f>IFERROR(__xludf.DUMMYFUNCTION("""COMPUTED_VALUE"""),"Light")</f>
        <v>Light</v>
      </c>
      <c r="X1273" s="385"/>
    </row>
    <row r="1274">
      <c r="A1274" s="384" t="s">
        <v>121</v>
      </c>
      <c r="B1274" s="384" t="s">
        <v>271</v>
      </c>
      <c r="C1274" s="389">
        <v>2.5</v>
      </c>
      <c r="D1274" s="389">
        <v>2.5</v>
      </c>
      <c r="E1274" s="384"/>
      <c r="F1274" s="389"/>
      <c r="G1274" s="389"/>
      <c r="T1274" s="384" t="str">
        <f>IFERROR(__xludf.DUMMYFUNCTION("""COMPUTED_VALUE"""),"Андерсен")</f>
        <v>Андерсен</v>
      </c>
      <c r="U1274" s="385"/>
      <c r="W1274" s="384" t="str">
        <f>IFERROR(__xludf.DUMMYFUNCTION("""COMPUTED_VALUE"""),"Morti")</f>
        <v>Morti</v>
      </c>
      <c r="X1274" s="385"/>
    </row>
    <row r="1275">
      <c r="A1275" s="384" t="s">
        <v>106</v>
      </c>
      <c r="B1275" s="384" t="s">
        <v>261</v>
      </c>
      <c r="C1275" s="389">
        <v>2.5</v>
      </c>
      <c r="D1275" s="389">
        <v>3.0</v>
      </c>
      <c r="E1275" s="384"/>
      <c r="F1275" s="389"/>
      <c r="G1275" s="389"/>
      <c r="T1275" s="384" t="str">
        <f>IFERROR(__xludf.DUMMYFUNCTION("""COMPUTED_VALUE"""),"Астория")</f>
        <v>Астория</v>
      </c>
      <c r="U1275" s="385"/>
      <c r="W1275" s="384" t="str">
        <f>IFERROR(__xludf.DUMMYFUNCTION("""COMPUTED_VALUE"""),"MSR")</f>
        <v>MSR</v>
      </c>
      <c r="X1275" s="385"/>
    </row>
    <row r="1276">
      <c r="A1276" s="384" t="s">
        <v>95</v>
      </c>
      <c r="B1276" s="384" t="s">
        <v>261</v>
      </c>
      <c r="C1276" s="389">
        <v>2.5</v>
      </c>
      <c r="D1276" s="389">
        <v>3.75</v>
      </c>
      <c r="E1276" s="384" t="s">
        <v>260</v>
      </c>
      <c r="F1276" s="389"/>
      <c r="G1276" s="389"/>
      <c r="T1276" s="384" t="str">
        <f>IFERROR(__xludf.DUMMYFUNCTION("""COMPUTED_VALUE"""),"Аш")</f>
        <v>Аш</v>
      </c>
      <c r="U1276" s="385"/>
      <c r="W1276" s="384" t="str">
        <f>IFERROR(__xludf.DUMMYFUNCTION("""COMPUTED_VALUE"""),"NLIP")</f>
        <v>NLIP</v>
      </c>
      <c r="X1276" s="385"/>
    </row>
    <row r="1277">
      <c r="A1277" s="384" t="s">
        <v>89</v>
      </c>
      <c r="B1277" s="384" t="s">
        <v>269</v>
      </c>
      <c r="C1277" s="389"/>
      <c r="D1277" s="389">
        <v>3.0</v>
      </c>
      <c r="E1277" s="384" t="s">
        <v>263</v>
      </c>
      <c r="F1277" s="389"/>
      <c r="G1277" s="389"/>
      <c r="T1277" s="384" t="str">
        <f>IFERROR(__xludf.DUMMYFUNCTION("""COMPUTED_VALUE"""),"Бамблби")</f>
        <v>Бамблби</v>
      </c>
      <c r="U1277" s="385"/>
      <c r="W1277" s="384" t="str">
        <f>IFERROR(__xludf.DUMMYFUNCTION("""COMPUTED_VALUE"""),"Rocket woman ")</f>
        <v>Rocket woman </v>
      </c>
      <c r="X1277" s="385"/>
    </row>
    <row r="1278">
      <c r="A1278" s="384" t="s">
        <v>113</v>
      </c>
      <c r="B1278" s="384" t="s">
        <v>269</v>
      </c>
      <c r="C1278" s="389"/>
      <c r="D1278" s="389">
        <v>2.75</v>
      </c>
      <c r="E1278" s="384"/>
      <c r="F1278" s="389"/>
      <c r="G1278" s="389"/>
      <c r="T1278" s="384" t="str">
        <f>IFERROR(__xludf.DUMMYFUNCTION("""COMPUTED_VALUE"""),"Волга")</f>
        <v>Волга</v>
      </c>
      <c r="U1278" s="385"/>
      <c r="W1278" s="384" t="str">
        <f>IFERROR(__xludf.DUMMYFUNCTION("""COMPUTED_VALUE"""),"SCHOKK ")</f>
        <v>SCHOKK </v>
      </c>
      <c r="X1278" s="385"/>
    </row>
    <row r="1279">
      <c r="A1279" s="384" t="s">
        <v>122</v>
      </c>
      <c r="B1279" s="384" t="s">
        <v>261</v>
      </c>
      <c r="C1279" s="389">
        <v>2.5</v>
      </c>
      <c r="D1279" s="389">
        <v>2.25</v>
      </c>
      <c r="E1279" s="384"/>
      <c r="F1279" s="389"/>
      <c r="G1279" s="389"/>
      <c r="T1279" s="384" t="str">
        <f>IFERROR(__xludf.DUMMYFUNCTION("""COMPUTED_VALUE"""),"Градиент")</f>
        <v>Градиент</v>
      </c>
      <c r="U1279" s="385"/>
      <c r="W1279" s="384" t="str">
        <f>IFERROR(__xludf.DUMMYFUNCTION("""COMPUTED_VALUE"""),"SOVEST")</f>
        <v>SOVEST</v>
      </c>
      <c r="X1279" s="385"/>
    </row>
    <row r="1280">
      <c r="A1280" s="384" t="s">
        <v>126</v>
      </c>
      <c r="B1280" s="384" t="s">
        <v>261</v>
      </c>
      <c r="C1280" s="389">
        <v>2.5</v>
      </c>
      <c r="D1280" s="389">
        <v>3.0</v>
      </c>
      <c r="E1280" s="384" t="s">
        <v>260</v>
      </c>
      <c r="F1280" s="389"/>
      <c r="G1280" s="389"/>
      <c r="T1280" s="384" t="str">
        <f>IFERROR(__xludf.DUMMYFUNCTION("""COMPUTED_VALUE"""),"Дровосек")</f>
        <v>Дровосек</v>
      </c>
      <c r="U1280" s="385"/>
      <c r="W1280" s="384" t="str">
        <f>IFERROR(__xludf.DUMMYFUNCTION("""COMPUTED_VALUE"""),"Stacy")</f>
        <v>Stacy</v>
      </c>
      <c r="X1280" s="385"/>
    </row>
    <row r="1281">
      <c r="A1281" s="384" t="s">
        <v>79</v>
      </c>
      <c r="B1281" s="384" t="s">
        <v>265</v>
      </c>
      <c r="C1281" s="389"/>
      <c r="D1281" s="389">
        <v>1.75</v>
      </c>
      <c r="E1281" s="384"/>
      <c r="F1281" s="389"/>
      <c r="G1281" s="389"/>
      <c r="T1281" s="384" t="str">
        <f>IFERROR(__xludf.DUMMYFUNCTION("""COMPUTED_VALUE"""),"Зверюга")</f>
        <v>Зверюга</v>
      </c>
      <c r="U1281" s="385"/>
      <c r="W1281" s="384" t="str">
        <f>IFERROR(__xludf.DUMMYFUNCTION("""COMPUTED_VALUE"""),"Young")</f>
        <v>Young</v>
      </c>
      <c r="X1281" s="385"/>
    </row>
    <row r="1282">
      <c r="A1282" s="384" t="s">
        <v>124</v>
      </c>
      <c r="B1282" s="384" t="s">
        <v>261</v>
      </c>
      <c r="C1282" s="389">
        <v>2.5</v>
      </c>
      <c r="D1282" s="389">
        <v>2.5</v>
      </c>
      <c r="E1282" s="384"/>
      <c r="F1282" s="389"/>
      <c r="G1282" s="389"/>
      <c r="T1282" s="384" t="str">
        <f>IFERROR(__xludf.DUMMYFUNCTION("""COMPUTED_VALUE"""),"Красавчик")</f>
        <v>Красавчик</v>
      </c>
      <c r="U1282" s="385"/>
      <c r="W1282" s="384" t="str">
        <f>IFERROR(__xludf.DUMMYFUNCTION("""COMPUTED_VALUE"""),"Авраам")</f>
        <v>Авраам</v>
      </c>
      <c r="X1282" s="385"/>
    </row>
    <row r="1283">
      <c r="A1283" s="384" t="s">
        <v>80</v>
      </c>
      <c r="B1283" s="384" t="s">
        <v>265</v>
      </c>
      <c r="C1283" s="389">
        <v>2.5</v>
      </c>
      <c r="D1283" s="389">
        <v>4.5</v>
      </c>
      <c r="E1283" s="384"/>
      <c r="F1283" s="389"/>
      <c r="G1283" s="389"/>
      <c r="T1283" s="384" t="str">
        <f>IFERROR(__xludf.DUMMYFUNCTION("""COMPUTED_VALUE"""),"Крестный отец (BLR)")</f>
        <v>Крестный отец (BLR)</v>
      </c>
      <c r="U1283" s="385"/>
      <c r="W1283" s="384" t="str">
        <f>IFERROR(__xludf.DUMMYFUNCTION("""COMPUTED_VALUE"""),"Админ")</f>
        <v>Админ</v>
      </c>
      <c r="X1283" s="385"/>
    </row>
    <row r="1284">
      <c r="A1284" s="384" t="s">
        <v>121</v>
      </c>
      <c r="B1284" s="384" t="s">
        <v>269</v>
      </c>
      <c r="C1284" s="389">
        <v>2.5</v>
      </c>
      <c r="D1284" s="389">
        <v>4.0</v>
      </c>
      <c r="E1284" s="384"/>
      <c r="F1284" s="389"/>
      <c r="G1284" s="389"/>
      <c r="T1284" s="384" t="str">
        <f>IFERROR(__xludf.DUMMYFUNCTION("""COMPUTED_VALUE"""),"Крёстный Отец (RU)")</f>
        <v>Крёстный Отец (RU)</v>
      </c>
      <c r="U1284" s="385"/>
      <c r="W1284" s="384" t="str">
        <f>IFERROR(__xludf.DUMMYFUNCTION("""COMPUTED_VALUE"""),"Андерсен")</f>
        <v>Андерсен</v>
      </c>
      <c r="X1284" s="385"/>
    </row>
    <row r="1285">
      <c r="A1285" s="384" t="s">
        <v>106</v>
      </c>
      <c r="B1285" s="384" t="s">
        <v>269</v>
      </c>
      <c r="C1285" s="389">
        <v>2.5</v>
      </c>
      <c r="D1285" s="389">
        <v>3.5</v>
      </c>
      <c r="E1285" s="384"/>
      <c r="F1285" s="389"/>
      <c r="G1285" s="389"/>
      <c r="T1285" s="384" t="str">
        <f>IFERROR(__xludf.DUMMYFUNCTION("""COMPUTED_VALUE"""),"Крот")</f>
        <v>Крот</v>
      </c>
      <c r="U1285" s="385"/>
      <c r="W1285" s="384" t="str">
        <f>IFERROR(__xludf.DUMMYFUNCTION("""COMPUTED_VALUE"""),"Артик")</f>
        <v>Артик</v>
      </c>
      <c r="X1285" s="385"/>
    </row>
    <row r="1286">
      <c r="A1286" s="384" t="s">
        <v>95</v>
      </c>
      <c r="B1286" s="384" t="s">
        <v>261</v>
      </c>
      <c r="C1286" s="389"/>
      <c r="D1286" s="389">
        <v>4.25</v>
      </c>
      <c r="E1286" s="384"/>
      <c r="F1286" s="389"/>
      <c r="G1286" s="389"/>
      <c r="T1286" s="384" t="str">
        <f>IFERROR(__xludf.DUMMYFUNCTION("""COMPUTED_VALUE"""),"Левша")</f>
        <v>Левша</v>
      </c>
      <c r="U1286" s="385"/>
      <c r="W1286" s="384" t="str">
        <f>IFERROR(__xludf.DUMMYFUNCTION("""COMPUTED_VALUE"""),"Бамблби")</f>
        <v>Бамблби</v>
      </c>
      <c r="X1286" s="385"/>
    </row>
    <row r="1287">
      <c r="A1287" s="384" t="s">
        <v>89</v>
      </c>
      <c r="B1287" s="384" t="s">
        <v>261</v>
      </c>
      <c r="C1287" s="389"/>
      <c r="D1287" s="389">
        <v>4.0</v>
      </c>
      <c r="E1287" s="384"/>
      <c r="F1287" s="389"/>
      <c r="G1287" s="389"/>
      <c r="T1287" s="384" t="str">
        <f>IFERROR(__xludf.DUMMYFUNCTION("""COMPUTED_VALUE"""),"Лисичка")</f>
        <v>Лисичка</v>
      </c>
      <c r="U1287" s="385"/>
      <c r="W1287" s="384" t="str">
        <f>IFERROR(__xludf.DUMMYFUNCTION("""COMPUTED_VALUE"""),"Градиент")</f>
        <v>Градиент</v>
      </c>
      <c r="X1287" s="385"/>
    </row>
    <row r="1288">
      <c r="A1288" s="384" t="s">
        <v>113</v>
      </c>
      <c r="B1288" s="384" t="s">
        <v>261</v>
      </c>
      <c r="C1288" s="389"/>
      <c r="D1288" s="389">
        <v>2.0</v>
      </c>
      <c r="E1288" s="384" t="s">
        <v>11</v>
      </c>
      <c r="F1288" s="389"/>
      <c r="G1288" s="389">
        <v>0.5</v>
      </c>
      <c r="T1288" s="384" t="str">
        <f>IFERROR(__xludf.DUMMYFUNCTION("""COMPUTED_VALUE"""),"Маваши")</f>
        <v>Маваши</v>
      </c>
      <c r="U1288" s="385"/>
      <c r="W1288" s="384" t="str">
        <f>IFERROR(__xludf.DUMMYFUNCTION("""COMPUTED_VALUE"""),"Дровосек")</f>
        <v>Дровосек</v>
      </c>
      <c r="X1288" s="385"/>
    </row>
    <row r="1289">
      <c r="A1289" s="384" t="s">
        <v>122</v>
      </c>
      <c r="B1289" s="384" t="s">
        <v>261</v>
      </c>
      <c r="C1289" s="389"/>
      <c r="D1289" s="389">
        <v>1.0</v>
      </c>
      <c r="E1289" s="384"/>
      <c r="F1289" s="389"/>
      <c r="G1289" s="389"/>
      <c r="T1289" s="384" t="str">
        <f>IFERROR(__xludf.DUMMYFUNCTION("""COMPUTED_VALUE"""),"Манекен")</f>
        <v>Манекен</v>
      </c>
      <c r="U1289" s="385"/>
      <c r="W1289" s="384" t="str">
        <f>IFERROR(__xludf.DUMMYFUNCTION("""COMPUTED_VALUE"""),"Зверюга")</f>
        <v>Зверюга</v>
      </c>
      <c r="X1289" s="385"/>
    </row>
    <row r="1290">
      <c r="A1290" s="384" t="s">
        <v>126</v>
      </c>
      <c r="B1290" s="384" t="s">
        <v>261</v>
      </c>
      <c r="C1290" s="389"/>
      <c r="D1290" s="389">
        <v>1.0</v>
      </c>
      <c r="E1290" s="384"/>
      <c r="F1290" s="389"/>
      <c r="G1290" s="389"/>
      <c r="T1290" s="384" t="str">
        <f>IFERROR(__xludf.DUMMYFUNCTION("""COMPUTED_VALUE"""),"Марго")</f>
        <v>Марго</v>
      </c>
      <c r="U1290" s="385"/>
      <c r="W1290" s="384" t="str">
        <f>IFERROR(__xludf.DUMMYFUNCTION("""COMPUTED_VALUE"""),"Инсомнич")</f>
        <v>Инсомнич</v>
      </c>
      <c r="X1290" s="385"/>
    </row>
    <row r="1291">
      <c r="A1291" s="384" t="s">
        <v>79</v>
      </c>
      <c r="B1291" s="384" t="s">
        <v>261</v>
      </c>
      <c r="C1291" s="389"/>
      <c r="D1291" s="389">
        <v>1.0</v>
      </c>
      <c r="E1291" s="384"/>
      <c r="F1291" s="389"/>
      <c r="G1291" s="389"/>
      <c r="T1291" s="384" t="str">
        <f>IFERROR(__xludf.DUMMYFUNCTION("""COMPUTED_VALUE"""),"Ментик")</f>
        <v>Ментик</v>
      </c>
      <c r="U1291" s="385"/>
      <c r="W1291" s="384" t="str">
        <f>IFERROR(__xludf.DUMMYFUNCTION("""COMPUTED_VALUE"""),"Крестный отец (BLR)")</f>
        <v>Крестный отец (BLR)</v>
      </c>
      <c r="X1291" s="385"/>
    </row>
    <row r="1292">
      <c r="A1292" s="384" t="s">
        <v>124</v>
      </c>
      <c r="B1292" s="384" t="s">
        <v>271</v>
      </c>
      <c r="C1292" s="389"/>
      <c r="D1292" s="389">
        <v>2.5</v>
      </c>
      <c r="E1292" s="384"/>
      <c r="F1292" s="389"/>
      <c r="G1292" s="389"/>
      <c r="T1292" s="384" t="str">
        <f>IFERROR(__xludf.DUMMYFUNCTION("""COMPUTED_VALUE"""),"Наполеон")</f>
        <v>Наполеон</v>
      </c>
      <c r="U1292" s="385"/>
      <c r="W1292" s="384" t="str">
        <f>IFERROR(__xludf.DUMMYFUNCTION("""COMPUTED_VALUE"""),"Крёстный Отец (RU)")</f>
        <v>Крёстный Отец (RU)</v>
      </c>
      <c r="X1292" s="385"/>
    </row>
    <row r="1293">
      <c r="A1293" s="384" t="s">
        <v>80</v>
      </c>
      <c r="B1293" s="384" t="s">
        <v>261</v>
      </c>
      <c r="C1293" s="389">
        <v>2.5</v>
      </c>
      <c r="D1293" s="389">
        <v>2.25</v>
      </c>
      <c r="E1293" s="384" t="s">
        <v>11</v>
      </c>
      <c r="F1293" s="389"/>
      <c r="G1293" s="389">
        <v>0.5</v>
      </c>
      <c r="T1293" s="384" t="str">
        <f>IFERROR(__xludf.DUMMYFUNCTION("""COMPUTED_VALUE"""),"Панда из Руанды")</f>
        <v>Панда из Руанды</v>
      </c>
      <c r="U1293" s="385"/>
      <c r="W1293" s="384" t="str">
        <f>IFERROR(__xludf.DUMMYFUNCTION("""COMPUTED_VALUE"""),"Крот")</f>
        <v>Крот</v>
      </c>
      <c r="X1293" s="385"/>
    </row>
    <row r="1294">
      <c r="A1294" s="384" t="s">
        <v>121</v>
      </c>
      <c r="B1294" s="384" t="s">
        <v>271</v>
      </c>
      <c r="C1294" s="389">
        <v>2.5</v>
      </c>
      <c r="D1294" s="389">
        <v>3.5</v>
      </c>
      <c r="E1294" s="384"/>
      <c r="F1294" s="389"/>
      <c r="G1294" s="389"/>
      <c r="T1294" s="384" t="str">
        <f>IFERROR(__xludf.DUMMYFUNCTION("""COMPUTED_VALUE"""),"РФ")</f>
        <v>РФ</v>
      </c>
      <c r="U1294" s="385"/>
      <c r="W1294" s="384" t="str">
        <f>IFERROR(__xludf.DUMMYFUNCTION("""COMPUTED_VALUE"""),"Лисичка")</f>
        <v>Лисичка</v>
      </c>
      <c r="X1294" s="385"/>
    </row>
    <row r="1295">
      <c r="A1295" s="384" t="s">
        <v>106</v>
      </c>
      <c r="B1295" s="384" t="s">
        <v>261</v>
      </c>
      <c r="C1295" s="389">
        <v>2.5</v>
      </c>
      <c r="D1295" s="389">
        <v>3.0</v>
      </c>
      <c r="E1295" s="384"/>
      <c r="F1295" s="389"/>
      <c r="G1295" s="389"/>
      <c r="T1295" s="384" t="str">
        <f>IFERROR(__xludf.DUMMYFUNCTION("""COMPUTED_VALUE"""),"Старый")</f>
        <v>Старый</v>
      </c>
      <c r="U1295" s="385"/>
      <c r="W1295" s="384" t="str">
        <f>IFERROR(__xludf.DUMMYFUNCTION("""COMPUTED_VALUE"""),"Маваши")</f>
        <v>Маваши</v>
      </c>
      <c r="X1295" s="385"/>
    </row>
    <row r="1296">
      <c r="A1296" s="384" t="s">
        <v>95</v>
      </c>
      <c r="B1296" s="384" t="s">
        <v>265</v>
      </c>
      <c r="C1296" s="389"/>
      <c r="D1296" s="389">
        <v>2.5</v>
      </c>
      <c r="E1296" s="384"/>
      <c r="F1296" s="389"/>
      <c r="G1296" s="389"/>
      <c r="T1296" s="384" t="str">
        <f>IFERROR(__xludf.DUMMYFUNCTION("""COMPUTED_VALUE"""),"СЭНСЭЙ")</f>
        <v>СЭНСЭЙ</v>
      </c>
      <c r="U1296" s="385"/>
      <c r="W1296" s="384" t="str">
        <f>IFERROR(__xludf.DUMMYFUNCTION("""COMPUTED_VALUE"""),"Манекен")</f>
        <v>Манекен</v>
      </c>
      <c r="X1296" s="385"/>
    </row>
    <row r="1297">
      <c r="A1297" s="384" t="s">
        <v>89</v>
      </c>
      <c r="B1297" s="384" t="s">
        <v>261</v>
      </c>
      <c r="C1297" s="389">
        <v>2.5</v>
      </c>
      <c r="D1297" s="389">
        <v>4.0</v>
      </c>
      <c r="E1297" s="384"/>
      <c r="F1297" s="389"/>
      <c r="G1297" s="389"/>
      <c r="T1297" s="384" t="str">
        <f>IFERROR(__xludf.DUMMYFUNCTION("""COMPUTED_VALUE"""),"Coach")</f>
        <v>Coach</v>
      </c>
      <c r="U1297" s="385"/>
      <c r="W1297" s="384" t="str">
        <f>IFERROR(__xludf.DUMMYFUNCTION("""COMPUTED_VALUE"""),"Марго")</f>
        <v>Марго</v>
      </c>
      <c r="X1297" s="385"/>
    </row>
    <row r="1298">
      <c r="A1298" s="384" t="s">
        <v>113</v>
      </c>
      <c r="B1298" s="384" t="s">
        <v>269</v>
      </c>
      <c r="C1298" s="389"/>
      <c r="D1298" s="389">
        <v>2.0</v>
      </c>
      <c r="E1298" s="384"/>
      <c r="F1298" s="389"/>
      <c r="G1298" s="389"/>
      <c r="T1298" s="384" t="str">
        <f>IFERROR(__xludf.DUMMYFUNCTION("""COMPUTED_VALUE"""),"Тихий закат")</f>
        <v>Тихий закат</v>
      </c>
      <c r="U1298" s="385"/>
      <c r="W1298" s="384" t="str">
        <f>IFERROR(__xludf.DUMMYFUNCTION("""COMPUTED_VALUE"""),"Мишель ")</f>
        <v>Мишель </v>
      </c>
      <c r="X1298" s="385"/>
    </row>
    <row r="1299">
      <c r="A1299" s="384" t="s">
        <v>122</v>
      </c>
      <c r="B1299" s="384" t="s">
        <v>261</v>
      </c>
      <c r="C1299" s="389">
        <v>2.5</v>
      </c>
      <c r="D1299" s="389">
        <v>3.25</v>
      </c>
      <c r="E1299" s="384"/>
      <c r="F1299" s="389"/>
      <c r="G1299" s="389"/>
      <c r="T1299" s="384" t="str">
        <f>IFERROR(__xludf.DUMMYFUNCTION("""COMPUTED_VALUE"""),"Флэш")</f>
        <v>Флэш</v>
      </c>
      <c r="U1299" s="385"/>
      <c r="W1299" s="384" t="str">
        <f>IFERROR(__xludf.DUMMYFUNCTION("""COMPUTED_VALUE"""),"Наполеон")</f>
        <v>Наполеон</v>
      </c>
      <c r="X1299" s="385"/>
    </row>
    <row r="1300">
      <c r="A1300" s="384" t="s">
        <v>126</v>
      </c>
      <c r="B1300" s="384" t="s">
        <v>261</v>
      </c>
      <c r="C1300" s="389">
        <v>2.5</v>
      </c>
      <c r="D1300" s="389">
        <v>3.0</v>
      </c>
      <c r="E1300" s="384"/>
      <c r="F1300" s="389"/>
      <c r="G1300" s="389"/>
      <c r="T1300" s="384" t="str">
        <f>IFERROR(__xludf.DUMMYFUNCTION("""COMPUTED_VALUE"""),"Фокс")</f>
        <v>Фокс</v>
      </c>
      <c r="U1300" s="385"/>
      <c r="W1300" s="384" t="str">
        <f>IFERROR(__xludf.DUMMYFUNCTION("""COMPUTED_VALUE"""),"Панда из Руанды")</f>
        <v>Панда из Руанды</v>
      </c>
      <c r="X1300" s="385"/>
    </row>
    <row r="1301">
      <c r="A1301" s="384" t="s">
        <v>79</v>
      </c>
      <c r="B1301" s="384" t="s">
        <v>261</v>
      </c>
      <c r="C1301" s="389">
        <v>2.5</v>
      </c>
      <c r="D1301" s="389">
        <v>2.25</v>
      </c>
      <c r="E1301" s="384"/>
      <c r="F1301" s="389"/>
      <c r="G1301" s="389"/>
      <c r="T1301" s="384" t="str">
        <f>IFERROR(__xludf.DUMMYFUNCTION("""COMPUTED_VALUE"""),"Шоу Бой")</f>
        <v>Шоу Бой</v>
      </c>
      <c r="U1301" s="385"/>
      <c r="W1301" s="384" t="str">
        <f>IFERROR(__xludf.DUMMYFUNCTION("""COMPUTED_VALUE"""),"Писатель ")</f>
        <v>Писатель </v>
      </c>
      <c r="X1301" s="385"/>
    </row>
    <row r="1302">
      <c r="A1302" s="384" t="s">
        <v>124</v>
      </c>
      <c r="B1302" s="384" t="s">
        <v>269</v>
      </c>
      <c r="C1302" s="389"/>
      <c r="D1302" s="389">
        <v>2.5</v>
      </c>
      <c r="E1302" s="384"/>
      <c r="F1302" s="389"/>
      <c r="G1302" s="389"/>
      <c r="T1302" s="384" t="str">
        <f>IFERROR(__xludf.DUMMYFUNCTION("""COMPUTED_VALUE"""),"Шпиц")</f>
        <v>Шпиц</v>
      </c>
      <c r="U1302" s="385"/>
      <c r="W1302" s="384" t="str">
        <f>IFERROR(__xludf.DUMMYFUNCTION("""COMPUTED_VALUE"""),"Правда ")</f>
        <v>Правда </v>
      </c>
      <c r="X1302" s="385"/>
    </row>
    <row r="1303">
      <c r="A1303" s="384" t="s">
        <v>123</v>
      </c>
      <c r="B1303" s="384" t="s">
        <v>261</v>
      </c>
      <c r="C1303" s="389">
        <v>2.5</v>
      </c>
      <c r="D1303" s="389">
        <v>3.5</v>
      </c>
      <c r="E1303" s="384"/>
      <c r="F1303" s="389"/>
      <c r="G1303" s="389"/>
      <c r="T1303" s="384" t="str">
        <f>IFERROR(__xludf.DUMMYFUNCTION("""COMPUTED_VALUE"""),"Юрия")</f>
        <v>Юрия</v>
      </c>
      <c r="U1303" s="385"/>
      <c r="W1303" s="384" t="str">
        <f>IFERROR(__xludf.DUMMYFUNCTION("""COMPUTED_VALUE"""),"Продюсер")</f>
        <v>Продюсер</v>
      </c>
      <c r="X1303" s="385"/>
    </row>
    <row r="1304">
      <c r="A1304" s="384" t="s">
        <v>121</v>
      </c>
      <c r="B1304" s="384" t="s">
        <v>271</v>
      </c>
      <c r="C1304" s="389">
        <v>2.5</v>
      </c>
      <c r="D1304" s="389">
        <v>3.5</v>
      </c>
      <c r="E1304" s="384"/>
      <c r="F1304" s="389"/>
      <c r="G1304" s="389"/>
      <c r="T1304" s="384" t="str">
        <f>IFERROR(__xludf.DUMMYFUNCTION("""COMPUTED_VALUE"""),"Bublik")</f>
        <v>Bublik</v>
      </c>
      <c r="U1304" s="385"/>
      <c r="W1304" s="384" t="str">
        <f>IFERROR(__xludf.DUMMYFUNCTION("""COMPUTED_VALUE"""),"РФ")</f>
        <v>РФ</v>
      </c>
      <c r="X1304" s="385"/>
    </row>
    <row r="1305">
      <c r="A1305" s="384" t="s">
        <v>127</v>
      </c>
      <c r="B1305" s="384" t="s">
        <v>261</v>
      </c>
      <c r="C1305" s="389">
        <v>2.5</v>
      </c>
      <c r="D1305" s="389">
        <v>4.5</v>
      </c>
      <c r="E1305" s="384"/>
      <c r="F1305" s="389"/>
      <c r="G1305" s="389"/>
      <c r="T1305" s="384" t="str">
        <f>IFERROR(__xludf.DUMMYFUNCTION("""COMPUTED_VALUE"""),"BWDMoscow")</f>
        <v>BWDMoscow</v>
      </c>
      <c r="U1305" s="385"/>
      <c r="W1305" s="384" t="str">
        <f>IFERROR(__xludf.DUMMYFUNCTION("""COMPUTED_VALUE"""),"СЭНСЭЙ")</f>
        <v>СЭНСЭЙ</v>
      </c>
      <c r="X1305" s="385"/>
    </row>
    <row r="1306">
      <c r="A1306" s="384" t="s">
        <v>92</v>
      </c>
      <c r="B1306" s="384" t="s">
        <v>261</v>
      </c>
      <c r="C1306" s="389">
        <v>2.5</v>
      </c>
      <c r="D1306" s="389">
        <v>3.25</v>
      </c>
      <c r="E1306" s="384"/>
      <c r="F1306" s="389"/>
      <c r="G1306" s="389"/>
      <c r="T1306" s="384" t="str">
        <f>IFERROR(__xludf.DUMMYFUNCTION("""COMPUTED_VALUE"""),"Castor Troy ")</f>
        <v>Castor Troy </v>
      </c>
      <c r="U1306" s="385"/>
      <c r="W1306" s="384" t="str">
        <f>IFERROR(__xludf.DUMMYFUNCTION("""COMPUTED_VALUE"""),"Coach")</f>
        <v>Coach</v>
      </c>
      <c r="X1306" s="385"/>
    </row>
    <row r="1307">
      <c r="A1307" s="384" t="s">
        <v>129</v>
      </c>
      <c r="B1307" s="384" t="s">
        <v>261</v>
      </c>
      <c r="C1307" s="389">
        <v>2.5</v>
      </c>
      <c r="D1307" s="389">
        <v>4.5</v>
      </c>
      <c r="E1307" s="384"/>
      <c r="F1307" s="389"/>
      <c r="G1307" s="389"/>
      <c r="T1307" s="384" t="str">
        <f>IFERROR(__xludf.DUMMYFUNCTION("""COMPUTED_VALUE"""),"Cristo")</f>
        <v>Cristo</v>
      </c>
      <c r="U1307" s="385"/>
      <c r="W1307" s="384" t="str">
        <f>IFERROR(__xludf.DUMMYFUNCTION("""COMPUTED_VALUE"""),"Тихий закат")</f>
        <v>Тихий закат</v>
      </c>
      <c r="X1307" s="385"/>
    </row>
    <row r="1308">
      <c r="A1308" s="384" t="s">
        <v>80</v>
      </c>
      <c r="B1308" s="384" t="s">
        <v>269</v>
      </c>
      <c r="C1308" s="389"/>
      <c r="D1308" s="389">
        <v>2.0</v>
      </c>
      <c r="E1308" s="384"/>
      <c r="F1308" s="389"/>
      <c r="G1308" s="389"/>
      <c r="T1308" s="384" t="str">
        <f>IFERROR(__xludf.DUMMYFUNCTION("""COMPUTED_VALUE"""),"GALAY")</f>
        <v>GALAY</v>
      </c>
      <c r="U1308" s="385"/>
      <c r="W1308" s="384" t="str">
        <f>IFERROR(__xludf.DUMMYFUNCTION("""COMPUTED_VALUE"""),"Физик")</f>
        <v>Физик</v>
      </c>
      <c r="X1308" s="385"/>
    </row>
    <row r="1309">
      <c r="A1309" s="384" t="s">
        <v>124</v>
      </c>
      <c r="B1309" s="384" t="s">
        <v>261</v>
      </c>
      <c r="C1309" s="389">
        <v>2.5</v>
      </c>
      <c r="D1309" s="389">
        <v>2.75</v>
      </c>
      <c r="E1309" s="384"/>
      <c r="F1309" s="389"/>
      <c r="G1309" s="389"/>
      <c r="T1309" s="384" t="str">
        <f>IFERROR(__xludf.DUMMYFUNCTION("""COMPUTED_VALUE"""),"Helga")</f>
        <v>Helga</v>
      </c>
      <c r="U1309" s="385"/>
      <c r="W1309" s="384" t="str">
        <f>IFERROR(__xludf.DUMMYFUNCTION("""COMPUTED_VALUE"""),"Флэш")</f>
        <v>Флэш</v>
      </c>
      <c r="X1309" s="385"/>
    </row>
    <row r="1310">
      <c r="A1310" s="384" t="s">
        <v>135</v>
      </c>
      <c r="B1310" s="384" t="s">
        <v>265</v>
      </c>
      <c r="C1310" s="389"/>
      <c r="D1310" s="389">
        <v>1.5</v>
      </c>
      <c r="E1310" s="384"/>
      <c r="F1310" s="389"/>
      <c r="G1310" s="389"/>
      <c r="T1310" s="384" t="str">
        <f>IFERROR(__xludf.DUMMYFUNCTION("""COMPUTED_VALUE"""),"Infinity ")</f>
        <v>Infinity </v>
      </c>
      <c r="U1310" s="385"/>
      <c r="W1310" s="384" t="str">
        <f>IFERROR(__xludf.DUMMYFUNCTION("""COMPUTED_VALUE"""),"Шоу Бой")</f>
        <v>Шоу Бой</v>
      </c>
      <c r="X1310" s="385"/>
    </row>
    <row r="1311">
      <c r="A1311" s="384" t="s">
        <v>137</v>
      </c>
      <c r="B1311" s="384" t="s">
        <v>261</v>
      </c>
      <c r="C1311" s="389">
        <v>2.5</v>
      </c>
      <c r="D1311" s="389">
        <v>2.25</v>
      </c>
      <c r="E1311" s="384" t="s">
        <v>11</v>
      </c>
      <c r="F1311" s="389"/>
      <c r="G1311" s="389">
        <v>0.5</v>
      </c>
      <c r="T1311" s="384" t="str">
        <f>IFERROR(__xludf.DUMMYFUNCTION("""COMPUTED_VALUE"""),"Ketamin")</f>
        <v>Ketamin</v>
      </c>
      <c r="U1311" s="385"/>
      <c r="W1311" s="384" t="str">
        <f>IFERROR(__xludf.DUMMYFUNCTION("""COMPUTED_VALUE"""),"Шпиц")</f>
        <v>Шпиц</v>
      </c>
      <c r="X1311" s="385"/>
    </row>
    <row r="1312">
      <c r="A1312" s="384" t="s">
        <v>134</v>
      </c>
      <c r="B1312" s="384" t="s">
        <v>269</v>
      </c>
      <c r="C1312" s="389"/>
      <c r="D1312" s="389">
        <v>2.25</v>
      </c>
      <c r="E1312" s="384"/>
      <c r="F1312" s="389"/>
      <c r="G1312" s="389"/>
      <c r="T1312" s="384" t="str">
        <f>IFERROR(__xludf.DUMMYFUNCTION("""COMPUTED_VALUE"""),"Light")</f>
        <v>Light</v>
      </c>
      <c r="U1312" s="385"/>
      <c r="W1312" s="384" t="str">
        <f>IFERROR(__xludf.DUMMYFUNCTION("""COMPUTED_VALUE"""),"Юрия")</f>
        <v>Юрия</v>
      </c>
      <c r="X1312" s="385"/>
    </row>
    <row r="1313">
      <c r="A1313" s="384" t="s">
        <v>123</v>
      </c>
      <c r="B1313" s="384" t="s">
        <v>261</v>
      </c>
      <c r="C1313" s="389"/>
      <c r="D1313" s="389">
        <v>3.0</v>
      </c>
      <c r="E1313" s="384" t="s">
        <v>11</v>
      </c>
      <c r="F1313" s="389"/>
      <c r="G1313" s="389">
        <v>0.5</v>
      </c>
      <c r="T1313" s="384" t="str">
        <f>IFERROR(__xludf.DUMMYFUNCTION("""COMPUTED_VALUE"""),"Morti")</f>
        <v>Morti</v>
      </c>
      <c r="U1313" s="385"/>
      <c r="W1313" s="384" t="str">
        <f>IFERROR(__xludf.DUMMYFUNCTION("""COMPUTED_VALUE"""),"A1 ")</f>
        <v>A1 </v>
      </c>
      <c r="X1313" s="385"/>
    </row>
    <row r="1314">
      <c r="A1314" s="384" t="s">
        <v>121</v>
      </c>
      <c r="B1314" s="384" t="s">
        <v>269</v>
      </c>
      <c r="C1314" s="389">
        <v>2.5</v>
      </c>
      <c r="D1314" s="389">
        <v>4.0</v>
      </c>
      <c r="E1314" s="384"/>
      <c r="F1314" s="389"/>
      <c r="G1314" s="389"/>
      <c r="T1314" s="384" t="str">
        <f>IFERROR(__xludf.DUMMYFUNCTION("""COMPUTED_VALUE"""),"MSR")</f>
        <v>MSR</v>
      </c>
      <c r="U1314" s="385"/>
      <c r="W1314" s="384" t="str">
        <f>IFERROR(__xludf.DUMMYFUNCTION("""COMPUTED_VALUE"""),"Alice ")</f>
        <v>Alice </v>
      </c>
      <c r="X1314" s="385"/>
    </row>
    <row r="1315">
      <c r="A1315" s="384" t="s">
        <v>127</v>
      </c>
      <c r="B1315" s="384" t="s">
        <v>261</v>
      </c>
      <c r="C1315" s="389"/>
      <c r="D1315" s="389">
        <v>2.5</v>
      </c>
      <c r="E1315" s="384"/>
      <c r="F1315" s="389"/>
      <c r="G1315" s="389"/>
      <c r="T1315" s="384" t="str">
        <f>IFERROR(__xludf.DUMMYFUNCTION("""COMPUTED_VALUE"""),"NLIP")</f>
        <v>NLIP</v>
      </c>
      <c r="U1315" s="385"/>
      <c r="W1315" s="384" t="str">
        <f>IFERROR(__xludf.DUMMYFUNCTION("""COMPUTED_VALUE"""),"Bublik")</f>
        <v>Bublik</v>
      </c>
      <c r="X1315" s="385"/>
    </row>
    <row r="1316">
      <c r="A1316" s="384" t="s">
        <v>92</v>
      </c>
      <c r="B1316" s="384" t="s">
        <v>261</v>
      </c>
      <c r="C1316" s="389"/>
      <c r="D1316" s="389">
        <v>2.0</v>
      </c>
      <c r="E1316" s="384"/>
      <c r="F1316" s="389"/>
      <c r="G1316" s="389"/>
      <c r="T1316" s="384" t="str">
        <f>IFERROR(__xludf.DUMMYFUNCTION("""COMPUTED_VALUE"""),"Rocket woman ")</f>
        <v>Rocket woman </v>
      </c>
      <c r="U1316" s="385"/>
      <c r="W1316" s="384" t="str">
        <f>IFERROR(__xludf.DUMMYFUNCTION("""COMPUTED_VALUE"""),"BWDMoscow")</f>
        <v>BWDMoscow</v>
      </c>
      <c r="X1316" s="385"/>
    </row>
    <row r="1317">
      <c r="A1317" s="384" t="s">
        <v>129</v>
      </c>
      <c r="B1317" s="384" t="s">
        <v>261</v>
      </c>
      <c r="C1317" s="389"/>
      <c r="D1317" s="389">
        <v>0.75</v>
      </c>
      <c r="E1317" s="384"/>
      <c r="F1317" s="389"/>
      <c r="G1317" s="389"/>
      <c r="T1317" s="384" t="str">
        <f>IFERROR(__xludf.DUMMYFUNCTION("""COMPUTED_VALUE"""),"SCHOKK ")</f>
        <v>SCHOKK </v>
      </c>
      <c r="U1317" s="385"/>
      <c r="W1317" s="384" t="str">
        <f>IFERROR(__xludf.DUMMYFUNCTION("""COMPUTED_VALUE"""),"Castor Troy ")</f>
        <v>Castor Troy </v>
      </c>
      <c r="X1317" s="385"/>
    </row>
    <row r="1318">
      <c r="A1318" s="384" t="s">
        <v>80</v>
      </c>
      <c r="B1318" s="384" t="s">
        <v>269</v>
      </c>
      <c r="C1318" s="389">
        <v>2.5</v>
      </c>
      <c r="D1318" s="389">
        <v>4.0</v>
      </c>
      <c r="E1318" s="384"/>
      <c r="F1318" s="389"/>
      <c r="G1318" s="389"/>
      <c r="T1318" s="384" t="str">
        <f>IFERROR(__xludf.DUMMYFUNCTION("""COMPUTED_VALUE"""),"SOVEST")</f>
        <v>SOVEST</v>
      </c>
      <c r="U1318" s="385"/>
      <c r="W1318" s="384" t="str">
        <f>IFERROR(__xludf.DUMMYFUNCTION("""COMPUTED_VALUE"""),"Cristo")</f>
        <v>Cristo</v>
      </c>
      <c r="X1318" s="385"/>
    </row>
    <row r="1319">
      <c r="A1319" s="384" t="s">
        <v>124</v>
      </c>
      <c r="B1319" s="384" t="s">
        <v>271</v>
      </c>
      <c r="C1319" s="389"/>
      <c r="D1319" s="389">
        <v>2.0</v>
      </c>
      <c r="E1319" s="384"/>
      <c r="F1319" s="389"/>
      <c r="G1319" s="389"/>
      <c r="T1319" s="384" t="str">
        <f>IFERROR(__xludf.DUMMYFUNCTION("""COMPUTED_VALUE"""),"Stacy")</f>
        <v>Stacy</v>
      </c>
      <c r="U1319" s="385"/>
      <c r="W1319" s="384" t="str">
        <f>IFERROR(__xludf.DUMMYFUNCTION("""COMPUTED_VALUE"""),"Curly")</f>
        <v>Curly</v>
      </c>
      <c r="X1319" s="385"/>
    </row>
    <row r="1320">
      <c r="A1320" s="384" t="s">
        <v>135</v>
      </c>
      <c r="B1320" s="384" t="s">
        <v>265</v>
      </c>
      <c r="C1320" s="389">
        <v>2.5</v>
      </c>
      <c r="D1320" s="389">
        <v>4.25</v>
      </c>
      <c r="E1320" s="384"/>
      <c r="F1320" s="389"/>
      <c r="G1320" s="389"/>
      <c r="T1320" s="384" t="str">
        <f>IFERROR(__xludf.DUMMYFUNCTION("""COMPUTED_VALUE"""),"WhoIsWho")</f>
        <v>WhoIsWho</v>
      </c>
      <c r="U1320" s="385"/>
      <c r="W1320" s="384" t="str">
        <f>IFERROR(__xludf.DUMMYFUNCTION("""COMPUTED_VALUE"""),"GALAY")</f>
        <v>GALAY</v>
      </c>
      <c r="X1320" s="385"/>
    </row>
    <row r="1321">
      <c r="A1321" s="384" t="s">
        <v>137</v>
      </c>
      <c r="B1321" s="384" t="s">
        <v>261</v>
      </c>
      <c r="C1321" s="389"/>
      <c r="D1321" s="389">
        <v>2.5</v>
      </c>
      <c r="E1321" s="384"/>
      <c r="F1321" s="389"/>
      <c r="G1321" s="389"/>
      <c r="T1321" s="384" t="str">
        <f>IFERROR(__xludf.DUMMYFUNCTION("""COMPUTED_VALUE"""),"Young")</f>
        <v>Young</v>
      </c>
      <c r="U1321" s="385"/>
      <c r="W1321" s="384" t="str">
        <f>IFERROR(__xludf.DUMMYFUNCTION("""COMPUTED_VALUE"""),"Infinity ")</f>
        <v>Infinity </v>
      </c>
      <c r="X1321" s="385"/>
    </row>
    <row r="1322">
      <c r="A1322" s="384" t="s">
        <v>134</v>
      </c>
      <c r="B1322" s="384" t="s">
        <v>261</v>
      </c>
      <c r="C1322" s="389"/>
      <c r="D1322" s="389">
        <v>1.0</v>
      </c>
      <c r="E1322" s="384"/>
      <c r="F1322" s="389"/>
      <c r="G1322" s="389"/>
      <c r="T1322" s="384" t="str">
        <f>IFERROR(__xludf.DUMMYFUNCTION("QUERY('Турнирная таблица по Алфавиту'!C7:BG66,""select C,AP order by AP desc"")"),"BWDMoscow")</f>
        <v>BWDMoscow</v>
      </c>
      <c r="U1322" s="385">
        <f>IFERROR(__xludf.DUMMYFUNCTION("""COMPUTED_VALUE"""),31.5)</f>
        <v>31.5</v>
      </c>
      <c r="W1322" s="384" t="str">
        <f>IFERROR(__xludf.DUMMYFUNCTION("""COMPUTED_VALUE"""),"Ketamin")</f>
        <v>Ketamin</v>
      </c>
      <c r="X1322" s="385"/>
    </row>
    <row r="1323">
      <c r="A1323" s="384" t="s">
        <v>123</v>
      </c>
      <c r="B1323" s="384" t="s">
        <v>265</v>
      </c>
      <c r="C1323" s="389">
        <v>2.5</v>
      </c>
      <c r="D1323" s="389">
        <v>5.0</v>
      </c>
      <c r="E1323" s="384"/>
      <c r="F1323" s="389"/>
      <c r="G1323" s="389"/>
      <c r="T1323" s="384" t="str">
        <f>IFERROR(__xludf.DUMMYFUNCTION("""COMPUTED_VALUE"""),"Зверюга")</f>
        <v>Зверюга</v>
      </c>
      <c r="U1323" s="385">
        <f>IFERROR(__xludf.DUMMYFUNCTION("""COMPUTED_VALUE"""),26.25)</f>
        <v>26.25</v>
      </c>
      <c r="W1323" s="384" t="str">
        <f>IFERROR(__xludf.DUMMYFUNCTION("""COMPUTED_VALUE"""),"Light")</f>
        <v>Light</v>
      </c>
      <c r="X1323" s="385"/>
    </row>
    <row r="1324">
      <c r="A1324" s="384" t="s">
        <v>121</v>
      </c>
      <c r="B1324" s="384" t="s">
        <v>261</v>
      </c>
      <c r="C1324" s="389"/>
      <c r="D1324" s="389">
        <v>2.75</v>
      </c>
      <c r="E1324" s="384" t="s">
        <v>11</v>
      </c>
      <c r="F1324" s="389"/>
      <c r="G1324" s="389">
        <v>0.5</v>
      </c>
      <c r="T1324" s="384" t="str">
        <f>IFERROR(__xludf.DUMMYFUNCTION("""COMPUTED_VALUE"""),"Флэш")</f>
        <v>Флэш</v>
      </c>
      <c r="U1324" s="385">
        <f>IFERROR(__xludf.DUMMYFUNCTION("""COMPUTED_VALUE"""),25.75)</f>
        <v>25.75</v>
      </c>
      <c r="W1324" s="384" t="str">
        <f>IFERROR(__xludf.DUMMYFUNCTION("""COMPUTED_VALUE"""),"Morti")</f>
        <v>Morti</v>
      </c>
      <c r="X1324" s="385"/>
    </row>
    <row r="1325">
      <c r="A1325" s="384" t="s">
        <v>127</v>
      </c>
      <c r="B1325" s="384" t="s">
        <v>271</v>
      </c>
      <c r="C1325" s="389"/>
      <c r="D1325" s="389">
        <v>2.0</v>
      </c>
      <c r="E1325" s="384"/>
      <c r="F1325" s="389"/>
      <c r="G1325" s="389"/>
      <c r="T1325" s="384" t="str">
        <f>IFERROR(__xludf.DUMMYFUNCTION("""COMPUTED_VALUE"""),"Крот")</f>
        <v>Крот</v>
      </c>
      <c r="U1325" s="385">
        <f>IFERROR(__xludf.DUMMYFUNCTION("""COMPUTED_VALUE"""),21.25)</f>
        <v>21.25</v>
      </c>
      <c r="W1325" s="384" t="str">
        <f>IFERROR(__xludf.DUMMYFUNCTION("""COMPUTED_VALUE"""),"MSR")</f>
        <v>MSR</v>
      </c>
      <c r="X1325" s="385"/>
    </row>
    <row r="1326">
      <c r="A1326" s="384" t="s">
        <v>92</v>
      </c>
      <c r="B1326" s="384" t="s">
        <v>269</v>
      </c>
      <c r="C1326" s="389">
        <v>2.5</v>
      </c>
      <c r="D1326" s="389">
        <v>3.0</v>
      </c>
      <c r="E1326" s="384"/>
      <c r="F1326" s="389"/>
      <c r="G1326" s="389"/>
      <c r="T1326" s="384" t="str">
        <f>IFERROR(__xludf.DUMMYFUNCTION("""COMPUTED_VALUE"""),"Curly")</f>
        <v>Curly</v>
      </c>
      <c r="U1326" s="385">
        <f>IFERROR(__xludf.DUMMYFUNCTION("""COMPUTED_VALUE"""),20.25)</f>
        <v>20.25</v>
      </c>
      <c r="W1326" s="384" t="str">
        <f>IFERROR(__xludf.DUMMYFUNCTION("""COMPUTED_VALUE"""),"NLIP")</f>
        <v>NLIP</v>
      </c>
      <c r="X1326" s="385"/>
    </row>
    <row r="1327">
      <c r="A1327" s="384" t="s">
        <v>129</v>
      </c>
      <c r="B1327" s="384" t="s">
        <v>261</v>
      </c>
      <c r="C1327" s="389"/>
      <c r="D1327" s="389">
        <v>1.75</v>
      </c>
      <c r="E1327" s="384"/>
      <c r="F1327" s="389"/>
      <c r="G1327" s="389"/>
      <c r="T1327" s="384" t="str">
        <f>IFERROR(__xludf.DUMMYFUNCTION("""COMPUTED_VALUE"""),"SOVEST")</f>
        <v>SOVEST</v>
      </c>
      <c r="U1327" s="385">
        <f>IFERROR(__xludf.DUMMYFUNCTION("""COMPUTED_VALUE"""),17.25)</f>
        <v>17.25</v>
      </c>
      <c r="W1327" s="384" t="str">
        <f>IFERROR(__xludf.DUMMYFUNCTION("""COMPUTED_VALUE"""),"SCHOKK ")</f>
        <v>SCHOKK </v>
      </c>
      <c r="X1327" s="385"/>
    </row>
    <row r="1328">
      <c r="A1328" s="384" t="s">
        <v>80</v>
      </c>
      <c r="B1328" s="384" t="s">
        <v>261</v>
      </c>
      <c r="C1328" s="389"/>
      <c r="D1328" s="389">
        <v>2.5</v>
      </c>
      <c r="E1328" s="384"/>
      <c r="F1328" s="389"/>
      <c r="G1328" s="389"/>
      <c r="T1328" s="384" t="str">
        <f>IFERROR(__xludf.DUMMYFUNCTION("""COMPUTED_VALUE"""),"Манекен")</f>
        <v>Манекен</v>
      </c>
      <c r="U1328" s="385">
        <f>IFERROR(__xludf.DUMMYFUNCTION("""COMPUTED_VALUE"""),15.0)</f>
        <v>15</v>
      </c>
      <c r="W1328" s="384" t="str">
        <f>IFERROR(__xludf.DUMMYFUNCTION("""COMPUTED_VALUE"""),"SOVEST")</f>
        <v>SOVEST</v>
      </c>
      <c r="X1328" s="385"/>
    </row>
    <row r="1329">
      <c r="A1329" s="384" t="s">
        <v>124</v>
      </c>
      <c r="B1329" s="384" t="s">
        <v>269</v>
      </c>
      <c r="C1329" s="389">
        <v>2.5</v>
      </c>
      <c r="D1329" s="389">
        <v>1.0</v>
      </c>
      <c r="E1329" s="384"/>
      <c r="F1329" s="389"/>
      <c r="G1329" s="389"/>
      <c r="T1329" s="384" t="str">
        <f>IFERROR(__xludf.DUMMYFUNCTION("""COMPUTED_VALUE"""),"Coach")</f>
        <v>Coach</v>
      </c>
      <c r="U1329" s="385">
        <f>IFERROR(__xludf.DUMMYFUNCTION("""COMPUTED_VALUE"""),15.0)</f>
        <v>15</v>
      </c>
      <c r="W1329" s="384" t="str">
        <f>IFERROR(__xludf.DUMMYFUNCTION("""COMPUTED_VALUE"""),"Stacy")</f>
        <v>Stacy</v>
      </c>
      <c r="X1329" s="385"/>
    </row>
    <row r="1330">
      <c r="A1330" s="384" t="s">
        <v>135</v>
      </c>
      <c r="B1330" s="384" t="s">
        <v>261</v>
      </c>
      <c r="C1330" s="389"/>
      <c r="D1330" s="389">
        <v>1.25</v>
      </c>
      <c r="E1330" s="384"/>
      <c r="F1330" s="389"/>
      <c r="G1330" s="389"/>
      <c r="T1330" s="384" t="str">
        <f>IFERROR(__xludf.DUMMYFUNCTION("""COMPUTED_VALUE"""),"Панда из Руанды")</f>
        <v>Панда из Руанды</v>
      </c>
      <c r="U1330" s="385">
        <f>IFERROR(__xludf.DUMMYFUNCTION("""COMPUTED_VALUE"""),13.5)</f>
        <v>13.5</v>
      </c>
      <c r="W1330" s="384" t="str">
        <f>IFERROR(__xludf.DUMMYFUNCTION("""COMPUTED_VALUE"""),"WhoIsWho")</f>
        <v>WhoIsWho</v>
      </c>
      <c r="X1330" s="385"/>
    </row>
    <row r="1331">
      <c r="A1331" s="384" t="s">
        <v>137</v>
      </c>
      <c r="B1331" s="384" t="s">
        <v>261</v>
      </c>
      <c r="C1331" s="389"/>
      <c r="D1331" s="389">
        <v>1.25</v>
      </c>
      <c r="E1331" s="384"/>
      <c r="F1331" s="389"/>
      <c r="G1331" s="389"/>
      <c r="T1331" s="384" t="str">
        <f>IFERROR(__xludf.DUMMYFUNCTION("""COMPUTED_VALUE"""),"Morti")</f>
        <v>Morti</v>
      </c>
      <c r="U1331" s="385">
        <f>IFERROR(__xludf.DUMMYFUNCTION("""COMPUTED_VALUE"""),11.75)</f>
        <v>11.75</v>
      </c>
      <c r="W1331" s="384" t="str">
        <f>IFERROR(__xludf.DUMMYFUNCTION("""COMPUTED_VALUE"""),"Young")</f>
        <v>Young</v>
      </c>
      <c r="X1331" s="385"/>
    </row>
    <row r="1332">
      <c r="A1332" s="384" t="s">
        <v>134</v>
      </c>
      <c r="B1332" s="384" t="s">
        <v>261</v>
      </c>
      <c r="C1332" s="389"/>
      <c r="D1332" s="389">
        <v>1.25</v>
      </c>
      <c r="E1332" s="384"/>
      <c r="F1332" s="389"/>
      <c r="G1332" s="389"/>
      <c r="T1332" s="384" t="str">
        <f>IFERROR(__xludf.DUMMYFUNCTION("""COMPUTED_VALUE"""),"Авраам")</f>
        <v>Авраам</v>
      </c>
      <c r="U1332" s="385"/>
      <c r="W1332" s="384" t="str">
        <f>IFERROR(__xludf.DUMMYFUNCTION("""COMPUTED_VALUE"""),"Авраам")</f>
        <v>Авраам</v>
      </c>
      <c r="X1332" s="385"/>
    </row>
    <row r="1333">
      <c r="A1333" s="384" t="s">
        <v>123</v>
      </c>
      <c r="B1333" s="384" t="s">
        <v>261</v>
      </c>
      <c r="C1333" s="389">
        <v>2.5</v>
      </c>
      <c r="D1333" s="389">
        <v>3.5</v>
      </c>
      <c r="E1333" s="384"/>
      <c r="F1333" s="389"/>
      <c r="G1333" s="389"/>
      <c r="T1333" s="384" t="str">
        <f>IFERROR(__xludf.DUMMYFUNCTION("""COMPUTED_VALUE"""),"Админ")</f>
        <v>Админ</v>
      </c>
      <c r="U1333" s="385"/>
      <c r="W1333" s="384" t="str">
        <f>IFERROR(__xludf.DUMMYFUNCTION("""COMPUTED_VALUE"""),"Админ")</f>
        <v>Админ</v>
      </c>
      <c r="X1333" s="385"/>
    </row>
    <row r="1334">
      <c r="A1334" s="384" t="s">
        <v>121</v>
      </c>
      <c r="B1334" s="384" t="s">
        <v>261</v>
      </c>
      <c r="C1334" s="389">
        <v>2.5</v>
      </c>
      <c r="D1334" s="389">
        <v>4.0</v>
      </c>
      <c r="E1334" s="384"/>
      <c r="F1334" s="389"/>
      <c r="G1334" s="389"/>
      <c r="T1334" s="384" t="str">
        <f>IFERROR(__xludf.DUMMYFUNCTION("""COMPUTED_VALUE"""),"Андерсен")</f>
        <v>Андерсен</v>
      </c>
      <c r="U1334" s="385"/>
      <c r="W1334" s="384" t="str">
        <f>IFERROR(__xludf.DUMMYFUNCTION("""COMPUTED_VALUE"""),"Андерсен")</f>
        <v>Андерсен</v>
      </c>
      <c r="X1334" s="385"/>
    </row>
    <row r="1335">
      <c r="A1335" s="384" t="s">
        <v>127</v>
      </c>
      <c r="B1335" s="384" t="s">
        <v>261</v>
      </c>
      <c r="C1335" s="389">
        <v>2.5</v>
      </c>
      <c r="D1335" s="389">
        <v>3.0</v>
      </c>
      <c r="E1335" s="384"/>
      <c r="F1335" s="389"/>
      <c r="G1335" s="389"/>
      <c r="T1335" s="384" t="str">
        <f>IFERROR(__xludf.DUMMYFUNCTION("""COMPUTED_VALUE"""),"Артик")</f>
        <v>Артик</v>
      </c>
      <c r="U1335" s="385"/>
      <c r="W1335" s="384" t="str">
        <f>IFERROR(__xludf.DUMMYFUNCTION("""COMPUTED_VALUE"""),"Артик")</f>
        <v>Артик</v>
      </c>
      <c r="X1335" s="385"/>
    </row>
    <row r="1336">
      <c r="A1336" s="384" t="s">
        <v>92</v>
      </c>
      <c r="B1336" s="384" t="s">
        <v>261</v>
      </c>
      <c r="C1336" s="389">
        <v>2.5</v>
      </c>
      <c r="D1336" s="389">
        <v>2.75</v>
      </c>
      <c r="E1336" s="384"/>
      <c r="F1336" s="389"/>
      <c r="G1336" s="389"/>
      <c r="T1336" s="384" t="str">
        <f>IFERROR(__xludf.DUMMYFUNCTION("""COMPUTED_VALUE"""),"Астория")</f>
        <v>Астория</v>
      </c>
      <c r="U1336" s="385"/>
      <c r="W1336" s="384" t="str">
        <f>IFERROR(__xludf.DUMMYFUNCTION("""COMPUTED_VALUE"""),"Бамблби")</f>
        <v>Бамблби</v>
      </c>
      <c r="X1336" s="385"/>
    </row>
    <row r="1337">
      <c r="A1337" s="384" t="s">
        <v>129</v>
      </c>
      <c r="B1337" s="384" t="s">
        <v>261</v>
      </c>
      <c r="C1337" s="389">
        <v>2.5</v>
      </c>
      <c r="D1337" s="389">
        <v>2.5</v>
      </c>
      <c r="E1337" s="384" t="s">
        <v>260</v>
      </c>
      <c r="F1337" s="389"/>
      <c r="G1337" s="389"/>
      <c r="T1337" s="384" t="str">
        <f>IFERROR(__xludf.DUMMYFUNCTION("""COMPUTED_VALUE"""),"Аш")</f>
        <v>Аш</v>
      </c>
      <c r="U1337" s="385"/>
      <c r="W1337" s="384" t="str">
        <f>IFERROR(__xludf.DUMMYFUNCTION("""COMPUTED_VALUE"""),"Волга")</f>
        <v>Волга</v>
      </c>
      <c r="X1337" s="385"/>
    </row>
    <row r="1338">
      <c r="A1338" s="384" t="s">
        <v>80</v>
      </c>
      <c r="B1338" s="384" t="s">
        <v>261</v>
      </c>
      <c r="C1338" s="389">
        <v>2.5</v>
      </c>
      <c r="D1338" s="389">
        <v>2.0</v>
      </c>
      <c r="E1338" s="384" t="s">
        <v>11</v>
      </c>
      <c r="F1338" s="389"/>
      <c r="G1338" s="389">
        <v>0.5</v>
      </c>
      <c r="T1338" s="384" t="str">
        <f>IFERROR(__xludf.DUMMYFUNCTION("""COMPUTED_VALUE"""),"Бамблби")</f>
        <v>Бамблби</v>
      </c>
      <c r="U1338" s="385"/>
      <c r="W1338" s="384" t="str">
        <f>IFERROR(__xludf.DUMMYFUNCTION("""COMPUTED_VALUE"""),"Градиент")</f>
        <v>Градиент</v>
      </c>
      <c r="X1338" s="385"/>
    </row>
    <row r="1339">
      <c r="A1339" s="384" t="s">
        <v>124</v>
      </c>
      <c r="B1339" s="384" t="s">
        <v>271</v>
      </c>
      <c r="C1339" s="389">
        <v>2.5</v>
      </c>
      <c r="D1339" s="389">
        <v>3.0</v>
      </c>
      <c r="E1339" s="384" t="s">
        <v>260</v>
      </c>
      <c r="F1339" s="389"/>
      <c r="G1339" s="389"/>
      <c r="T1339" s="384" t="str">
        <f>IFERROR(__xludf.DUMMYFUNCTION("""COMPUTED_VALUE"""),"Волга")</f>
        <v>Волга</v>
      </c>
      <c r="U1339" s="385"/>
      <c r="W1339" s="384" t="str">
        <f>IFERROR(__xludf.DUMMYFUNCTION("""COMPUTED_VALUE"""),"Дровосек")</f>
        <v>Дровосек</v>
      </c>
      <c r="X1339" s="385"/>
    </row>
    <row r="1340">
      <c r="A1340" s="384" t="s">
        <v>135</v>
      </c>
      <c r="B1340" s="384" t="s">
        <v>269</v>
      </c>
      <c r="C1340" s="389"/>
      <c r="D1340" s="389">
        <v>2.25</v>
      </c>
      <c r="E1340" s="384"/>
      <c r="F1340" s="389"/>
      <c r="G1340" s="389"/>
      <c r="T1340" s="384" t="str">
        <f>IFERROR(__xludf.DUMMYFUNCTION("""COMPUTED_VALUE"""),"Градиент")</f>
        <v>Градиент</v>
      </c>
      <c r="U1340" s="385"/>
      <c r="W1340" s="384" t="str">
        <f>IFERROR(__xludf.DUMMYFUNCTION("""COMPUTED_VALUE"""),"Зверюга")</f>
        <v>Зверюга</v>
      </c>
      <c r="X1340" s="385"/>
    </row>
    <row r="1341">
      <c r="A1341" s="384" t="s">
        <v>137</v>
      </c>
      <c r="B1341" s="384" t="s">
        <v>269</v>
      </c>
      <c r="C1341" s="389"/>
      <c r="D1341" s="389">
        <v>1.75</v>
      </c>
      <c r="E1341" s="384" t="s">
        <v>263</v>
      </c>
      <c r="F1341" s="389"/>
      <c r="G1341" s="389"/>
      <c r="T1341" s="384" t="str">
        <f>IFERROR(__xludf.DUMMYFUNCTION("""COMPUTED_VALUE"""),"Дровосек")</f>
        <v>Дровосек</v>
      </c>
      <c r="U1341" s="385"/>
      <c r="W1341" s="384" t="str">
        <f>IFERROR(__xludf.DUMMYFUNCTION("""COMPUTED_VALUE"""),"Инсомнич")</f>
        <v>Инсомнич</v>
      </c>
      <c r="X1341" s="385"/>
    </row>
    <row r="1342">
      <c r="A1342" s="384" t="s">
        <v>134</v>
      </c>
      <c r="B1342" s="384" t="s">
        <v>265</v>
      </c>
      <c r="C1342" s="389"/>
      <c r="D1342" s="389">
        <v>2.0</v>
      </c>
      <c r="E1342" s="384"/>
      <c r="F1342" s="389"/>
      <c r="G1342" s="389"/>
      <c r="T1342" s="384" t="str">
        <f>IFERROR(__xludf.DUMMYFUNCTION("""COMPUTED_VALUE"""),"Инсомнич")</f>
        <v>Инсомнич</v>
      </c>
      <c r="U1342" s="385"/>
      <c r="W1342" s="384" t="str">
        <f>IFERROR(__xludf.DUMMYFUNCTION("""COMPUTED_VALUE"""),"Красавчик")</f>
        <v>Красавчик</v>
      </c>
      <c r="X1342" s="385"/>
    </row>
    <row r="1343">
      <c r="A1343" s="384" t="s">
        <v>123</v>
      </c>
      <c r="B1343" s="384" t="s">
        <v>269</v>
      </c>
      <c r="C1343" s="389">
        <v>2.5</v>
      </c>
      <c r="D1343" s="389">
        <v>3.0</v>
      </c>
      <c r="E1343" s="384"/>
      <c r="F1343" s="389"/>
      <c r="G1343" s="389"/>
      <c r="T1343" s="384" t="str">
        <f>IFERROR(__xludf.DUMMYFUNCTION("""COMPUTED_VALUE"""),"Красавчик")</f>
        <v>Красавчик</v>
      </c>
      <c r="U1343" s="385"/>
      <c r="W1343" s="384" t="str">
        <f>IFERROR(__xludf.DUMMYFUNCTION("""COMPUTED_VALUE"""),"Крестный отец (BLR)")</f>
        <v>Крестный отец (BLR)</v>
      </c>
      <c r="X1343" s="385"/>
    </row>
    <row r="1344">
      <c r="A1344" s="384" t="s">
        <v>121</v>
      </c>
      <c r="B1344" s="384" t="s">
        <v>261</v>
      </c>
      <c r="C1344" s="389"/>
      <c r="D1344" s="389">
        <v>3.75</v>
      </c>
      <c r="E1344" s="384" t="s">
        <v>11</v>
      </c>
      <c r="F1344" s="389">
        <v>0.5</v>
      </c>
      <c r="G1344" s="389">
        <v>1.0</v>
      </c>
      <c r="T1344" s="384" t="str">
        <f>IFERROR(__xludf.DUMMYFUNCTION("""COMPUTED_VALUE"""),"Крестный отец (BLR)")</f>
        <v>Крестный отец (BLR)</v>
      </c>
      <c r="U1344" s="385"/>
      <c r="W1344" s="384" t="str">
        <f>IFERROR(__xludf.DUMMYFUNCTION("""COMPUTED_VALUE"""),"Крёстный Отец (RU)")</f>
        <v>Крёстный Отец (RU)</v>
      </c>
      <c r="X1344" s="385"/>
    </row>
    <row r="1345">
      <c r="A1345" s="384" t="s">
        <v>127</v>
      </c>
      <c r="B1345" s="384" t="s">
        <v>269</v>
      </c>
      <c r="C1345" s="389">
        <v>2.5</v>
      </c>
      <c r="D1345" s="389">
        <v>3.0</v>
      </c>
      <c r="E1345" s="384"/>
      <c r="F1345" s="389"/>
      <c r="G1345" s="389"/>
      <c r="T1345" s="384" t="str">
        <f>IFERROR(__xludf.DUMMYFUNCTION("""COMPUTED_VALUE"""),"Крёстный Отец (RU)")</f>
        <v>Крёстный Отец (RU)</v>
      </c>
      <c r="U1345" s="385"/>
      <c r="W1345" s="384" t="str">
        <f>IFERROR(__xludf.DUMMYFUNCTION("""COMPUTED_VALUE"""),"Крот")</f>
        <v>Крот</v>
      </c>
      <c r="X1345" s="385"/>
    </row>
    <row r="1346">
      <c r="A1346" s="384" t="s">
        <v>92</v>
      </c>
      <c r="B1346" s="384" t="s">
        <v>261</v>
      </c>
      <c r="C1346" s="389"/>
      <c r="D1346" s="389">
        <v>3.0</v>
      </c>
      <c r="E1346" s="384"/>
      <c r="F1346" s="389"/>
      <c r="G1346" s="389"/>
      <c r="T1346" s="384" t="str">
        <f>IFERROR(__xludf.DUMMYFUNCTION("""COMPUTED_VALUE"""),"Левша")</f>
        <v>Левша</v>
      </c>
      <c r="U1346" s="385"/>
      <c r="W1346" s="384" t="str">
        <f>IFERROR(__xludf.DUMMYFUNCTION("""COMPUTED_VALUE"""),"Левша")</f>
        <v>Левша</v>
      </c>
      <c r="X1346" s="385"/>
    </row>
    <row r="1347">
      <c r="A1347" s="384" t="s">
        <v>129</v>
      </c>
      <c r="B1347" s="384" t="s">
        <v>265</v>
      </c>
      <c r="C1347" s="389">
        <v>2.5</v>
      </c>
      <c r="D1347" s="389">
        <v>2.5</v>
      </c>
      <c r="E1347" s="384"/>
      <c r="F1347" s="389"/>
      <c r="G1347" s="389"/>
      <c r="T1347" s="384" t="str">
        <f>IFERROR(__xludf.DUMMYFUNCTION("""COMPUTED_VALUE"""),"Лисичка")</f>
        <v>Лисичка</v>
      </c>
      <c r="U1347" s="385"/>
      <c r="W1347" s="384" t="str">
        <f>IFERROR(__xludf.DUMMYFUNCTION("""COMPUTED_VALUE"""),"Лисичка")</f>
        <v>Лисичка</v>
      </c>
      <c r="X1347" s="385"/>
    </row>
    <row r="1348">
      <c r="A1348" s="384" t="s">
        <v>80</v>
      </c>
      <c r="B1348" s="384" t="s">
        <v>261</v>
      </c>
      <c r="C1348" s="389"/>
      <c r="D1348" s="389">
        <v>2.0</v>
      </c>
      <c r="E1348" s="384"/>
      <c r="F1348" s="389"/>
      <c r="G1348" s="389"/>
      <c r="T1348" s="384" t="str">
        <f>IFERROR(__xludf.DUMMYFUNCTION("""COMPUTED_VALUE"""),"Маваши")</f>
        <v>Маваши</v>
      </c>
      <c r="U1348" s="385"/>
      <c r="W1348" s="384" t="str">
        <f>IFERROR(__xludf.DUMMYFUNCTION("""COMPUTED_VALUE"""),"Маваши")</f>
        <v>Маваши</v>
      </c>
      <c r="X1348" s="385"/>
    </row>
    <row r="1349">
      <c r="A1349" s="384" t="s">
        <v>124</v>
      </c>
      <c r="B1349" s="384" t="s">
        <v>271</v>
      </c>
      <c r="C1349" s="389"/>
      <c r="D1349" s="389">
        <v>0.0</v>
      </c>
      <c r="E1349" s="384"/>
      <c r="F1349" s="389"/>
      <c r="G1349" s="389"/>
      <c r="T1349" s="384" t="str">
        <f>IFERROR(__xludf.DUMMYFUNCTION("""COMPUTED_VALUE"""),"Марго")</f>
        <v>Марго</v>
      </c>
      <c r="U1349" s="385"/>
      <c r="W1349" s="384" t="str">
        <f>IFERROR(__xludf.DUMMYFUNCTION("""COMPUTED_VALUE"""),"Манекен")</f>
        <v>Манекен</v>
      </c>
      <c r="X1349" s="385"/>
    </row>
    <row r="1350">
      <c r="A1350" s="384" t="s">
        <v>135</v>
      </c>
      <c r="B1350" s="384" t="s">
        <v>261</v>
      </c>
      <c r="C1350" s="389"/>
      <c r="D1350" s="389">
        <v>3.0</v>
      </c>
      <c r="E1350" s="384"/>
      <c r="F1350" s="389"/>
      <c r="G1350" s="389"/>
      <c r="T1350" s="384" t="str">
        <f>IFERROR(__xludf.DUMMYFUNCTION("""COMPUTED_VALUE"""),"Ментик")</f>
        <v>Ментик</v>
      </c>
      <c r="U1350" s="385"/>
      <c r="W1350" s="384" t="str">
        <f>IFERROR(__xludf.DUMMYFUNCTION("""COMPUTED_VALUE"""),"Марго")</f>
        <v>Марго</v>
      </c>
      <c r="X1350" s="385"/>
    </row>
    <row r="1351">
      <c r="A1351" s="384" t="s">
        <v>137</v>
      </c>
      <c r="B1351" s="384" t="s">
        <v>261</v>
      </c>
      <c r="C1351" s="389"/>
      <c r="D1351" s="389">
        <v>2.5</v>
      </c>
      <c r="E1351" s="384"/>
      <c r="F1351" s="389"/>
      <c r="G1351" s="389"/>
      <c r="T1351" s="384" t="str">
        <f>IFERROR(__xludf.DUMMYFUNCTION("""COMPUTED_VALUE"""),"Мишель ")</f>
        <v>Мишель </v>
      </c>
      <c r="U1351" s="385"/>
      <c r="W1351" s="384" t="str">
        <f>IFERROR(__xludf.DUMMYFUNCTION("""COMPUTED_VALUE"""),"Мишель ")</f>
        <v>Мишель </v>
      </c>
      <c r="X1351" s="385"/>
    </row>
    <row r="1352">
      <c r="A1352" s="384" t="s">
        <v>134</v>
      </c>
      <c r="B1352" s="384" t="s">
        <v>261</v>
      </c>
      <c r="C1352" s="389"/>
      <c r="D1352" s="389">
        <v>2.75</v>
      </c>
      <c r="E1352" s="384"/>
      <c r="F1352" s="389"/>
      <c r="G1352" s="389"/>
      <c r="T1352" s="384" t="str">
        <f>IFERROR(__xludf.DUMMYFUNCTION("""COMPUTED_VALUE"""),"Наполеон")</f>
        <v>Наполеон</v>
      </c>
      <c r="U1352" s="385"/>
      <c r="W1352" s="384" t="str">
        <f>IFERROR(__xludf.DUMMYFUNCTION("""COMPUTED_VALUE"""),"Наполеон")</f>
        <v>Наполеон</v>
      </c>
      <c r="X1352" s="385"/>
    </row>
    <row r="1353">
      <c r="A1353" s="384" t="s">
        <v>87</v>
      </c>
      <c r="B1353" s="384" t="s">
        <v>261</v>
      </c>
      <c r="C1353" s="389">
        <v>2.5</v>
      </c>
      <c r="D1353" s="389">
        <v>2.75</v>
      </c>
      <c r="E1353" s="384" t="s">
        <v>11</v>
      </c>
      <c r="F1353" s="389"/>
      <c r="G1353" s="389">
        <v>0.5</v>
      </c>
      <c r="T1353" s="384" t="str">
        <f>IFERROR(__xludf.DUMMYFUNCTION("""COMPUTED_VALUE"""),"Писатель ")</f>
        <v>Писатель </v>
      </c>
      <c r="U1353" s="385"/>
      <c r="W1353" s="384" t="str">
        <f>IFERROR(__xludf.DUMMYFUNCTION("""COMPUTED_VALUE"""),"Панда из Руанды")</f>
        <v>Панда из Руанды</v>
      </c>
      <c r="X1353" s="385"/>
    </row>
    <row r="1354">
      <c r="A1354" s="384" t="s">
        <v>80</v>
      </c>
      <c r="B1354" s="384" t="s">
        <v>261</v>
      </c>
      <c r="C1354" s="389">
        <v>2.5</v>
      </c>
      <c r="D1354" s="389">
        <v>3.25</v>
      </c>
      <c r="E1354" s="384"/>
      <c r="F1354" s="389"/>
      <c r="G1354" s="389"/>
      <c r="T1354" s="384" t="str">
        <f>IFERROR(__xludf.DUMMYFUNCTION("""COMPUTED_VALUE"""),"Правда ")</f>
        <v>Правда </v>
      </c>
      <c r="U1354" s="385"/>
      <c r="W1354" s="384" t="str">
        <f>IFERROR(__xludf.DUMMYFUNCTION("""COMPUTED_VALUE"""),"Писатель ")</f>
        <v>Писатель </v>
      </c>
      <c r="X1354" s="385"/>
    </row>
    <row r="1355">
      <c r="A1355" s="384" t="s">
        <v>110</v>
      </c>
      <c r="B1355" s="384" t="s">
        <v>269</v>
      </c>
      <c r="C1355" s="389"/>
      <c r="D1355" s="389">
        <v>2.5</v>
      </c>
      <c r="E1355" s="384"/>
      <c r="F1355" s="389"/>
      <c r="G1355" s="389"/>
      <c r="T1355" s="384" t="str">
        <f>IFERROR(__xludf.DUMMYFUNCTION("""COMPUTED_VALUE"""),"Продюсер")</f>
        <v>Продюсер</v>
      </c>
      <c r="U1355" s="385"/>
      <c r="W1355" s="384" t="str">
        <f>IFERROR(__xludf.DUMMYFUNCTION("""COMPUTED_VALUE"""),"Продюсер")</f>
        <v>Продюсер</v>
      </c>
      <c r="X1355" s="385"/>
    </row>
    <row r="1356">
      <c r="A1356" s="384" t="s">
        <v>84</v>
      </c>
      <c r="B1356" s="384" t="s">
        <v>261</v>
      </c>
      <c r="C1356" s="389">
        <v>2.5</v>
      </c>
      <c r="D1356" s="389">
        <v>2.75</v>
      </c>
      <c r="E1356" s="384"/>
      <c r="F1356" s="389"/>
      <c r="G1356" s="389"/>
      <c r="T1356" s="384" t="str">
        <f>IFERROR(__xludf.DUMMYFUNCTION("""COMPUTED_VALUE"""),"РФ")</f>
        <v>РФ</v>
      </c>
      <c r="U1356" s="385"/>
      <c r="W1356" s="384" t="str">
        <f>IFERROR(__xludf.DUMMYFUNCTION("""COMPUTED_VALUE"""),"РФ")</f>
        <v>РФ</v>
      </c>
      <c r="X1356" s="385"/>
    </row>
    <row r="1357">
      <c r="A1357" s="384" t="s">
        <v>105</v>
      </c>
      <c r="B1357" s="384" t="s">
        <v>261</v>
      </c>
      <c r="C1357" s="389">
        <v>2.5</v>
      </c>
      <c r="D1357" s="389">
        <v>3.75</v>
      </c>
      <c r="E1357" s="384"/>
      <c r="F1357" s="389"/>
      <c r="G1357" s="389"/>
      <c r="T1357" s="384" t="str">
        <f>IFERROR(__xludf.DUMMYFUNCTION("""COMPUTED_VALUE"""),"Старый")</f>
        <v>Старый</v>
      </c>
      <c r="U1357" s="385"/>
      <c r="W1357" s="384" t="str">
        <f>IFERROR(__xludf.DUMMYFUNCTION("""COMPUTED_VALUE"""),"СЭНСЭЙ")</f>
        <v>СЭНСЭЙ</v>
      </c>
      <c r="X1357" s="385"/>
    </row>
    <row r="1358">
      <c r="A1358" s="384" t="s">
        <v>85</v>
      </c>
      <c r="B1358" s="384" t="s">
        <v>261</v>
      </c>
      <c r="C1358" s="389">
        <v>2.5</v>
      </c>
      <c r="D1358" s="389">
        <v>4.0</v>
      </c>
      <c r="E1358" s="384"/>
      <c r="F1358" s="389"/>
      <c r="G1358" s="389"/>
      <c r="T1358" s="384" t="str">
        <f>IFERROR(__xludf.DUMMYFUNCTION("""COMPUTED_VALUE"""),"СЭНСЭЙ")</f>
        <v>СЭНСЭЙ</v>
      </c>
      <c r="U1358" s="385"/>
      <c r="W1358" s="384" t="str">
        <f>IFERROR(__xludf.DUMMYFUNCTION("""COMPUTED_VALUE"""),"Coach")</f>
        <v>Coach</v>
      </c>
      <c r="X1358" s="385"/>
    </row>
    <row r="1359">
      <c r="A1359" s="384" t="s">
        <v>103</v>
      </c>
      <c r="B1359" s="384" t="s">
        <v>261</v>
      </c>
      <c r="C1359" s="389">
        <v>2.5</v>
      </c>
      <c r="D1359" s="389">
        <v>3.75</v>
      </c>
      <c r="E1359" s="384"/>
      <c r="F1359" s="389"/>
      <c r="G1359" s="389"/>
      <c r="T1359" s="384" t="str">
        <f>IFERROR(__xludf.DUMMYFUNCTION("""COMPUTED_VALUE"""),"Тихий закат")</f>
        <v>Тихий закат</v>
      </c>
      <c r="U1359" s="385"/>
      <c r="W1359" s="384" t="str">
        <f>IFERROR(__xludf.DUMMYFUNCTION("""COMPUTED_VALUE"""),"Тихий закат")</f>
        <v>Тихий закат</v>
      </c>
      <c r="X1359" s="385"/>
    </row>
    <row r="1360">
      <c r="A1360" s="384" t="s">
        <v>90</v>
      </c>
      <c r="B1360" s="384" t="s">
        <v>269</v>
      </c>
      <c r="C1360" s="389"/>
      <c r="D1360" s="389">
        <v>2.25</v>
      </c>
      <c r="E1360" s="384"/>
      <c r="F1360" s="389"/>
      <c r="G1360" s="389"/>
      <c r="T1360" s="384" t="str">
        <f>IFERROR(__xludf.DUMMYFUNCTION("""COMPUTED_VALUE"""),"Физик")</f>
        <v>Физик</v>
      </c>
      <c r="U1360" s="385"/>
      <c r="W1360" s="384" t="str">
        <f>IFERROR(__xludf.DUMMYFUNCTION("""COMPUTED_VALUE"""),"Физик")</f>
        <v>Физик</v>
      </c>
      <c r="X1360" s="385"/>
    </row>
    <row r="1361">
      <c r="A1361" s="384" t="s">
        <v>101</v>
      </c>
      <c r="B1361" s="384" t="s">
        <v>271</v>
      </c>
      <c r="C1361" s="389">
        <v>2.5</v>
      </c>
      <c r="D1361" s="389">
        <v>3.75</v>
      </c>
      <c r="E1361" s="384"/>
      <c r="F1361" s="389"/>
      <c r="G1361" s="389"/>
      <c r="T1361" s="384" t="str">
        <f>IFERROR(__xludf.DUMMYFUNCTION("""COMPUTED_VALUE"""),"Фокс")</f>
        <v>Фокс</v>
      </c>
      <c r="U1361" s="385"/>
      <c r="W1361" s="384" t="str">
        <f>IFERROR(__xludf.DUMMYFUNCTION("""COMPUTED_VALUE"""),"Шоу Бой")</f>
        <v>Шоу Бой</v>
      </c>
      <c r="X1361" s="385"/>
    </row>
    <row r="1362">
      <c r="A1362" s="384" t="s">
        <v>97</v>
      </c>
      <c r="B1362" s="384" t="s">
        <v>265</v>
      </c>
      <c r="C1362" s="389"/>
      <c r="D1362" s="389">
        <v>2.0</v>
      </c>
      <c r="E1362" s="384"/>
      <c r="F1362" s="389"/>
      <c r="G1362" s="389"/>
      <c r="T1362" s="384" t="str">
        <f>IFERROR(__xludf.DUMMYFUNCTION("""COMPUTED_VALUE"""),"Шоу Бой")</f>
        <v>Шоу Бой</v>
      </c>
      <c r="U1362" s="385"/>
      <c r="W1362" s="384" t="str">
        <f>IFERROR(__xludf.DUMMYFUNCTION("""COMPUTED_VALUE"""),"Шпиц")</f>
        <v>Шпиц</v>
      </c>
      <c r="X1362" s="385"/>
    </row>
    <row r="1363">
      <c r="A1363" s="384" t="s">
        <v>87</v>
      </c>
      <c r="B1363" s="384" t="s">
        <v>269</v>
      </c>
      <c r="C1363" s="389">
        <v>2.5</v>
      </c>
      <c r="D1363" s="389">
        <v>3.75</v>
      </c>
      <c r="E1363" s="384"/>
      <c r="F1363" s="389"/>
      <c r="G1363" s="389"/>
      <c r="T1363" s="384" t="str">
        <f>IFERROR(__xludf.DUMMYFUNCTION("""COMPUTED_VALUE"""),"Шпиц")</f>
        <v>Шпиц</v>
      </c>
      <c r="U1363" s="385"/>
      <c r="W1363" s="384" t="str">
        <f>IFERROR(__xludf.DUMMYFUNCTION("""COMPUTED_VALUE"""),"Юрия")</f>
        <v>Юрия</v>
      </c>
      <c r="X1363" s="385"/>
    </row>
    <row r="1364">
      <c r="A1364" s="384" t="s">
        <v>80</v>
      </c>
      <c r="B1364" s="384" t="s">
        <v>261</v>
      </c>
      <c r="C1364" s="389"/>
      <c r="D1364" s="389">
        <v>2.75</v>
      </c>
      <c r="E1364" s="384"/>
      <c r="F1364" s="389"/>
      <c r="G1364" s="389"/>
      <c r="T1364" s="384" t="str">
        <f>IFERROR(__xludf.DUMMYFUNCTION("""COMPUTED_VALUE"""),"Юрия")</f>
        <v>Юрия</v>
      </c>
      <c r="U1364" s="385"/>
      <c r="W1364" s="384" t="str">
        <f>IFERROR(__xludf.DUMMYFUNCTION("""COMPUTED_VALUE"""),"A1 ")</f>
        <v>A1 </v>
      </c>
      <c r="X1364" s="385"/>
    </row>
    <row r="1365">
      <c r="A1365" s="384" t="s">
        <v>110</v>
      </c>
      <c r="B1365" s="384" t="s">
        <v>269</v>
      </c>
      <c r="C1365" s="389">
        <v>2.5</v>
      </c>
      <c r="D1365" s="389">
        <v>4.0</v>
      </c>
      <c r="E1365" s="384"/>
      <c r="F1365" s="389"/>
      <c r="G1365" s="389"/>
      <c r="T1365" s="384" t="str">
        <f>IFERROR(__xludf.DUMMYFUNCTION("""COMPUTED_VALUE"""),"A1 ")</f>
        <v>A1 </v>
      </c>
      <c r="U1365" s="385"/>
      <c r="W1365" s="384" t="str">
        <f>IFERROR(__xludf.DUMMYFUNCTION("""COMPUTED_VALUE"""),"Alice ")</f>
        <v>Alice </v>
      </c>
      <c r="X1365" s="385"/>
    </row>
    <row r="1366">
      <c r="A1366" s="384" t="s">
        <v>84</v>
      </c>
      <c r="B1366" s="384" t="s">
        <v>265</v>
      </c>
      <c r="C1366" s="389">
        <v>2.5</v>
      </c>
      <c r="D1366" s="389">
        <v>4.25</v>
      </c>
      <c r="E1366" s="384"/>
      <c r="F1366" s="389"/>
      <c r="G1366" s="389"/>
      <c r="T1366" s="384" t="str">
        <f>IFERROR(__xludf.DUMMYFUNCTION("""COMPUTED_VALUE"""),"Alice ")</f>
        <v>Alice </v>
      </c>
      <c r="U1366" s="385"/>
      <c r="W1366" s="384" t="str">
        <f>IFERROR(__xludf.DUMMYFUNCTION("""COMPUTED_VALUE"""),"Bublik")</f>
        <v>Bublik</v>
      </c>
      <c r="X1366" s="385"/>
    </row>
    <row r="1367">
      <c r="A1367" s="384" t="s">
        <v>105</v>
      </c>
      <c r="B1367" s="384" t="s">
        <v>261</v>
      </c>
      <c r="C1367" s="389"/>
      <c r="D1367" s="389">
        <v>2.25</v>
      </c>
      <c r="E1367" s="384" t="s">
        <v>11</v>
      </c>
      <c r="F1367" s="389"/>
      <c r="G1367" s="389">
        <v>0.5</v>
      </c>
      <c r="T1367" s="384" t="str">
        <f>IFERROR(__xludf.DUMMYFUNCTION("""COMPUTED_VALUE"""),"Bublik")</f>
        <v>Bublik</v>
      </c>
      <c r="U1367" s="385"/>
      <c r="W1367" s="384" t="str">
        <f>IFERROR(__xludf.DUMMYFUNCTION("""COMPUTED_VALUE"""),"BWDMoscow")</f>
        <v>BWDMoscow</v>
      </c>
      <c r="X1367" s="385"/>
    </row>
    <row r="1368">
      <c r="A1368" s="384" t="s">
        <v>85</v>
      </c>
      <c r="B1368" s="384" t="s">
        <v>261</v>
      </c>
      <c r="C1368" s="389"/>
      <c r="D1368" s="389">
        <v>1.75</v>
      </c>
      <c r="E1368" s="384"/>
      <c r="F1368" s="389"/>
      <c r="G1368" s="389"/>
      <c r="T1368" s="384" t="str">
        <f>IFERROR(__xludf.DUMMYFUNCTION("""COMPUTED_VALUE"""),"Castor Troy ")</f>
        <v>Castor Troy </v>
      </c>
      <c r="U1368" s="385"/>
      <c r="W1368" s="384" t="str">
        <f>IFERROR(__xludf.DUMMYFUNCTION("""COMPUTED_VALUE"""),"Castor Troy ")</f>
        <v>Castor Troy </v>
      </c>
      <c r="X1368" s="385"/>
    </row>
    <row r="1369">
      <c r="A1369" s="384" t="s">
        <v>103</v>
      </c>
      <c r="B1369" s="384" t="s">
        <v>261</v>
      </c>
      <c r="C1369" s="389"/>
      <c r="D1369" s="389">
        <v>2.0</v>
      </c>
      <c r="E1369" s="384"/>
      <c r="F1369" s="389"/>
      <c r="G1369" s="389"/>
      <c r="T1369" s="384" t="str">
        <f>IFERROR(__xludf.DUMMYFUNCTION("""COMPUTED_VALUE"""),"Cristo")</f>
        <v>Cristo</v>
      </c>
      <c r="U1369" s="385"/>
      <c r="W1369" s="384" t="str">
        <f>IFERROR(__xludf.DUMMYFUNCTION("""COMPUTED_VALUE"""),"Cristo")</f>
        <v>Cristo</v>
      </c>
      <c r="X1369" s="385"/>
    </row>
    <row r="1370">
      <c r="A1370" s="384" t="s">
        <v>90</v>
      </c>
      <c r="B1370" s="384" t="s">
        <v>261</v>
      </c>
      <c r="C1370" s="389"/>
      <c r="D1370" s="389">
        <v>1.5</v>
      </c>
      <c r="E1370" s="384"/>
      <c r="F1370" s="389"/>
      <c r="G1370" s="389"/>
      <c r="T1370" s="384" t="str">
        <f>IFERROR(__xludf.DUMMYFUNCTION("""COMPUTED_VALUE"""),"GALAY")</f>
        <v>GALAY</v>
      </c>
      <c r="U1370" s="385"/>
      <c r="W1370" s="384" t="str">
        <f>IFERROR(__xludf.DUMMYFUNCTION("""COMPUTED_VALUE"""),"Curly")</f>
        <v>Curly</v>
      </c>
      <c r="X1370" s="385"/>
    </row>
    <row r="1371">
      <c r="A1371" s="384" t="s">
        <v>101</v>
      </c>
      <c r="B1371" s="384" t="s">
        <v>271</v>
      </c>
      <c r="C1371" s="389"/>
      <c r="D1371" s="389">
        <v>3.0</v>
      </c>
      <c r="E1371" s="384"/>
      <c r="F1371" s="389"/>
      <c r="G1371" s="389"/>
      <c r="T1371" s="384" t="str">
        <f>IFERROR(__xludf.DUMMYFUNCTION("""COMPUTED_VALUE"""),"Helga")</f>
        <v>Helga</v>
      </c>
      <c r="U1371" s="385"/>
      <c r="W1371" s="384" t="str">
        <f>IFERROR(__xludf.DUMMYFUNCTION("""COMPUTED_VALUE"""),"GALAY")</f>
        <v>GALAY</v>
      </c>
      <c r="X1371" s="385"/>
    </row>
    <row r="1372">
      <c r="A1372" s="384" t="s">
        <v>97</v>
      </c>
      <c r="B1372" s="384" t="s">
        <v>261</v>
      </c>
      <c r="C1372" s="389"/>
      <c r="D1372" s="389">
        <v>3.5</v>
      </c>
      <c r="E1372" s="384"/>
      <c r="F1372" s="389"/>
      <c r="G1372" s="389"/>
      <c r="T1372" s="384" t="str">
        <f>IFERROR(__xludf.DUMMYFUNCTION("""COMPUTED_VALUE"""),"Infinity ")</f>
        <v>Infinity </v>
      </c>
      <c r="U1372" s="385"/>
      <c r="W1372" s="384" t="str">
        <f>IFERROR(__xludf.DUMMYFUNCTION("""COMPUTED_VALUE"""),"Helga")</f>
        <v>Helga</v>
      </c>
      <c r="X1372" s="385"/>
    </row>
    <row r="1373">
      <c r="A1373" s="384" t="s">
        <v>87</v>
      </c>
      <c r="B1373" s="384" t="s">
        <v>261</v>
      </c>
      <c r="C1373" s="389"/>
      <c r="D1373" s="389">
        <v>1.5</v>
      </c>
      <c r="E1373" s="384"/>
      <c r="F1373" s="389"/>
      <c r="G1373" s="389"/>
      <c r="T1373" s="384" t="str">
        <f>IFERROR(__xludf.DUMMYFUNCTION("""COMPUTED_VALUE"""),"Ketamin")</f>
        <v>Ketamin</v>
      </c>
      <c r="U1373" s="385"/>
      <c r="W1373" s="384" t="str">
        <f>IFERROR(__xludf.DUMMYFUNCTION("""COMPUTED_VALUE"""),"Infinity ")</f>
        <v>Infinity </v>
      </c>
      <c r="X1373" s="385"/>
    </row>
    <row r="1374">
      <c r="A1374" s="384" t="s">
        <v>80</v>
      </c>
      <c r="B1374" s="384" t="s">
        <v>261</v>
      </c>
      <c r="C1374" s="389"/>
      <c r="D1374" s="389">
        <v>1.75</v>
      </c>
      <c r="E1374" s="384"/>
      <c r="F1374" s="389"/>
      <c r="G1374" s="389"/>
      <c r="T1374" s="384" t="str">
        <f>IFERROR(__xludf.DUMMYFUNCTION("""COMPUTED_VALUE"""),"Light")</f>
        <v>Light</v>
      </c>
      <c r="U1374" s="385"/>
      <c r="W1374" s="384" t="str">
        <f>IFERROR(__xludf.DUMMYFUNCTION("""COMPUTED_VALUE"""),"Light")</f>
        <v>Light</v>
      </c>
      <c r="X1374" s="385"/>
    </row>
    <row r="1375">
      <c r="A1375" s="384" t="s">
        <v>110</v>
      </c>
      <c r="B1375" s="384" t="s">
        <v>261</v>
      </c>
      <c r="C1375" s="389"/>
      <c r="D1375" s="389">
        <v>2.0</v>
      </c>
      <c r="E1375" s="384"/>
      <c r="F1375" s="389"/>
      <c r="G1375" s="389"/>
      <c r="T1375" s="384" t="str">
        <f>IFERROR(__xludf.DUMMYFUNCTION("""COMPUTED_VALUE"""),"MSR")</f>
        <v>MSR</v>
      </c>
      <c r="U1375" s="385"/>
      <c r="W1375" s="384" t="str">
        <f>IFERROR(__xludf.DUMMYFUNCTION("""COMPUTED_VALUE"""),"Morti")</f>
        <v>Morti</v>
      </c>
      <c r="X1375" s="385"/>
    </row>
    <row r="1376">
      <c r="A1376" s="384" t="s">
        <v>84</v>
      </c>
      <c r="B1376" s="384" t="s">
        <v>269</v>
      </c>
      <c r="C1376" s="389">
        <v>2.5</v>
      </c>
      <c r="D1376" s="389">
        <v>2.5</v>
      </c>
      <c r="E1376" s="384"/>
      <c r="F1376" s="389"/>
      <c r="G1376" s="389"/>
      <c r="T1376" s="384" t="str">
        <f>IFERROR(__xludf.DUMMYFUNCTION("""COMPUTED_VALUE"""),"NLIP")</f>
        <v>NLIP</v>
      </c>
      <c r="U1376" s="385"/>
      <c r="W1376" s="384" t="str">
        <f>IFERROR(__xludf.DUMMYFUNCTION("""COMPUTED_VALUE"""),"MSR")</f>
        <v>MSR</v>
      </c>
      <c r="X1376" s="385"/>
    </row>
    <row r="1377">
      <c r="A1377" s="384" t="s">
        <v>105</v>
      </c>
      <c r="B1377" s="384" t="s">
        <v>265</v>
      </c>
      <c r="C1377" s="389">
        <v>2.5</v>
      </c>
      <c r="D1377" s="389">
        <v>4.25</v>
      </c>
      <c r="E1377" s="384"/>
      <c r="F1377" s="389"/>
      <c r="G1377" s="389"/>
      <c r="T1377" s="384" t="str">
        <f>IFERROR(__xludf.DUMMYFUNCTION("""COMPUTED_VALUE"""),"Rocket woman ")</f>
        <v>Rocket woman </v>
      </c>
      <c r="U1377" s="385"/>
      <c r="W1377" s="384" t="str">
        <f>IFERROR(__xludf.DUMMYFUNCTION("""COMPUTED_VALUE"""),"NLIP")</f>
        <v>NLIP</v>
      </c>
      <c r="X1377" s="385"/>
    </row>
    <row r="1378">
      <c r="A1378" s="384" t="s">
        <v>85</v>
      </c>
      <c r="B1378" s="384" t="s">
        <v>271</v>
      </c>
      <c r="C1378" s="389"/>
      <c r="D1378" s="389">
        <v>1.75</v>
      </c>
      <c r="E1378" s="384" t="s">
        <v>11</v>
      </c>
      <c r="F1378" s="389"/>
      <c r="G1378" s="389">
        <v>0.5</v>
      </c>
      <c r="T1378" s="384" t="str">
        <f>IFERROR(__xludf.DUMMYFUNCTION("""COMPUTED_VALUE"""),"SCHOKK ")</f>
        <v>SCHOKK </v>
      </c>
      <c r="U1378" s="385"/>
      <c r="W1378" s="384" t="str">
        <f>IFERROR(__xludf.DUMMYFUNCTION("""COMPUTED_VALUE"""),"Rocket woman ")</f>
        <v>Rocket woman </v>
      </c>
      <c r="X1378" s="385"/>
    </row>
    <row r="1379">
      <c r="A1379" s="384" t="s">
        <v>103</v>
      </c>
      <c r="B1379" s="384" t="s">
        <v>261</v>
      </c>
      <c r="C1379" s="389"/>
      <c r="D1379" s="389">
        <v>3.75</v>
      </c>
      <c r="E1379" s="384"/>
      <c r="F1379" s="389"/>
      <c r="G1379" s="389"/>
      <c r="T1379" s="384" t="str">
        <f>IFERROR(__xludf.DUMMYFUNCTION("""COMPUTED_VALUE"""),"Stacy")</f>
        <v>Stacy</v>
      </c>
      <c r="U1379" s="385"/>
      <c r="W1379" s="384" t="str">
        <f>IFERROR(__xludf.DUMMYFUNCTION("""COMPUTED_VALUE"""),"Stacy")</f>
        <v>Stacy</v>
      </c>
      <c r="X1379" s="385"/>
    </row>
    <row r="1380">
      <c r="A1380" s="384" t="s">
        <v>90</v>
      </c>
      <c r="B1380" s="384" t="s">
        <v>269</v>
      </c>
      <c r="C1380" s="389">
        <v>2.5</v>
      </c>
      <c r="D1380" s="389">
        <v>3.5</v>
      </c>
      <c r="E1380" s="384"/>
      <c r="F1380" s="389"/>
      <c r="G1380" s="389"/>
      <c r="T1380" s="384" t="str">
        <f>IFERROR(__xludf.DUMMYFUNCTION("""COMPUTED_VALUE"""),"WhoIsWho")</f>
        <v>WhoIsWho</v>
      </c>
      <c r="U1380" s="385"/>
      <c r="W1380" s="384" t="str">
        <f>IFERROR(__xludf.DUMMYFUNCTION("""COMPUTED_VALUE"""),"WhoIsWho")</f>
        <v>WhoIsWho</v>
      </c>
      <c r="X1380" s="385"/>
    </row>
    <row r="1381">
      <c r="A1381" s="384" t="s">
        <v>101</v>
      </c>
      <c r="B1381" s="384" t="s">
        <v>261</v>
      </c>
      <c r="C1381" s="389"/>
      <c r="D1381" s="389">
        <v>2.5</v>
      </c>
      <c r="E1381" s="384"/>
      <c r="F1381" s="389"/>
      <c r="G1381" s="389"/>
      <c r="T1381" s="384" t="str">
        <f>IFERROR(__xludf.DUMMYFUNCTION("""COMPUTED_VALUE"""),"Young")</f>
        <v>Young</v>
      </c>
      <c r="U1381" s="385"/>
      <c r="W1381" s="384" t="str">
        <f>IFERROR(__xludf.DUMMYFUNCTION("""COMPUTED_VALUE"""),"Young")</f>
        <v>Young</v>
      </c>
      <c r="X1381" s="385"/>
    </row>
    <row r="1382">
      <c r="A1382" s="384" t="s">
        <v>97</v>
      </c>
      <c r="B1382" s="384" t="s">
        <v>261</v>
      </c>
      <c r="C1382" s="389"/>
      <c r="D1382" s="389">
        <v>3.0</v>
      </c>
      <c r="E1382" s="384"/>
      <c r="F1382" s="389"/>
      <c r="G1382" s="389"/>
      <c r="T1382" s="384" t="str">
        <f>IFERROR(__xludf.DUMMYFUNCTION("QUERY('Турнирная таблица по Алфавиту'!C7:BG66,""select C,AQ order by AQ desc"")"),"Зверюга")</f>
        <v>Зверюга</v>
      </c>
      <c r="U1382" s="385">
        <f>IFERROR(__xludf.DUMMYFUNCTION("""COMPUTED_VALUE"""),24.25)</f>
        <v>24.25</v>
      </c>
      <c r="W1382" s="384" t="str">
        <f>IFERROR(__xludf.DUMMYFUNCTION("""COMPUTED_VALUE"""),"Авраам")</f>
        <v>Авраам</v>
      </c>
      <c r="X1382" s="385"/>
    </row>
    <row r="1383">
      <c r="A1383" s="384" t="s">
        <v>87</v>
      </c>
      <c r="B1383" s="384" t="s">
        <v>269</v>
      </c>
      <c r="C1383" s="389">
        <v>2.5</v>
      </c>
      <c r="D1383" s="389">
        <v>3.75</v>
      </c>
      <c r="E1383" s="384"/>
      <c r="F1383" s="389"/>
      <c r="G1383" s="389"/>
      <c r="T1383" s="384" t="str">
        <f>IFERROR(__xludf.DUMMYFUNCTION("""COMPUTED_VALUE"""),"Крот")</f>
        <v>Крот</v>
      </c>
      <c r="U1383" s="385">
        <f>IFERROR(__xludf.DUMMYFUNCTION("""COMPUTED_VALUE"""),22.0)</f>
        <v>22</v>
      </c>
      <c r="W1383" s="384" t="str">
        <f>IFERROR(__xludf.DUMMYFUNCTION("""COMPUTED_VALUE"""),"Админ")</f>
        <v>Админ</v>
      </c>
      <c r="X1383" s="385"/>
    </row>
    <row r="1384">
      <c r="A1384" s="384" t="s">
        <v>80</v>
      </c>
      <c r="B1384" s="384" t="s">
        <v>269</v>
      </c>
      <c r="C1384" s="389">
        <v>2.5</v>
      </c>
      <c r="D1384" s="389">
        <v>4.25</v>
      </c>
      <c r="E1384" s="384"/>
      <c r="F1384" s="389"/>
      <c r="G1384" s="389"/>
      <c r="T1384" s="384" t="str">
        <f>IFERROR(__xludf.DUMMYFUNCTION("""COMPUTED_VALUE"""),"Morti")</f>
        <v>Morti</v>
      </c>
      <c r="U1384" s="385">
        <f>IFERROR(__xludf.DUMMYFUNCTION("""COMPUTED_VALUE"""),21.75)</f>
        <v>21.75</v>
      </c>
      <c r="W1384" s="384" t="str">
        <f>IFERROR(__xludf.DUMMYFUNCTION("""COMPUTED_VALUE"""),"Андерсен")</f>
        <v>Андерсен</v>
      </c>
      <c r="X1384" s="385"/>
    </row>
    <row r="1385">
      <c r="A1385" s="384" t="s">
        <v>110</v>
      </c>
      <c r="B1385" s="384" t="s">
        <v>265</v>
      </c>
      <c r="C1385" s="389">
        <v>2.5</v>
      </c>
      <c r="D1385" s="389">
        <v>4.0</v>
      </c>
      <c r="E1385" s="384"/>
      <c r="F1385" s="389"/>
      <c r="G1385" s="389"/>
      <c r="T1385" s="384" t="str">
        <f>IFERROR(__xludf.DUMMYFUNCTION("""COMPUTED_VALUE"""),"Продюсер")</f>
        <v>Продюсер</v>
      </c>
      <c r="U1385" s="385">
        <f>IFERROR(__xludf.DUMMYFUNCTION("""COMPUTED_VALUE"""),21.5)</f>
        <v>21.5</v>
      </c>
      <c r="W1385" s="384" t="str">
        <f>IFERROR(__xludf.DUMMYFUNCTION("""COMPUTED_VALUE"""),"Артик")</f>
        <v>Артик</v>
      </c>
      <c r="X1385" s="385"/>
    </row>
    <row r="1386">
      <c r="A1386" s="384" t="s">
        <v>84</v>
      </c>
      <c r="B1386" s="384" t="s">
        <v>261</v>
      </c>
      <c r="C1386" s="389"/>
      <c r="D1386" s="389">
        <v>2.0</v>
      </c>
      <c r="E1386" s="384"/>
      <c r="F1386" s="389"/>
      <c r="G1386" s="389"/>
      <c r="T1386" s="384" t="str">
        <f>IFERROR(__xludf.DUMMYFUNCTION("""COMPUTED_VALUE"""),"A1 ")</f>
        <v>A1 </v>
      </c>
      <c r="U1386" s="385">
        <f>IFERROR(__xludf.DUMMYFUNCTION("""COMPUTED_VALUE"""),21.5)</f>
        <v>21.5</v>
      </c>
      <c r="W1386" s="384" t="str">
        <f>IFERROR(__xludf.DUMMYFUNCTION("""COMPUTED_VALUE"""),"Аш")</f>
        <v>Аш</v>
      </c>
      <c r="X1386" s="385"/>
    </row>
    <row r="1387">
      <c r="A1387" s="384" t="s">
        <v>105</v>
      </c>
      <c r="B1387" s="384" t="s">
        <v>261</v>
      </c>
      <c r="C1387" s="389"/>
      <c r="D1387" s="389">
        <v>2.25</v>
      </c>
      <c r="E1387" s="384" t="s">
        <v>11</v>
      </c>
      <c r="F1387" s="389"/>
      <c r="G1387" s="389">
        <v>1.0</v>
      </c>
      <c r="T1387" s="384" t="str">
        <f>IFERROR(__xludf.DUMMYFUNCTION("""COMPUTED_VALUE"""),"Ketamin")</f>
        <v>Ketamin</v>
      </c>
      <c r="U1387" s="385">
        <f>IFERROR(__xludf.DUMMYFUNCTION("""COMPUTED_VALUE"""),20.75)</f>
        <v>20.75</v>
      </c>
      <c r="W1387" s="384" t="str">
        <f>IFERROR(__xludf.DUMMYFUNCTION("""COMPUTED_VALUE"""),"Бамблби")</f>
        <v>Бамблби</v>
      </c>
      <c r="X1387" s="385"/>
    </row>
    <row r="1388">
      <c r="A1388" s="384" t="s">
        <v>85</v>
      </c>
      <c r="B1388" s="384" t="s">
        <v>261</v>
      </c>
      <c r="C1388" s="389"/>
      <c r="D1388" s="389">
        <v>2.25</v>
      </c>
      <c r="E1388" s="384"/>
      <c r="F1388" s="389"/>
      <c r="G1388" s="389"/>
      <c r="T1388" s="384" t="str">
        <f>IFERROR(__xludf.DUMMYFUNCTION("""COMPUTED_VALUE"""),"Марго")</f>
        <v>Марго</v>
      </c>
      <c r="U1388" s="385">
        <f>IFERROR(__xludf.DUMMYFUNCTION("""COMPUTED_VALUE"""),19.5)</f>
        <v>19.5</v>
      </c>
      <c r="W1388" s="384" t="str">
        <f>IFERROR(__xludf.DUMMYFUNCTION("""COMPUTED_VALUE"""),"Волга")</f>
        <v>Волга</v>
      </c>
      <c r="X1388" s="385"/>
    </row>
    <row r="1389">
      <c r="A1389" s="384" t="s">
        <v>103</v>
      </c>
      <c r="B1389" s="384" t="s">
        <v>271</v>
      </c>
      <c r="C1389" s="389"/>
      <c r="D1389" s="389">
        <v>1.75</v>
      </c>
      <c r="E1389" s="384"/>
      <c r="F1389" s="389"/>
      <c r="G1389" s="389"/>
      <c r="T1389" s="384" t="str">
        <f>IFERROR(__xludf.DUMMYFUNCTION("""COMPUTED_VALUE"""),"Писатель ")</f>
        <v>Писатель </v>
      </c>
      <c r="U1389" s="385">
        <f>IFERROR(__xludf.DUMMYFUNCTION("""COMPUTED_VALUE"""),18.25)</f>
        <v>18.25</v>
      </c>
      <c r="W1389" s="384" t="str">
        <f>IFERROR(__xludf.DUMMYFUNCTION("""COMPUTED_VALUE"""),"Градиент")</f>
        <v>Градиент</v>
      </c>
      <c r="X1389" s="385"/>
    </row>
    <row r="1390">
      <c r="A1390" s="384" t="s">
        <v>90</v>
      </c>
      <c r="B1390" s="384" t="s">
        <v>261</v>
      </c>
      <c r="C1390" s="389"/>
      <c r="D1390" s="389">
        <v>2.25</v>
      </c>
      <c r="E1390" s="384"/>
      <c r="F1390" s="389"/>
      <c r="G1390" s="389"/>
      <c r="T1390" s="384" t="str">
        <f>IFERROR(__xludf.DUMMYFUNCTION("""COMPUTED_VALUE"""),"Наполеон")</f>
        <v>Наполеон</v>
      </c>
      <c r="U1390" s="385">
        <f>IFERROR(__xludf.DUMMYFUNCTION("""COMPUTED_VALUE"""),16.5)</f>
        <v>16.5</v>
      </c>
      <c r="W1390" s="384" t="str">
        <f>IFERROR(__xludf.DUMMYFUNCTION("""COMPUTED_VALUE"""),"Дровосек")</f>
        <v>Дровосек</v>
      </c>
      <c r="X1390" s="385"/>
    </row>
    <row r="1391">
      <c r="A1391" s="384" t="s">
        <v>101</v>
      </c>
      <c r="B1391" s="384" t="s">
        <v>261</v>
      </c>
      <c r="C1391" s="389"/>
      <c r="D1391" s="389">
        <v>2.0</v>
      </c>
      <c r="E1391" s="384"/>
      <c r="F1391" s="389"/>
      <c r="G1391" s="389"/>
      <c r="T1391" s="384" t="str">
        <f>IFERROR(__xludf.DUMMYFUNCTION("""COMPUTED_VALUE"""),"BWDMoscow")</f>
        <v>BWDMoscow</v>
      </c>
      <c r="U1391" s="385">
        <f>IFERROR(__xludf.DUMMYFUNCTION("""COMPUTED_VALUE"""),15.75)</f>
        <v>15.75</v>
      </c>
      <c r="W1391" s="384" t="str">
        <f>IFERROR(__xludf.DUMMYFUNCTION("""COMPUTED_VALUE"""),"Зверюга")</f>
        <v>Зверюга</v>
      </c>
      <c r="X1391" s="385"/>
    </row>
    <row r="1392">
      <c r="A1392" s="384" t="s">
        <v>97</v>
      </c>
      <c r="B1392" s="384" t="s">
        <v>261</v>
      </c>
      <c r="C1392" s="389"/>
      <c r="D1392" s="389">
        <v>1.5</v>
      </c>
      <c r="E1392" s="384"/>
      <c r="F1392" s="389"/>
      <c r="G1392" s="389"/>
      <c r="T1392" s="384" t="str">
        <f>IFERROR(__xludf.DUMMYFUNCTION("""COMPUTED_VALUE"""),"Авраам")</f>
        <v>Авраам</v>
      </c>
      <c r="U1392" s="385"/>
      <c r="W1392" s="384" t="str">
        <f>IFERROR(__xludf.DUMMYFUNCTION("""COMPUTED_VALUE"""),"Инсомнич")</f>
        <v>Инсомнич</v>
      </c>
      <c r="X1392" s="385"/>
    </row>
    <row r="1393">
      <c r="A1393" s="384" t="s">
        <v>87</v>
      </c>
      <c r="B1393" s="384" t="s">
        <v>261</v>
      </c>
      <c r="C1393" s="389">
        <v>2.5</v>
      </c>
      <c r="D1393" s="389">
        <v>4.0</v>
      </c>
      <c r="E1393" s="384"/>
      <c r="F1393" s="389"/>
      <c r="G1393" s="389"/>
      <c r="T1393" s="384" t="str">
        <f>IFERROR(__xludf.DUMMYFUNCTION("""COMPUTED_VALUE"""),"Админ")</f>
        <v>Админ</v>
      </c>
      <c r="U1393" s="385"/>
      <c r="W1393" s="384" t="str">
        <f>IFERROR(__xludf.DUMMYFUNCTION("""COMPUTED_VALUE"""),"Красавчик")</f>
        <v>Красавчик</v>
      </c>
      <c r="X1393" s="385"/>
    </row>
    <row r="1394">
      <c r="A1394" s="384" t="s">
        <v>80</v>
      </c>
      <c r="B1394" s="384" t="s">
        <v>261</v>
      </c>
      <c r="C1394" s="389">
        <v>2.5</v>
      </c>
      <c r="D1394" s="389">
        <v>3.75</v>
      </c>
      <c r="E1394" s="384" t="s">
        <v>11</v>
      </c>
      <c r="F1394" s="389">
        <v>0.5</v>
      </c>
      <c r="G1394" s="389">
        <v>0.5</v>
      </c>
      <c r="T1394" s="384" t="str">
        <f>IFERROR(__xludf.DUMMYFUNCTION("""COMPUTED_VALUE"""),"Андерсен")</f>
        <v>Андерсен</v>
      </c>
      <c r="U1394" s="385"/>
      <c r="W1394" s="384" t="str">
        <f>IFERROR(__xludf.DUMMYFUNCTION("""COMPUTED_VALUE"""),"Крестный отец (BLR)")</f>
        <v>Крестный отец (BLR)</v>
      </c>
      <c r="X1394" s="385"/>
    </row>
    <row r="1395">
      <c r="A1395" s="384" t="s">
        <v>110</v>
      </c>
      <c r="B1395" s="384" t="s">
        <v>271</v>
      </c>
      <c r="C1395" s="389">
        <v>2.5</v>
      </c>
      <c r="D1395" s="389">
        <v>4.25</v>
      </c>
      <c r="E1395" s="384"/>
      <c r="F1395" s="389"/>
      <c r="G1395" s="389"/>
      <c r="T1395" s="384" t="str">
        <f>IFERROR(__xludf.DUMMYFUNCTION("""COMPUTED_VALUE"""),"Артик")</f>
        <v>Артик</v>
      </c>
      <c r="U1395" s="385"/>
      <c r="W1395" s="384" t="str">
        <f>IFERROR(__xludf.DUMMYFUNCTION("""COMPUTED_VALUE"""),"Крёстный Отец (RU)")</f>
        <v>Крёстный Отец (RU)</v>
      </c>
      <c r="X1395" s="385"/>
    </row>
    <row r="1396">
      <c r="A1396" s="384" t="s">
        <v>84</v>
      </c>
      <c r="B1396" s="384" t="s">
        <v>269</v>
      </c>
      <c r="C1396" s="389"/>
      <c r="D1396" s="389">
        <v>2.0</v>
      </c>
      <c r="E1396" s="384"/>
      <c r="F1396" s="389"/>
      <c r="G1396" s="389"/>
      <c r="T1396" s="384" t="str">
        <f>IFERROR(__xludf.DUMMYFUNCTION("""COMPUTED_VALUE"""),"Астория")</f>
        <v>Астория</v>
      </c>
      <c r="U1396" s="385"/>
      <c r="W1396" s="384" t="str">
        <f>IFERROR(__xludf.DUMMYFUNCTION("""COMPUTED_VALUE"""),"Крот")</f>
        <v>Крот</v>
      </c>
      <c r="X1396" s="385"/>
    </row>
    <row r="1397">
      <c r="A1397" s="384" t="s">
        <v>105</v>
      </c>
      <c r="B1397" s="384" t="s">
        <v>265</v>
      </c>
      <c r="C1397" s="389"/>
      <c r="D1397" s="389">
        <v>1.5</v>
      </c>
      <c r="E1397" s="384"/>
      <c r="F1397" s="389"/>
      <c r="G1397" s="389"/>
      <c r="T1397" s="384" t="str">
        <f>IFERROR(__xludf.DUMMYFUNCTION("""COMPUTED_VALUE"""),"Аш")</f>
        <v>Аш</v>
      </c>
      <c r="U1397" s="385"/>
      <c r="W1397" s="384" t="str">
        <f>IFERROR(__xludf.DUMMYFUNCTION("""COMPUTED_VALUE"""),"Левша")</f>
        <v>Левша</v>
      </c>
      <c r="X1397" s="385"/>
    </row>
    <row r="1398">
      <c r="A1398" s="384" t="s">
        <v>85</v>
      </c>
      <c r="B1398" s="384" t="s">
        <v>261</v>
      </c>
      <c r="C1398" s="389">
        <v>2.5</v>
      </c>
      <c r="D1398" s="389">
        <v>4.0</v>
      </c>
      <c r="E1398" s="384"/>
      <c r="F1398" s="389"/>
      <c r="G1398" s="389"/>
      <c r="T1398" s="384" t="str">
        <f>IFERROR(__xludf.DUMMYFUNCTION("""COMPUTED_VALUE"""),"Бамблби")</f>
        <v>Бамблби</v>
      </c>
      <c r="U1398" s="385"/>
      <c r="W1398" s="384" t="str">
        <f>IFERROR(__xludf.DUMMYFUNCTION("""COMPUTED_VALUE"""),"Лисичка")</f>
        <v>Лисичка</v>
      </c>
      <c r="X1398" s="385"/>
    </row>
    <row r="1399">
      <c r="A1399" s="384" t="s">
        <v>103</v>
      </c>
      <c r="B1399" s="384" t="s">
        <v>261</v>
      </c>
      <c r="C1399" s="389">
        <v>2.5</v>
      </c>
      <c r="D1399" s="389">
        <v>2.5</v>
      </c>
      <c r="E1399" s="384"/>
      <c r="F1399" s="389"/>
      <c r="G1399" s="389"/>
      <c r="T1399" s="384" t="str">
        <f>IFERROR(__xludf.DUMMYFUNCTION("""COMPUTED_VALUE"""),"Волга")</f>
        <v>Волга</v>
      </c>
      <c r="U1399" s="385"/>
      <c r="W1399" s="384" t="str">
        <f>IFERROR(__xludf.DUMMYFUNCTION("""COMPUTED_VALUE"""),"Маваши")</f>
        <v>Маваши</v>
      </c>
      <c r="X1399" s="385"/>
    </row>
    <row r="1400">
      <c r="A1400" s="384" t="s">
        <v>90</v>
      </c>
      <c r="B1400" s="384" t="s">
        <v>261</v>
      </c>
      <c r="C1400" s="389">
        <v>2.5</v>
      </c>
      <c r="D1400" s="389">
        <v>3.0</v>
      </c>
      <c r="E1400" s="384"/>
      <c r="F1400" s="389"/>
      <c r="G1400" s="389"/>
      <c r="T1400" s="384" t="str">
        <f>IFERROR(__xludf.DUMMYFUNCTION("""COMPUTED_VALUE"""),"Градиент")</f>
        <v>Градиент</v>
      </c>
      <c r="U1400" s="385"/>
      <c r="W1400" s="384" t="str">
        <f>IFERROR(__xludf.DUMMYFUNCTION("""COMPUTED_VALUE"""),"Манекен")</f>
        <v>Манекен</v>
      </c>
      <c r="X1400" s="385"/>
    </row>
    <row r="1401">
      <c r="A1401" s="384" t="s">
        <v>101</v>
      </c>
      <c r="B1401" s="384" t="s">
        <v>269</v>
      </c>
      <c r="C1401" s="389"/>
      <c r="D1401" s="389">
        <v>2.0</v>
      </c>
      <c r="E1401" s="384"/>
      <c r="F1401" s="389"/>
      <c r="G1401" s="389"/>
      <c r="T1401" s="384" t="str">
        <f>IFERROR(__xludf.DUMMYFUNCTION("""COMPUTED_VALUE"""),"Дровосек")</f>
        <v>Дровосек</v>
      </c>
      <c r="U1401" s="385"/>
      <c r="W1401" s="384" t="str">
        <f>IFERROR(__xludf.DUMMYFUNCTION("""COMPUTED_VALUE"""),"Марго")</f>
        <v>Марго</v>
      </c>
      <c r="X1401" s="385"/>
    </row>
    <row r="1402">
      <c r="A1402" s="384" t="s">
        <v>97</v>
      </c>
      <c r="B1402" s="384" t="s">
        <v>261</v>
      </c>
      <c r="C1402" s="389">
        <v>2.5</v>
      </c>
      <c r="D1402" s="389">
        <v>3.0</v>
      </c>
      <c r="E1402" s="384"/>
      <c r="F1402" s="389"/>
      <c r="G1402" s="389"/>
      <c r="T1402" s="384" t="str">
        <f>IFERROR(__xludf.DUMMYFUNCTION("""COMPUTED_VALUE"""),"Инсомнич")</f>
        <v>Инсомнич</v>
      </c>
      <c r="U1402" s="385"/>
      <c r="W1402" s="384" t="str">
        <f>IFERROR(__xludf.DUMMYFUNCTION("""COMPUTED_VALUE"""),"Мишель ")</f>
        <v>Мишель </v>
      </c>
      <c r="X1402" s="385"/>
    </row>
    <row r="1403">
      <c r="A1403" s="384" t="s">
        <v>84</v>
      </c>
      <c r="B1403" s="384" t="s">
        <v>261</v>
      </c>
      <c r="C1403" s="389"/>
      <c r="D1403" s="389">
        <v>3.0</v>
      </c>
      <c r="E1403" s="384" t="s">
        <v>263</v>
      </c>
      <c r="F1403" s="389"/>
      <c r="G1403" s="389"/>
      <c r="T1403" s="384" t="str">
        <f>IFERROR(__xludf.DUMMYFUNCTION("""COMPUTED_VALUE"""),"Красавчик")</f>
        <v>Красавчик</v>
      </c>
      <c r="U1403" s="385"/>
      <c r="W1403" s="384" t="str">
        <f>IFERROR(__xludf.DUMMYFUNCTION("""COMPUTED_VALUE"""),"Панда из Руанды")</f>
        <v>Панда из Руанды</v>
      </c>
      <c r="X1403" s="385"/>
    </row>
    <row r="1404">
      <c r="A1404" s="384" t="s">
        <v>123</v>
      </c>
      <c r="B1404" s="384" t="s">
        <v>271</v>
      </c>
      <c r="C1404" s="389"/>
      <c r="D1404" s="389">
        <v>3.25</v>
      </c>
      <c r="E1404" s="384"/>
      <c r="F1404" s="389"/>
      <c r="G1404" s="389"/>
      <c r="T1404" s="384" t="str">
        <f>IFERROR(__xludf.DUMMYFUNCTION("""COMPUTED_VALUE"""),"Крестный отец (BLR)")</f>
        <v>Крестный отец (BLR)</v>
      </c>
      <c r="U1404" s="385"/>
      <c r="W1404" s="384" t="str">
        <f>IFERROR(__xludf.DUMMYFUNCTION("""COMPUTED_VALUE"""),"Писатель ")</f>
        <v>Писатель </v>
      </c>
      <c r="X1404" s="385"/>
    </row>
    <row r="1405">
      <c r="A1405" s="384" t="s">
        <v>87</v>
      </c>
      <c r="B1405" s="384" t="s">
        <v>265</v>
      </c>
      <c r="C1405" s="389">
        <v>2.5</v>
      </c>
      <c r="D1405" s="389">
        <v>3.0</v>
      </c>
      <c r="E1405" s="384"/>
      <c r="F1405" s="389"/>
      <c r="G1405" s="389"/>
      <c r="T1405" s="384" t="str">
        <f>IFERROR(__xludf.DUMMYFUNCTION("""COMPUTED_VALUE"""),"Крёстный Отец (RU)")</f>
        <v>Крёстный Отец (RU)</v>
      </c>
      <c r="U1405" s="385"/>
      <c r="W1405" s="384" t="str">
        <f>IFERROR(__xludf.DUMMYFUNCTION("""COMPUTED_VALUE"""),"Правда ")</f>
        <v>Правда </v>
      </c>
      <c r="X1405" s="385"/>
    </row>
    <row r="1406">
      <c r="A1406" s="384" t="s">
        <v>81</v>
      </c>
      <c r="B1406" s="384" t="s">
        <v>269</v>
      </c>
      <c r="C1406" s="389">
        <v>2.5</v>
      </c>
      <c r="D1406" s="389">
        <v>2.5</v>
      </c>
      <c r="E1406" s="384"/>
      <c r="F1406" s="389"/>
      <c r="G1406" s="389"/>
      <c r="T1406" s="384" t="str">
        <f>IFERROR(__xludf.DUMMYFUNCTION("""COMPUTED_VALUE"""),"Левша")</f>
        <v>Левша</v>
      </c>
      <c r="U1406" s="385"/>
      <c r="W1406" s="384" t="str">
        <f>IFERROR(__xludf.DUMMYFUNCTION("""COMPUTED_VALUE"""),"Продюсер")</f>
        <v>Продюсер</v>
      </c>
      <c r="X1406" s="385"/>
    </row>
    <row r="1407">
      <c r="A1407" s="384" t="s">
        <v>92</v>
      </c>
      <c r="B1407" s="384" t="s">
        <v>269</v>
      </c>
      <c r="C1407" s="389">
        <v>2.5</v>
      </c>
      <c r="D1407" s="389">
        <v>3.75</v>
      </c>
      <c r="E1407" s="384" t="s">
        <v>260</v>
      </c>
      <c r="F1407" s="389"/>
      <c r="G1407" s="389"/>
      <c r="T1407" s="384" t="str">
        <f>IFERROR(__xludf.DUMMYFUNCTION("""COMPUTED_VALUE"""),"Лисичка")</f>
        <v>Лисичка</v>
      </c>
      <c r="U1407" s="385"/>
      <c r="W1407" s="384" t="str">
        <f>IFERROR(__xludf.DUMMYFUNCTION("""COMPUTED_VALUE"""),"РФ")</f>
        <v>РФ</v>
      </c>
      <c r="X1407" s="385"/>
    </row>
    <row r="1408">
      <c r="A1408" s="384" t="s">
        <v>116</v>
      </c>
      <c r="B1408" s="384" t="s">
        <v>261</v>
      </c>
      <c r="C1408" s="389"/>
      <c r="D1408" s="389">
        <v>2.0</v>
      </c>
      <c r="E1408" s="384" t="s">
        <v>11</v>
      </c>
      <c r="F1408" s="389"/>
      <c r="G1408" s="389">
        <v>0.5</v>
      </c>
      <c r="T1408" s="384" t="str">
        <f>IFERROR(__xludf.DUMMYFUNCTION("""COMPUTED_VALUE"""),"Маваши")</f>
        <v>Маваши</v>
      </c>
      <c r="U1408" s="385"/>
      <c r="W1408" s="384" t="str">
        <f>IFERROR(__xludf.DUMMYFUNCTION("""COMPUTED_VALUE"""),"Старый")</f>
        <v>Старый</v>
      </c>
      <c r="X1408" s="385"/>
    </row>
    <row r="1409">
      <c r="A1409" s="384" t="s">
        <v>129</v>
      </c>
      <c r="B1409" s="384" t="s">
        <v>261</v>
      </c>
      <c r="C1409" s="389"/>
      <c r="D1409" s="389">
        <v>1.5</v>
      </c>
      <c r="E1409" s="384" t="s">
        <v>263</v>
      </c>
      <c r="F1409" s="389"/>
      <c r="G1409" s="389"/>
      <c r="T1409" s="384" t="str">
        <f>IFERROR(__xludf.DUMMYFUNCTION("""COMPUTED_VALUE"""),"Манекен")</f>
        <v>Манекен</v>
      </c>
      <c r="U1409" s="385"/>
      <c r="W1409" s="384" t="str">
        <f>IFERROR(__xludf.DUMMYFUNCTION("""COMPUTED_VALUE"""),"СЭНСЭЙ")</f>
        <v>СЭНСЭЙ</v>
      </c>
      <c r="X1409" s="385"/>
    </row>
    <row r="1410">
      <c r="A1410" s="384" t="s">
        <v>124</v>
      </c>
      <c r="B1410" s="384" t="s">
        <v>261</v>
      </c>
      <c r="C1410" s="389"/>
      <c r="D1410" s="389">
        <v>2.5</v>
      </c>
      <c r="E1410" s="384"/>
      <c r="F1410" s="389"/>
      <c r="G1410" s="389"/>
      <c r="T1410" s="384" t="str">
        <f>IFERROR(__xludf.DUMMYFUNCTION("""COMPUTED_VALUE"""),"Ментик")</f>
        <v>Ментик</v>
      </c>
      <c r="U1410" s="385"/>
      <c r="W1410" s="384" t="str">
        <f>IFERROR(__xludf.DUMMYFUNCTION("""COMPUTED_VALUE"""),"Coach")</f>
        <v>Coach</v>
      </c>
      <c r="X1410" s="385"/>
    </row>
    <row r="1411">
      <c r="A1411" s="384" t="s">
        <v>80</v>
      </c>
      <c r="B1411" s="384" t="s">
        <v>261</v>
      </c>
      <c r="C1411" s="389"/>
      <c r="D1411" s="389">
        <v>3.0</v>
      </c>
      <c r="E1411" s="384"/>
      <c r="F1411" s="389"/>
      <c r="G1411" s="389"/>
      <c r="T1411" s="384" t="str">
        <f>IFERROR(__xludf.DUMMYFUNCTION("""COMPUTED_VALUE"""),"Мишель ")</f>
        <v>Мишель </v>
      </c>
      <c r="U1411" s="385"/>
      <c r="W1411" s="384" t="str">
        <f>IFERROR(__xludf.DUMMYFUNCTION("""COMPUTED_VALUE"""),"Тихий закат")</f>
        <v>Тихий закат</v>
      </c>
      <c r="X1411" s="385"/>
    </row>
    <row r="1412">
      <c r="A1412" s="384" t="s">
        <v>281</v>
      </c>
      <c r="B1412" s="384" t="s">
        <v>261</v>
      </c>
      <c r="C1412" s="389"/>
      <c r="D1412" s="389">
        <v>1.0</v>
      </c>
      <c r="E1412" s="384"/>
      <c r="F1412" s="389"/>
      <c r="G1412" s="389"/>
      <c r="T1412" s="384" t="str">
        <f>IFERROR(__xludf.DUMMYFUNCTION("""COMPUTED_VALUE"""),"Панда из Руанды")</f>
        <v>Панда из Руанды</v>
      </c>
      <c r="U1412" s="385"/>
      <c r="W1412" s="384" t="str">
        <f>IFERROR(__xludf.DUMMYFUNCTION("""COMPUTED_VALUE"""),"Физик")</f>
        <v>Физик</v>
      </c>
      <c r="X1412" s="385"/>
    </row>
    <row r="1413">
      <c r="A1413" s="384" t="s">
        <v>84</v>
      </c>
      <c r="B1413" s="384" t="s">
        <v>265</v>
      </c>
      <c r="C1413" s="389">
        <v>2.5</v>
      </c>
      <c r="D1413" s="389">
        <v>3.0</v>
      </c>
      <c r="E1413" s="384"/>
      <c r="F1413" s="389"/>
      <c r="G1413" s="389"/>
      <c r="T1413" s="384" t="str">
        <f>IFERROR(__xludf.DUMMYFUNCTION("""COMPUTED_VALUE"""),"Правда ")</f>
        <v>Правда </v>
      </c>
      <c r="U1413" s="385"/>
      <c r="W1413" s="384" t="str">
        <f>IFERROR(__xludf.DUMMYFUNCTION("""COMPUTED_VALUE"""),"Флэш")</f>
        <v>Флэш</v>
      </c>
      <c r="X1413" s="385"/>
    </row>
    <row r="1414">
      <c r="A1414" s="384" t="s">
        <v>123</v>
      </c>
      <c r="B1414" s="384" t="s">
        <v>269</v>
      </c>
      <c r="C1414" s="389">
        <v>2.5</v>
      </c>
      <c r="D1414" s="389">
        <v>3.5</v>
      </c>
      <c r="E1414" s="384"/>
      <c r="F1414" s="389"/>
      <c r="G1414" s="389"/>
      <c r="T1414" s="384" t="str">
        <f>IFERROR(__xludf.DUMMYFUNCTION("""COMPUTED_VALUE"""),"РФ")</f>
        <v>РФ</v>
      </c>
      <c r="U1414" s="385"/>
      <c r="W1414" s="384" t="str">
        <f>IFERROR(__xludf.DUMMYFUNCTION("""COMPUTED_VALUE"""),"Шоу Бой")</f>
        <v>Шоу Бой</v>
      </c>
      <c r="X1414" s="385"/>
    </row>
    <row r="1415">
      <c r="A1415" s="384" t="s">
        <v>87</v>
      </c>
      <c r="B1415" s="384" t="s">
        <v>261</v>
      </c>
      <c r="C1415" s="389"/>
      <c r="D1415" s="389">
        <v>3.0</v>
      </c>
      <c r="E1415" s="384"/>
      <c r="F1415" s="389"/>
      <c r="G1415" s="389"/>
      <c r="T1415" s="384" t="str">
        <f>IFERROR(__xludf.DUMMYFUNCTION("""COMPUTED_VALUE"""),"Старый")</f>
        <v>Старый</v>
      </c>
      <c r="U1415" s="385"/>
      <c r="W1415" s="384" t="str">
        <f>IFERROR(__xludf.DUMMYFUNCTION("""COMPUTED_VALUE"""),"Шпиц")</f>
        <v>Шпиц</v>
      </c>
      <c r="X1415" s="385"/>
    </row>
    <row r="1416">
      <c r="A1416" s="384" t="s">
        <v>81</v>
      </c>
      <c r="B1416" s="384" t="s">
        <v>261</v>
      </c>
      <c r="C1416" s="389"/>
      <c r="D1416" s="389">
        <v>2.25</v>
      </c>
      <c r="E1416" s="384"/>
      <c r="F1416" s="389"/>
      <c r="G1416" s="389"/>
      <c r="T1416" s="384" t="str">
        <f>IFERROR(__xludf.DUMMYFUNCTION("""COMPUTED_VALUE"""),"СЭНСЭЙ")</f>
        <v>СЭНСЭЙ</v>
      </c>
      <c r="U1416" s="385"/>
      <c r="W1416" s="384" t="str">
        <f>IFERROR(__xludf.DUMMYFUNCTION("""COMPUTED_VALUE"""),"Alice ")</f>
        <v>Alice </v>
      </c>
      <c r="X1416" s="385"/>
    </row>
    <row r="1417">
      <c r="A1417" s="384" t="s">
        <v>92</v>
      </c>
      <c r="B1417" s="384" t="s">
        <v>271</v>
      </c>
      <c r="C1417" s="389"/>
      <c r="D1417" s="389">
        <v>2.75</v>
      </c>
      <c r="E1417" s="384"/>
      <c r="F1417" s="389"/>
      <c r="G1417" s="389"/>
      <c r="T1417" s="384" t="str">
        <f>IFERROR(__xludf.DUMMYFUNCTION("""COMPUTED_VALUE"""),"Coach")</f>
        <v>Coach</v>
      </c>
      <c r="U1417" s="385"/>
      <c r="W1417" s="384" t="str">
        <f>IFERROR(__xludf.DUMMYFUNCTION("""COMPUTED_VALUE"""),"BWDMoscow")</f>
        <v>BWDMoscow</v>
      </c>
      <c r="X1417" s="385"/>
    </row>
    <row r="1418">
      <c r="A1418" s="384" t="s">
        <v>116</v>
      </c>
      <c r="B1418" s="384" t="s">
        <v>261</v>
      </c>
      <c r="C1418" s="389"/>
      <c r="D1418" s="389">
        <v>3.25</v>
      </c>
      <c r="E1418" s="384"/>
      <c r="F1418" s="389"/>
      <c r="G1418" s="389"/>
      <c r="T1418" s="384" t="str">
        <f>IFERROR(__xludf.DUMMYFUNCTION("""COMPUTED_VALUE"""),"Тихий закат")</f>
        <v>Тихий закат</v>
      </c>
      <c r="U1418" s="385"/>
      <c r="W1418" s="384" t="str">
        <f>IFERROR(__xludf.DUMMYFUNCTION("""COMPUTED_VALUE"""),"Castor Troy ")</f>
        <v>Castor Troy </v>
      </c>
      <c r="X1418" s="385"/>
    </row>
    <row r="1419">
      <c r="A1419" s="384" t="s">
        <v>129</v>
      </c>
      <c r="B1419" s="384" t="s">
        <v>261</v>
      </c>
      <c r="C1419" s="389"/>
      <c r="D1419" s="389">
        <v>2.75</v>
      </c>
      <c r="E1419" s="384"/>
      <c r="F1419" s="389"/>
      <c r="G1419" s="389"/>
      <c r="T1419" s="384" t="str">
        <f>IFERROR(__xludf.DUMMYFUNCTION("""COMPUTED_VALUE"""),"Физик")</f>
        <v>Физик</v>
      </c>
      <c r="U1419" s="385"/>
      <c r="W1419" s="384" t="str">
        <f>IFERROR(__xludf.DUMMYFUNCTION("""COMPUTED_VALUE"""),"Cristo")</f>
        <v>Cristo</v>
      </c>
      <c r="X1419" s="385"/>
    </row>
    <row r="1420">
      <c r="A1420" s="384" t="s">
        <v>124</v>
      </c>
      <c r="B1420" s="384" t="s">
        <v>261</v>
      </c>
      <c r="C1420" s="389"/>
      <c r="D1420" s="389">
        <v>1.75</v>
      </c>
      <c r="E1420" s="384"/>
      <c r="F1420" s="389"/>
      <c r="G1420" s="389"/>
      <c r="T1420" s="384" t="str">
        <f>IFERROR(__xludf.DUMMYFUNCTION("""COMPUTED_VALUE"""),"Флэш")</f>
        <v>Флэш</v>
      </c>
      <c r="U1420" s="385"/>
      <c r="W1420" s="384" t="str">
        <f>IFERROR(__xludf.DUMMYFUNCTION("""COMPUTED_VALUE"""),"Curly")</f>
        <v>Curly</v>
      </c>
      <c r="X1420" s="385"/>
    </row>
    <row r="1421">
      <c r="A1421" s="384" t="s">
        <v>80</v>
      </c>
      <c r="B1421" s="384" t="s">
        <v>261</v>
      </c>
      <c r="C1421" s="389"/>
      <c r="D1421" s="389">
        <v>2.25</v>
      </c>
      <c r="E1421" s="384" t="s">
        <v>11</v>
      </c>
      <c r="F1421" s="389"/>
      <c r="G1421" s="389">
        <v>0.5</v>
      </c>
      <c r="T1421" s="384" t="str">
        <f>IFERROR(__xludf.DUMMYFUNCTION("""COMPUTED_VALUE"""),"Фокс")</f>
        <v>Фокс</v>
      </c>
      <c r="U1421" s="385"/>
      <c r="W1421" s="384" t="str">
        <f>IFERROR(__xludf.DUMMYFUNCTION("""COMPUTED_VALUE"""),"Helga")</f>
        <v>Helga</v>
      </c>
      <c r="X1421" s="385"/>
    </row>
    <row r="1422">
      <c r="A1422" s="384" t="s">
        <v>281</v>
      </c>
      <c r="B1422" s="384" t="s">
        <v>269</v>
      </c>
      <c r="C1422" s="389">
        <v>2.5</v>
      </c>
      <c r="D1422" s="389">
        <v>3.75</v>
      </c>
      <c r="E1422" s="384"/>
      <c r="F1422" s="389"/>
      <c r="G1422" s="389"/>
      <c r="T1422" s="384" t="str">
        <f>IFERROR(__xludf.DUMMYFUNCTION("""COMPUTED_VALUE"""),"Шоу Бой")</f>
        <v>Шоу Бой</v>
      </c>
      <c r="U1422" s="385"/>
      <c r="W1422" s="384" t="str">
        <f>IFERROR(__xludf.DUMMYFUNCTION("""COMPUTED_VALUE"""),"Ketamin")</f>
        <v>Ketamin</v>
      </c>
      <c r="X1422" s="385"/>
    </row>
    <row r="1423">
      <c r="A1423" s="384" t="s">
        <v>84</v>
      </c>
      <c r="B1423" s="384" t="s">
        <v>269</v>
      </c>
      <c r="C1423" s="389">
        <v>2.5</v>
      </c>
      <c r="D1423" s="389">
        <v>4.5</v>
      </c>
      <c r="E1423" s="384" t="s">
        <v>260</v>
      </c>
      <c r="F1423" s="389"/>
      <c r="G1423" s="389"/>
      <c r="T1423" s="384" t="str">
        <f>IFERROR(__xludf.DUMMYFUNCTION("""COMPUTED_VALUE"""),"Шпиц")</f>
        <v>Шпиц</v>
      </c>
      <c r="U1423" s="385"/>
      <c r="W1423" s="384" t="str">
        <f>IFERROR(__xludf.DUMMYFUNCTION("""COMPUTED_VALUE"""),"Light")</f>
        <v>Light</v>
      </c>
      <c r="X1423" s="385"/>
    </row>
    <row r="1424">
      <c r="A1424" s="384" t="s">
        <v>123</v>
      </c>
      <c r="B1424" s="384" t="s">
        <v>261</v>
      </c>
      <c r="C1424" s="389"/>
      <c r="D1424" s="389">
        <v>1.75</v>
      </c>
      <c r="E1424" s="384" t="s">
        <v>263</v>
      </c>
      <c r="F1424" s="389"/>
      <c r="G1424" s="389"/>
      <c r="T1424" s="384" t="str">
        <f>IFERROR(__xludf.DUMMYFUNCTION("""COMPUTED_VALUE"""),"Юрия")</f>
        <v>Юрия</v>
      </c>
      <c r="U1424" s="385"/>
      <c r="W1424" s="384" t="str">
        <f>IFERROR(__xludf.DUMMYFUNCTION("""COMPUTED_VALUE"""),"MSR")</f>
        <v>MSR</v>
      </c>
      <c r="X1424" s="385"/>
    </row>
    <row r="1425">
      <c r="A1425" s="384" t="s">
        <v>87</v>
      </c>
      <c r="B1425" s="384" t="s">
        <v>261</v>
      </c>
      <c r="C1425" s="389"/>
      <c r="D1425" s="389">
        <v>2.5</v>
      </c>
      <c r="E1425" s="384" t="s">
        <v>11</v>
      </c>
      <c r="F1425" s="389"/>
      <c r="G1425" s="389">
        <v>0.5</v>
      </c>
      <c r="T1425" s="384" t="str">
        <f>IFERROR(__xludf.DUMMYFUNCTION("""COMPUTED_VALUE"""),"Alice ")</f>
        <v>Alice </v>
      </c>
      <c r="U1425" s="385"/>
      <c r="W1425" s="384" t="str">
        <f>IFERROR(__xludf.DUMMYFUNCTION("""COMPUTED_VALUE"""),"NLIP")</f>
        <v>NLIP</v>
      </c>
      <c r="X1425" s="385"/>
    </row>
    <row r="1426">
      <c r="A1426" s="384" t="s">
        <v>81</v>
      </c>
      <c r="B1426" s="384" t="s">
        <v>271</v>
      </c>
      <c r="C1426" s="389"/>
      <c r="D1426" s="389">
        <v>3.5</v>
      </c>
      <c r="E1426" s="384"/>
      <c r="F1426" s="389"/>
      <c r="G1426" s="389"/>
      <c r="T1426" s="384" t="str">
        <f>IFERROR(__xludf.DUMMYFUNCTION("""COMPUTED_VALUE"""),"Bublik")</f>
        <v>Bublik</v>
      </c>
      <c r="U1426" s="385"/>
      <c r="W1426" s="384" t="str">
        <f>IFERROR(__xludf.DUMMYFUNCTION("""COMPUTED_VALUE"""),"Rocket woman ")</f>
        <v>Rocket woman </v>
      </c>
      <c r="X1426" s="385"/>
    </row>
    <row r="1427">
      <c r="A1427" s="384" t="s">
        <v>92</v>
      </c>
      <c r="B1427" s="384" t="s">
        <v>261</v>
      </c>
      <c r="C1427" s="389"/>
      <c r="D1427" s="389">
        <v>3.0</v>
      </c>
      <c r="E1427" s="384"/>
      <c r="F1427" s="389"/>
      <c r="G1427" s="389"/>
      <c r="T1427" s="384" t="str">
        <f>IFERROR(__xludf.DUMMYFUNCTION("""COMPUTED_VALUE"""),"Castor Troy ")</f>
        <v>Castor Troy </v>
      </c>
      <c r="U1427" s="385"/>
      <c r="W1427" s="384" t="str">
        <f>IFERROR(__xludf.DUMMYFUNCTION("""COMPUTED_VALUE"""),"SCHOKK ")</f>
        <v>SCHOKK </v>
      </c>
      <c r="X1427" s="385"/>
    </row>
    <row r="1428">
      <c r="A1428" s="384" t="s">
        <v>116</v>
      </c>
      <c r="B1428" s="384" t="s">
        <v>265</v>
      </c>
      <c r="C1428" s="389">
        <v>2.5</v>
      </c>
      <c r="D1428" s="389">
        <v>2.25</v>
      </c>
      <c r="E1428" s="384"/>
      <c r="F1428" s="389"/>
      <c r="G1428" s="389"/>
      <c r="T1428" s="384" t="str">
        <f>IFERROR(__xludf.DUMMYFUNCTION("""COMPUTED_VALUE"""),"Cristo")</f>
        <v>Cristo</v>
      </c>
      <c r="U1428" s="385"/>
      <c r="W1428" s="384" t="str">
        <f>IFERROR(__xludf.DUMMYFUNCTION("""COMPUTED_VALUE"""),"SOVEST")</f>
        <v>SOVEST</v>
      </c>
      <c r="X1428" s="385"/>
    </row>
    <row r="1429">
      <c r="A1429" s="384" t="s">
        <v>129</v>
      </c>
      <c r="B1429" s="384" t="s">
        <v>269</v>
      </c>
      <c r="C1429" s="389">
        <v>2.5</v>
      </c>
      <c r="D1429" s="389">
        <v>2.0</v>
      </c>
      <c r="E1429" s="384"/>
      <c r="F1429" s="389"/>
      <c r="G1429" s="389"/>
      <c r="T1429" s="384" t="str">
        <f>IFERROR(__xludf.DUMMYFUNCTION("""COMPUTED_VALUE"""),"Curly")</f>
        <v>Curly</v>
      </c>
      <c r="U1429" s="385"/>
      <c r="W1429" s="384" t="str">
        <f>IFERROR(__xludf.DUMMYFUNCTION("""COMPUTED_VALUE"""),"Stacy")</f>
        <v>Stacy</v>
      </c>
      <c r="X1429" s="385"/>
    </row>
    <row r="1430">
      <c r="A1430" s="384" t="s">
        <v>124</v>
      </c>
      <c r="B1430" s="384" t="s">
        <v>261</v>
      </c>
      <c r="C1430" s="389"/>
      <c r="D1430" s="389">
        <v>3.0</v>
      </c>
      <c r="E1430" s="384"/>
      <c r="F1430" s="389"/>
      <c r="G1430" s="389"/>
      <c r="T1430" s="384" t="str">
        <f>IFERROR(__xludf.DUMMYFUNCTION("""COMPUTED_VALUE"""),"GALAY")</f>
        <v>GALAY</v>
      </c>
      <c r="U1430" s="385"/>
      <c r="W1430" s="384" t="str">
        <f>IFERROR(__xludf.DUMMYFUNCTION("""COMPUTED_VALUE"""),"WhoIsWho")</f>
        <v>WhoIsWho</v>
      </c>
      <c r="X1430" s="385"/>
    </row>
    <row r="1431">
      <c r="A1431" s="384" t="s">
        <v>80</v>
      </c>
      <c r="B1431" s="384" t="s">
        <v>261</v>
      </c>
      <c r="C1431" s="389"/>
      <c r="D1431" s="389">
        <v>2.0</v>
      </c>
      <c r="E1431" s="384"/>
      <c r="F1431" s="389"/>
      <c r="G1431" s="389"/>
      <c r="T1431" s="384" t="str">
        <f>IFERROR(__xludf.DUMMYFUNCTION("""COMPUTED_VALUE"""),"Helga")</f>
        <v>Helga</v>
      </c>
      <c r="U1431" s="385"/>
      <c r="W1431" s="384" t="str">
        <f>IFERROR(__xludf.DUMMYFUNCTION("""COMPUTED_VALUE"""),"Young")</f>
        <v>Young</v>
      </c>
      <c r="X1431" s="385"/>
    </row>
    <row r="1432">
      <c r="A1432" s="384" t="s">
        <v>281</v>
      </c>
      <c r="B1432" s="384" t="s">
        <v>261</v>
      </c>
      <c r="C1432" s="389"/>
      <c r="D1432" s="389">
        <v>2.5</v>
      </c>
      <c r="E1432" s="384" t="s">
        <v>263</v>
      </c>
      <c r="F1432" s="389"/>
      <c r="G1432" s="389"/>
      <c r="T1432" s="384" t="str">
        <f>IFERROR(__xludf.DUMMYFUNCTION("""COMPUTED_VALUE"""),"Infinity ")</f>
        <v>Infinity </v>
      </c>
      <c r="U1432" s="385"/>
      <c r="W1432" s="384" t="str">
        <f>IFERROR(__xludf.DUMMYFUNCTION("""COMPUTED_VALUE"""),"Авраам")</f>
        <v>Авраам</v>
      </c>
      <c r="X1432" s="385"/>
    </row>
    <row r="1433">
      <c r="A1433" s="384" t="s">
        <v>84</v>
      </c>
      <c r="B1433" s="384" t="s">
        <v>261</v>
      </c>
      <c r="C1433" s="389">
        <v>2.5</v>
      </c>
      <c r="D1433" s="389">
        <v>2.0</v>
      </c>
      <c r="E1433" s="384" t="s">
        <v>11</v>
      </c>
      <c r="F1433" s="389"/>
      <c r="G1433" s="389">
        <v>0.5</v>
      </c>
      <c r="T1433" s="384" t="str">
        <f>IFERROR(__xludf.DUMMYFUNCTION("""COMPUTED_VALUE"""),"Light")</f>
        <v>Light</v>
      </c>
      <c r="U1433" s="385"/>
      <c r="W1433" s="384" t="str">
        <f>IFERROR(__xludf.DUMMYFUNCTION("""COMPUTED_VALUE"""),"Админ")</f>
        <v>Админ</v>
      </c>
      <c r="X1433" s="385"/>
    </row>
    <row r="1434">
      <c r="A1434" s="384" t="s">
        <v>123</v>
      </c>
      <c r="B1434" s="384" t="s">
        <v>271</v>
      </c>
      <c r="C1434" s="389">
        <v>2.5</v>
      </c>
      <c r="D1434" s="389">
        <v>3.5</v>
      </c>
      <c r="E1434" s="384"/>
      <c r="F1434" s="389"/>
      <c r="G1434" s="389"/>
      <c r="T1434" s="384" t="str">
        <f>IFERROR(__xludf.DUMMYFUNCTION("""COMPUTED_VALUE"""),"MSR")</f>
        <v>MSR</v>
      </c>
      <c r="U1434" s="385"/>
      <c r="W1434" s="384" t="str">
        <f>IFERROR(__xludf.DUMMYFUNCTION("""COMPUTED_VALUE"""),"Андерсен")</f>
        <v>Андерсен</v>
      </c>
      <c r="X1434" s="385"/>
    </row>
    <row r="1435">
      <c r="A1435" s="384" t="s">
        <v>87</v>
      </c>
      <c r="B1435" s="384" t="s">
        <v>261</v>
      </c>
      <c r="C1435" s="389">
        <v>2.5</v>
      </c>
      <c r="D1435" s="389">
        <v>3.75</v>
      </c>
      <c r="E1435" s="384"/>
      <c r="F1435" s="389"/>
      <c r="G1435" s="389"/>
      <c r="T1435" s="384" t="str">
        <f>IFERROR(__xludf.DUMMYFUNCTION("""COMPUTED_VALUE"""),"NLIP")</f>
        <v>NLIP</v>
      </c>
      <c r="U1435" s="385"/>
      <c r="W1435" s="384" t="str">
        <f>IFERROR(__xludf.DUMMYFUNCTION("""COMPUTED_VALUE"""),"Артик")</f>
        <v>Артик</v>
      </c>
      <c r="X1435" s="385"/>
    </row>
    <row r="1436">
      <c r="A1436" s="384" t="s">
        <v>81</v>
      </c>
      <c r="B1436" s="384" t="s">
        <v>261</v>
      </c>
      <c r="C1436" s="389">
        <v>2.5</v>
      </c>
      <c r="D1436" s="389">
        <v>3.5</v>
      </c>
      <c r="E1436" s="384"/>
      <c r="F1436" s="389"/>
      <c r="G1436" s="389"/>
      <c r="T1436" s="384" t="str">
        <f>IFERROR(__xludf.DUMMYFUNCTION("""COMPUTED_VALUE"""),"Rocket woman ")</f>
        <v>Rocket woman </v>
      </c>
      <c r="U1436" s="385"/>
      <c r="W1436" s="384" t="str">
        <f>IFERROR(__xludf.DUMMYFUNCTION("""COMPUTED_VALUE"""),"Астория")</f>
        <v>Астория</v>
      </c>
      <c r="X1436" s="385"/>
    </row>
    <row r="1437">
      <c r="A1437" s="384" t="s">
        <v>92</v>
      </c>
      <c r="B1437" s="384" t="s">
        <v>269</v>
      </c>
      <c r="C1437" s="389"/>
      <c r="D1437" s="389">
        <v>2.5</v>
      </c>
      <c r="E1437" s="384" t="s">
        <v>263</v>
      </c>
      <c r="F1437" s="389"/>
      <c r="G1437" s="389"/>
      <c r="T1437" s="384" t="str">
        <f>IFERROR(__xludf.DUMMYFUNCTION("""COMPUTED_VALUE"""),"SCHOKK ")</f>
        <v>SCHOKK </v>
      </c>
      <c r="U1437" s="385"/>
      <c r="W1437" s="384" t="str">
        <f>IFERROR(__xludf.DUMMYFUNCTION("""COMPUTED_VALUE"""),"Аш")</f>
        <v>Аш</v>
      </c>
      <c r="X1437" s="385"/>
    </row>
    <row r="1438">
      <c r="A1438" s="384" t="s">
        <v>116</v>
      </c>
      <c r="B1438" s="384" t="s">
        <v>261</v>
      </c>
      <c r="C1438" s="389">
        <v>2.5</v>
      </c>
      <c r="D1438" s="389">
        <v>4.0</v>
      </c>
      <c r="E1438" s="384" t="s">
        <v>260</v>
      </c>
      <c r="F1438" s="389"/>
      <c r="G1438" s="389"/>
      <c r="T1438" s="384" t="str">
        <f>IFERROR(__xludf.DUMMYFUNCTION("""COMPUTED_VALUE"""),"SOVEST")</f>
        <v>SOVEST</v>
      </c>
      <c r="U1438" s="385"/>
      <c r="W1438" s="384" t="str">
        <f>IFERROR(__xludf.DUMMYFUNCTION("""COMPUTED_VALUE"""),"Бамблби")</f>
        <v>Бамблби</v>
      </c>
      <c r="X1438" s="385"/>
    </row>
    <row r="1439">
      <c r="A1439" s="384" t="s">
        <v>129</v>
      </c>
      <c r="B1439" s="384" t="s">
        <v>261</v>
      </c>
      <c r="C1439" s="389">
        <v>2.5</v>
      </c>
      <c r="D1439" s="389">
        <v>4.0</v>
      </c>
      <c r="E1439" s="384"/>
      <c r="F1439" s="389"/>
      <c r="G1439" s="389"/>
      <c r="T1439" s="384" t="str">
        <f>IFERROR(__xludf.DUMMYFUNCTION("""COMPUTED_VALUE"""),"Stacy")</f>
        <v>Stacy</v>
      </c>
      <c r="U1439" s="385"/>
      <c r="W1439" s="384" t="str">
        <f>IFERROR(__xludf.DUMMYFUNCTION("""COMPUTED_VALUE"""),"Градиент")</f>
        <v>Градиент</v>
      </c>
      <c r="X1439" s="385"/>
    </row>
    <row r="1440">
      <c r="A1440" s="384" t="s">
        <v>124</v>
      </c>
      <c r="B1440" s="384" t="s">
        <v>261</v>
      </c>
      <c r="C1440" s="389">
        <v>2.5</v>
      </c>
      <c r="D1440" s="389">
        <v>3.0</v>
      </c>
      <c r="E1440" s="384" t="s">
        <v>260</v>
      </c>
      <c r="F1440" s="389"/>
      <c r="G1440" s="389"/>
      <c r="T1440" s="384" t="str">
        <f>IFERROR(__xludf.DUMMYFUNCTION("""COMPUTED_VALUE"""),"WhoIsWho")</f>
        <v>WhoIsWho</v>
      </c>
      <c r="U1440" s="385"/>
      <c r="W1440" s="384" t="str">
        <f>IFERROR(__xludf.DUMMYFUNCTION("""COMPUTED_VALUE"""),"Дровосек")</f>
        <v>Дровосек</v>
      </c>
      <c r="X1440" s="385"/>
    </row>
    <row r="1441">
      <c r="A1441" s="384" t="s">
        <v>80</v>
      </c>
      <c r="B1441" s="384" t="s">
        <v>265</v>
      </c>
      <c r="C1441" s="389"/>
      <c r="D1441" s="389">
        <v>2.75</v>
      </c>
      <c r="E1441" s="384"/>
      <c r="F1441" s="389"/>
      <c r="G1441" s="389"/>
      <c r="T1441" s="384" t="str">
        <f>IFERROR(__xludf.DUMMYFUNCTION("""COMPUTED_VALUE"""),"Young")</f>
        <v>Young</v>
      </c>
      <c r="U1441" s="385"/>
      <c r="W1441" s="384" t="str">
        <f>IFERROR(__xludf.DUMMYFUNCTION("""COMPUTED_VALUE"""),"Зверюга")</f>
        <v>Зверюга</v>
      </c>
      <c r="X1441" s="385"/>
    </row>
    <row r="1442">
      <c r="A1442" s="384" t="s">
        <v>281</v>
      </c>
      <c r="B1442" s="384" t="s">
        <v>269</v>
      </c>
      <c r="C1442" s="389"/>
      <c r="D1442" s="389">
        <v>2.25</v>
      </c>
      <c r="E1442" s="384"/>
      <c r="F1442" s="389"/>
      <c r="G1442" s="389"/>
      <c r="T1442" s="384" t="str">
        <f>IFERROR(__xludf.DUMMYFUNCTION("QUERY('Турнирная таблица по Алфавиту'!C7:BG66,""select C,AR order by AR desc"")"),"Young")</f>
        <v>Young</v>
      </c>
      <c r="U1442" s="385">
        <f>IFERROR(__xludf.DUMMYFUNCTION("""COMPUTED_VALUE"""),27.75)</f>
        <v>27.75</v>
      </c>
      <c r="W1442" s="384" t="str">
        <f>IFERROR(__xludf.DUMMYFUNCTION("""COMPUTED_VALUE"""),"Красавчик")</f>
        <v>Красавчик</v>
      </c>
      <c r="X1442" s="385"/>
    </row>
    <row r="1443">
      <c r="A1443" s="384" t="s">
        <v>84</v>
      </c>
      <c r="B1443" s="384" t="s">
        <v>269</v>
      </c>
      <c r="C1443" s="389">
        <v>2.5</v>
      </c>
      <c r="D1443" s="389">
        <v>4.0</v>
      </c>
      <c r="E1443" s="384" t="s">
        <v>260</v>
      </c>
      <c r="F1443" s="389"/>
      <c r="G1443" s="389"/>
      <c r="T1443" s="384" t="str">
        <f>IFERROR(__xludf.DUMMYFUNCTION("""COMPUTED_VALUE"""),"Админ")</f>
        <v>Админ</v>
      </c>
      <c r="U1443" s="385">
        <f>IFERROR(__xludf.DUMMYFUNCTION("""COMPUTED_VALUE"""),26.5)</f>
        <v>26.5</v>
      </c>
      <c r="W1443" s="384" t="str">
        <f>IFERROR(__xludf.DUMMYFUNCTION("""COMPUTED_VALUE"""),"Крестный отец (BLR)")</f>
        <v>Крестный отец (BLR)</v>
      </c>
      <c r="X1443" s="385"/>
    </row>
    <row r="1444">
      <c r="A1444" s="384" t="s">
        <v>123</v>
      </c>
      <c r="B1444" s="384" t="s">
        <v>265</v>
      </c>
      <c r="C1444" s="389">
        <v>2.5</v>
      </c>
      <c r="D1444" s="389">
        <v>2.75</v>
      </c>
      <c r="E1444" s="384"/>
      <c r="F1444" s="389"/>
      <c r="G1444" s="389"/>
      <c r="T1444" s="384" t="str">
        <f>IFERROR(__xludf.DUMMYFUNCTION("""COMPUTED_VALUE"""),"Правда ")</f>
        <v>Правда </v>
      </c>
      <c r="U1444" s="385">
        <f>IFERROR(__xludf.DUMMYFUNCTION("""COMPUTED_VALUE"""),19.75)</f>
        <v>19.75</v>
      </c>
      <c r="W1444" s="384" t="str">
        <f>IFERROR(__xludf.DUMMYFUNCTION("""COMPUTED_VALUE"""),"Крёстный Отец (RU)")</f>
        <v>Крёстный Отец (RU)</v>
      </c>
      <c r="X1444" s="385"/>
    </row>
    <row r="1445">
      <c r="A1445" s="384" t="s">
        <v>87</v>
      </c>
      <c r="B1445" s="384" t="s">
        <v>261</v>
      </c>
      <c r="C1445" s="389"/>
      <c r="D1445" s="389">
        <v>3.0</v>
      </c>
      <c r="E1445" s="384" t="s">
        <v>11</v>
      </c>
      <c r="F1445" s="389"/>
      <c r="G1445" s="389">
        <v>1.0</v>
      </c>
      <c r="T1445" s="384" t="str">
        <f>IFERROR(__xludf.DUMMYFUNCTION("""COMPUTED_VALUE"""),"Марго")</f>
        <v>Марго</v>
      </c>
      <c r="U1445" s="385">
        <f>IFERROR(__xludf.DUMMYFUNCTION("""COMPUTED_VALUE"""),18.25)</f>
        <v>18.25</v>
      </c>
      <c r="W1445" s="384" t="str">
        <f>IFERROR(__xludf.DUMMYFUNCTION("""COMPUTED_VALUE"""),"Крот")</f>
        <v>Крот</v>
      </c>
      <c r="X1445" s="385"/>
    </row>
    <row r="1446">
      <c r="A1446" s="384" t="s">
        <v>81</v>
      </c>
      <c r="B1446" s="384" t="s">
        <v>261</v>
      </c>
      <c r="C1446" s="389"/>
      <c r="D1446" s="389">
        <v>2.5</v>
      </c>
      <c r="E1446" s="384" t="s">
        <v>263</v>
      </c>
      <c r="F1446" s="389"/>
      <c r="G1446" s="389"/>
      <c r="T1446" s="384" t="str">
        <f>IFERROR(__xludf.DUMMYFUNCTION("""COMPUTED_VALUE"""),"Зверюга")</f>
        <v>Зверюга</v>
      </c>
      <c r="U1446" s="385">
        <f>IFERROR(__xludf.DUMMYFUNCTION("""COMPUTED_VALUE"""),17.25)</f>
        <v>17.25</v>
      </c>
      <c r="W1446" s="384" t="str">
        <f>IFERROR(__xludf.DUMMYFUNCTION("""COMPUTED_VALUE"""),"Левша")</f>
        <v>Левша</v>
      </c>
      <c r="X1446" s="385"/>
    </row>
    <row r="1447">
      <c r="A1447" s="384" t="s">
        <v>92</v>
      </c>
      <c r="B1447" s="384" t="s">
        <v>269</v>
      </c>
      <c r="C1447" s="389">
        <v>2.5</v>
      </c>
      <c r="D1447" s="389">
        <v>2.25</v>
      </c>
      <c r="E1447" s="384"/>
      <c r="F1447" s="389"/>
      <c r="G1447" s="389"/>
      <c r="T1447" s="384" t="str">
        <f>IFERROR(__xludf.DUMMYFUNCTION("""COMPUTED_VALUE"""),"BWDMoscow")</f>
        <v>BWDMoscow</v>
      </c>
      <c r="U1447" s="385">
        <f>IFERROR(__xludf.DUMMYFUNCTION("""COMPUTED_VALUE"""),16.25)</f>
        <v>16.25</v>
      </c>
      <c r="W1447" s="384" t="str">
        <f>IFERROR(__xludf.DUMMYFUNCTION("""COMPUTED_VALUE"""),"Лисичка")</f>
        <v>Лисичка</v>
      </c>
      <c r="X1447" s="385"/>
    </row>
    <row r="1448">
      <c r="A1448" s="384" t="s">
        <v>116</v>
      </c>
      <c r="B1448" s="384" t="s">
        <v>261</v>
      </c>
      <c r="C1448" s="389"/>
      <c r="D1448" s="389">
        <v>2.0</v>
      </c>
      <c r="E1448" s="384"/>
      <c r="F1448" s="389"/>
      <c r="G1448" s="389"/>
      <c r="T1448" s="384" t="str">
        <f>IFERROR(__xludf.DUMMYFUNCTION("""COMPUTED_VALUE"""),"Андерсен")</f>
        <v>Андерсен</v>
      </c>
      <c r="U1448" s="385">
        <f>IFERROR(__xludf.DUMMYFUNCTION("""COMPUTED_VALUE"""),16.0)</f>
        <v>16</v>
      </c>
      <c r="W1448" s="384" t="str">
        <f>IFERROR(__xludf.DUMMYFUNCTION("""COMPUTED_VALUE"""),"Манекен")</f>
        <v>Манекен</v>
      </c>
      <c r="X1448" s="385"/>
    </row>
    <row r="1449">
      <c r="A1449" s="384" t="s">
        <v>129</v>
      </c>
      <c r="B1449" s="384" t="s">
        <v>261</v>
      </c>
      <c r="C1449" s="389"/>
      <c r="D1449" s="389">
        <v>2.0</v>
      </c>
      <c r="E1449" s="384"/>
      <c r="F1449" s="389"/>
      <c r="G1449" s="389"/>
      <c r="T1449" s="384" t="str">
        <f>IFERROR(__xludf.DUMMYFUNCTION("""COMPUTED_VALUE"""),"Stacy")</f>
        <v>Stacy</v>
      </c>
      <c r="U1449" s="385">
        <f>IFERROR(__xludf.DUMMYFUNCTION("""COMPUTED_VALUE"""),14.75)</f>
        <v>14.75</v>
      </c>
      <c r="W1449" s="384" t="str">
        <f>IFERROR(__xludf.DUMMYFUNCTION("""COMPUTED_VALUE"""),"Марго")</f>
        <v>Марго</v>
      </c>
      <c r="X1449" s="385"/>
    </row>
    <row r="1450">
      <c r="A1450" s="384" t="s">
        <v>124</v>
      </c>
      <c r="B1450" s="384" t="s">
        <v>261</v>
      </c>
      <c r="C1450" s="389"/>
      <c r="D1450" s="389">
        <v>2.5</v>
      </c>
      <c r="E1450" s="384" t="s">
        <v>263</v>
      </c>
      <c r="F1450" s="389"/>
      <c r="G1450" s="389"/>
      <c r="T1450" s="384" t="str">
        <f>IFERROR(__xludf.DUMMYFUNCTION("""COMPUTED_VALUE"""),"Красавчик")</f>
        <v>Красавчик</v>
      </c>
      <c r="U1450" s="385">
        <f>IFERROR(__xludf.DUMMYFUNCTION("""COMPUTED_VALUE"""),14.25)</f>
        <v>14.25</v>
      </c>
      <c r="W1450" s="384" t="str">
        <f>IFERROR(__xludf.DUMMYFUNCTION("""COMPUTED_VALUE"""),"Наполеон")</f>
        <v>Наполеон</v>
      </c>
      <c r="X1450" s="385"/>
    </row>
    <row r="1451">
      <c r="A1451" s="384" t="s">
        <v>80</v>
      </c>
      <c r="B1451" s="384" t="s">
        <v>271</v>
      </c>
      <c r="C1451" s="389"/>
      <c r="D1451" s="389">
        <v>3.75</v>
      </c>
      <c r="E1451" s="384"/>
      <c r="F1451" s="389"/>
      <c r="G1451" s="389"/>
      <c r="T1451" s="384" t="str">
        <f>IFERROR(__xludf.DUMMYFUNCTION("""COMPUTED_VALUE"""),"A1 ")</f>
        <v>A1 </v>
      </c>
      <c r="U1451" s="385">
        <f>IFERROR(__xludf.DUMMYFUNCTION("""COMPUTED_VALUE"""),14.25)</f>
        <v>14.25</v>
      </c>
      <c r="W1451" s="384" t="str">
        <f>IFERROR(__xludf.DUMMYFUNCTION("""COMPUTED_VALUE"""),"Панда из Руанды")</f>
        <v>Панда из Руанды</v>
      </c>
      <c r="X1451" s="385"/>
    </row>
    <row r="1452">
      <c r="A1452" s="384" t="s">
        <v>281</v>
      </c>
      <c r="B1452" s="384" t="s">
        <v>261</v>
      </c>
      <c r="C1452" s="389"/>
      <c r="D1452" s="389">
        <v>2.0</v>
      </c>
      <c r="E1452" s="384"/>
      <c r="F1452" s="389"/>
      <c r="G1452" s="389"/>
      <c r="T1452" s="384" t="str">
        <f>IFERROR(__xludf.DUMMYFUNCTION("""COMPUTED_VALUE"""),"Авраам")</f>
        <v>Авраам</v>
      </c>
      <c r="U1452" s="385"/>
      <c r="W1452" s="384" t="str">
        <f>IFERROR(__xludf.DUMMYFUNCTION("""COMPUTED_VALUE"""),"Писатель ")</f>
        <v>Писатель </v>
      </c>
      <c r="X1452" s="385"/>
    </row>
    <row r="1453">
      <c r="A1453" s="384" t="s">
        <v>120</v>
      </c>
      <c r="B1453" s="384" t="s">
        <v>269</v>
      </c>
      <c r="C1453" s="389">
        <v>2.5</v>
      </c>
      <c r="D1453" s="389">
        <v>2.5</v>
      </c>
      <c r="E1453" s="384"/>
      <c r="F1453" s="389"/>
      <c r="G1453" s="389"/>
      <c r="T1453" s="384" t="str">
        <f>IFERROR(__xludf.DUMMYFUNCTION("""COMPUTED_VALUE"""),"Артик")</f>
        <v>Артик</v>
      </c>
      <c r="U1453" s="385"/>
      <c r="W1453" s="384" t="str">
        <f>IFERROR(__xludf.DUMMYFUNCTION("""COMPUTED_VALUE"""),"Правда ")</f>
        <v>Правда </v>
      </c>
      <c r="X1453" s="385"/>
    </row>
    <row r="1454">
      <c r="A1454" s="384" t="s">
        <v>169</v>
      </c>
      <c r="B1454" s="384" t="s">
        <v>261</v>
      </c>
      <c r="C1454" s="389"/>
      <c r="D1454" s="389">
        <v>3.5</v>
      </c>
      <c r="E1454" s="384" t="s">
        <v>11</v>
      </c>
      <c r="F1454" s="389">
        <v>1.0</v>
      </c>
      <c r="G1454" s="389">
        <v>0.5</v>
      </c>
      <c r="T1454" s="384" t="str">
        <f>IFERROR(__xludf.DUMMYFUNCTION("""COMPUTED_VALUE"""),"Астория")</f>
        <v>Астория</v>
      </c>
      <c r="U1454" s="385"/>
      <c r="W1454" s="384" t="str">
        <f>IFERROR(__xludf.DUMMYFUNCTION("""COMPUTED_VALUE"""),"Продюсер")</f>
        <v>Продюсер</v>
      </c>
      <c r="X1454" s="385"/>
    </row>
    <row r="1455">
      <c r="A1455" s="384" t="s">
        <v>92</v>
      </c>
      <c r="B1455" s="384" t="s">
        <v>265</v>
      </c>
      <c r="C1455" s="389">
        <v>2.5</v>
      </c>
      <c r="D1455" s="389">
        <v>3.0</v>
      </c>
      <c r="E1455" s="384"/>
      <c r="F1455" s="389"/>
      <c r="G1455" s="389"/>
      <c r="T1455" s="384" t="str">
        <f>IFERROR(__xludf.DUMMYFUNCTION("""COMPUTED_VALUE"""),"Аш")</f>
        <v>Аш</v>
      </c>
      <c r="U1455" s="385"/>
      <c r="W1455" s="384" t="str">
        <f>IFERROR(__xludf.DUMMYFUNCTION("""COMPUTED_VALUE"""),"РФ")</f>
        <v>РФ</v>
      </c>
      <c r="X1455" s="385"/>
    </row>
    <row r="1456">
      <c r="A1456" s="384" t="s">
        <v>135</v>
      </c>
      <c r="B1456" s="384" t="s">
        <v>261</v>
      </c>
      <c r="C1456" s="389"/>
      <c r="D1456" s="389">
        <v>2.25</v>
      </c>
      <c r="E1456" s="384"/>
      <c r="F1456" s="389"/>
      <c r="G1456" s="389"/>
      <c r="T1456" s="384" t="str">
        <f>IFERROR(__xludf.DUMMYFUNCTION("""COMPUTED_VALUE"""),"Бамблби")</f>
        <v>Бамблби</v>
      </c>
      <c r="U1456" s="385"/>
      <c r="W1456" s="384" t="str">
        <f>IFERROR(__xludf.DUMMYFUNCTION("""COMPUTED_VALUE"""),"Старый")</f>
        <v>Старый</v>
      </c>
      <c r="X1456" s="385"/>
    </row>
    <row r="1457">
      <c r="A1457" s="384" t="s">
        <v>281</v>
      </c>
      <c r="B1457" s="384" t="s">
        <v>269</v>
      </c>
      <c r="C1457" s="389">
        <v>2.5</v>
      </c>
      <c r="D1457" s="389">
        <v>4.0</v>
      </c>
      <c r="E1457" s="384" t="s">
        <v>260</v>
      </c>
      <c r="F1457" s="389"/>
      <c r="G1457" s="389"/>
      <c r="T1457" s="384" t="str">
        <f>IFERROR(__xludf.DUMMYFUNCTION("""COMPUTED_VALUE"""),"Волга")</f>
        <v>Волга</v>
      </c>
      <c r="U1457" s="385"/>
      <c r="W1457" s="384" t="str">
        <f>IFERROR(__xludf.DUMMYFUNCTION("""COMPUTED_VALUE"""),"Coach")</f>
        <v>Coach</v>
      </c>
      <c r="X1457" s="385"/>
    </row>
    <row r="1458">
      <c r="A1458" s="384" t="s">
        <v>84</v>
      </c>
      <c r="B1458" s="384" t="s">
        <v>261</v>
      </c>
      <c r="C1458" s="389"/>
      <c r="D1458" s="389">
        <v>4.0</v>
      </c>
      <c r="E1458" s="384" t="s">
        <v>263</v>
      </c>
      <c r="F1458" s="389"/>
      <c r="G1458" s="389"/>
      <c r="T1458" s="384" t="str">
        <f>IFERROR(__xludf.DUMMYFUNCTION("""COMPUTED_VALUE"""),"Градиент")</f>
        <v>Градиент</v>
      </c>
      <c r="U1458" s="385"/>
      <c r="W1458" s="384" t="str">
        <f>IFERROR(__xludf.DUMMYFUNCTION("""COMPUTED_VALUE"""),"Тихий закат")</f>
        <v>Тихий закат</v>
      </c>
      <c r="X1458" s="385"/>
    </row>
    <row r="1459">
      <c r="A1459" s="384" t="s">
        <v>102</v>
      </c>
      <c r="B1459" s="384" t="s">
        <v>261</v>
      </c>
      <c r="C1459" s="389"/>
      <c r="D1459" s="389">
        <v>3.5</v>
      </c>
      <c r="E1459" s="384"/>
      <c r="F1459" s="389"/>
      <c r="G1459" s="389"/>
      <c r="T1459" s="384" t="str">
        <f>IFERROR(__xludf.DUMMYFUNCTION("""COMPUTED_VALUE"""),"Дровосек")</f>
        <v>Дровосек</v>
      </c>
      <c r="U1459" s="385"/>
      <c r="W1459" s="384" t="str">
        <f>IFERROR(__xludf.DUMMYFUNCTION("""COMPUTED_VALUE"""),"Шоу Бой")</f>
        <v>Шоу Бой</v>
      </c>
      <c r="X1459" s="385"/>
    </row>
    <row r="1460">
      <c r="A1460" s="384" t="s">
        <v>126</v>
      </c>
      <c r="B1460" s="384" t="s">
        <v>261</v>
      </c>
      <c r="C1460" s="389"/>
      <c r="D1460" s="389">
        <v>2.0</v>
      </c>
      <c r="E1460" s="384" t="s">
        <v>263</v>
      </c>
      <c r="F1460" s="389"/>
      <c r="G1460" s="389"/>
      <c r="T1460" s="384" t="str">
        <f>IFERROR(__xludf.DUMMYFUNCTION("""COMPUTED_VALUE"""),"Инсомнич")</f>
        <v>Инсомнич</v>
      </c>
      <c r="U1460" s="385"/>
      <c r="W1460" s="384" t="str">
        <f>IFERROR(__xludf.DUMMYFUNCTION("""COMPUTED_VALUE"""),"Шпиц")</f>
        <v>Шпиц</v>
      </c>
      <c r="X1460" s="385"/>
    </row>
    <row r="1461">
      <c r="A1461" s="384" t="s">
        <v>87</v>
      </c>
      <c r="B1461" s="384" t="s">
        <v>261</v>
      </c>
      <c r="C1461" s="389"/>
      <c r="D1461" s="389">
        <v>1.75</v>
      </c>
      <c r="E1461" s="384"/>
      <c r="F1461" s="389"/>
      <c r="G1461" s="389"/>
      <c r="T1461" s="384" t="str">
        <f>IFERROR(__xludf.DUMMYFUNCTION("""COMPUTED_VALUE"""),"Крестный отец (BLR)")</f>
        <v>Крестный отец (BLR)</v>
      </c>
      <c r="U1461" s="385"/>
      <c r="W1461" s="384" t="str">
        <f>IFERROR(__xludf.DUMMYFUNCTION("""COMPUTED_VALUE"""),"Юрия")</f>
        <v>Юрия</v>
      </c>
      <c r="X1461" s="385"/>
    </row>
    <row r="1462">
      <c r="A1462" s="384" t="s">
        <v>80</v>
      </c>
      <c r="B1462" s="384" t="s">
        <v>271</v>
      </c>
      <c r="C1462" s="389"/>
      <c r="D1462" s="389">
        <v>2.0</v>
      </c>
      <c r="E1462" s="384"/>
      <c r="F1462" s="389"/>
      <c r="G1462" s="389"/>
      <c r="T1462" s="384" t="str">
        <f>IFERROR(__xludf.DUMMYFUNCTION("""COMPUTED_VALUE"""),"Крёстный Отец (RU)")</f>
        <v>Крёстный Отец (RU)</v>
      </c>
      <c r="U1462" s="385"/>
      <c r="W1462" s="384" t="str">
        <f>IFERROR(__xludf.DUMMYFUNCTION("""COMPUTED_VALUE"""),"A1 ")</f>
        <v>A1 </v>
      </c>
      <c r="X1462" s="385"/>
    </row>
    <row r="1463">
      <c r="A1463" s="384" t="s">
        <v>120</v>
      </c>
      <c r="B1463" s="384" t="s">
        <v>269</v>
      </c>
      <c r="C1463" s="389">
        <v>2.5</v>
      </c>
      <c r="D1463" s="389">
        <v>3.5</v>
      </c>
      <c r="E1463" s="384"/>
      <c r="F1463" s="389"/>
      <c r="G1463" s="389"/>
      <c r="T1463" s="384" t="str">
        <f>IFERROR(__xludf.DUMMYFUNCTION("""COMPUTED_VALUE"""),"Крот")</f>
        <v>Крот</v>
      </c>
      <c r="U1463" s="385"/>
      <c r="W1463" s="384" t="str">
        <f>IFERROR(__xludf.DUMMYFUNCTION("""COMPUTED_VALUE"""),"Alice ")</f>
        <v>Alice </v>
      </c>
      <c r="X1463" s="385"/>
    </row>
    <row r="1464">
      <c r="A1464" s="384" t="s">
        <v>169</v>
      </c>
      <c r="B1464" s="384" t="s">
        <v>269</v>
      </c>
      <c r="C1464" s="389">
        <v>2.5</v>
      </c>
      <c r="D1464" s="389">
        <v>3.25</v>
      </c>
      <c r="E1464" s="384"/>
      <c r="F1464" s="389"/>
      <c r="G1464" s="389"/>
      <c r="T1464" s="384" t="str">
        <f>IFERROR(__xludf.DUMMYFUNCTION("""COMPUTED_VALUE"""),"Левша")</f>
        <v>Левша</v>
      </c>
      <c r="U1464" s="385"/>
      <c r="W1464" s="384" t="str">
        <f>IFERROR(__xludf.DUMMYFUNCTION("""COMPUTED_VALUE"""),"Bublik")</f>
        <v>Bublik</v>
      </c>
      <c r="X1464" s="385"/>
    </row>
    <row r="1465">
      <c r="A1465" s="384" t="s">
        <v>92</v>
      </c>
      <c r="B1465" s="384" t="s">
        <v>261</v>
      </c>
      <c r="C1465" s="389"/>
      <c r="D1465" s="389">
        <v>3.0</v>
      </c>
      <c r="E1465" s="384"/>
      <c r="F1465" s="389"/>
      <c r="G1465" s="389"/>
      <c r="T1465" s="384" t="str">
        <f>IFERROR(__xludf.DUMMYFUNCTION("""COMPUTED_VALUE"""),"Лисичка")</f>
        <v>Лисичка</v>
      </c>
      <c r="U1465" s="385"/>
      <c r="W1465" s="384" t="str">
        <f>IFERROR(__xludf.DUMMYFUNCTION("""COMPUTED_VALUE"""),"BWDMoscow")</f>
        <v>BWDMoscow</v>
      </c>
      <c r="X1465" s="385"/>
    </row>
    <row r="1466">
      <c r="A1466" s="384" t="s">
        <v>135</v>
      </c>
      <c r="B1466" s="384" t="s">
        <v>271</v>
      </c>
      <c r="C1466" s="389"/>
      <c r="D1466" s="389">
        <v>2.75</v>
      </c>
      <c r="E1466" s="384"/>
      <c r="F1466" s="389"/>
      <c r="G1466" s="389"/>
      <c r="T1466" s="384" t="str">
        <f>IFERROR(__xludf.DUMMYFUNCTION("""COMPUTED_VALUE"""),"Маваши")</f>
        <v>Маваши</v>
      </c>
      <c r="U1466" s="385"/>
      <c r="W1466" s="384" t="str">
        <f>IFERROR(__xludf.DUMMYFUNCTION("""COMPUTED_VALUE"""),"Castor Troy ")</f>
        <v>Castor Troy </v>
      </c>
      <c r="X1466" s="385"/>
    </row>
    <row r="1467">
      <c r="A1467" s="384" t="s">
        <v>281</v>
      </c>
      <c r="B1467" s="384" t="s">
        <v>261</v>
      </c>
      <c r="C1467" s="389"/>
      <c r="D1467" s="389">
        <v>2.75</v>
      </c>
      <c r="E1467" s="384"/>
      <c r="F1467" s="389"/>
      <c r="G1467" s="389"/>
      <c r="T1467" s="384" t="str">
        <f>IFERROR(__xludf.DUMMYFUNCTION("""COMPUTED_VALUE"""),"Манекен")</f>
        <v>Манекен</v>
      </c>
      <c r="U1467" s="385"/>
      <c r="W1467" s="384" t="str">
        <f>IFERROR(__xludf.DUMMYFUNCTION("""COMPUTED_VALUE"""),"Cristo")</f>
        <v>Cristo</v>
      </c>
      <c r="X1467" s="385"/>
    </row>
    <row r="1468">
      <c r="A1468" s="384" t="s">
        <v>84</v>
      </c>
      <c r="B1468" s="384" t="s">
        <v>261</v>
      </c>
      <c r="C1468" s="389"/>
      <c r="D1468" s="389">
        <v>2.5</v>
      </c>
      <c r="E1468" s="384"/>
      <c r="F1468" s="389"/>
      <c r="G1468" s="389"/>
      <c r="T1468" s="384" t="str">
        <f>IFERROR(__xludf.DUMMYFUNCTION("""COMPUTED_VALUE"""),"Ментик")</f>
        <v>Ментик</v>
      </c>
      <c r="U1468" s="385"/>
      <c r="W1468" s="384" t="str">
        <f>IFERROR(__xludf.DUMMYFUNCTION("""COMPUTED_VALUE"""),"Curly")</f>
        <v>Curly</v>
      </c>
      <c r="X1468" s="385"/>
    </row>
    <row r="1469">
      <c r="A1469" s="384" t="s">
        <v>102</v>
      </c>
      <c r="B1469" s="384" t="s">
        <v>265</v>
      </c>
      <c r="C1469" s="389">
        <v>2.5</v>
      </c>
      <c r="D1469" s="389">
        <v>3.75</v>
      </c>
      <c r="E1469" s="384"/>
      <c r="F1469" s="389"/>
      <c r="G1469" s="389"/>
      <c r="T1469" s="384" t="str">
        <f>IFERROR(__xludf.DUMMYFUNCTION("""COMPUTED_VALUE"""),"Мишель ")</f>
        <v>Мишель </v>
      </c>
      <c r="U1469" s="385"/>
      <c r="W1469" s="384" t="str">
        <f>IFERROR(__xludf.DUMMYFUNCTION("""COMPUTED_VALUE"""),"GALAY")</f>
        <v>GALAY</v>
      </c>
      <c r="X1469" s="385"/>
    </row>
    <row r="1470">
      <c r="A1470" s="384" t="s">
        <v>126</v>
      </c>
      <c r="B1470" s="384" t="s">
        <v>261</v>
      </c>
      <c r="C1470" s="389"/>
      <c r="D1470" s="389">
        <v>3.0</v>
      </c>
      <c r="E1470" s="384"/>
      <c r="F1470" s="389"/>
      <c r="G1470" s="389"/>
      <c r="T1470" s="384" t="str">
        <f>IFERROR(__xludf.DUMMYFUNCTION("""COMPUTED_VALUE"""),"Наполеон")</f>
        <v>Наполеон</v>
      </c>
      <c r="U1470" s="385"/>
      <c r="W1470" s="384" t="str">
        <f>IFERROR(__xludf.DUMMYFUNCTION("""COMPUTED_VALUE"""),"Helga")</f>
        <v>Helga</v>
      </c>
      <c r="X1470" s="385"/>
    </row>
    <row r="1471">
      <c r="A1471" s="384" t="s">
        <v>87</v>
      </c>
      <c r="B1471" s="384" t="s">
        <v>261</v>
      </c>
      <c r="C1471" s="389"/>
      <c r="D1471" s="389">
        <v>2.0</v>
      </c>
      <c r="E1471" s="384" t="s">
        <v>11</v>
      </c>
      <c r="F1471" s="389"/>
      <c r="G1471" s="389">
        <v>0.5</v>
      </c>
      <c r="T1471" s="384" t="str">
        <f>IFERROR(__xludf.DUMMYFUNCTION("""COMPUTED_VALUE"""),"Панда из Руанды")</f>
        <v>Панда из Руанды</v>
      </c>
      <c r="U1471" s="385"/>
      <c r="W1471" s="384" t="str">
        <f>IFERROR(__xludf.DUMMYFUNCTION("""COMPUTED_VALUE"""),"Infinity ")</f>
        <v>Infinity </v>
      </c>
      <c r="X1471" s="385"/>
    </row>
    <row r="1472">
      <c r="A1472" s="384" t="s">
        <v>80</v>
      </c>
      <c r="B1472" s="384" t="s">
        <v>261</v>
      </c>
      <c r="C1472" s="389"/>
      <c r="D1472" s="389">
        <v>1.5</v>
      </c>
      <c r="E1472" s="384"/>
      <c r="F1472" s="389"/>
      <c r="G1472" s="389"/>
      <c r="T1472" s="384" t="str">
        <f>IFERROR(__xludf.DUMMYFUNCTION("""COMPUTED_VALUE"""),"Писатель ")</f>
        <v>Писатель </v>
      </c>
      <c r="U1472" s="385"/>
      <c r="W1472" s="384" t="str">
        <f>IFERROR(__xludf.DUMMYFUNCTION("""COMPUTED_VALUE"""),"Ketamin")</f>
        <v>Ketamin</v>
      </c>
      <c r="X1472" s="385"/>
    </row>
    <row r="1473">
      <c r="A1473" s="384" t="s">
        <v>120</v>
      </c>
      <c r="B1473" s="384" t="s">
        <v>261</v>
      </c>
      <c r="C1473" s="389">
        <v>2.5</v>
      </c>
      <c r="D1473" s="389">
        <v>3.5</v>
      </c>
      <c r="E1473" s="384"/>
      <c r="F1473" s="389"/>
      <c r="G1473" s="389"/>
      <c r="T1473" s="384" t="str">
        <f>IFERROR(__xludf.DUMMYFUNCTION("""COMPUTED_VALUE"""),"Продюсер")</f>
        <v>Продюсер</v>
      </c>
      <c r="U1473" s="385"/>
      <c r="W1473" s="384" t="str">
        <f>IFERROR(__xludf.DUMMYFUNCTION("""COMPUTED_VALUE"""),"Light")</f>
        <v>Light</v>
      </c>
      <c r="X1473" s="385"/>
    </row>
    <row r="1474">
      <c r="A1474" s="384" t="s">
        <v>169</v>
      </c>
      <c r="B1474" s="384" t="s">
        <v>261</v>
      </c>
      <c r="C1474" s="389">
        <v>2.5</v>
      </c>
      <c r="D1474" s="389">
        <v>3.0</v>
      </c>
      <c r="E1474" s="384"/>
      <c r="F1474" s="389"/>
      <c r="G1474" s="389"/>
      <c r="T1474" s="384" t="str">
        <f>IFERROR(__xludf.DUMMYFUNCTION("""COMPUTED_VALUE"""),"РФ")</f>
        <v>РФ</v>
      </c>
      <c r="U1474" s="385"/>
      <c r="W1474" s="384" t="str">
        <f>IFERROR(__xludf.DUMMYFUNCTION("""COMPUTED_VALUE"""),"MSR")</f>
        <v>MSR</v>
      </c>
      <c r="X1474" s="385"/>
    </row>
    <row r="1475">
      <c r="A1475" s="384" t="s">
        <v>92</v>
      </c>
      <c r="B1475" s="384" t="s">
        <v>261</v>
      </c>
      <c r="C1475" s="389">
        <v>2.5</v>
      </c>
      <c r="D1475" s="389">
        <v>3.75</v>
      </c>
      <c r="E1475" s="384"/>
      <c r="F1475" s="389"/>
      <c r="G1475" s="389"/>
      <c r="T1475" s="384" t="str">
        <f>IFERROR(__xludf.DUMMYFUNCTION("""COMPUTED_VALUE"""),"Старый")</f>
        <v>Старый</v>
      </c>
      <c r="U1475" s="385"/>
      <c r="W1475" s="384" t="str">
        <f>IFERROR(__xludf.DUMMYFUNCTION("""COMPUTED_VALUE"""),"NLIP")</f>
        <v>NLIP</v>
      </c>
      <c r="X1475" s="385"/>
    </row>
    <row r="1476">
      <c r="A1476" s="384" t="s">
        <v>135</v>
      </c>
      <c r="B1476" s="384" t="s">
        <v>271</v>
      </c>
      <c r="C1476" s="389">
        <v>2.5</v>
      </c>
      <c r="D1476" s="389">
        <v>3.25</v>
      </c>
      <c r="E1476" s="384"/>
      <c r="F1476" s="389"/>
      <c r="G1476" s="389"/>
      <c r="T1476" s="384" t="str">
        <f>IFERROR(__xludf.DUMMYFUNCTION("""COMPUTED_VALUE"""),"СЭНСЭЙ")</f>
        <v>СЭНСЭЙ</v>
      </c>
      <c r="U1476" s="385"/>
      <c r="W1476" s="384" t="str">
        <f>IFERROR(__xludf.DUMMYFUNCTION("""COMPUTED_VALUE"""),"Rocket woman ")</f>
        <v>Rocket woman </v>
      </c>
      <c r="X1476" s="385"/>
    </row>
    <row r="1477">
      <c r="A1477" s="384" t="s">
        <v>281</v>
      </c>
      <c r="B1477" s="384" t="s">
        <v>261</v>
      </c>
      <c r="C1477" s="389">
        <v>2.5</v>
      </c>
      <c r="D1477" s="389">
        <v>3.75</v>
      </c>
      <c r="E1477" s="384"/>
      <c r="F1477" s="389"/>
      <c r="G1477" s="389"/>
      <c r="T1477" s="384" t="str">
        <f>IFERROR(__xludf.DUMMYFUNCTION("""COMPUTED_VALUE"""),"Coach")</f>
        <v>Coach</v>
      </c>
      <c r="U1477" s="385"/>
      <c r="W1477" s="384" t="str">
        <f>IFERROR(__xludf.DUMMYFUNCTION("""COMPUTED_VALUE"""),"SCHOKK ")</f>
        <v>SCHOKK </v>
      </c>
      <c r="X1477" s="385"/>
    </row>
    <row r="1478">
      <c r="A1478" s="384" t="s">
        <v>84</v>
      </c>
      <c r="B1478" s="384" t="s">
        <v>269</v>
      </c>
      <c r="C1478" s="389"/>
      <c r="D1478" s="389">
        <v>2.25</v>
      </c>
      <c r="E1478" s="384"/>
      <c r="F1478" s="389"/>
      <c r="G1478" s="389"/>
      <c r="T1478" s="384" t="str">
        <f>IFERROR(__xludf.DUMMYFUNCTION("""COMPUTED_VALUE"""),"Тихий закат")</f>
        <v>Тихий закат</v>
      </c>
      <c r="U1478" s="385"/>
      <c r="W1478" s="384" t="str">
        <f>IFERROR(__xludf.DUMMYFUNCTION("""COMPUTED_VALUE"""),"SOVEST")</f>
        <v>SOVEST</v>
      </c>
      <c r="X1478" s="385"/>
    </row>
    <row r="1479">
      <c r="A1479" s="384" t="s">
        <v>102</v>
      </c>
      <c r="B1479" s="384" t="s">
        <v>269</v>
      </c>
      <c r="C1479" s="389"/>
      <c r="D1479" s="389">
        <v>2.5</v>
      </c>
      <c r="E1479" s="384"/>
      <c r="F1479" s="389"/>
      <c r="G1479" s="389"/>
      <c r="T1479" s="384" t="str">
        <f>IFERROR(__xludf.DUMMYFUNCTION("""COMPUTED_VALUE"""),"Физик")</f>
        <v>Физик</v>
      </c>
      <c r="U1479" s="385"/>
      <c r="W1479" s="384" t="str">
        <f>IFERROR(__xludf.DUMMYFUNCTION("""COMPUTED_VALUE"""),"Stacy")</f>
        <v>Stacy</v>
      </c>
      <c r="X1479" s="385"/>
    </row>
    <row r="1480">
      <c r="A1480" s="384" t="s">
        <v>126</v>
      </c>
      <c r="B1480" s="384" t="s">
        <v>265</v>
      </c>
      <c r="C1480" s="389"/>
      <c r="D1480" s="389">
        <v>1.75</v>
      </c>
      <c r="E1480" s="384"/>
      <c r="F1480" s="389"/>
      <c r="G1480" s="389"/>
      <c r="T1480" s="384" t="str">
        <f>IFERROR(__xludf.DUMMYFUNCTION("""COMPUTED_VALUE"""),"Флэш")</f>
        <v>Флэш</v>
      </c>
      <c r="U1480" s="385"/>
      <c r="W1480" s="384" t="str">
        <f>IFERROR(__xludf.DUMMYFUNCTION("""COMPUTED_VALUE"""),"WhoIsWho")</f>
        <v>WhoIsWho</v>
      </c>
      <c r="X1480" s="385"/>
    </row>
    <row r="1481">
      <c r="A1481" s="384" t="s">
        <v>87</v>
      </c>
      <c r="B1481" s="384" t="s">
        <v>261</v>
      </c>
      <c r="C1481" s="389">
        <v>2.5</v>
      </c>
      <c r="D1481" s="389">
        <v>3.0</v>
      </c>
      <c r="E1481" s="384"/>
      <c r="F1481" s="389"/>
      <c r="G1481" s="389"/>
      <c r="T1481" s="384" t="str">
        <f>IFERROR(__xludf.DUMMYFUNCTION("""COMPUTED_VALUE"""),"Фокс")</f>
        <v>Фокс</v>
      </c>
      <c r="U1481" s="385"/>
      <c r="W1481" s="384" t="str">
        <f>IFERROR(__xludf.DUMMYFUNCTION("""COMPUTED_VALUE"""),"Young")</f>
        <v>Young</v>
      </c>
      <c r="X1481" s="385"/>
    </row>
    <row r="1482">
      <c r="A1482" s="384" t="s">
        <v>80</v>
      </c>
      <c r="B1482" s="384" t="s">
        <v>261</v>
      </c>
      <c r="C1482" s="389">
        <v>2.5</v>
      </c>
      <c r="D1482" s="389">
        <v>2.25</v>
      </c>
      <c r="E1482" s="384" t="s">
        <v>11</v>
      </c>
      <c r="F1482" s="389"/>
      <c r="G1482" s="389">
        <v>0.5</v>
      </c>
      <c r="T1482" s="384" t="str">
        <f>IFERROR(__xludf.DUMMYFUNCTION("""COMPUTED_VALUE"""),"Шоу Бой")</f>
        <v>Шоу Бой</v>
      </c>
      <c r="U1482" s="385"/>
      <c r="W1482" s="384" t="str">
        <f>IFERROR(__xludf.DUMMYFUNCTION("""COMPUTED_VALUE"""),"Авраам")</f>
        <v>Авраам</v>
      </c>
      <c r="X1482" s="385"/>
    </row>
    <row r="1483">
      <c r="A1483" s="384" t="s">
        <v>120</v>
      </c>
      <c r="B1483" s="384" t="s">
        <v>265</v>
      </c>
      <c r="C1483" s="389">
        <v>2.5</v>
      </c>
      <c r="D1483" s="389">
        <v>3.25</v>
      </c>
      <c r="E1483" s="384"/>
      <c r="F1483" s="389"/>
      <c r="G1483" s="389"/>
      <c r="T1483" s="384" t="str">
        <f>IFERROR(__xludf.DUMMYFUNCTION("""COMPUTED_VALUE"""),"Шпиц")</f>
        <v>Шпиц</v>
      </c>
      <c r="U1483" s="385"/>
      <c r="W1483" s="384" t="str">
        <f>IFERROR(__xludf.DUMMYFUNCTION("""COMPUTED_VALUE"""),"Админ")</f>
        <v>Админ</v>
      </c>
      <c r="X1483" s="385"/>
    </row>
    <row r="1484">
      <c r="A1484" s="384" t="s">
        <v>169</v>
      </c>
      <c r="B1484" s="384" t="s">
        <v>271</v>
      </c>
      <c r="C1484" s="389"/>
      <c r="D1484" s="389">
        <v>2.25</v>
      </c>
      <c r="E1484" s="384"/>
      <c r="F1484" s="389"/>
      <c r="G1484" s="389"/>
      <c r="T1484" s="384" t="str">
        <f>IFERROR(__xludf.DUMMYFUNCTION("""COMPUTED_VALUE"""),"Юрия")</f>
        <v>Юрия</v>
      </c>
      <c r="U1484" s="385"/>
      <c r="W1484" s="384" t="str">
        <f>IFERROR(__xludf.DUMMYFUNCTION("""COMPUTED_VALUE"""),"Андерсен")</f>
        <v>Андерсен</v>
      </c>
      <c r="X1484" s="385"/>
    </row>
    <row r="1485">
      <c r="A1485" s="384" t="s">
        <v>92</v>
      </c>
      <c r="B1485" s="384" t="s">
        <v>261</v>
      </c>
      <c r="C1485" s="389"/>
      <c r="D1485" s="389">
        <v>1.75</v>
      </c>
      <c r="E1485" s="384"/>
      <c r="F1485" s="389"/>
      <c r="G1485" s="389"/>
      <c r="T1485" s="384" t="str">
        <f>IFERROR(__xludf.DUMMYFUNCTION("""COMPUTED_VALUE"""),"Alice ")</f>
        <v>Alice </v>
      </c>
      <c r="U1485" s="385"/>
      <c r="W1485" s="384" t="str">
        <f>IFERROR(__xludf.DUMMYFUNCTION("""COMPUTED_VALUE"""),"Артик")</f>
        <v>Артик</v>
      </c>
      <c r="X1485" s="385"/>
    </row>
    <row r="1486">
      <c r="A1486" s="384" t="s">
        <v>135</v>
      </c>
      <c r="B1486" s="384" t="s">
        <v>269</v>
      </c>
      <c r="C1486" s="389">
        <v>2.5</v>
      </c>
      <c r="D1486" s="389">
        <v>3.75</v>
      </c>
      <c r="E1486" s="384"/>
      <c r="F1486" s="389"/>
      <c r="G1486" s="389"/>
      <c r="T1486" s="384" t="str">
        <f>IFERROR(__xludf.DUMMYFUNCTION("""COMPUTED_VALUE"""),"Bublik")</f>
        <v>Bublik</v>
      </c>
      <c r="U1486" s="385"/>
      <c r="W1486" s="384" t="str">
        <f>IFERROR(__xludf.DUMMYFUNCTION("""COMPUTED_VALUE"""),"Астория")</f>
        <v>Астория</v>
      </c>
      <c r="X1486" s="385"/>
    </row>
    <row r="1487">
      <c r="A1487" s="384" t="s">
        <v>281</v>
      </c>
      <c r="B1487" s="384" t="s">
        <v>261</v>
      </c>
      <c r="C1487" s="389"/>
      <c r="D1487" s="389">
        <v>1.75</v>
      </c>
      <c r="E1487" s="384"/>
      <c r="F1487" s="389"/>
      <c r="G1487" s="389"/>
      <c r="T1487" s="384" t="str">
        <f>IFERROR(__xludf.DUMMYFUNCTION("""COMPUTED_VALUE"""),"Castor Troy ")</f>
        <v>Castor Troy </v>
      </c>
      <c r="U1487" s="385"/>
      <c r="W1487" s="384" t="str">
        <f>IFERROR(__xludf.DUMMYFUNCTION("""COMPUTED_VALUE"""),"Аш")</f>
        <v>Аш</v>
      </c>
      <c r="X1487" s="385"/>
    </row>
    <row r="1488">
      <c r="A1488" s="384" t="s">
        <v>84</v>
      </c>
      <c r="B1488" s="384" t="s">
        <v>261</v>
      </c>
      <c r="C1488" s="389"/>
      <c r="D1488" s="389">
        <v>2.0</v>
      </c>
      <c r="E1488" s="384"/>
      <c r="F1488" s="389"/>
      <c r="G1488" s="389"/>
      <c r="T1488" s="384" t="str">
        <f>IFERROR(__xludf.DUMMYFUNCTION("""COMPUTED_VALUE"""),"Cristo")</f>
        <v>Cristo</v>
      </c>
      <c r="U1488" s="385"/>
      <c r="W1488" s="384" t="str">
        <f>IFERROR(__xludf.DUMMYFUNCTION("""COMPUTED_VALUE"""),"Волга")</f>
        <v>Волга</v>
      </c>
      <c r="X1488" s="385"/>
    </row>
    <row r="1489">
      <c r="A1489" s="384" t="s">
        <v>102</v>
      </c>
      <c r="B1489" s="384" t="s">
        <v>261</v>
      </c>
      <c r="C1489" s="389"/>
      <c r="D1489" s="389">
        <v>1.75</v>
      </c>
      <c r="E1489" s="384" t="s">
        <v>11</v>
      </c>
      <c r="F1489" s="389"/>
      <c r="G1489" s="389">
        <v>0.5</v>
      </c>
      <c r="T1489" s="384" t="str">
        <f>IFERROR(__xludf.DUMMYFUNCTION("""COMPUTED_VALUE"""),"Curly")</f>
        <v>Curly</v>
      </c>
      <c r="U1489" s="385"/>
      <c r="W1489" s="384" t="str">
        <f>IFERROR(__xludf.DUMMYFUNCTION("""COMPUTED_VALUE"""),"Градиент")</f>
        <v>Градиент</v>
      </c>
      <c r="X1489" s="385"/>
    </row>
    <row r="1490">
      <c r="A1490" s="384" t="s">
        <v>126</v>
      </c>
      <c r="B1490" s="384" t="s">
        <v>269</v>
      </c>
      <c r="C1490" s="389">
        <v>2.5</v>
      </c>
      <c r="D1490" s="389">
        <v>3.5</v>
      </c>
      <c r="E1490" s="384"/>
      <c r="F1490" s="389"/>
      <c r="G1490" s="389"/>
      <c r="T1490" s="384" t="str">
        <f>IFERROR(__xludf.DUMMYFUNCTION("""COMPUTED_VALUE"""),"GALAY")</f>
        <v>GALAY</v>
      </c>
      <c r="U1490" s="385"/>
      <c r="W1490" s="384" t="str">
        <f>IFERROR(__xludf.DUMMYFUNCTION("""COMPUTED_VALUE"""),"Дровосек")</f>
        <v>Дровосек</v>
      </c>
      <c r="X1490" s="385"/>
    </row>
    <row r="1491">
      <c r="A1491" s="384" t="s">
        <v>87</v>
      </c>
      <c r="B1491" s="384" t="s">
        <v>261</v>
      </c>
      <c r="C1491" s="389"/>
      <c r="D1491" s="389">
        <v>1.75</v>
      </c>
      <c r="E1491" s="384"/>
      <c r="F1491" s="389"/>
      <c r="G1491" s="389"/>
      <c r="T1491" s="384" t="str">
        <f>IFERROR(__xludf.DUMMYFUNCTION("""COMPUTED_VALUE"""),"Helga")</f>
        <v>Helga</v>
      </c>
      <c r="U1491" s="385"/>
      <c r="W1491" s="384" t="str">
        <f>IFERROR(__xludf.DUMMYFUNCTION("""COMPUTED_VALUE"""),"Зверюга")</f>
        <v>Зверюга</v>
      </c>
      <c r="X1491" s="385"/>
    </row>
    <row r="1492">
      <c r="A1492" s="384" t="s">
        <v>80</v>
      </c>
      <c r="B1492" s="384" t="s">
        <v>261</v>
      </c>
      <c r="C1492" s="389"/>
      <c r="D1492" s="389">
        <v>3.0</v>
      </c>
      <c r="E1492" s="384"/>
      <c r="F1492" s="389"/>
      <c r="G1492" s="389"/>
      <c r="T1492" s="384" t="str">
        <f>IFERROR(__xludf.DUMMYFUNCTION("""COMPUTED_VALUE"""),"Infinity ")</f>
        <v>Infinity </v>
      </c>
      <c r="U1492" s="385"/>
      <c r="W1492" s="384" t="str">
        <f>IFERROR(__xludf.DUMMYFUNCTION("""COMPUTED_VALUE"""),"Инсомнич")</f>
        <v>Инсомнич</v>
      </c>
      <c r="X1492" s="385"/>
    </row>
    <row r="1493">
      <c r="A1493" s="384" t="s">
        <v>120</v>
      </c>
      <c r="B1493" s="384" t="s">
        <v>261</v>
      </c>
      <c r="C1493" s="389"/>
      <c r="D1493" s="389">
        <v>2.5</v>
      </c>
      <c r="E1493" s="384" t="s">
        <v>11</v>
      </c>
      <c r="F1493" s="389"/>
      <c r="G1493" s="389">
        <v>0.5</v>
      </c>
      <c r="T1493" s="384" t="str">
        <f>IFERROR(__xludf.DUMMYFUNCTION("""COMPUTED_VALUE"""),"Ketamin")</f>
        <v>Ketamin</v>
      </c>
      <c r="U1493" s="385"/>
      <c r="W1493" s="384" t="str">
        <f>IFERROR(__xludf.DUMMYFUNCTION("""COMPUTED_VALUE"""),"Красавчик")</f>
        <v>Красавчик</v>
      </c>
      <c r="X1493" s="385"/>
    </row>
    <row r="1494">
      <c r="A1494" s="384" t="s">
        <v>169</v>
      </c>
      <c r="B1494" s="384" t="s">
        <v>269</v>
      </c>
      <c r="C1494" s="389">
        <v>2.5</v>
      </c>
      <c r="D1494" s="389">
        <v>2.5</v>
      </c>
      <c r="E1494" s="384"/>
      <c r="F1494" s="389"/>
      <c r="G1494" s="389"/>
      <c r="T1494" s="384" t="str">
        <f>IFERROR(__xludf.DUMMYFUNCTION("""COMPUTED_VALUE"""),"Light")</f>
        <v>Light</v>
      </c>
      <c r="U1494" s="385"/>
      <c r="W1494" s="384" t="str">
        <f>IFERROR(__xludf.DUMMYFUNCTION("""COMPUTED_VALUE"""),"Крёстный Отец (RU)")</f>
        <v>Крёстный Отец (RU)</v>
      </c>
      <c r="X1494" s="385"/>
    </row>
    <row r="1495">
      <c r="A1495" s="384" t="s">
        <v>92</v>
      </c>
      <c r="B1495" s="384" t="s">
        <v>269</v>
      </c>
      <c r="C1495" s="389">
        <v>2.5</v>
      </c>
      <c r="D1495" s="389">
        <v>3.25</v>
      </c>
      <c r="E1495" s="384"/>
      <c r="F1495" s="389"/>
      <c r="G1495" s="389"/>
      <c r="T1495" s="384" t="str">
        <f>IFERROR(__xludf.DUMMYFUNCTION("""COMPUTED_VALUE"""),"Morti")</f>
        <v>Morti</v>
      </c>
      <c r="U1495" s="385"/>
      <c r="W1495" s="384" t="str">
        <f>IFERROR(__xludf.DUMMYFUNCTION("""COMPUTED_VALUE"""),"Крот")</f>
        <v>Крот</v>
      </c>
      <c r="X1495" s="385"/>
    </row>
    <row r="1496">
      <c r="A1496" s="384" t="s">
        <v>135</v>
      </c>
      <c r="B1496" s="384" t="s">
        <v>271</v>
      </c>
      <c r="C1496" s="389"/>
      <c r="D1496" s="389">
        <v>3.5</v>
      </c>
      <c r="E1496" s="384" t="s">
        <v>263</v>
      </c>
      <c r="F1496" s="389"/>
      <c r="G1496" s="389"/>
      <c r="T1496" s="384" t="str">
        <f>IFERROR(__xludf.DUMMYFUNCTION("""COMPUTED_VALUE"""),"MSR")</f>
        <v>MSR</v>
      </c>
      <c r="U1496" s="385"/>
      <c r="W1496" s="384" t="str">
        <f>IFERROR(__xludf.DUMMYFUNCTION("""COMPUTED_VALUE"""),"Левша")</f>
        <v>Левша</v>
      </c>
      <c r="X1496" s="385"/>
    </row>
    <row r="1497">
      <c r="A1497" s="384" t="s">
        <v>281</v>
      </c>
      <c r="B1497" s="384" t="s">
        <v>261</v>
      </c>
      <c r="C1497" s="389"/>
      <c r="D1497" s="389">
        <v>1.5</v>
      </c>
      <c r="E1497" s="384"/>
      <c r="F1497" s="389"/>
      <c r="G1497" s="389"/>
      <c r="T1497" s="384" t="str">
        <f>IFERROR(__xludf.DUMMYFUNCTION("""COMPUTED_VALUE"""),"NLIP")</f>
        <v>NLIP</v>
      </c>
      <c r="U1497" s="385"/>
      <c r="W1497" s="384" t="str">
        <f>IFERROR(__xludf.DUMMYFUNCTION("""COMPUTED_VALUE"""),"Лисичка")</f>
        <v>Лисичка</v>
      </c>
      <c r="X1497" s="385"/>
    </row>
    <row r="1498">
      <c r="A1498" s="384" t="s">
        <v>84</v>
      </c>
      <c r="B1498" s="384" t="s">
        <v>265</v>
      </c>
      <c r="C1498" s="389">
        <v>2.5</v>
      </c>
      <c r="D1498" s="389">
        <v>4.0</v>
      </c>
      <c r="E1498" s="384" t="s">
        <v>260</v>
      </c>
      <c r="F1498" s="389"/>
      <c r="G1498" s="389"/>
      <c r="T1498" s="384" t="str">
        <f>IFERROR(__xludf.DUMMYFUNCTION("""COMPUTED_VALUE"""),"Rocket woman ")</f>
        <v>Rocket woman </v>
      </c>
      <c r="U1498" s="385"/>
      <c r="W1498" s="384" t="str">
        <f>IFERROR(__xludf.DUMMYFUNCTION("""COMPUTED_VALUE"""),"Маваши")</f>
        <v>Маваши</v>
      </c>
      <c r="X1498" s="385"/>
    </row>
    <row r="1499">
      <c r="A1499" s="384" t="s">
        <v>102</v>
      </c>
      <c r="B1499" s="384" t="s">
        <v>261</v>
      </c>
      <c r="C1499" s="389"/>
      <c r="D1499" s="389">
        <v>1.5</v>
      </c>
      <c r="E1499" s="384"/>
      <c r="F1499" s="389"/>
      <c r="G1499" s="389"/>
      <c r="T1499" s="384" t="str">
        <f>IFERROR(__xludf.DUMMYFUNCTION("""COMPUTED_VALUE"""),"SCHOKK ")</f>
        <v>SCHOKK </v>
      </c>
      <c r="U1499" s="385"/>
      <c r="W1499" s="384" t="str">
        <f>IFERROR(__xludf.DUMMYFUNCTION("""COMPUTED_VALUE"""),"Манекен")</f>
        <v>Манекен</v>
      </c>
      <c r="X1499" s="385"/>
    </row>
    <row r="1500">
      <c r="A1500" s="384" t="s">
        <v>126</v>
      </c>
      <c r="B1500" s="384" t="s">
        <v>261</v>
      </c>
      <c r="C1500" s="389"/>
      <c r="D1500" s="389">
        <v>3.0</v>
      </c>
      <c r="E1500" s="384"/>
      <c r="F1500" s="389"/>
      <c r="G1500" s="389"/>
      <c r="T1500" s="384" t="str">
        <f>IFERROR(__xludf.DUMMYFUNCTION("""COMPUTED_VALUE"""),"SOVEST")</f>
        <v>SOVEST</v>
      </c>
      <c r="U1500" s="385"/>
      <c r="W1500" s="384" t="str">
        <f>IFERROR(__xludf.DUMMYFUNCTION("""COMPUTED_VALUE"""),"Марго")</f>
        <v>Марго</v>
      </c>
      <c r="X1500" s="385"/>
    </row>
    <row r="1501">
      <c r="A1501" s="384" t="s">
        <v>87</v>
      </c>
      <c r="B1501" s="384" t="s">
        <v>261</v>
      </c>
      <c r="C1501" s="389"/>
      <c r="D1501" s="389">
        <v>3.0</v>
      </c>
      <c r="E1501" s="384"/>
      <c r="F1501" s="389"/>
      <c r="G1501" s="389"/>
      <c r="T1501" s="384" t="str">
        <f>IFERROR(__xludf.DUMMYFUNCTION("""COMPUTED_VALUE"""),"WhoIsWho")</f>
        <v>WhoIsWho</v>
      </c>
      <c r="U1501" s="385"/>
      <c r="W1501" s="384" t="str">
        <f>IFERROR(__xludf.DUMMYFUNCTION("""COMPUTED_VALUE"""),"Ментик")</f>
        <v>Ментик</v>
      </c>
      <c r="X1501" s="385"/>
    </row>
    <row r="1502">
      <c r="A1502" s="384" t="s">
        <v>80</v>
      </c>
      <c r="B1502" s="384" t="s">
        <v>261</v>
      </c>
      <c r="C1502" s="389"/>
      <c r="D1502" s="389">
        <v>2.25</v>
      </c>
      <c r="E1502" s="384"/>
      <c r="F1502" s="389"/>
      <c r="G1502" s="389"/>
      <c r="T1502" s="384" t="str">
        <f>IFERROR(__xludf.DUMMYFUNCTION("QUERY('Турнирная таблица по Алфавиту'!C7:BG66,""select C,AS order by AS desc"")"),"Админ")</f>
        <v>Админ</v>
      </c>
      <c r="U1502" s="385">
        <f>IFERROR(__xludf.DUMMYFUNCTION("""COMPUTED_VALUE"""),27.0)</f>
        <v>27</v>
      </c>
      <c r="W1502" s="384" t="str">
        <f>IFERROR(__xludf.DUMMYFUNCTION("""COMPUTED_VALUE"""),"Мишель ")</f>
        <v>Мишель </v>
      </c>
      <c r="X1502" s="385"/>
    </row>
    <row r="1503">
      <c r="A1503" s="384" t="s">
        <v>80</v>
      </c>
      <c r="B1503" s="384" t="s">
        <v>271</v>
      </c>
      <c r="C1503" s="389">
        <v>2.5</v>
      </c>
      <c r="D1503" s="389">
        <v>3.25</v>
      </c>
      <c r="E1503" s="384"/>
      <c r="F1503" s="389"/>
      <c r="G1503" s="389"/>
      <c r="T1503" s="384" t="str">
        <f>IFERROR(__xludf.DUMMYFUNCTION("""COMPUTED_VALUE"""),"BWDMoscow")</f>
        <v>BWDMoscow</v>
      </c>
      <c r="U1503" s="385">
        <f>IFERROR(__xludf.DUMMYFUNCTION("""COMPUTED_VALUE"""),26.75)</f>
        <v>26.75</v>
      </c>
      <c r="W1503" s="384" t="str">
        <f>IFERROR(__xludf.DUMMYFUNCTION("""COMPUTED_VALUE"""),"Наполеон")</f>
        <v>Наполеон</v>
      </c>
      <c r="X1503" s="385"/>
    </row>
    <row r="1504">
      <c r="A1504" s="384" t="s">
        <v>87</v>
      </c>
      <c r="B1504" s="384" t="s">
        <v>261</v>
      </c>
      <c r="C1504" s="389">
        <v>2.5</v>
      </c>
      <c r="D1504" s="389">
        <v>2.0</v>
      </c>
      <c r="E1504" s="384" t="s">
        <v>11</v>
      </c>
      <c r="F1504" s="389"/>
      <c r="G1504" s="389">
        <v>0.5</v>
      </c>
      <c r="T1504" s="384" t="str">
        <f>IFERROR(__xludf.DUMMYFUNCTION("""COMPUTED_VALUE"""),"Продюсер")</f>
        <v>Продюсер</v>
      </c>
      <c r="U1504" s="385">
        <f>IFERROR(__xludf.DUMMYFUNCTION("""COMPUTED_VALUE"""),26.25)</f>
        <v>26.25</v>
      </c>
      <c r="W1504" s="384" t="str">
        <f>IFERROR(__xludf.DUMMYFUNCTION("""COMPUTED_VALUE"""),"Панда из Руанды")</f>
        <v>Панда из Руанды</v>
      </c>
      <c r="X1504" s="385"/>
    </row>
    <row r="1505">
      <c r="A1505" s="384" t="s">
        <v>119</v>
      </c>
      <c r="B1505" s="384" t="s">
        <v>261</v>
      </c>
      <c r="C1505" s="389">
        <v>2.5</v>
      </c>
      <c r="D1505" s="389">
        <v>3.5</v>
      </c>
      <c r="E1505" s="384" t="s">
        <v>260</v>
      </c>
      <c r="F1505" s="389"/>
      <c r="G1505" s="389"/>
      <c r="T1505" s="384" t="str">
        <f>IFERROR(__xludf.DUMMYFUNCTION("""COMPUTED_VALUE"""),"Левша")</f>
        <v>Левша</v>
      </c>
      <c r="U1505" s="385">
        <f>IFERROR(__xludf.DUMMYFUNCTION("""COMPUTED_VALUE"""),25.0)</f>
        <v>25</v>
      </c>
      <c r="W1505" s="384" t="str">
        <f>IFERROR(__xludf.DUMMYFUNCTION("""COMPUTED_VALUE"""),"Писатель ")</f>
        <v>Писатель </v>
      </c>
      <c r="X1505" s="385"/>
    </row>
    <row r="1506">
      <c r="A1506" s="384" t="s">
        <v>112</v>
      </c>
      <c r="B1506" s="384" t="s">
        <v>261</v>
      </c>
      <c r="C1506" s="389">
        <v>2.5</v>
      </c>
      <c r="D1506" s="389">
        <v>3.0</v>
      </c>
      <c r="E1506" s="384"/>
      <c r="F1506" s="389"/>
      <c r="G1506" s="389"/>
      <c r="T1506" s="384" t="str">
        <f>IFERROR(__xludf.DUMMYFUNCTION("""COMPUTED_VALUE"""),"Зверюга")</f>
        <v>Зверюга</v>
      </c>
      <c r="U1506" s="385">
        <f>IFERROR(__xludf.DUMMYFUNCTION("""COMPUTED_VALUE"""),21.25)</f>
        <v>21.25</v>
      </c>
      <c r="W1506" s="384" t="str">
        <f>IFERROR(__xludf.DUMMYFUNCTION("""COMPUTED_VALUE"""),"Правда ")</f>
        <v>Правда </v>
      </c>
      <c r="X1506" s="385"/>
    </row>
    <row r="1507">
      <c r="A1507" s="384" t="s">
        <v>128</v>
      </c>
      <c r="B1507" s="384" t="s">
        <v>269</v>
      </c>
      <c r="C1507" s="389"/>
      <c r="D1507" s="389">
        <v>1.25</v>
      </c>
      <c r="E1507" s="384"/>
      <c r="F1507" s="389"/>
      <c r="G1507" s="389"/>
      <c r="T1507" s="384" t="str">
        <f>IFERROR(__xludf.DUMMYFUNCTION("""COMPUTED_VALUE"""),"Флэш")</f>
        <v>Флэш</v>
      </c>
      <c r="U1507" s="385">
        <f>IFERROR(__xludf.DUMMYFUNCTION("""COMPUTED_VALUE"""),18.75)</f>
        <v>18.75</v>
      </c>
      <c r="W1507" s="384" t="str">
        <f>IFERROR(__xludf.DUMMYFUNCTION("""COMPUTED_VALUE"""),"Продюсер")</f>
        <v>Продюсер</v>
      </c>
      <c r="X1507" s="385"/>
    </row>
    <row r="1508">
      <c r="A1508" s="384" t="s">
        <v>137</v>
      </c>
      <c r="B1508" s="384" t="s">
        <v>265</v>
      </c>
      <c r="C1508" s="389"/>
      <c r="D1508" s="389">
        <v>3.0</v>
      </c>
      <c r="E1508" s="384"/>
      <c r="F1508" s="389"/>
      <c r="G1508" s="389"/>
      <c r="T1508" s="384" t="str">
        <f>IFERROR(__xludf.DUMMYFUNCTION("""COMPUTED_VALUE"""),"Castor Troy ")</f>
        <v>Castor Troy </v>
      </c>
      <c r="U1508" s="385">
        <f>IFERROR(__xludf.DUMMYFUNCTION("""COMPUTED_VALUE"""),18.25)</f>
        <v>18.25</v>
      </c>
      <c r="W1508" s="384" t="str">
        <f>IFERROR(__xludf.DUMMYFUNCTION("""COMPUTED_VALUE"""),"РФ")</f>
        <v>РФ</v>
      </c>
      <c r="X1508" s="385"/>
    </row>
    <row r="1509">
      <c r="A1509" s="384" t="s">
        <v>79</v>
      </c>
      <c r="B1509" s="384" t="s">
        <v>261</v>
      </c>
      <c r="C1509" s="389">
        <v>2.5</v>
      </c>
      <c r="D1509" s="389">
        <v>4.0</v>
      </c>
      <c r="E1509" s="384" t="s">
        <v>260</v>
      </c>
      <c r="F1509" s="389"/>
      <c r="G1509" s="389"/>
      <c r="T1509" s="384" t="str">
        <f>IFERROR(__xludf.DUMMYFUNCTION("""COMPUTED_VALUE"""),"Helga")</f>
        <v>Helga</v>
      </c>
      <c r="U1509" s="385">
        <f>IFERROR(__xludf.DUMMYFUNCTION("""COMPUTED_VALUE"""),17.0)</f>
        <v>17</v>
      </c>
      <c r="W1509" s="384" t="str">
        <f>IFERROR(__xludf.DUMMYFUNCTION("""COMPUTED_VALUE"""),"Старый")</f>
        <v>Старый</v>
      </c>
      <c r="X1509" s="385"/>
    </row>
    <row r="1510">
      <c r="A1510" s="384" t="s">
        <v>97</v>
      </c>
      <c r="B1510" s="384" t="s">
        <v>261</v>
      </c>
      <c r="C1510" s="389">
        <v>2.5</v>
      </c>
      <c r="D1510" s="389">
        <v>3.25</v>
      </c>
      <c r="E1510" s="384" t="s">
        <v>260</v>
      </c>
      <c r="F1510" s="389"/>
      <c r="G1510" s="389"/>
      <c r="T1510" s="384" t="str">
        <f>IFERROR(__xludf.DUMMYFUNCTION("""COMPUTED_VALUE"""),"Авраам")</f>
        <v>Авраам</v>
      </c>
      <c r="U1510" s="385">
        <f>IFERROR(__xludf.DUMMYFUNCTION("""COMPUTED_VALUE"""),15.75)</f>
        <v>15.75</v>
      </c>
      <c r="W1510" s="384" t="str">
        <f>IFERROR(__xludf.DUMMYFUNCTION("""COMPUTED_VALUE"""),"Coach")</f>
        <v>Coach</v>
      </c>
      <c r="X1510" s="385"/>
    </row>
    <row r="1511">
      <c r="A1511" s="384" t="s">
        <v>125</v>
      </c>
      <c r="B1511" s="384" t="s">
        <v>261</v>
      </c>
      <c r="C1511" s="389">
        <v>2.5</v>
      </c>
      <c r="D1511" s="389">
        <v>2.5</v>
      </c>
      <c r="E1511" s="384"/>
      <c r="F1511" s="389"/>
      <c r="G1511" s="389"/>
      <c r="T1511" s="384" t="str">
        <f>IFERROR(__xludf.DUMMYFUNCTION("""COMPUTED_VALUE"""),"Curly")</f>
        <v>Curly</v>
      </c>
      <c r="U1511" s="385">
        <f>IFERROR(__xludf.DUMMYFUNCTION("""COMPUTED_VALUE"""),13.75)</f>
        <v>13.75</v>
      </c>
      <c r="W1511" s="384" t="str">
        <f>IFERROR(__xludf.DUMMYFUNCTION("""COMPUTED_VALUE"""),"Тихий закат")</f>
        <v>Тихий закат</v>
      </c>
      <c r="X1511" s="385"/>
    </row>
    <row r="1512">
      <c r="A1512" s="384" t="s">
        <v>281</v>
      </c>
      <c r="B1512" s="384" t="s">
        <v>269</v>
      </c>
      <c r="C1512" s="389"/>
      <c r="D1512" s="389">
        <v>2.0</v>
      </c>
      <c r="E1512" s="384" t="s">
        <v>263</v>
      </c>
      <c r="F1512" s="389"/>
      <c r="G1512" s="389"/>
      <c r="T1512" s="384" t="str">
        <f>IFERROR(__xludf.DUMMYFUNCTION("""COMPUTED_VALUE"""),"Андерсен")</f>
        <v>Андерсен</v>
      </c>
      <c r="U1512" s="385"/>
      <c r="W1512" s="384" t="str">
        <f>IFERROR(__xludf.DUMMYFUNCTION("""COMPUTED_VALUE"""),"Физик")</f>
        <v>Физик</v>
      </c>
      <c r="X1512" s="385"/>
    </row>
    <row r="1513">
      <c r="A1513" s="384" t="s">
        <v>80</v>
      </c>
      <c r="B1513" s="384" t="s">
        <v>269</v>
      </c>
      <c r="C1513" s="389">
        <v>2.5</v>
      </c>
      <c r="D1513" s="389">
        <v>3.75</v>
      </c>
      <c r="E1513" s="384"/>
      <c r="F1513" s="389"/>
      <c r="G1513" s="389"/>
      <c r="T1513" s="384" t="str">
        <f>IFERROR(__xludf.DUMMYFUNCTION("""COMPUTED_VALUE"""),"Артик")</f>
        <v>Артик</v>
      </c>
      <c r="U1513" s="385"/>
      <c r="W1513" s="384" t="str">
        <f>IFERROR(__xludf.DUMMYFUNCTION("""COMPUTED_VALUE"""),"Шоу Бой")</f>
        <v>Шоу Бой</v>
      </c>
      <c r="X1513" s="385"/>
    </row>
    <row r="1514">
      <c r="A1514" s="384" t="s">
        <v>87</v>
      </c>
      <c r="B1514" s="384" t="s">
        <v>261</v>
      </c>
      <c r="C1514" s="389"/>
      <c r="D1514" s="389">
        <v>4.0</v>
      </c>
      <c r="E1514" s="384"/>
      <c r="F1514" s="389"/>
      <c r="G1514" s="389"/>
      <c r="T1514" s="384" t="str">
        <f>IFERROR(__xludf.DUMMYFUNCTION("""COMPUTED_VALUE"""),"Астория")</f>
        <v>Астория</v>
      </c>
      <c r="U1514" s="385"/>
      <c r="W1514" s="384" t="str">
        <f>IFERROR(__xludf.DUMMYFUNCTION("""COMPUTED_VALUE"""),"Шпиц")</f>
        <v>Шпиц</v>
      </c>
      <c r="X1514" s="385"/>
    </row>
    <row r="1515">
      <c r="A1515" s="384" t="s">
        <v>119</v>
      </c>
      <c r="B1515" s="384" t="s">
        <v>269</v>
      </c>
      <c r="C1515" s="389">
        <v>2.5</v>
      </c>
      <c r="D1515" s="389">
        <v>3.75</v>
      </c>
      <c r="E1515" s="384"/>
      <c r="F1515" s="389"/>
      <c r="G1515" s="389"/>
      <c r="T1515" s="384" t="str">
        <f>IFERROR(__xludf.DUMMYFUNCTION("""COMPUTED_VALUE"""),"Аш")</f>
        <v>Аш</v>
      </c>
      <c r="U1515" s="385"/>
      <c r="W1515" s="384" t="str">
        <f>IFERROR(__xludf.DUMMYFUNCTION("""COMPUTED_VALUE"""),"Юрия")</f>
        <v>Юрия</v>
      </c>
      <c r="X1515" s="385"/>
    </row>
    <row r="1516">
      <c r="A1516" s="384" t="s">
        <v>112</v>
      </c>
      <c r="B1516" s="384" t="s">
        <v>265</v>
      </c>
      <c r="C1516" s="389">
        <v>2.5</v>
      </c>
      <c r="D1516" s="389">
        <v>4.25</v>
      </c>
      <c r="E1516" s="384"/>
      <c r="F1516" s="389"/>
      <c r="G1516" s="389"/>
      <c r="T1516" s="384" t="str">
        <f>IFERROR(__xludf.DUMMYFUNCTION("""COMPUTED_VALUE"""),"Бамблби")</f>
        <v>Бамблби</v>
      </c>
      <c r="U1516" s="385"/>
      <c r="W1516" s="384" t="str">
        <f>IFERROR(__xludf.DUMMYFUNCTION("""COMPUTED_VALUE"""),"A1 ")</f>
        <v>A1 </v>
      </c>
      <c r="X1516" s="385"/>
    </row>
    <row r="1517">
      <c r="A1517" s="384" t="s">
        <v>128</v>
      </c>
      <c r="B1517" s="384" t="s">
        <v>261</v>
      </c>
      <c r="C1517" s="389"/>
      <c r="D1517" s="389">
        <v>2.75</v>
      </c>
      <c r="E1517" s="384" t="s">
        <v>11</v>
      </c>
      <c r="F1517" s="389"/>
      <c r="G1517" s="389">
        <v>0.5</v>
      </c>
      <c r="T1517" s="384" t="str">
        <f>IFERROR(__xludf.DUMMYFUNCTION("""COMPUTED_VALUE"""),"Волга")</f>
        <v>Волга</v>
      </c>
      <c r="U1517" s="385"/>
      <c r="W1517" s="384" t="str">
        <f>IFERROR(__xludf.DUMMYFUNCTION("""COMPUTED_VALUE"""),"Alice ")</f>
        <v>Alice </v>
      </c>
      <c r="X1517" s="385"/>
    </row>
    <row r="1518">
      <c r="A1518" s="384" t="s">
        <v>137</v>
      </c>
      <c r="B1518" s="384" t="s">
        <v>261</v>
      </c>
      <c r="C1518" s="389"/>
      <c r="D1518" s="389">
        <v>1.25</v>
      </c>
      <c r="E1518" s="384"/>
      <c r="F1518" s="389"/>
      <c r="G1518" s="389"/>
      <c r="T1518" s="384" t="str">
        <f>IFERROR(__xludf.DUMMYFUNCTION("""COMPUTED_VALUE"""),"Градиент")</f>
        <v>Градиент</v>
      </c>
      <c r="U1518" s="385"/>
      <c r="W1518" s="384" t="str">
        <f>IFERROR(__xludf.DUMMYFUNCTION("""COMPUTED_VALUE"""),"BWDMoscow")</f>
        <v>BWDMoscow</v>
      </c>
      <c r="X1518" s="385"/>
    </row>
    <row r="1519">
      <c r="A1519" s="384" t="s">
        <v>79</v>
      </c>
      <c r="B1519" s="384" t="s">
        <v>261</v>
      </c>
      <c r="C1519" s="389"/>
      <c r="D1519" s="389">
        <v>2.25</v>
      </c>
      <c r="E1519" s="384"/>
      <c r="F1519" s="389"/>
      <c r="G1519" s="389"/>
      <c r="T1519" s="384" t="str">
        <f>IFERROR(__xludf.DUMMYFUNCTION("""COMPUTED_VALUE"""),"Дровосек")</f>
        <v>Дровосек</v>
      </c>
      <c r="U1519" s="385"/>
      <c r="W1519" s="384" t="str">
        <f>IFERROR(__xludf.DUMMYFUNCTION("""COMPUTED_VALUE"""),"Cristo")</f>
        <v>Cristo</v>
      </c>
      <c r="X1519" s="385"/>
    </row>
    <row r="1520">
      <c r="A1520" s="384" t="s">
        <v>97</v>
      </c>
      <c r="B1520" s="384" t="s">
        <v>261</v>
      </c>
      <c r="C1520" s="389"/>
      <c r="D1520" s="389">
        <v>1.75</v>
      </c>
      <c r="E1520" s="384"/>
      <c r="F1520" s="389"/>
      <c r="G1520" s="389"/>
      <c r="T1520" s="384" t="str">
        <f>IFERROR(__xludf.DUMMYFUNCTION("""COMPUTED_VALUE"""),"Инсомнич")</f>
        <v>Инсомнич</v>
      </c>
      <c r="U1520" s="385"/>
      <c r="W1520" s="384" t="str">
        <f>IFERROR(__xludf.DUMMYFUNCTION("""COMPUTED_VALUE"""),"Curly")</f>
        <v>Curly</v>
      </c>
      <c r="X1520" s="385"/>
    </row>
    <row r="1521">
      <c r="A1521" s="384" t="s">
        <v>125</v>
      </c>
      <c r="B1521" s="384" t="s">
        <v>261</v>
      </c>
      <c r="C1521" s="389"/>
      <c r="D1521" s="389">
        <v>2.5</v>
      </c>
      <c r="E1521" s="384"/>
      <c r="F1521" s="389"/>
      <c r="G1521" s="389"/>
      <c r="T1521" s="384" t="str">
        <f>IFERROR(__xludf.DUMMYFUNCTION("""COMPUTED_VALUE"""),"Красавчик")</f>
        <v>Красавчик</v>
      </c>
      <c r="U1521" s="385"/>
      <c r="W1521" s="384" t="str">
        <f>IFERROR(__xludf.DUMMYFUNCTION("""COMPUTED_VALUE"""),"GALAY")</f>
        <v>GALAY</v>
      </c>
      <c r="X1521" s="385"/>
    </row>
    <row r="1522">
      <c r="A1522" s="384" t="s">
        <v>281</v>
      </c>
      <c r="B1522" s="384" t="s">
        <v>271</v>
      </c>
      <c r="C1522" s="389"/>
      <c r="D1522" s="389">
        <v>2.25</v>
      </c>
      <c r="E1522" s="384"/>
      <c r="F1522" s="389"/>
      <c r="G1522" s="389"/>
      <c r="T1522" s="384" t="str">
        <f>IFERROR(__xludf.DUMMYFUNCTION("""COMPUTED_VALUE"""),"Крестный отец (BLR)")</f>
        <v>Крестный отец (BLR)</v>
      </c>
      <c r="U1522" s="385"/>
      <c r="W1522" s="384" t="str">
        <f>IFERROR(__xludf.DUMMYFUNCTION("""COMPUTED_VALUE"""),"Helga")</f>
        <v>Helga</v>
      </c>
      <c r="X1522" s="385"/>
    </row>
    <row r="1523">
      <c r="A1523" s="384" t="s">
        <v>80</v>
      </c>
      <c r="B1523" s="384" t="s">
        <v>271</v>
      </c>
      <c r="C1523" s="389">
        <v>2.5</v>
      </c>
      <c r="D1523" s="389">
        <v>3.0</v>
      </c>
      <c r="E1523" s="384"/>
      <c r="F1523" s="389"/>
      <c r="G1523" s="389"/>
      <c r="T1523" s="384" t="str">
        <f>IFERROR(__xludf.DUMMYFUNCTION("""COMPUTED_VALUE"""),"Крёстный Отец (RU)")</f>
        <v>Крёстный Отец (RU)</v>
      </c>
      <c r="U1523" s="385"/>
      <c r="W1523" s="384" t="str">
        <f>IFERROR(__xludf.DUMMYFUNCTION("""COMPUTED_VALUE"""),"Infinity ")</f>
        <v>Infinity </v>
      </c>
      <c r="X1523" s="385"/>
    </row>
    <row r="1524">
      <c r="A1524" s="384" t="s">
        <v>87</v>
      </c>
      <c r="B1524" s="384" t="s">
        <v>261</v>
      </c>
      <c r="C1524" s="389">
        <v>2.5</v>
      </c>
      <c r="D1524" s="389">
        <v>4.5</v>
      </c>
      <c r="E1524" s="384"/>
      <c r="F1524" s="389"/>
      <c r="G1524" s="389"/>
      <c r="T1524" s="384" t="str">
        <f>IFERROR(__xludf.DUMMYFUNCTION("""COMPUTED_VALUE"""),"Крот")</f>
        <v>Крот</v>
      </c>
      <c r="U1524" s="385"/>
      <c r="W1524" s="384" t="str">
        <f>IFERROR(__xludf.DUMMYFUNCTION("""COMPUTED_VALUE"""),"Ketamin")</f>
        <v>Ketamin</v>
      </c>
      <c r="X1524" s="385"/>
    </row>
    <row r="1525">
      <c r="A1525" s="384" t="s">
        <v>119</v>
      </c>
      <c r="B1525" s="384" t="s">
        <v>261</v>
      </c>
      <c r="C1525" s="389">
        <v>2.5</v>
      </c>
      <c r="D1525" s="389">
        <v>3.75</v>
      </c>
      <c r="E1525" s="384"/>
      <c r="F1525" s="389"/>
      <c r="G1525" s="389"/>
      <c r="T1525" s="384" t="str">
        <f>IFERROR(__xludf.DUMMYFUNCTION("""COMPUTED_VALUE"""),"Лисичка")</f>
        <v>Лисичка</v>
      </c>
      <c r="U1525" s="385"/>
      <c r="W1525" s="384" t="str">
        <f>IFERROR(__xludf.DUMMYFUNCTION("""COMPUTED_VALUE"""),"Light")</f>
        <v>Light</v>
      </c>
      <c r="X1525" s="385"/>
    </row>
    <row r="1526">
      <c r="A1526" s="384" t="s">
        <v>112</v>
      </c>
      <c r="B1526" s="384" t="s">
        <v>261</v>
      </c>
      <c r="C1526" s="389">
        <v>2.5</v>
      </c>
      <c r="D1526" s="389">
        <v>3.0</v>
      </c>
      <c r="E1526" s="384"/>
      <c r="F1526" s="389"/>
      <c r="G1526" s="389"/>
      <c r="T1526" s="384" t="str">
        <f>IFERROR(__xludf.DUMMYFUNCTION("""COMPUTED_VALUE"""),"Маваши")</f>
        <v>Маваши</v>
      </c>
      <c r="U1526" s="385"/>
      <c r="W1526" s="384" t="str">
        <f>IFERROR(__xludf.DUMMYFUNCTION("""COMPUTED_VALUE"""),"MSR")</f>
        <v>MSR</v>
      </c>
      <c r="X1526" s="385"/>
    </row>
    <row r="1527">
      <c r="A1527" s="384" t="s">
        <v>128</v>
      </c>
      <c r="B1527" s="384" t="s">
        <v>261</v>
      </c>
      <c r="C1527" s="389">
        <v>2.5</v>
      </c>
      <c r="D1527" s="389">
        <v>2.75</v>
      </c>
      <c r="E1527" s="384"/>
      <c r="F1527" s="389"/>
      <c r="G1527" s="389"/>
      <c r="T1527" s="384" t="str">
        <f>IFERROR(__xludf.DUMMYFUNCTION("""COMPUTED_VALUE"""),"Манекен")</f>
        <v>Манекен</v>
      </c>
      <c r="U1527" s="385"/>
      <c r="W1527" s="384" t="str">
        <f>IFERROR(__xludf.DUMMYFUNCTION("""COMPUTED_VALUE"""),"NLIP")</f>
        <v>NLIP</v>
      </c>
      <c r="X1527" s="385"/>
    </row>
    <row r="1528">
      <c r="A1528" s="384" t="s">
        <v>137</v>
      </c>
      <c r="B1528" s="384" t="s">
        <v>261</v>
      </c>
      <c r="C1528" s="389">
        <v>2.5</v>
      </c>
      <c r="D1528" s="389">
        <v>2.25</v>
      </c>
      <c r="E1528" s="384" t="s">
        <v>11</v>
      </c>
      <c r="F1528" s="389"/>
      <c r="G1528" s="389">
        <v>0.5</v>
      </c>
      <c r="T1528" s="384" t="str">
        <f>IFERROR(__xludf.DUMMYFUNCTION("""COMPUTED_VALUE"""),"Марго")</f>
        <v>Марго</v>
      </c>
      <c r="U1528" s="385"/>
      <c r="W1528" s="384" t="str">
        <f>IFERROR(__xludf.DUMMYFUNCTION("""COMPUTED_VALUE"""),"Rocket woman ")</f>
        <v>Rocket woman </v>
      </c>
      <c r="X1528" s="385"/>
    </row>
    <row r="1529">
      <c r="A1529" s="384" t="s">
        <v>79</v>
      </c>
      <c r="B1529" s="384" t="s">
        <v>269</v>
      </c>
      <c r="C1529" s="389"/>
      <c r="D1529" s="389">
        <v>2.25</v>
      </c>
      <c r="E1529" s="384"/>
      <c r="F1529" s="389"/>
      <c r="G1529" s="389"/>
      <c r="T1529" s="384" t="str">
        <f>IFERROR(__xludf.DUMMYFUNCTION("""COMPUTED_VALUE"""),"Ментик")</f>
        <v>Ментик</v>
      </c>
      <c r="U1529" s="385"/>
      <c r="W1529" s="384" t="str">
        <f>IFERROR(__xludf.DUMMYFUNCTION("""COMPUTED_VALUE"""),"SCHOKK ")</f>
        <v>SCHOKK </v>
      </c>
      <c r="X1529" s="385"/>
    </row>
    <row r="1530">
      <c r="A1530" s="384" t="s">
        <v>97</v>
      </c>
      <c r="B1530" s="384" t="s">
        <v>261</v>
      </c>
      <c r="C1530" s="389">
        <v>2.5</v>
      </c>
      <c r="D1530" s="389">
        <v>3.25</v>
      </c>
      <c r="E1530" s="384"/>
      <c r="F1530" s="389"/>
      <c r="G1530" s="389"/>
      <c r="T1530" s="384" t="str">
        <f>IFERROR(__xludf.DUMMYFUNCTION("""COMPUTED_VALUE"""),"Мишель ")</f>
        <v>Мишель </v>
      </c>
      <c r="U1530" s="385"/>
      <c r="W1530" s="384" t="str">
        <f>IFERROR(__xludf.DUMMYFUNCTION("""COMPUTED_VALUE"""),"SOVEST")</f>
        <v>SOVEST</v>
      </c>
      <c r="X1530" s="385"/>
    </row>
    <row r="1531">
      <c r="A1531" s="384" t="s">
        <v>125</v>
      </c>
      <c r="B1531" s="384" t="s">
        <v>269</v>
      </c>
      <c r="C1531" s="389"/>
      <c r="D1531" s="389">
        <v>2.5</v>
      </c>
      <c r="E1531" s="384"/>
      <c r="F1531" s="389"/>
      <c r="G1531" s="389"/>
      <c r="T1531" s="384" t="str">
        <f>IFERROR(__xludf.DUMMYFUNCTION("""COMPUTED_VALUE"""),"Наполеон")</f>
        <v>Наполеон</v>
      </c>
      <c r="U1531" s="385"/>
      <c r="W1531" s="384" t="str">
        <f>IFERROR(__xludf.DUMMYFUNCTION("""COMPUTED_VALUE"""),"Stacy")</f>
        <v>Stacy</v>
      </c>
      <c r="X1531" s="385"/>
    </row>
    <row r="1532">
      <c r="A1532" s="384" t="s">
        <v>281</v>
      </c>
      <c r="B1532" s="384" t="s">
        <v>265</v>
      </c>
      <c r="C1532" s="389"/>
      <c r="D1532" s="389">
        <v>2.5</v>
      </c>
      <c r="E1532" s="384"/>
      <c r="F1532" s="389"/>
      <c r="G1532" s="389"/>
      <c r="T1532" s="384" t="str">
        <f>IFERROR(__xludf.DUMMYFUNCTION("""COMPUTED_VALUE"""),"Панда из Руанды")</f>
        <v>Панда из Руанды</v>
      </c>
      <c r="U1532" s="385"/>
      <c r="W1532" s="384" t="str">
        <f>IFERROR(__xludf.DUMMYFUNCTION("""COMPUTED_VALUE"""),"Авраам")</f>
        <v>Авраам</v>
      </c>
      <c r="X1532" s="385"/>
    </row>
    <row r="1533">
      <c r="A1533" s="384" t="s">
        <v>80</v>
      </c>
      <c r="B1533" s="384" t="s">
        <v>269</v>
      </c>
      <c r="C1533" s="389">
        <v>2.5</v>
      </c>
      <c r="D1533" s="389">
        <v>4.5</v>
      </c>
      <c r="E1533" s="384" t="s">
        <v>260</v>
      </c>
      <c r="F1533" s="389"/>
      <c r="G1533" s="389"/>
      <c r="T1533" s="384" t="str">
        <f>IFERROR(__xludf.DUMMYFUNCTION("""COMPUTED_VALUE"""),"Писатель ")</f>
        <v>Писатель </v>
      </c>
      <c r="U1533" s="385"/>
      <c r="W1533" s="384" t="str">
        <f>IFERROR(__xludf.DUMMYFUNCTION("""COMPUTED_VALUE"""),"Админ")</f>
        <v>Админ</v>
      </c>
      <c r="X1533" s="385"/>
    </row>
    <row r="1534">
      <c r="A1534" s="384" t="s">
        <v>87</v>
      </c>
      <c r="B1534" s="384" t="s">
        <v>261</v>
      </c>
      <c r="C1534" s="389"/>
      <c r="D1534" s="389">
        <v>2.25</v>
      </c>
      <c r="E1534" s="384"/>
      <c r="F1534" s="389"/>
      <c r="G1534" s="389"/>
      <c r="T1534" s="384" t="str">
        <f>IFERROR(__xludf.DUMMYFUNCTION("""COMPUTED_VALUE"""),"Правда ")</f>
        <v>Правда </v>
      </c>
      <c r="U1534" s="385"/>
      <c r="W1534" s="384" t="str">
        <f>IFERROR(__xludf.DUMMYFUNCTION("""COMPUTED_VALUE"""),"Андерсен")</f>
        <v>Андерсен</v>
      </c>
      <c r="X1534" s="385"/>
    </row>
    <row r="1535">
      <c r="A1535" s="384" t="s">
        <v>119</v>
      </c>
      <c r="B1535" s="384" t="s">
        <v>271</v>
      </c>
      <c r="C1535" s="389"/>
      <c r="D1535" s="389">
        <v>3.75</v>
      </c>
      <c r="E1535" s="384"/>
      <c r="F1535" s="389"/>
      <c r="G1535" s="389"/>
      <c r="T1535" s="384" t="str">
        <f>IFERROR(__xludf.DUMMYFUNCTION("""COMPUTED_VALUE"""),"РФ")</f>
        <v>РФ</v>
      </c>
      <c r="U1535" s="385"/>
      <c r="W1535" s="384" t="str">
        <f>IFERROR(__xludf.DUMMYFUNCTION("""COMPUTED_VALUE"""),"Астория")</f>
        <v>Астория</v>
      </c>
      <c r="X1535" s="385"/>
    </row>
    <row r="1536">
      <c r="A1536" s="384" t="s">
        <v>112</v>
      </c>
      <c r="B1536" s="384" t="s">
        <v>261</v>
      </c>
      <c r="C1536" s="389"/>
      <c r="D1536" s="389">
        <v>1.75</v>
      </c>
      <c r="E1536" s="384" t="s">
        <v>263</v>
      </c>
      <c r="F1536" s="389"/>
      <c r="G1536" s="389"/>
      <c r="T1536" s="384" t="str">
        <f>IFERROR(__xludf.DUMMYFUNCTION("""COMPUTED_VALUE"""),"Старый")</f>
        <v>Старый</v>
      </c>
      <c r="U1536" s="385"/>
      <c r="W1536" s="384" t="str">
        <f>IFERROR(__xludf.DUMMYFUNCTION("""COMPUTED_VALUE"""),"Аш")</f>
        <v>Аш</v>
      </c>
      <c r="X1536" s="385"/>
    </row>
    <row r="1537">
      <c r="A1537" s="384" t="s">
        <v>128</v>
      </c>
      <c r="B1537" s="384" t="s">
        <v>265</v>
      </c>
      <c r="C1537" s="389">
        <v>2.5</v>
      </c>
      <c r="D1537" s="389">
        <v>2.25</v>
      </c>
      <c r="E1537" s="384"/>
      <c r="F1537" s="389"/>
      <c r="G1537" s="389"/>
      <c r="T1537" s="384" t="str">
        <f>IFERROR(__xludf.DUMMYFUNCTION("""COMPUTED_VALUE"""),"СЭНСЭЙ")</f>
        <v>СЭНСЭЙ</v>
      </c>
      <c r="U1537" s="385"/>
      <c r="W1537" s="384" t="str">
        <f>IFERROR(__xludf.DUMMYFUNCTION("""COMPUTED_VALUE"""),"Бамблби")</f>
        <v>Бамблби</v>
      </c>
      <c r="X1537" s="385"/>
    </row>
    <row r="1538">
      <c r="A1538" s="384" t="s">
        <v>137</v>
      </c>
      <c r="B1538" s="384" t="s">
        <v>269</v>
      </c>
      <c r="C1538" s="389">
        <v>2.5</v>
      </c>
      <c r="D1538" s="389">
        <v>4.5</v>
      </c>
      <c r="E1538" s="384"/>
      <c r="F1538" s="389"/>
      <c r="G1538" s="389"/>
      <c r="T1538" s="384" t="str">
        <f>IFERROR(__xludf.DUMMYFUNCTION("""COMPUTED_VALUE"""),"Coach")</f>
        <v>Coach</v>
      </c>
      <c r="U1538" s="385"/>
      <c r="W1538" s="384" t="str">
        <f>IFERROR(__xludf.DUMMYFUNCTION("""COMPUTED_VALUE"""),"Волга")</f>
        <v>Волга</v>
      </c>
      <c r="X1538" s="385"/>
    </row>
    <row r="1539">
      <c r="A1539" s="384" t="s">
        <v>79</v>
      </c>
      <c r="B1539" s="384" t="s">
        <v>261</v>
      </c>
      <c r="C1539" s="389"/>
      <c r="D1539" s="389">
        <v>2.0</v>
      </c>
      <c r="E1539" s="384" t="s">
        <v>263</v>
      </c>
      <c r="F1539" s="389"/>
      <c r="G1539" s="389"/>
      <c r="T1539" s="384" t="str">
        <f>IFERROR(__xludf.DUMMYFUNCTION("""COMPUTED_VALUE"""),"Тихий закат")</f>
        <v>Тихий закат</v>
      </c>
      <c r="U1539" s="385"/>
      <c r="W1539" s="384" t="str">
        <f>IFERROR(__xludf.DUMMYFUNCTION("""COMPUTED_VALUE"""),"Градиент")</f>
        <v>Градиент</v>
      </c>
      <c r="X1539" s="385"/>
    </row>
    <row r="1540">
      <c r="A1540" s="384" t="s">
        <v>97</v>
      </c>
      <c r="B1540" s="384" t="s">
        <v>261</v>
      </c>
      <c r="C1540" s="389"/>
      <c r="D1540" s="389">
        <v>1.75</v>
      </c>
      <c r="E1540" s="384"/>
      <c r="F1540" s="389"/>
      <c r="G1540" s="389"/>
      <c r="T1540" s="384" t="str">
        <f>IFERROR(__xludf.DUMMYFUNCTION("""COMPUTED_VALUE"""),"Физик")</f>
        <v>Физик</v>
      </c>
      <c r="U1540" s="385"/>
      <c r="W1540" s="384" t="str">
        <f>IFERROR(__xludf.DUMMYFUNCTION("""COMPUTED_VALUE"""),"Дровосек")</f>
        <v>Дровосек</v>
      </c>
      <c r="X1540" s="385"/>
    </row>
    <row r="1541">
      <c r="A1541" s="384" t="s">
        <v>125</v>
      </c>
      <c r="B1541" s="384" t="s">
        <v>261</v>
      </c>
      <c r="C1541" s="389"/>
      <c r="D1541" s="389">
        <v>2.5</v>
      </c>
      <c r="E1541" s="384" t="s">
        <v>11</v>
      </c>
      <c r="F1541" s="389"/>
      <c r="G1541" s="389">
        <v>0.5</v>
      </c>
      <c r="T1541" s="384" t="str">
        <f>IFERROR(__xludf.DUMMYFUNCTION("""COMPUTED_VALUE"""),"Фокс")</f>
        <v>Фокс</v>
      </c>
      <c r="U1541" s="385"/>
      <c r="W1541" s="384" t="str">
        <f>IFERROR(__xludf.DUMMYFUNCTION("""COMPUTED_VALUE"""),"Зверюга")</f>
        <v>Зверюга</v>
      </c>
      <c r="X1541" s="385"/>
    </row>
    <row r="1542">
      <c r="A1542" s="384" t="s">
        <v>281</v>
      </c>
      <c r="B1542" s="384" t="s">
        <v>261</v>
      </c>
      <c r="C1542" s="389"/>
      <c r="D1542" s="389">
        <v>3.0</v>
      </c>
      <c r="E1542" s="384"/>
      <c r="F1542" s="389"/>
      <c r="G1542" s="389"/>
      <c r="T1542" s="384" t="str">
        <f>IFERROR(__xludf.DUMMYFUNCTION("""COMPUTED_VALUE"""),"Шоу Бой")</f>
        <v>Шоу Бой</v>
      </c>
      <c r="U1542" s="385"/>
      <c r="W1542" s="384" t="str">
        <f>IFERROR(__xludf.DUMMYFUNCTION("""COMPUTED_VALUE"""),"Красавчик")</f>
        <v>Красавчик</v>
      </c>
      <c r="X1542" s="385"/>
    </row>
    <row r="1543">
      <c r="A1543" s="384" t="s">
        <v>80</v>
      </c>
      <c r="B1543" s="384" t="s">
        <v>271</v>
      </c>
      <c r="C1543" s="389"/>
      <c r="D1543" s="389">
        <v>1.25</v>
      </c>
      <c r="E1543" s="384"/>
      <c r="F1543" s="389"/>
      <c r="G1543" s="389"/>
      <c r="T1543" s="384" t="str">
        <f>IFERROR(__xludf.DUMMYFUNCTION("""COMPUTED_VALUE"""),"Шпиц")</f>
        <v>Шпиц</v>
      </c>
      <c r="U1543" s="385"/>
      <c r="W1543" s="384" t="str">
        <f>IFERROR(__xludf.DUMMYFUNCTION("""COMPUTED_VALUE"""),"Крестный отец (BLR)")</f>
        <v>Крестный отец (BLR)</v>
      </c>
      <c r="X1543" s="385"/>
    </row>
    <row r="1544">
      <c r="A1544" s="384" t="s">
        <v>87</v>
      </c>
      <c r="B1544" s="384" t="s">
        <v>265</v>
      </c>
      <c r="C1544" s="389">
        <v>2.5</v>
      </c>
      <c r="D1544" s="389">
        <v>4.25</v>
      </c>
      <c r="E1544" s="384"/>
      <c r="F1544" s="389"/>
      <c r="G1544" s="389"/>
      <c r="T1544" s="384" t="str">
        <f>IFERROR(__xludf.DUMMYFUNCTION("""COMPUTED_VALUE"""),"Юрия")</f>
        <v>Юрия</v>
      </c>
      <c r="U1544" s="385"/>
      <c r="W1544" s="384" t="str">
        <f>IFERROR(__xludf.DUMMYFUNCTION("""COMPUTED_VALUE"""),"Крёстный Отец (RU)")</f>
        <v>Крёстный Отец (RU)</v>
      </c>
      <c r="X1544" s="385"/>
    </row>
    <row r="1545">
      <c r="A1545" s="384" t="s">
        <v>119</v>
      </c>
      <c r="B1545" s="384" t="s">
        <v>261</v>
      </c>
      <c r="C1545" s="389"/>
      <c r="D1545" s="389">
        <v>1.25</v>
      </c>
      <c r="E1545" s="384"/>
      <c r="F1545" s="389"/>
      <c r="G1545" s="389"/>
      <c r="T1545" s="384" t="str">
        <f>IFERROR(__xludf.DUMMYFUNCTION("""COMPUTED_VALUE"""),"A1 ")</f>
        <v>A1 </v>
      </c>
      <c r="U1545" s="385"/>
      <c r="W1545" s="384" t="str">
        <f>IFERROR(__xludf.DUMMYFUNCTION("""COMPUTED_VALUE"""),"Крот")</f>
        <v>Крот</v>
      </c>
      <c r="X1545" s="385"/>
    </row>
    <row r="1546">
      <c r="A1546" s="384" t="s">
        <v>112</v>
      </c>
      <c r="B1546" s="384" t="s">
        <v>261</v>
      </c>
      <c r="C1546" s="389"/>
      <c r="D1546" s="389">
        <v>1.75</v>
      </c>
      <c r="E1546" s="384"/>
      <c r="F1546" s="389"/>
      <c r="G1546" s="389"/>
      <c r="T1546" s="384" t="str">
        <f>IFERROR(__xludf.DUMMYFUNCTION("""COMPUTED_VALUE"""),"Alice ")</f>
        <v>Alice </v>
      </c>
      <c r="U1546" s="385"/>
      <c r="W1546" s="384" t="str">
        <f>IFERROR(__xludf.DUMMYFUNCTION("""COMPUTED_VALUE"""),"Левша")</f>
        <v>Левша</v>
      </c>
      <c r="X1546" s="385"/>
    </row>
    <row r="1547">
      <c r="A1547" s="384" t="s">
        <v>128</v>
      </c>
      <c r="B1547" s="384" t="s">
        <v>269</v>
      </c>
      <c r="C1547" s="389">
        <v>2.5</v>
      </c>
      <c r="D1547" s="389">
        <v>3.0</v>
      </c>
      <c r="E1547" s="384"/>
      <c r="F1547" s="389"/>
      <c r="G1547" s="389"/>
      <c r="T1547" s="384" t="str">
        <f>IFERROR(__xludf.DUMMYFUNCTION("""COMPUTED_VALUE"""),"Bublik")</f>
        <v>Bublik</v>
      </c>
      <c r="U1547" s="385"/>
      <c r="W1547" s="384" t="str">
        <f>IFERROR(__xludf.DUMMYFUNCTION("""COMPUTED_VALUE"""),"Лисичка")</f>
        <v>Лисичка</v>
      </c>
      <c r="X1547" s="385"/>
    </row>
    <row r="1548">
      <c r="A1548" s="384" t="s">
        <v>137</v>
      </c>
      <c r="B1548" s="384" t="s">
        <v>261</v>
      </c>
      <c r="C1548" s="389"/>
      <c r="D1548" s="389">
        <v>2.0</v>
      </c>
      <c r="E1548" s="384"/>
      <c r="F1548" s="389"/>
      <c r="G1548" s="389"/>
      <c r="T1548" s="384" t="str">
        <f>IFERROR(__xludf.DUMMYFUNCTION("""COMPUTED_VALUE"""),"Cristo")</f>
        <v>Cristo</v>
      </c>
      <c r="U1548" s="385"/>
      <c r="W1548" s="384" t="str">
        <f>IFERROR(__xludf.DUMMYFUNCTION("""COMPUTED_VALUE"""),"Маваши")</f>
        <v>Маваши</v>
      </c>
      <c r="X1548" s="385"/>
    </row>
    <row r="1549">
      <c r="A1549" s="384" t="s">
        <v>79</v>
      </c>
      <c r="B1549" s="384" t="s">
        <v>269</v>
      </c>
      <c r="C1549" s="389">
        <v>2.5</v>
      </c>
      <c r="D1549" s="389">
        <v>2.75</v>
      </c>
      <c r="E1549" s="384"/>
      <c r="F1549" s="389"/>
      <c r="G1549" s="389"/>
      <c r="T1549" s="384" t="str">
        <f>IFERROR(__xludf.DUMMYFUNCTION("""COMPUTED_VALUE"""),"GALAY")</f>
        <v>GALAY</v>
      </c>
      <c r="U1549" s="385"/>
      <c r="W1549" s="384" t="str">
        <f>IFERROR(__xludf.DUMMYFUNCTION("""COMPUTED_VALUE"""),"Манекен")</f>
        <v>Манекен</v>
      </c>
      <c r="X1549" s="385"/>
    </row>
    <row r="1550">
      <c r="A1550" s="384" t="s">
        <v>97</v>
      </c>
      <c r="B1550" s="384" t="s">
        <v>261</v>
      </c>
      <c r="C1550" s="389"/>
      <c r="D1550" s="389">
        <v>2.0</v>
      </c>
      <c r="E1550" s="384" t="s">
        <v>11</v>
      </c>
      <c r="F1550" s="389"/>
      <c r="G1550" s="389">
        <v>0.5</v>
      </c>
      <c r="T1550" s="384" t="str">
        <f>IFERROR(__xludf.DUMMYFUNCTION("""COMPUTED_VALUE"""),"Infinity ")</f>
        <v>Infinity </v>
      </c>
      <c r="U1550" s="385"/>
      <c r="W1550" s="384" t="str">
        <f>IFERROR(__xludf.DUMMYFUNCTION("""COMPUTED_VALUE"""),"Марго")</f>
        <v>Марго</v>
      </c>
      <c r="X1550" s="385"/>
    </row>
    <row r="1551">
      <c r="A1551" s="384" t="s">
        <v>125</v>
      </c>
      <c r="B1551" s="384" t="s">
        <v>261</v>
      </c>
      <c r="C1551" s="389"/>
      <c r="D1551" s="389">
        <v>2.25</v>
      </c>
      <c r="E1551" s="384"/>
      <c r="F1551" s="389"/>
      <c r="G1551" s="389"/>
      <c r="T1551" s="384" t="str">
        <f>IFERROR(__xludf.DUMMYFUNCTION("""COMPUTED_VALUE"""),"Ketamin")</f>
        <v>Ketamin</v>
      </c>
      <c r="U1551" s="385"/>
      <c r="W1551" s="384" t="str">
        <f>IFERROR(__xludf.DUMMYFUNCTION("""COMPUTED_VALUE"""),"Ментик")</f>
        <v>Ментик</v>
      </c>
      <c r="X1551" s="385"/>
    </row>
    <row r="1552">
      <c r="A1552" s="384" t="s">
        <v>281</v>
      </c>
      <c r="B1552" s="384" t="s">
        <v>261</v>
      </c>
      <c r="C1552" s="389"/>
      <c r="D1552" s="389">
        <v>2.25</v>
      </c>
      <c r="E1552" s="384"/>
      <c r="F1552" s="389"/>
      <c r="G1552" s="389"/>
      <c r="T1552" s="384" t="str">
        <f>IFERROR(__xludf.DUMMYFUNCTION("""COMPUTED_VALUE"""),"Light")</f>
        <v>Light</v>
      </c>
      <c r="U1552" s="385"/>
      <c r="W1552" s="384" t="str">
        <f>IFERROR(__xludf.DUMMYFUNCTION("""COMPUTED_VALUE"""),"Наполеон")</f>
        <v>Наполеон</v>
      </c>
      <c r="X1552" s="385"/>
    </row>
    <row r="1553">
      <c r="A1553" s="384" t="s">
        <v>137</v>
      </c>
      <c r="B1553" s="384" t="s">
        <v>265</v>
      </c>
      <c r="C1553" s="389">
        <v>2.5</v>
      </c>
      <c r="D1553" s="389">
        <v>1.75</v>
      </c>
      <c r="E1553" s="384"/>
      <c r="F1553" s="389"/>
      <c r="G1553" s="389"/>
      <c r="T1553" s="384" t="str">
        <f>IFERROR(__xludf.DUMMYFUNCTION("""COMPUTED_VALUE"""),"Morti")</f>
        <v>Morti</v>
      </c>
      <c r="U1553" s="385"/>
      <c r="W1553" s="384" t="str">
        <f>IFERROR(__xludf.DUMMYFUNCTION("""COMPUTED_VALUE"""),"Панда из Руанды")</f>
        <v>Панда из Руанды</v>
      </c>
      <c r="X1553" s="385"/>
    </row>
    <row r="1554">
      <c r="A1554" s="384" t="s">
        <v>87</v>
      </c>
      <c r="B1554" s="384" t="s">
        <v>261</v>
      </c>
      <c r="C1554" s="389"/>
      <c r="D1554" s="389">
        <v>2.75</v>
      </c>
      <c r="E1554" s="384" t="s">
        <v>11</v>
      </c>
      <c r="F1554" s="389"/>
      <c r="G1554" s="389">
        <v>0.5</v>
      </c>
      <c r="T1554" s="384" t="str">
        <f>IFERROR(__xludf.DUMMYFUNCTION("""COMPUTED_VALUE"""),"MSR")</f>
        <v>MSR</v>
      </c>
      <c r="U1554" s="385"/>
      <c r="W1554" s="384" t="str">
        <f>IFERROR(__xludf.DUMMYFUNCTION("""COMPUTED_VALUE"""),"РФ")</f>
        <v>РФ</v>
      </c>
      <c r="X1554" s="385"/>
    </row>
    <row r="1555">
      <c r="A1555" s="384" t="s">
        <v>80</v>
      </c>
      <c r="B1555" s="384" t="s">
        <v>261</v>
      </c>
      <c r="C1555" s="389"/>
      <c r="D1555" s="389">
        <v>2.75</v>
      </c>
      <c r="E1555" s="384"/>
      <c r="F1555" s="389"/>
      <c r="G1555" s="389"/>
      <c r="T1555" s="384" t="str">
        <f>IFERROR(__xludf.DUMMYFUNCTION("""COMPUTED_VALUE"""),"NLIP")</f>
        <v>NLIP</v>
      </c>
      <c r="U1555" s="385"/>
      <c r="W1555" s="384" t="str">
        <f>IFERROR(__xludf.DUMMYFUNCTION("""COMPUTED_VALUE"""),"Старый")</f>
        <v>Старый</v>
      </c>
      <c r="X1555" s="385"/>
    </row>
    <row r="1556">
      <c r="A1556" s="384" t="s">
        <v>126</v>
      </c>
      <c r="B1556" s="384" t="s">
        <v>261</v>
      </c>
      <c r="C1556" s="389"/>
      <c r="D1556" s="389">
        <v>4.0</v>
      </c>
      <c r="E1556" s="384" t="s">
        <v>263</v>
      </c>
      <c r="F1556" s="389"/>
      <c r="G1556" s="389"/>
      <c r="T1556" s="384" t="str">
        <f>IFERROR(__xludf.DUMMYFUNCTION("""COMPUTED_VALUE"""),"Rocket woman ")</f>
        <v>Rocket woman </v>
      </c>
      <c r="U1556" s="385"/>
      <c r="W1556" s="384" t="str">
        <f>IFERROR(__xludf.DUMMYFUNCTION("""COMPUTED_VALUE"""),"СЭНСЭЙ")</f>
        <v>СЭНСЭЙ</v>
      </c>
      <c r="X1556" s="385"/>
    </row>
    <row r="1557">
      <c r="A1557" s="384" t="s">
        <v>130</v>
      </c>
      <c r="B1557" s="384" t="s">
        <v>261</v>
      </c>
      <c r="C1557" s="389"/>
      <c r="D1557" s="389">
        <v>1.5</v>
      </c>
      <c r="E1557" s="384"/>
      <c r="F1557" s="389"/>
      <c r="G1557" s="389"/>
      <c r="T1557" s="384" t="str">
        <f>IFERROR(__xludf.DUMMYFUNCTION("""COMPUTED_VALUE"""),"SCHOKK ")</f>
        <v>SCHOKK </v>
      </c>
      <c r="U1557" s="385"/>
      <c r="W1557" s="384" t="str">
        <f>IFERROR(__xludf.DUMMYFUNCTION("""COMPUTED_VALUE"""),"Coach")</f>
        <v>Coach</v>
      </c>
      <c r="X1557" s="385"/>
    </row>
    <row r="1558">
      <c r="A1558" s="384" t="s">
        <v>123</v>
      </c>
      <c r="B1558" s="384" t="s">
        <v>269</v>
      </c>
      <c r="C1558" s="389">
        <v>2.5</v>
      </c>
      <c r="D1558" s="389">
        <v>4.5</v>
      </c>
      <c r="E1558" s="384" t="s">
        <v>260</v>
      </c>
      <c r="F1558" s="389"/>
      <c r="G1558" s="389"/>
      <c r="T1558" s="384" t="str">
        <f>IFERROR(__xludf.DUMMYFUNCTION("""COMPUTED_VALUE"""),"SOVEST")</f>
        <v>SOVEST</v>
      </c>
      <c r="U1558" s="385"/>
      <c r="W1558" s="384" t="str">
        <f>IFERROR(__xludf.DUMMYFUNCTION("""COMPUTED_VALUE"""),"Тихий закат")</f>
        <v>Тихий закат</v>
      </c>
      <c r="X1558" s="385"/>
    </row>
    <row r="1559">
      <c r="A1559" s="384" t="s">
        <v>169</v>
      </c>
      <c r="B1559" s="384" t="s">
        <v>261</v>
      </c>
      <c r="C1559" s="389"/>
      <c r="D1559" s="389">
        <v>3.25</v>
      </c>
      <c r="E1559" s="384"/>
      <c r="F1559" s="389"/>
      <c r="G1559" s="389"/>
      <c r="T1559" s="384" t="str">
        <f>IFERROR(__xludf.DUMMYFUNCTION("""COMPUTED_VALUE"""),"Stacy")</f>
        <v>Stacy</v>
      </c>
      <c r="U1559" s="385"/>
      <c r="W1559" s="384" t="str">
        <f>IFERROR(__xludf.DUMMYFUNCTION("""COMPUTED_VALUE"""),"Флэш")</f>
        <v>Флэш</v>
      </c>
      <c r="X1559" s="385"/>
    </row>
    <row r="1560">
      <c r="A1560" s="384" t="s">
        <v>119</v>
      </c>
      <c r="B1560" s="384" t="s">
        <v>271</v>
      </c>
      <c r="C1560" s="389"/>
      <c r="D1560" s="389">
        <v>2.5</v>
      </c>
      <c r="E1560" s="384"/>
      <c r="F1560" s="389"/>
      <c r="G1560" s="389"/>
      <c r="T1560" s="384" t="str">
        <f>IFERROR(__xludf.DUMMYFUNCTION("""COMPUTED_VALUE"""),"WhoIsWho")</f>
        <v>WhoIsWho</v>
      </c>
      <c r="U1560" s="385"/>
      <c r="W1560" s="384" t="str">
        <f>IFERROR(__xludf.DUMMYFUNCTION("""COMPUTED_VALUE"""),"Фокс")</f>
        <v>Фокс</v>
      </c>
      <c r="X1560" s="385"/>
    </row>
    <row r="1561">
      <c r="A1561" s="384" t="s">
        <v>281</v>
      </c>
      <c r="B1561" s="384" t="s">
        <v>261</v>
      </c>
      <c r="C1561" s="389"/>
      <c r="D1561" s="389">
        <v>1.75</v>
      </c>
      <c r="E1561" s="384" t="s">
        <v>263</v>
      </c>
      <c r="F1561" s="389"/>
      <c r="G1561" s="389"/>
      <c r="T1561" s="384" t="str">
        <f>IFERROR(__xludf.DUMMYFUNCTION("""COMPUTED_VALUE"""),"Young")</f>
        <v>Young</v>
      </c>
      <c r="U1561" s="385"/>
      <c r="W1561" s="384" t="str">
        <f>IFERROR(__xludf.DUMMYFUNCTION("""COMPUTED_VALUE"""),"Шоу Бой")</f>
        <v>Шоу Бой</v>
      </c>
      <c r="X1561" s="385"/>
    </row>
    <row r="1562">
      <c r="A1562" s="384" t="s">
        <v>139</v>
      </c>
      <c r="B1562" s="384" t="s">
        <v>269</v>
      </c>
      <c r="C1562" s="389">
        <v>2.5</v>
      </c>
      <c r="D1562" s="389">
        <v>2.25</v>
      </c>
      <c r="E1562" s="384"/>
      <c r="F1562" s="389"/>
      <c r="G1562" s="389"/>
      <c r="T1562" s="384" t="str">
        <f>IFERROR(__xludf.DUMMYFUNCTION("QUERY('Турнирная таблица по Алфавиту'!C7:BG66,""select C,AT order by AT desc"")"),"Cristo")</f>
        <v>Cristo</v>
      </c>
      <c r="U1562" s="385">
        <f>IFERROR(__xludf.DUMMYFUNCTION("""COMPUTED_VALUE"""),28.5)</f>
        <v>28.5</v>
      </c>
      <c r="W1562" s="384" t="str">
        <f>IFERROR(__xludf.DUMMYFUNCTION("""COMPUTED_VALUE"""),"Шпиц")</f>
        <v>Шпиц</v>
      </c>
      <c r="X1562" s="385"/>
    </row>
    <row r="1563">
      <c r="A1563" s="384" t="s">
        <v>137</v>
      </c>
      <c r="B1563" s="384" t="s">
        <v>261</v>
      </c>
      <c r="C1563" s="389"/>
      <c r="D1563" s="389">
        <v>3.5</v>
      </c>
      <c r="E1563" s="384"/>
      <c r="F1563" s="389"/>
      <c r="G1563" s="389"/>
      <c r="T1563" s="384" t="str">
        <f>IFERROR(__xludf.DUMMYFUNCTION("""COMPUTED_VALUE"""),"BWDMoscow")</f>
        <v>BWDMoscow</v>
      </c>
      <c r="U1563" s="385">
        <f>IFERROR(__xludf.DUMMYFUNCTION("""COMPUTED_VALUE"""),27.5)</f>
        <v>27.5</v>
      </c>
      <c r="W1563" s="384" t="str">
        <f>IFERROR(__xludf.DUMMYFUNCTION("""COMPUTED_VALUE"""),"Юрия")</f>
        <v>Юрия</v>
      </c>
      <c r="X1563" s="385"/>
    </row>
    <row r="1564">
      <c r="A1564" s="384" t="s">
        <v>87</v>
      </c>
      <c r="B1564" s="384" t="s">
        <v>265</v>
      </c>
      <c r="C1564" s="389">
        <v>2.5</v>
      </c>
      <c r="D1564" s="389">
        <v>3.25</v>
      </c>
      <c r="E1564" s="384"/>
      <c r="F1564" s="389"/>
      <c r="G1564" s="389"/>
      <c r="T1564" s="384" t="str">
        <f>IFERROR(__xludf.DUMMYFUNCTION("""COMPUTED_VALUE"""),"Infinity ")</f>
        <v>Infinity </v>
      </c>
      <c r="U1564" s="385">
        <f>IFERROR(__xludf.DUMMYFUNCTION("""COMPUTED_VALUE"""),22.5)</f>
        <v>22.5</v>
      </c>
      <c r="W1564" s="384" t="str">
        <f>IFERROR(__xludf.DUMMYFUNCTION("""COMPUTED_VALUE"""),"Bublik")</f>
        <v>Bublik</v>
      </c>
      <c r="X1564" s="385"/>
    </row>
    <row r="1565">
      <c r="A1565" s="384" t="s">
        <v>80</v>
      </c>
      <c r="B1565" s="384" t="s">
        <v>269</v>
      </c>
      <c r="C1565" s="389">
        <v>2.5</v>
      </c>
      <c r="D1565" s="389">
        <v>2.5</v>
      </c>
      <c r="E1565" s="384"/>
      <c r="F1565" s="389"/>
      <c r="G1565" s="389"/>
      <c r="T1565" s="384" t="str">
        <f>IFERROR(__xludf.DUMMYFUNCTION("""COMPUTED_VALUE"""),"Крестный отец (BLR)")</f>
        <v>Крестный отец (BLR)</v>
      </c>
      <c r="U1565" s="385">
        <f>IFERROR(__xludf.DUMMYFUNCTION("""COMPUTED_VALUE"""),21.5)</f>
        <v>21.5</v>
      </c>
      <c r="W1565" s="384" t="str">
        <f>IFERROR(__xludf.DUMMYFUNCTION("""COMPUTED_VALUE"""),"BWDMoscow")</f>
        <v>BWDMoscow</v>
      </c>
      <c r="X1565" s="385"/>
    </row>
    <row r="1566">
      <c r="A1566" s="384" t="s">
        <v>126</v>
      </c>
      <c r="B1566" s="384" t="s">
        <v>261</v>
      </c>
      <c r="C1566" s="389"/>
      <c r="D1566" s="389">
        <v>3.5</v>
      </c>
      <c r="E1566" s="384"/>
      <c r="F1566" s="389"/>
      <c r="G1566" s="389"/>
      <c r="T1566" s="384" t="str">
        <f>IFERROR(__xludf.DUMMYFUNCTION("""COMPUTED_VALUE"""),"Light")</f>
        <v>Light</v>
      </c>
      <c r="U1566" s="385">
        <f>IFERROR(__xludf.DUMMYFUNCTION("""COMPUTED_VALUE"""),19.5)</f>
        <v>19.5</v>
      </c>
      <c r="W1566" s="384" t="str">
        <f>IFERROR(__xludf.DUMMYFUNCTION("""COMPUTED_VALUE"""),"Castor Troy ")</f>
        <v>Castor Troy </v>
      </c>
      <c r="X1566" s="385"/>
    </row>
    <row r="1567">
      <c r="A1567" s="384" t="s">
        <v>130</v>
      </c>
      <c r="B1567" s="384" t="s">
        <v>271</v>
      </c>
      <c r="C1567" s="389"/>
      <c r="D1567" s="389">
        <v>2.25</v>
      </c>
      <c r="E1567" s="384" t="s">
        <v>11</v>
      </c>
      <c r="F1567" s="389"/>
      <c r="G1567" s="389">
        <v>0.5</v>
      </c>
      <c r="T1567" s="384" t="str">
        <f>IFERROR(__xludf.DUMMYFUNCTION("""COMPUTED_VALUE"""),"Админ")</f>
        <v>Админ</v>
      </c>
      <c r="U1567" s="385">
        <f>IFERROR(__xludf.DUMMYFUNCTION("""COMPUTED_VALUE"""),18.0)</f>
        <v>18</v>
      </c>
      <c r="W1567" s="384" t="str">
        <f>IFERROR(__xludf.DUMMYFUNCTION("""COMPUTED_VALUE"""),"Cristo")</f>
        <v>Cristo</v>
      </c>
      <c r="X1567" s="385"/>
    </row>
    <row r="1568">
      <c r="A1568" s="384" t="s">
        <v>123</v>
      </c>
      <c r="B1568" s="384" t="s">
        <v>261</v>
      </c>
      <c r="C1568" s="389"/>
      <c r="D1568" s="389">
        <v>2.25</v>
      </c>
      <c r="E1568" s="384"/>
      <c r="F1568" s="389"/>
      <c r="G1568" s="389"/>
      <c r="T1568" s="384" t="str">
        <f>IFERROR(__xludf.DUMMYFUNCTION("""COMPUTED_VALUE"""),"Curly")</f>
        <v>Curly</v>
      </c>
      <c r="U1568" s="385">
        <f>IFERROR(__xludf.DUMMYFUNCTION("""COMPUTED_VALUE"""),16.25)</f>
        <v>16.25</v>
      </c>
      <c r="W1568" s="384" t="str">
        <f>IFERROR(__xludf.DUMMYFUNCTION("""COMPUTED_VALUE"""),"GALAY")</f>
        <v>GALAY</v>
      </c>
      <c r="X1568" s="385"/>
    </row>
    <row r="1569">
      <c r="A1569" s="384" t="s">
        <v>169</v>
      </c>
      <c r="B1569" s="384" t="s">
        <v>269</v>
      </c>
      <c r="C1569" s="389">
        <v>2.5</v>
      </c>
      <c r="D1569" s="389">
        <v>2.25</v>
      </c>
      <c r="E1569" s="384"/>
      <c r="F1569" s="389"/>
      <c r="G1569" s="389"/>
      <c r="T1569" s="384" t="str">
        <f>IFERROR(__xludf.DUMMYFUNCTION("""COMPUTED_VALUE"""),"SOVEST")</f>
        <v>SOVEST</v>
      </c>
      <c r="U1569" s="385">
        <f>IFERROR(__xludf.DUMMYFUNCTION("""COMPUTED_VALUE"""),14.75)</f>
        <v>14.75</v>
      </c>
      <c r="W1569" s="384" t="str">
        <f>IFERROR(__xludf.DUMMYFUNCTION("""COMPUTED_VALUE"""),"Helga")</f>
        <v>Helga</v>
      </c>
      <c r="X1569" s="385"/>
    </row>
    <row r="1570">
      <c r="A1570" s="384" t="s">
        <v>119</v>
      </c>
      <c r="B1570" s="384" t="s">
        <v>261</v>
      </c>
      <c r="C1570" s="389"/>
      <c r="D1570" s="389">
        <v>2.5</v>
      </c>
      <c r="E1570" s="384"/>
      <c r="F1570" s="389"/>
      <c r="G1570" s="389"/>
      <c r="T1570" s="384" t="str">
        <f>IFERROR(__xludf.DUMMYFUNCTION("""COMPUTED_VALUE"""),"WhoIsWho")</f>
        <v>WhoIsWho</v>
      </c>
      <c r="U1570" s="385">
        <f>IFERROR(__xludf.DUMMYFUNCTION("""COMPUTED_VALUE"""),13.25)</f>
        <v>13.25</v>
      </c>
      <c r="W1570" s="384" t="str">
        <f>IFERROR(__xludf.DUMMYFUNCTION("""COMPUTED_VALUE"""),"Infinity ")</f>
        <v>Infinity </v>
      </c>
      <c r="X1570" s="385"/>
    </row>
    <row r="1571">
      <c r="A1571" s="384" t="s">
        <v>281</v>
      </c>
      <c r="B1571" s="384" t="s">
        <v>261</v>
      </c>
      <c r="C1571" s="389"/>
      <c r="D1571" s="389">
        <v>3.75</v>
      </c>
      <c r="E1571" s="384"/>
      <c r="F1571" s="389"/>
      <c r="G1571" s="389"/>
      <c r="T1571" s="384" t="str">
        <f>IFERROR(__xludf.DUMMYFUNCTION("""COMPUTED_VALUE"""),"SCHOKK ")</f>
        <v>SCHOKK </v>
      </c>
      <c r="U1571" s="385">
        <f>IFERROR(__xludf.DUMMYFUNCTION("""COMPUTED_VALUE"""),9.25)</f>
        <v>9.25</v>
      </c>
      <c r="W1571" s="384" t="str">
        <f>IFERROR(__xludf.DUMMYFUNCTION("""COMPUTED_VALUE"""),"Ketamin")</f>
        <v>Ketamin</v>
      </c>
      <c r="X1571" s="385"/>
    </row>
    <row r="1572">
      <c r="A1572" s="384" t="s">
        <v>139</v>
      </c>
      <c r="B1572" s="384" t="s">
        <v>261</v>
      </c>
      <c r="C1572" s="389"/>
      <c r="D1572" s="389">
        <v>0.0</v>
      </c>
      <c r="E1572" s="384"/>
      <c r="F1572" s="389"/>
      <c r="G1572" s="389"/>
      <c r="T1572" s="384" t="str">
        <f>IFERROR(__xludf.DUMMYFUNCTION("""COMPUTED_VALUE"""),"Авраам")</f>
        <v>Авраам</v>
      </c>
      <c r="U1572" s="385"/>
      <c r="W1572" s="384" t="str">
        <f>IFERROR(__xludf.DUMMYFUNCTION("""COMPUTED_VALUE"""),"Light")</f>
        <v>Light</v>
      </c>
      <c r="X1572" s="385"/>
    </row>
    <row r="1573">
      <c r="A1573" s="384" t="s">
        <v>137</v>
      </c>
      <c r="B1573" s="384" t="s">
        <v>261</v>
      </c>
      <c r="C1573" s="389">
        <v>2.5</v>
      </c>
      <c r="D1573" s="389">
        <v>2.5</v>
      </c>
      <c r="E1573" s="384"/>
      <c r="F1573" s="389"/>
      <c r="G1573" s="389"/>
      <c r="T1573" s="384" t="str">
        <f>IFERROR(__xludf.DUMMYFUNCTION("""COMPUTED_VALUE"""),"Андерсен")</f>
        <v>Андерсен</v>
      </c>
      <c r="U1573" s="385"/>
      <c r="W1573" s="384" t="str">
        <f>IFERROR(__xludf.DUMMYFUNCTION("""COMPUTED_VALUE"""),"Morti")</f>
        <v>Morti</v>
      </c>
      <c r="X1573" s="385"/>
    </row>
    <row r="1574">
      <c r="A1574" s="384" t="s">
        <v>87</v>
      </c>
      <c r="B1574" s="384" t="s">
        <v>261</v>
      </c>
      <c r="C1574" s="389">
        <v>2.5</v>
      </c>
      <c r="D1574" s="389">
        <v>4.5</v>
      </c>
      <c r="E1574" s="384"/>
      <c r="F1574" s="389"/>
      <c r="G1574" s="389"/>
      <c r="T1574" s="384" t="str">
        <f>IFERROR(__xludf.DUMMYFUNCTION("""COMPUTED_VALUE"""),"Артик")</f>
        <v>Артик</v>
      </c>
      <c r="U1574" s="385"/>
      <c r="W1574" s="384" t="str">
        <f>IFERROR(__xludf.DUMMYFUNCTION("""COMPUTED_VALUE"""),"MSR")</f>
        <v>MSR</v>
      </c>
      <c r="X1574" s="385"/>
    </row>
    <row r="1575">
      <c r="A1575" s="384" t="s">
        <v>80</v>
      </c>
      <c r="B1575" s="384" t="s">
        <v>269</v>
      </c>
      <c r="C1575" s="389"/>
      <c r="D1575" s="389">
        <v>2.0</v>
      </c>
      <c r="E1575" s="384"/>
      <c r="F1575" s="389"/>
      <c r="G1575" s="389"/>
      <c r="T1575" s="384" t="str">
        <f>IFERROR(__xludf.DUMMYFUNCTION("""COMPUTED_VALUE"""),"Астория")</f>
        <v>Астория</v>
      </c>
      <c r="U1575" s="385"/>
      <c r="W1575" s="384" t="str">
        <f>IFERROR(__xludf.DUMMYFUNCTION("""COMPUTED_VALUE"""),"NLIP")</f>
        <v>NLIP</v>
      </c>
      <c r="X1575" s="385"/>
    </row>
    <row r="1576">
      <c r="A1576" s="384" t="s">
        <v>126</v>
      </c>
      <c r="B1576" s="384" t="s">
        <v>261</v>
      </c>
      <c r="C1576" s="389">
        <v>2.5</v>
      </c>
      <c r="D1576" s="389">
        <v>2.5</v>
      </c>
      <c r="E1576" s="384"/>
      <c r="F1576" s="389"/>
      <c r="G1576" s="389"/>
      <c r="T1576" s="384" t="str">
        <f>IFERROR(__xludf.DUMMYFUNCTION("""COMPUTED_VALUE"""),"Аш")</f>
        <v>Аш</v>
      </c>
      <c r="U1576" s="385"/>
      <c r="W1576" s="384" t="str">
        <f>IFERROR(__xludf.DUMMYFUNCTION("""COMPUTED_VALUE"""),"Rocket woman ")</f>
        <v>Rocket woman </v>
      </c>
      <c r="X1576" s="385"/>
    </row>
    <row r="1577">
      <c r="A1577" s="384" t="s">
        <v>130</v>
      </c>
      <c r="B1577" s="384" t="s">
        <v>261</v>
      </c>
      <c r="C1577" s="389">
        <v>2.5</v>
      </c>
      <c r="D1577" s="389">
        <v>3.0</v>
      </c>
      <c r="E1577" s="384"/>
      <c r="F1577" s="389"/>
      <c r="G1577" s="389"/>
      <c r="T1577" s="384" t="str">
        <f>IFERROR(__xludf.DUMMYFUNCTION("""COMPUTED_VALUE"""),"Бамблби")</f>
        <v>Бамблби</v>
      </c>
      <c r="U1577" s="385"/>
      <c r="W1577" s="384" t="str">
        <f>IFERROR(__xludf.DUMMYFUNCTION("""COMPUTED_VALUE"""),"SCHOKK ")</f>
        <v>SCHOKK </v>
      </c>
      <c r="X1577" s="385"/>
    </row>
    <row r="1578">
      <c r="A1578" s="384" t="s">
        <v>123</v>
      </c>
      <c r="B1578" s="384" t="s">
        <v>265</v>
      </c>
      <c r="C1578" s="389"/>
      <c r="D1578" s="389">
        <v>2.0</v>
      </c>
      <c r="E1578" s="384"/>
      <c r="F1578" s="389"/>
      <c r="G1578" s="389"/>
      <c r="T1578" s="384" t="str">
        <f>IFERROR(__xludf.DUMMYFUNCTION("""COMPUTED_VALUE"""),"Волга")</f>
        <v>Волга</v>
      </c>
      <c r="U1578" s="385"/>
      <c r="W1578" s="384" t="str">
        <f>IFERROR(__xludf.DUMMYFUNCTION("""COMPUTED_VALUE"""),"SOVEST")</f>
        <v>SOVEST</v>
      </c>
      <c r="X1578" s="385"/>
    </row>
    <row r="1579">
      <c r="A1579" s="384" t="s">
        <v>169</v>
      </c>
      <c r="B1579" s="384" t="s">
        <v>261</v>
      </c>
      <c r="C1579" s="389">
        <v>2.5</v>
      </c>
      <c r="D1579" s="389">
        <v>2.0</v>
      </c>
      <c r="E1579" s="384"/>
      <c r="F1579" s="389"/>
      <c r="G1579" s="389"/>
      <c r="T1579" s="384" t="str">
        <f>IFERROR(__xludf.DUMMYFUNCTION("""COMPUTED_VALUE"""),"Градиент")</f>
        <v>Градиент</v>
      </c>
      <c r="U1579" s="385"/>
      <c r="W1579" s="384" t="str">
        <f>IFERROR(__xludf.DUMMYFUNCTION("""COMPUTED_VALUE"""),"Stacy")</f>
        <v>Stacy</v>
      </c>
      <c r="X1579" s="385"/>
    </row>
    <row r="1580">
      <c r="A1580" s="384" t="s">
        <v>119</v>
      </c>
      <c r="B1580" s="384" t="s">
        <v>261</v>
      </c>
      <c r="C1580" s="389">
        <v>2.5</v>
      </c>
      <c r="D1580" s="389">
        <v>2.5</v>
      </c>
      <c r="E1580" s="384"/>
      <c r="F1580" s="389"/>
      <c r="G1580" s="389"/>
      <c r="T1580" s="384" t="str">
        <f>IFERROR(__xludf.DUMMYFUNCTION("""COMPUTED_VALUE"""),"Дровосек")</f>
        <v>Дровосек</v>
      </c>
      <c r="U1580" s="385"/>
      <c r="W1580" s="384" t="str">
        <f>IFERROR(__xludf.DUMMYFUNCTION("""COMPUTED_VALUE"""),"WhoIsWho")</f>
        <v>WhoIsWho</v>
      </c>
      <c r="X1580" s="385"/>
    </row>
    <row r="1581">
      <c r="A1581" s="384" t="s">
        <v>281</v>
      </c>
      <c r="B1581" s="384" t="s">
        <v>269</v>
      </c>
      <c r="C1581" s="389"/>
      <c r="D1581" s="389">
        <v>2.5</v>
      </c>
      <c r="E1581" s="384"/>
      <c r="F1581" s="389"/>
      <c r="G1581" s="389"/>
      <c r="T1581" s="384" t="str">
        <f>IFERROR(__xludf.DUMMYFUNCTION("""COMPUTED_VALUE"""),"Зверюга")</f>
        <v>Зверюга</v>
      </c>
      <c r="U1581" s="385"/>
      <c r="W1581" s="384" t="str">
        <f>IFERROR(__xludf.DUMMYFUNCTION("""COMPUTED_VALUE"""),"Young")</f>
        <v>Young</v>
      </c>
      <c r="X1581" s="385"/>
    </row>
    <row r="1582">
      <c r="A1582" s="384" t="s">
        <v>139</v>
      </c>
      <c r="B1582" s="384" t="s">
        <v>271</v>
      </c>
      <c r="C1582" s="389">
        <v>2.5</v>
      </c>
      <c r="D1582" s="389">
        <v>2.5</v>
      </c>
      <c r="E1582" s="384"/>
      <c r="F1582" s="389"/>
      <c r="G1582" s="389"/>
      <c r="T1582" s="384" t="str">
        <f>IFERROR(__xludf.DUMMYFUNCTION("""COMPUTED_VALUE"""),"Инсомнич")</f>
        <v>Инсомнич</v>
      </c>
      <c r="U1582" s="385"/>
      <c r="W1582" s="384" t="str">
        <f>IFERROR(__xludf.DUMMYFUNCTION("""COMPUTED_VALUE"""),"Авраам")</f>
        <v>Авраам</v>
      </c>
      <c r="X1582" s="385"/>
    </row>
    <row r="1583">
      <c r="A1583" s="384" t="s">
        <v>137</v>
      </c>
      <c r="B1583" s="384" t="s">
        <v>261</v>
      </c>
      <c r="C1583" s="389">
        <v>2.5</v>
      </c>
      <c r="D1583" s="389">
        <v>4.25</v>
      </c>
      <c r="E1583" s="384" t="s">
        <v>260</v>
      </c>
      <c r="F1583" s="389"/>
      <c r="G1583" s="389"/>
      <c r="T1583" s="384" t="str">
        <f>IFERROR(__xludf.DUMMYFUNCTION("""COMPUTED_VALUE"""),"Красавчик")</f>
        <v>Красавчик</v>
      </c>
      <c r="U1583" s="385"/>
      <c r="W1583" s="384" t="str">
        <f>IFERROR(__xludf.DUMMYFUNCTION("""COMPUTED_VALUE"""),"Админ")</f>
        <v>Админ</v>
      </c>
      <c r="X1583" s="385"/>
    </row>
    <row r="1584">
      <c r="A1584" s="384" t="s">
        <v>87</v>
      </c>
      <c r="B1584" s="384" t="s">
        <v>261</v>
      </c>
      <c r="C1584" s="389">
        <v>2.5</v>
      </c>
      <c r="D1584" s="389">
        <v>2.5</v>
      </c>
      <c r="E1584" s="384" t="s">
        <v>11</v>
      </c>
      <c r="F1584" s="389"/>
      <c r="G1584" s="389">
        <v>1.0</v>
      </c>
      <c r="T1584" s="384" t="str">
        <f>IFERROR(__xludf.DUMMYFUNCTION("""COMPUTED_VALUE"""),"Крёстный Отец (RU)")</f>
        <v>Крёстный Отец (RU)</v>
      </c>
      <c r="U1584" s="385"/>
      <c r="W1584" s="384" t="str">
        <f>IFERROR(__xludf.DUMMYFUNCTION("""COMPUTED_VALUE"""),"Андерсен")</f>
        <v>Андерсен</v>
      </c>
      <c r="X1584" s="385"/>
    </row>
    <row r="1585">
      <c r="A1585" s="384" t="s">
        <v>80</v>
      </c>
      <c r="B1585" s="384" t="s">
        <v>261</v>
      </c>
      <c r="C1585" s="389">
        <v>2.5</v>
      </c>
      <c r="D1585" s="389">
        <v>3.5</v>
      </c>
      <c r="E1585" s="384"/>
      <c r="F1585" s="389"/>
      <c r="G1585" s="389"/>
      <c r="T1585" s="384" t="str">
        <f>IFERROR(__xludf.DUMMYFUNCTION("""COMPUTED_VALUE"""),"Крот")</f>
        <v>Крот</v>
      </c>
      <c r="U1585" s="385"/>
      <c r="W1585" s="384" t="str">
        <f>IFERROR(__xludf.DUMMYFUNCTION("""COMPUTED_VALUE"""),"Артик")</f>
        <v>Артик</v>
      </c>
      <c r="X1585" s="385"/>
    </row>
    <row r="1586">
      <c r="A1586" s="384" t="s">
        <v>126</v>
      </c>
      <c r="B1586" s="384" t="s">
        <v>271</v>
      </c>
      <c r="C1586" s="389">
        <v>2.5</v>
      </c>
      <c r="D1586" s="389">
        <v>3.25</v>
      </c>
      <c r="E1586" s="384"/>
      <c r="F1586" s="389"/>
      <c r="G1586" s="389"/>
      <c r="T1586" s="384" t="str">
        <f>IFERROR(__xludf.DUMMYFUNCTION("""COMPUTED_VALUE"""),"Левша")</f>
        <v>Левша</v>
      </c>
      <c r="U1586" s="385"/>
      <c r="W1586" s="384" t="str">
        <f>IFERROR(__xludf.DUMMYFUNCTION("""COMPUTED_VALUE"""),"Астория")</f>
        <v>Астория</v>
      </c>
      <c r="X1586" s="385"/>
    </row>
    <row r="1587">
      <c r="A1587" s="384" t="s">
        <v>130</v>
      </c>
      <c r="B1587" s="384" t="s">
        <v>261</v>
      </c>
      <c r="C1587" s="389">
        <v>2.5</v>
      </c>
      <c r="D1587" s="389">
        <v>3.75</v>
      </c>
      <c r="E1587" s="384" t="s">
        <v>260</v>
      </c>
      <c r="F1587" s="389"/>
      <c r="G1587" s="389"/>
      <c r="T1587" s="384" t="str">
        <f>IFERROR(__xludf.DUMMYFUNCTION("""COMPUTED_VALUE"""),"Лисичка")</f>
        <v>Лисичка</v>
      </c>
      <c r="U1587" s="385"/>
      <c r="W1587" s="384" t="str">
        <f>IFERROR(__xludf.DUMMYFUNCTION("""COMPUTED_VALUE"""),"Аш")</f>
        <v>Аш</v>
      </c>
      <c r="X1587" s="385"/>
    </row>
    <row r="1588">
      <c r="A1588" s="384" t="s">
        <v>123</v>
      </c>
      <c r="B1588" s="384" t="s">
        <v>269</v>
      </c>
      <c r="C1588" s="389"/>
      <c r="D1588" s="389">
        <v>2.5</v>
      </c>
      <c r="E1588" s="384"/>
      <c r="F1588" s="389"/>
      <c r="G1588" s="389"/>
      <c r="T1588" s="384" t="str">
        <f>IFERROR(__xludf.DUMMYFUNCTION("""COMPUTED_VALUE"""),"Маваши")</f>
        <v>Маваши</v>
      </c>
      <c r="U1588" s="385"/>
      <c r="W1588" s="384" t="str">
        <f>IFERROR(__xludf.DUMMYFUNCTION("""COMPUTED_VALUE"""),"Бамблби")</f>
        <v>Бамблби</v>
      </c>
      <c r="X1588" s="385"/>
    </row>
    <row r="1589">
      <c r="A1589" s="384" t="s">
        <v>169</v>
      </c>
      <c r="B1589" s="384" t="s">
        <v>261</v>
      </c>
      <c r="C1589" s="389">
        <v>2.5</v>
      </c>
      <c r="D1589" s="389">
        <v>1.5</v>
      </c>
      <c r="E1589" s="384"/>
      <c r="F1589" s="389"/>
      <c r="G1589" s="389"/>
      <c r="T1589" s="384" t="str">
        <f>IFERROR(__xludf.DUMMYFUNCTION("""COMPUTED_VALUE"""),"Манекен")</f>
        <v>Манекен</v>
      </c>
      <c r="U1589" s="385"/>
      <c r="W1589" s="384" t="str">
        <f>IFERROR(__xludf.DUMMYFUNCTION("""COMPUTED_VALUE"""),"Волга")</f>
        <v>Волга</v>
      </c>
      <c r="X1589" s="385"/>
    </row>
    <row r="1590">
      <c r="A1590" s="384" t="s">
        <v>119</v>
      </c>
      <c r="B1590" s="384" t="s">
        <v>261</v>
      </c>
      <c r="C1590" s="389">
        <v>2.5</v>
      </c>
      <c r="D1590" s="389">
        <v>3.5</v>
      </c>
      <c r="E1590" s="384"/>
      <c r="F1590" s="389"/>
      <c r="G1590" s="389"/>
      <c r="T1590" s="384" t="str">
        <f>IFERROR(__xludf.DUMMYFUNCTION("""COMPUTED_VALUE"""),"Марго")</f>
        <v>Марго</v>
      </c>
      <c r="U1590" s="385"/>
      <c r="W1590" s="384" t="str">
        <f>IFERROR(__xludf.DUMMYFUNCTION("""COMPUTED_VALUE"""),"Градиент")</f>
        <v>Градиент</v>
      </c>
      <c r="X1590" s="385"/>
    </row>
    <row r="1591">
      <c r="A1591" s="384" t="s">
        <v>281</v>
      </c>
      <c r="B1591" s="384" t="s">
        <v>269</v>
      </c>
      <c r="C1591" s="389"/>
      <c r="D1591" s="389">
        <v>1.75</v>
      </c>
      <c r="E1591" s="384" t="s">
        <v>263</v>
      </c>
      <c r="F1591" s="389"/>
      <c r="G1591" s="389"/>
      <c r="T1591" s="384" t="str">
        <f>IFERROR(__xludf.DUMMYFUNCTION("""COMPUTED_VALUE"""),"Ментик")</f>
        <v>Ментик</v>
      </c>
      <c r="U1591" s="385"/>
      <c r="W1591" s="384" t="str">
        <f>IFERROR(__xludf.DUMMYFUNCTION("""COMPUTED_VALUE"""),"Дровосек")</f>
        <v>Дровосек</v>
      </c>
      <c r="X1591" s="385"/>
    </row>
    <row r="1592">
      <c r="A1592" s="384" t="s">
        <v>139</v>
      </c>
      <c r="B1592" s="384" t="s">
        <v>265</v>
      </c>
      <c r="C1592" s="389"/>
      <c r="D1592" s="389">
        <v>1.75</v>
      </c>
      <c r="E1592" s="384"/>
      <c r="F1592" s="389"/>
      <c r="G1592" s="389"/>
      <c r="T1592" s="384" t="str">
        <f>IFERROR(__xludf.DUMMYFUNCTION("""COMPUTED_VALUE"""),"Мишель ")</f>
        <v>Мишель </v>
      </c>
      <c r="U1592" s="385"/>
      <c r="W1592" s="384" t="str">
        <f>IFERROR(__xludf.DUMMYFUNCTION("""COMPUTED_VALUE"""),"Инсомнич")</f>
        <v>Инсомнич</v>
      </c>
      <c r="X1592" s="385"/>
    </row>
    <row r="1593">
      <c r="A1593" s="384" t="s">
        <v>137</v>
      </c>
      <c r="B1593" s="384" t="s">
        <v>269</v>
      </c>
      <c r="C1593" s="389">
        <v>2.5</v>
      </c>
      <c r="D1593" s="389">
        <v>3.75</v>
      </c>
      <c r="E1593" s="384"/>
      <c r="F1593" s="389"/>
      <c r="G1593" s="389"/>
      <c r="T1593" s="384" t="str">
        <f>IFERROR(__xludf.DUMMYFUNCTION("""COMPUTED_VALUE"""),"Наполеон")</f>
        <v>Наполеон</v>
      </c>
      <c r="U1593" s="385"/>
      <c r="W1593" s="384" t="str">
        <f>IFERROR(__xludf.DUMMYFUNCTION("""COMPUTED_VALUE"""),"Красавчик")</f>
        <v>Красавчик</v>
      </c>
      <c r="X1593" s="385"/>
    </row>
    <row r="1594">
      <c r="A1594" s="384" t="s">
        <v>87</v>
      </c>
      <c r="B1594" s="384" t="s">
        <v>271</v>
      </c>
      <c r="C1594" s="389"/>
      <c r="D1594" s="389">
        <v>2.25</v>
      </c>
      <c r="E1594" s="384"/>
      <c r="F1594" s="389"/>
      <c r="G1594" s="389"/>
      <c r="T1594" s="384" t="str">
        <f>IFERROR(__xludf.DUMMYFUNCTION("""COMPUTED_VALUE"""),"Панда из Руанды")</f>
        <v>Панда из Руанды</v>
      </c>
      <c r="U1594" s="385"/>
      <c r="W1594" s="384" t="str">
        <f>IFERROR(__xludf.DUMMYFUNCTION("""COMPUTED_VALUE"""),"Крестный отец (BLR)")</f>
        <v>Крестный отец (BLR)</v>
      </c>
      <c r="X1594" s="385"/>
    </row>
    <row r="1595">
      <c r="A1595" s="384" t="s">
        <v>80</v>
      </c>
      <c r="B1595" s="384" t="s">
        <v>265</v>
      </c>
      <c r="C1595" s="389">
        <v>2.5</v>
      </c>
      <c r="D1595" s="389">
        <v>4.25</v>
      </c>
      <c r="E1595" s="384"/>
      <c r="F1595" s="389"/>
      <c r="G1595" s="389"/>
      <c r="T1595" s="384" t="str">
        <f>IFERROR(__xludf.DUMMYFUNCTION("""COMPUTED_VALUE"""),"Писатель ")</f>
        <v>Писатель </v>
      </c>
      <c r="U1595" s="385"/>
      <c r="W1595" s="384" t="str">
        <f>IFERROR(__xludf.DUMMYFUNCTION("""COMPUTED_VALUE"""),"Крёстный Отец (RU)")</f>
        <v>Крёстный Отец (RU)</v>
      </c>
      <c r="X1595" s="385"/>
    </row>
    <row r="1596">
      <c r="A1596" s="384" t="s">
        <v>126</v>
      </c>
      <c r="B1596" s="384" t="s">
        <v>261</v>
      </c>
      <c r="C1596" s="389"/>
      <c r="D1596" s="389">
        <v>1.75</v>
      </c>
      <c r="E1596" s="384"/>
      <c r="F1596" s="389"/>
      <c r="G1596" s="389"/>
      <c r="T1596" s="384" t="str">
        <f>IFERROR(__xludf.DUMMYFUNCTION("""COMPUTED_VALUE"""),"Правда ")</f>
        <v>Правда </v>
      </c>
      <c r="U1596" s="385"/>
      <c r="W1596" s="384" t="str">
        <f>IFERROR(__xludf.DUMMYFUNCTION("""COMPUTED_VALUE"""),"Левша")</f>
        <v>Левша</v>
      </c>
      <c r="X1596" s="385"/>
    </row>
    <row r="1597">
      <c r="A1597" s="384" t="s">
        <v>130</v>
      </c>
      <c r="B1597" s="384" t="s">
        <v>261</v>
      </c>
      <c r="C1597" s="389"/>
      <c r="D1597" s="389">
        <v>3.0</v>
      </c>
      <c r="E1597" s="384" t="s">
        <v>11</v>
      </c>
      <c r="F1597" s="389"/>
      <c r="G1597" s="389">
        <v>1.0</v>
      </c>
      <c r="T1597" s="384" t="str">
        <f>IFERROR(__xludf.DUMMYFUNCTION("""COMPUTED_VALUE"""),"Продюсер")</f>
        <v>Продюсер</v>
      </c>
      <c r="U1597" s="385"/>
      <c r="W1597" s="384" t="str">
        <f>IFERROR(__xludf.DUMMYFUNCTION("""COMPUTED_VALUE"""),"Лисичка")</f>
        <v>Лисичка</v>
      </c>
      <c r="X1597" s="385"/>
    </row>
    <row r="1598">
      <c r="A1598" s="384" t="s">
        <v>123</v>
      </c>
      <c r="B1598" s="384" t="s">
        <v>269</v>
      </c>
      <c r="C1598" s="389">
        <v>2.5</v>
      </c>
      <c r="D1598" s="389">
        <v>3.25</v>
      </c>
      <c r="E1598" s="384"/>
      <c r="F1598" s="389"/>
      <c r="G1598" s="389"/>
      <c r="T1598" s="384" t="str">
        <f>IFERROR(__xludf.DUMMYFUNCTION("""COMPUTED_VALUE"""),"РФ")</f>
        <v>РФ</v>
      </c>
      <c r="U1598" s="385"/>
      <c r="W1598" s="384" t="str">
        <f>IFERROR(__xludf.DUMMYFUNCTION("""COMPUTED_VALUE"""),"Маваши")</f>
        <v>Маваши</v>
      </c>
      <c r="X1598" s="385"/>
    </row>
    <row r="1599">
      <c r="A1599" s="384" t="s">
        <v>169</v>
      </c>
      <c r="B1599" s="384" t="s">
        <v>261</v>
      </c>
      <c r="C1599" s="389"/>
      <c r="D1599" s="389">
        <v>2.5</v>
      </c>
      <c r="E1599" s="384"/>
      <c r="F1599" s="389"/>
      <c r="G1599" s="389"/>
      <c r="T1599" s="384" t="str">
        <f>IFERROR(__xludf.DUMMYFUNCTION("""COMPUTED_VALUE"""),"Старый")</f>
        <v>Старый</v>
      </c>
      <c r="U1599" s="385"/>
      <c r="W1599" s="384" t="str">
        <f>IFERROR(__xludf.DUMMYFUNCTION("""COMPUTED_VALUE"""),"Марго")</f>
        <v>Марго</v>
      </c>
      <c r="X1599" s="385"/>
    </row>
    <row r="1600">
      <c r="A1600" s="384" t="s">
        <v>119</v>
      </c>
      <c r="B1600" s="384" t="s">
        <v>261</v>
      </c>
      <c r="C1600" s="389"/>
      <c r="D1600" s="389">
        <v>2.0</v>
      </c>
      <c r="E1600" s="384"/>
      <c r="F1600" s="389"/>
      <c r="G1600" s="389"/>
      <c r="T1600" s="384" t="str">
        <f>IFERROR(__xludf.DUMMYFUNCTION("""COMPUTED_VALUE"""),"СЭНСЭЙ")</f>
        <v>СЭНСЭЙ</v>
      </c>
      <c r="U1600" s="385"/>
      <c r="W1600" s="384" t="str">
        <f>IFERROR(__xludf.DUMMYFUNCTION("""COMPUTED_VALUE"""),"Ментик")</f>
        <v>Ментик</v>
      </c>
      <c r="X1600" s="385"/>
    </row>
    <row r="1601">
      <c r="A1601" s="384" t="s">
        <v>281</v>
      </c>
      <c r="B1601" s="384" t="s">
        <v>261</v>
      </c>
      <c r="C1601" s="389"/>
      <c r="D1601" s="389">
        <v>4.0</v>
      </c>
      <c r="E1601" s="384"/>
      <c r="F1601" s="389"/>
      <c r="G1601" s="389"/>
      <c r="T1601" s="384" t="str">
        <f>IFERROR(__xludf.DUMMYFUNCTION("""COMPUTED_VALUE"""),"Coach")</f>
        <v>Coach</v>
      </c>
      <c r="U1601" s="385"/>
      <c r="W1601" s="384" t="str">
        <f>IFERROR(__xludf.DUMMYFUNCTION("""COMPUTED_VALUE"""),"Мишель ")</f>
        <v>Мишель </v>
      </c>
      <c r="X1601" s="385"/>
    </row>
    <row r="1602">
      <c r="A1602" s="384" t="s">
        <v>139</v>
      </c>
      <c r="B1602" s="384" t="s">
        <v>261</v>
      </c>
      <c r="C1602" s="389"/>
      <c r="D1602" s="389">
        <v>1.75</v>
      </c>
      <c r="E1602" s="384"/>
      <c r="F1602" s="389"/>
      <c r="G1602" s="389"/>
      <c r="T1602" s="384" t="str">
        <f>IFERROR(__xludf.DUMMYFUNCTION("""COMPUTED_VALUE"""),"Тихий закат")</f>
        <v>Тихий закат</v>
      </c>
      <c r="U1602" s="385"/>
      <c r="W1602" s="384" t="str">
        <f>IFERROR(__xludf.DUMMYFUNCTION("""COMPUTED_VALUE"""),"Наполеон")</f>
        <v>Наполеон</v>
      </c>
      <c r="X1602" s="385"/>
    </row>
    <row r="1603">
      <c r="A1603" s="384" t="s">
        <v>99</v>
      </c>
      <c r="B1603" s="384" t="s">
        <v>261</v>
      </c>
      <c r="C1603" s="389">
        <v>2.5</v>
      </c>
      <c r="D1603" s="389">
        <v>4.25</v>
      </c>
      <c r="E1603" s="384"/>
      <c r="F1603" s="389"/>
      <c r="G1603" s="389"/>
      <c r="T1603" s="384" t="str">
        <f>IFERROR(__xludf.DUMMYFUNCTION("""COMPUTED_VALUE"""),"Физик")</f>
        <v>Физик</v>
      </c>
      <c r="U1603" s="385"/>
      <c r="W1603" s="384" t="str">
        <f>IFERROR(__xludf.DUMMYFUNCTION("""COMPUTED_VALUE"""),"Писатель ")</f>
        <v>Писатель </v>
      </c>
      <c r="X1603" s="385"/>
    </row>
    <row r="1604">
      <c r="A1604" s="384" t="s">
        <v>90</v>
      </c>
      <c r="B1604" s="384" t="s">
        <v>261</v>
      </c>
      <c r="C1604" s="389">
        <v>2.5</v>
      </c>
      <c r="D1604" s="389">
        <v>4.0</v>
      </c>
      <c r="E1604" s="384"/>
      <c r="F1604" s="389"/>
      <c r="G1604" s="389"/>
      <c r="T1604" s="384" t="str">
        <f>IFERROR(__xludf.DUMMYFUNCTION("""COMPUTED_VALUE"""),"Флэш")</f>
        <v>Флэш</v>
      </c>
      <c r="U1604" s="385"/>
      <c r="W1604" s="384" t="str">
        <f>IFERROR(__xludf.DUMMYFUNCTION("""COMPUTED_VALUE"""),"Правда ")</f>
        <v>Правда </v>
      </c>
      <c r="X1604" s="385"/>
    </row>
    <row r="1605">
      <c r="A1605" s="384" t="s">
        <v>113</v>
      </c>
      <c r="B1605" s="384" t="s">
        <v>269</v>
      </c>
      <c r="C1605" s="389"/>
      <c r="D1605" s="389">
        <v>2.5</v>
      </c>
      <c r="E1605" s="384"/>
      <c r="F1605" s="389"/>
      <c r="G1605" s="389"/>
      <c r="T1605" s="384" t="str">
        <f>IFERROR(__xludf.DUMMYFUNCTION("""COMPUTED_VALUE"""),"Фокс")</f>
        <v>Фокс</v>
      </c>
      <c r="U1605" s="385"/>
      <c r="W1605" s="384" t="str">
        <f>IFERROR(__xludf.DUMMYFUNCTION("""COMPUTED_VALUE"""),"Продюсер")</f>
        <v>Продюсер</v>
      </c>
      <c r="X1605" s="385"/>
    </row>
    <row r="1606">
      <c r="A1606" s="384" t="s">
        <v>80</v>
      </c>
      <c r="B1606" s="384" t="s">
        <v>261</v>
      </c>
      <c r="C1606" s="389">
        <v>2.5</v>
      </c>
      <c r="D1606" s="389">
        <v>3.75</v>
      </c>
      <c r="E1606" s="384"/>
      <c r="F1606" s="389"/>
      <c r="G1606" s="389"/>
      <c r="T1606" s="384" t="str">
        <f>IFERROR(__xludf.DUMMYFUNCTION("""COMPUTED_VALUE"""),"Шоу Бой")</f>
        <v>Шоу Бой</v>
      </c>
      <c r="U1606" s="385"/>
      <c r="W1606" s="384" t="str">
        <f>IFERROR(__xludf.DUMMYFUNCTION("""COMPUTED_VALUE"""),"РФ")</f>
        <v>РФ</v>
      </c>
      <c r="X1606" s="385"/>
    </row>
    <row r="1607">
      <c r="A1607" s="384" t="s">
        <v>93</v>
      </c>
      <c r="B1607" s="384" t="s">
        <v>261</v>
      </c>
      <c r="C1607" s="389">
        <v>2.5</v>
      </c>
      <c r="D1607" s="389">
        <v>2.0</v>
      </c>
      <c r="E1607" s="384" t="s">
        <v>11</v>
      </c>
      <c r="F1607" s="389">
        <v>0.5</v>
      </c>
      <c r="G1607" s="389">
        <v>0.5</v>
      </c>
      <c r="T1607" s="384" t="str">
        <f>IFERROR(__xludf.DUMMYFUNCTION("""COMPUTED_VALUE"""),"Шпиц")</f>
        <v>Шпиц</v>
      </c>
      <c r="U1607" s="385"/>
      <c r="W1607" s="384" t="str">
        <f>IFERROR(__xludf.DUMMYFUNCTION("""COMPUTED_VALUE"""),"Старый")</f>
        <v>Старый</v>
      </c>
      <c r="X1607" s="385"/>
    </row>
    <row r="1608">
      <c r="A1608" s="384" t="s">
        <v>94</v>
      </c>
      <c r="B1608" s="384" t="s">
        <v>271</v>
      </c>
      <c r="C1608" s="389">
        <v>2.5</v>
      </c>
      <c r="D1608" s="389">
        <v>2.5</v>
      </c>
      <c r="E1608" s="384"/>
      <c r="F1608" s="389"/>
      <c r="G1608" s="389"/>
      <c r="T1608" s="384" t="str">
        <f>IFERROR(__xludf.DUMMYFUNCTION("""COMPUTED_VALUE"""),"Юрия")</f>
        <v>Юрия</v>
      </c>
      <c r="U1608" s="385"/>
      <c r="W1608" s="384" t="str">
        <f>IFERROR(__xludf.DUMMYFUNCTION("""COMPUTED_VALUE"""),"СЭНСЭЙ")</f>
        <v>СЭНСЭЙ</v>
      </c>
      <c r="X1608" s="385"/>
    </row>
    <row r="1609">
      <c r="A1609" s="384" t="s">
        <v>96</v>
      </c>
      <c r="B1609" s="384" t="s">
        <v>269</v>
      </c>
      <c r="C1609" s="389"/>
      <c r="D1609" s="389">
        <v>2.0</v>
      </c>
      <c r="E1609" s="384"/>
      <c r="F1609" s="389"/>
      <c r="G1609" s="389"/>
      <c r="T1609" s="384" t="str">
        <f>IFERROR(__xludf.DUMMYFUNCTION("""COMPUTED_VALUE"""),"A1 ")</f>
        <v>A1 </v>
      </c>
      <c r="U1609" s="385"/>
      <c r="W1609" s="384" t="str">
        <f>IFERROR(__xludf.DUMMYFUNCTION("""COMPUTED_VALUE"""),"Тихий закат")</f>
        <v>Тихий закат</v>
      </c>
      <c r="X1609" s="385"/>
    </row>
    <row r="1610">
      <c r="A1610" s="384" t="s">
        <v>115</v>
      </c>
      <c r="B1610" s="384" t="s">
        <v>261</v>
      </c>
      <c r="C1610" s="389">
        <v>2.5</v>
      </c>
      <c r="D1610" s="389">
        <v>2.5</v>
      </c>
      <c r="E1610" s="384"/>
      <c r="F1610" s="389"/>
      <c r="G1610" s="389"/>
      <c r="T1610" s="384" t="str">
        <f>IFERROR(__xludf.DUMMYFUNCTION("""COMPUTED_VALUE"""),"Alice ")</f>
        <v>Alice </v>
      </c>
      <c r="U1610" s="385"/>
      <c r="W1610" s="384" t="str">
        <f>IFERROR(__xludf.DUMMYFUNCTION("""COMPUTED_VALUE"""),"Физик")</f>
        <v>Физик</v>
      </c>
      <c r="X1610" s="385"/>
    </row>
    <row r="1611">
      <c r="A1611" s="384" t="s">
        <v>88</v>
      </c>
      <c r="B1611" s="384" t="s">
        <v>261</v>
      </c>
      <c r="C1611" s="389">
        <v>2.5</v>
      </c>
      <c r="D1611" s="389">
        <v>3.25</v>
      </c>
      <c r="E1611" s="384"/>
      <c r="F1611" s="389"/>
      <c r="G1611" s="389"/>
      <c r="T1611" s="384" t="str">
        <f>IFERROR(__xludf.DUMMYFUNCTION("""COMPUTED_VALUE"""),"Bublik")</f>
        <v>Bublik</v>
      </c>
      <c r="U1611" s="385"/>
      <c r="W1611" s="384" t="str">
        <f>IFERROR(__xludf.DUMMYFUNCTION("""COMPUTED_VALUE"""),"Фокс")</f>
        <v>Фокс</v>
      </c>
      <c r="X1611" s="385"/>
    </row>
    <row r="1612">
      <c r="A1612" s="384" t="s">
        <v>133</v>
      </c>
      <c r="B1612" s="384" t="s">
        <v>265</v>
      </c>
      <c r="C1612" s="389"/>
      <c r="D1612" s="389">
        <v>2.0</v>
      </c>
      <c r="E1612" s="384"/>
      <c r="F1612" s="389"/>
      <c r="G1612" s="389"/>
      <c r="T1612" s="384" t="str">
        <f>IFERROR(__xludf.DUMMYFUNCTION("""COMPUTED_VALUE"""),"Castor Troy ")</f>
        <v>Castor Troy </v>
      </c>
      <c r="U1612" s="385"/>
      <c r="W1612" s="384" t="str">
        <f>IFERROR(__xludf.DUMMYFUNCTION("""COMPUTED_VALUE"""),"Шоу Бой")</f>
        <v>Шоу Бой</v>
      </c>
      <c r="X1612" s="385"/>
    </row>
    <row r="1613">
      <c r="A1613" s="384" t="s">
        <v>99</v>
      </c>
      <c r="B1613" s="384" t="s">
        <v>265</v>
      </c>
      <c r="C1613" s="389">
        <v>2.5</v>
      </c>
      <c r="D1613" s="389">
        <v>3.5</v>
      </c>
      <c r="E1613" s="384"/>
      <c r="F1613" s="389"/>
      <c r="G1613" s="389"/>
      <c r="T1613" s="384" t="str">
        <f>IFERROR(__xludf.DUMMYFUNCTION("""COMPUTED_VALUE"""),"GALAY")</f>
        <v>GALAY</v>
      </c>
      <c r="U1613" s="385"/>
      <c r="W1613" s="384" t="str">
        <f>IFERROR(__xludf.DUMMYFUNCTION("""COMPUTED_VALUE"""),"Шпиц")</f>
        <v>Шпиц</v>
      </c>
      <c r="X1613" s="385"/>
    </row>
    <row r="1614">
      <c r="A1614" s="384" t="s">
        <v>90</v>
      </c>
      <c r="B1614" s="384" t="s">
        <v>269</v>
      </c>
      <c r="C1614" s="389">
        <v>2.5</v>
      </c>
      <c r="D1614" s="389">
        <v>3.25</v>
      </c>
      <c r="E1614" s="384"/>
      <c r="F1614" s="389"/>
      <c r="G1614" s="389"/>
      <c r="T1614" s="384" t="str">
        <f>IFERROR(__xludf.DUMMYFUNCTION("""COMPUTED_VALUE"""),"Helga")</f>
        <v>Helga</v>
      </c>
      <c r="U1614" s="385"/>
      <c r="W1614" s="384" t="str">
        <f>IFERROR(__xludf.DUMMYFUNCTION("""COMPUTED_VALUE"""),"Юрия")</f>
        <v>Юрия</v>
      </c>
      <c r="X1614" s="385"/>
    </row>
    <row r="1615">
      <c r="A1615" s="384" t="s">
        <v>113</v>
      </c>
      <c r="B1615" s="384" t="s">
        <v>271</v>
      </c>
      <c r="C1615" s="389"/>
      <c r="D1615" s="389">
        <v>1.5</v>
      </c>
      <c r="E1615" s="384" t="s">
        <v>11</v>
      </c>
      <c r="F1615" s="389"/>
      <c r="G1615" s="389">
        <v>0.5</v>
      </c>
      <c r="T1615" s="384" t="str">
        <f>IFERROR(__xludf.DUMMYFUNCTION("""COMPUTED_VALUE"""),"Ketamin")</f>
        <v>Ketamin</v>
      </c>
      <c r="U1615" s="385"/>
      <c r="W1615" s="384" t="str">
        <f>IFERROR(__xludf.DUMMYFUNCTION("""COMPUTED_VALUE"""),"A1 ")</f>
        <v>A1 </v>
      </c>
      <c r="X1615" s="385"/>
    </row>
    <row r="1616">
      <c r="A1616" s="384" t="s">
        <v>80</v>
      </c>
      <c r="B1616" s="384" t="s">
        <v>261</v>
      </c>
      <c r="C1616" s="389"/>
      <c r="D1616" s="389">
        <v>1.75</v>
      </c>
      <c r="E1616" s="384"/>
      <c r="F1616" s="389"/>
      <c r="G1616" s="389"/>
      <c r="T1616" s="384" t="str">
        <f>IFERROR(__xludf.DUMMYFUNCTION("""COMPUTED_VALUE"""),"Morti")</f>
        <v>Morti</v>
      </c>
      <c r="U1616" s="385"/>
      <c r="W1616" s="384" t="str">
        <f>IFERROR(__xludf.DUMMYFUNCTION("""COMPUTED_VALUE"""),"Alice ")</f>
        <v>Alice </v>
      </c>
      <c r="X1616" s="385"/>
    </row>
    <row r="1617">
      <c r="A1617" s="384" t="s">
        <v>93</v>
      </c>
      <c r="B1617" s="384" t="s">
        <v>269</v>
      </c>
      <c r="C1617" s="389">
        <v>2.5</v>
      </c>
      <c r="D1617" s="389">
        <v>3.0</v>
      </c>
      <c r="E1617" s="384"/>
      <c r="F1617" s="389"/>
      <c r="G1617" s="389"/>
      <c r="T1617" s="384" t="str">
        <f>IFERROR(__xludf.DUMMYFUNCTION("""COMPUTED_VALUE"""),"MSR")</f>
        <v>MSR</v>
      </c>
      <c r="U1617" s="385"/>
      <c r="W1617" s="384" t="str">
        <f>IFERROR(__xludf.DUMMYFUNCTION("""COMPUTED_VALUE"""),"Bublik")</f>
        <v>Bublik</v>
      </c>
      <c r="X1617" s="385"/>
    </row>
    <row r="1618">
      <c r="A1618" s="384" t="s">
        <v>94</v>
      </c>
      <c r="B1618" s="384" t="s">
        <v>261</v>
      </c>
      <c r="C1618" s="389"/>
      <c r="D1618" s="389">
        <v>1.5</v>
      </c>
      <c r="E1618" s="384"/>
      <c r="F1618" s="389"/>
      <c r="G1618" s="389"/>
      <c r="T1618" s="384" t="str">
        <f>IFERROR(__xludf.DUMMYFUNCTION("""COMPUTED_VALUE"""),"NLIP")</f>
        <v>NLIP</v>
      </c>
      <c r="U1618" s="385"/>
      <c r="W1618" s="384" t="str">
        <f>IFERROR(__xludf.DUMMYFUNCTION("""COMPUTED_VALUE"""),"Castor Troy ")</f>
        <v>Castor Troy </v>
      </c>
      <c r="X1618" s="385"/>
    </row>
    <row r="1619">
      <c r="A1619" s="384" t="s">
        <v>96</v>
      </c>
      <c r="B1619" s="384" t="s">
        <v>261</v>
      </c>
      <c r="C1619" s="389"/>
      <c r="D1619" s="389">
        <v>2.5</v>
      </c>
      <c r="E1619" s="384"/>
      <c r="F1619" s="389"/>
      <c r="G1619" s="389"/>
      <c r="T1619" s="384" t="str">
        <f>IFERROR(__xludf.DUMMYFUNCTION("""COMPUTED_VALUE"""),"Rocket woman ")</f>
        <v>Rocket woman </v>
      </c>
      <c r="U1619" s="385"/>
      <c r="W1619" s="384" t="str">
        <f>IFERROR(__xludf.DUMMYFUNCTION("""COMPUTED_VALUE"""),"Cristo")</f>
        <v>Cristo</v>
      </c>
      <c r="X1619" s="385"/>
    </row>
    <row r="1620">
      <c r="A1620" s="384" t="s">
        <v>115</v>
      </c>
      <c r="B1620" s="384" t="s">
        <v>261</v>
      </c>
      <c r="C1620" s="389"/>
      <c r="D1620" s="389">
        <v>2.75</v>
      </c>
      <c r="E1620" s="384"/>
      <c r="F1620" s="389"/>
      <c r="G1620" s="389"/>
      <c r="T1620" s="384" t="str">
        <f>IFERROR(__xludf.DUMMYFUNCTION("""COMPUTED_VALUE"""),"Stacy")</f>
        <v>Stacy</v>
      </c>
      <c r="U1620" s="385"/>
      <c r="W1620" s="384" t="str">
        <f>IFERROR(__xludf.DUMMYFUNCTION("""COMPUTED_VALUE"""),"GALAY")</f>
        <v>GALAY</v>
      </c>
      <c r="X1620" s="385"/>
    </row>
    <row r="1621">
      <c r="A1621" s="384" t="s">
        <v>88</v>
      </c>
      <c r="B1621" s="384" t="s">
        <v>261</v>
      </c>
      <c r="C1621" s="389"/>
      <c r="D1621" s="389">
        <v>1.75</v>
      </c>
      <c r="E1621" s="384"/>
      <c r="F1621" s="389"/>
      <c r="G1621" s="389"/>
      <c r="T1621" s="384" t="str">
        <f>IFERROR(__xludf.DUMMYFUNCTION("""COMPUTED_VALUE"""),"Young")</f>
        <v>Young</v>
      </c>
      <c r="U1621" s="385"/>
      <c r="W1621" s="384" t="str">
        <f>IFERROR(__xludf.DUMMYFUNCTION("""COMPUTED_VALUE"""),"Helga")</f>
        <v>Helga</v>
      </c>
      <c r="X1621" s="385"/>
    </row>
    <row r="1622">
      <c r="A1622" s="384" t="s">
        <v>133</v>
      </c>
      <c r="B1622" s="384" t="s">
        <v>261</v>
      </c>
      <c r="C1622" s="389"/>
      <c r="D1622" s="389">
        <v>2.5</v>
      </c>
      <c r="E1622" s="384"/>
      <c r="F1622" s="389"/>
      <c r="G1622" s="389"/>
      <c r="T1622" s="384" t="str">
        <f>IFERROR(__xludf.DUMMYFUNCTION("QUERY('Турнирная таблица по Алфавиту'!C7:BG66,""select C,AU order by AU desc"")"),"Градиент")</f>
        <v>Градиент</v>
      </c>
      <c r="U1622" s="385">
        <f>IFERROR(__xludf.DUMMYFUNCTION("""COMPUTED_VALUE"""),26.25)</f>
        <v>26.25</v>
      </c>
      <c r="W1622" s="384" t="str">
        <f>IFERROR(__xludf.DUMMYFUNCTION("""COMPUTED_VALUE"""),"Infinity ")</f>
        <v>Infinity </v>
      </c>
      <c r="X1622" s="385"/>
    </row>
    <row r="1623">
      <c r="A1623" s="384" t="s">
        <v>99</v>
      </c>
      <c r="B1623" s="384" t="s">
        <v>269</v>
      </c>
      <c r="C1623" s="389">
        <v>2.5</v>
      </c>
      <c r="D1623" s="389">
        <v>3.5</v>
      </c>
      <c r="E1623" s="384"/>
      <c r="F1623" s="389"/>
      <c r="G1623" s="389"/>
      <c r="T1623" s="384" t="str">
        <f>IFERROR(__xludf.DUMMYFUNCTION("""COMPUTED_VALUE"""),"Админ")</f>
        <v>Админ</v>
      </c>
      <c r="U1623" s="385">
        <f>IFERROR(__xludf.DUMMYFUNCTION("""COMPUTED_VALUE"""),24.25)</f>
        <v>24.25</v>
      </c>
      <c r="W1623" s="384" t="str">
        <f>IFERROR(__xludf.DUMMYFUNCTION("""COMPUTED_VALUE"""),"Ketamin")</f>
        <v>Ketamin</v>
      </c>
      <c r="X1623" s="385"/>
    </row>
    <row r="1624">
      <c r="A1624" s="384" t="s">
        <v>90</v>
      </c>
      <c r="B1624" s="384" t="s">
        <v>261</v>
      </c>
      <c r="C1624" s="389"/>
      <c r="D1624" s="389">
        <v>3.0</v>
      </c>
      <c r="E1624" s="384"/>
      <c r="F1624" s="389"/>
      <c r="G1624" s="389"/>
      <c r="T1624" s="384" t="str">
        <f>IFERROR(__xludf.DUMMYFUNCTION("""COMPUTED_VALUE"""),"Coach")</f>
        <v>Coach</v>
      </c>
      <c r="U1624" s="385">
        <f>IFERROR(__xludf.DUMMYFUNCTION("""COMPUTED_VALUE"""),24.25)</f>
        <v>24.25</v>
      </c>
      <c r="W1624" s="384" t="str">
        <f>IFERROR(__xludf.DUMMYFUNCTION("""COMPUTED_VALUE"""),"Light")</f>
        <v>Light</v>
      </c>
      <c r="X1624" s="385"/>
    </row>
    <row r="1625">
      <c r="A1625" s="384" t="s">
        <v>113</v>
      </c>
      <c r="B1625" s="384" t="s">
        <v>265</v>
      </c>
      <c r="C1625" s="389">
        <v>2.5</v>
      </c>
      <c r="D1625" s="389">
        <v>4.25</v>
      </c>
      <c r="E1625" s="384"/>
      <c r="F1625" s="389"/>
      <c r="G1625" s="389"/>
      <c r="T1625" s="384" t="str">
        <f>IFERROR(__xludf.DUMMYFUNCTION("""COMPUTED_VALUE"""),"Аш")</f>
        <v>Аш</v>
      </c>
      <c r="U1625" s="385">
        <f>IFERROR(__xludf.DUMMYFUNCTION("""COMPUTED_VALUE"""),21.0)</f>
        <v>21</v>
      </c>
      <c r="W1625" s="384" t="str">
        <f>IFERROR(__xludf.DUMMYFUNCTION("""COMPUTED_VALUE"""),"MSR")</f>
        <v>MSR</v>
      </c>
      <c r="X1625" s="385"/>
    </row>
    <row r="1626">
      <c r="A1626" s="384" t="s">
        <v>80</v>
      </c>
      <c r="B1626" s="384" t="s">
        <v>271</v>
      </c>
      <c r="C1626" s="389"/>
      <c r="D1626" s="389">
        <v>2.0</v>
      </c>
      <c r="E1626" s="384"/>
      <c r="F1626" s="389"/>
      <c r="G1626" s="389"/>
      <c r="T1626" s="384" t="str">
        <f>IFERROR(__xludf.DUMMYFUNCTION("""COMPUTED_VALUE"""),"Правда ")</f>
        <v>Правда </v>
      </c>
      <c r="U1626" s="385">
        <f>IFERROR(__xludf.DUMMYFUNCTION("""COMPUTED_VALUE"""),20.5)</f>
        <v>20.5</v>
      </c>
      <c r="W1626" s="384" t="str">
        <f>IFERROR(__xludf.DUMMYFUNCTION("""COMPUTED_VALUE"""),"NLIP")</f>
        <v>NLIP</v>
      </c>
      <c r="X1626" s="385"/>
    </row>
    <row r="1627">
      <c r="A1627" s="384" t="s">
        <v>93</v>
      </c>
      <c r="B1627" s="384" t="s">
        <v>261</v>
      </c>
      <c r="C1627" s="389"/>
      <c r="D1627" s="389">
        <v>1.5</v>
      </c>
      <c r="E1627" s="384"/>
      <c r="F1627" s="389"/>
      <c r="G1627" s="389"/>
      <c r="T1627" s="384" t="str">
        <f>IFERROR(__xludf.DUMMYFUNCTION("""COMPUTED_VALUE"""),"Бамблби")</f>
        <v>Бамблби</v>
      </c>
      <c r="U1627" s="385">
        <f>IFERROR(__xludf.DUMMYFUNCTION("""COMPUTED_VALUE"""),19.25)</f>
        <v>19.25</v>
      </c>
      <c r="W1627" s="384" t="str">
        <f>IFERROR(__xludf.DUMMYFUNCTION("""COMPUTED_VALUE"""),"Rocket woman ")</f>
        <v>Rocket woman </v>
      </c>
      <c r="X1627" s="385"/>
    </row>
    <row r="1628">
      <c r="A1628" s="384" t="s">
        <v>94</v>
      </c>
      <c r="B1628" s="384" t="s">
        <v>269</v>
      </c>
      <c r="C1628" s="389">
        <v>2.5</v>
      </c>
      <c r="D1628" s="389">
        <v>3.0</v>
      </c>
      <c r="E1628" s="384"/>
      <c r="F1628" s="389"/>
      <c r="G1628" s="389"/>
      <c r="T1628" s="384" t="str">
        <f>IFERROR(__xludf.DUMMYFUNCTION("""COMPUTED_VALUE"""),"Панда из Руанды")</f>
        <v>Панда из Руанды</v>
      </c>
      <c r="U1628" s="385">
        <f>IFERROR(__xludf.DUMMYFUNCTION("""COMPUTED_VALUE"""),18.75)</f>
        <v>18.75</v>
      </c>
      <c r="W1628" s="384" t="str">
        <f>IFERROR(__xludf.DUMMYFUNCTION("""COMPUTED_VALUE"""),"SCHOKK ")</f>
        <v>SCHOKK </v>
      </c>
      <c r="X1628" s="385"/>
    </row>
    <row r="1629">
      <c r="A1629" s="384" t="s">
        <v>96</v>
      </c>
      <c r="B1629" s="384" t="s">
        <v>261</v>
      </c>
      <c r="C1629" s="389"/>
      <c r="D1629" s="389">
        <v>1.75</v>
      </c>
      <c r="E1629" s="384"/>
      <c r="F1629" s="389"/>
      <c r="G1629" s="389"/>
      <c r="T1629" s="384" t="str">
        <f>IFERROR(__xludf.DUMMYFUNCTION("""COMPUTED_VALUE"""),"Инсомнич")</f>
        <v>Инсомнич</v>
      </c>
      <c r="U1629" s="385">
        <f>IFERROR(__xludf.DUMMYFUNCTION("""COMPUTED_VALUE"""),17.5)</f>
        <v>17.5</v>
      </c>
      <c r="W1629" s="384" t="str">
        <f>IFERROR(__xludf.DUMMYFUNCTION("""COMPUTED_VALUE"""),"Stacy")</f>
        <v>Stacy</v>
      </c>
      <c r="X1629" s="385"/>
    </row>
    <row r="1630">
      <c r="A1630" s="384" t="s">
        <v>115</v>
      </c>
      <c r="B1630" s="384" t="s">
        <v>261</v>
      </c>
      <c r="C1630" s="389"/>
      <c r="D1630" s="389">
        <v>3.0</v>
      </c>
      <c r="E1630" s="384"/>
      <c r="F1630" s="389"/>
      <c r="G1630" s="389"/>
      <c r="T1630" s="384" t="str">
        <f>IFERROR(__xludf.DUMMYFUNCTION("""COMPUTED_VALUE"""),"Мишель ")</f>
        <v>Мишель </v>
      </c>
      <c r="U1630" s="385">
        <f>IFERROR(__xludf.DUMMYFUNCTION("""COMPUTED_VALUE"""),15.75)</f>
        <v>15.75</v>
      </c>
      <c r="W1630" s="384" t="str">
        <f>IFERROR(__xludf.DUMMYFUNCTION("""COMPUTED_VALUE"""),"WhoIsWho")</f>
        <v>WhoIsWho</v>
      </c>
      <c r="X1630" s="385"/>
    </row>
    <row r="1631">
      <c r="A1631" s="384" t="s">
        <v>88</v>
      </c>
      <c r="B1631" s="384" t="s">
        <v>261</v>
      </c>
      <c r="C1631" s="389"/>
      <c r="D1631" s="389">
        <v>1.5</v>
      </c>
      <c r="E1631" s="384"/>
      <c r="F1631" s="389"/>
      <c r="G1631" s="389"/>
      <c r="T1631" s="384" t="str">
        <f>IFERROR(__xludf.DUMMYFUNCTION("""COMPUTED_VALUE"""),"Маваши")</f>
        <v>Маваши</v>
      </c>
      <c r="U1631" s="385">
        <f>IFERROR(__xludf.DUMMYFUNCTION("""COMPUTED_VALUE"""),15.5)</f>
        <v>15.5</v>
      </c>
      <c r="W1631" s="384" t="str">
        <f>IFERROR(__xludf.DUMMYFUNCTION("""COMPUTED_VALUE"""),"Young")</f>
        <v>Young</v>
      </c>
      <c r="X1631" s="385"/>
    </row>
    <row r="1632">
      <c r="A1632" s="384" t="s">
        <v>133</v>
      </c>
      <c r="B1632" s="384" t="s">
        <v>261</v>
      </c>
      <c r="C1632" s="389"/>
      <c r="D1632" s="389">
        <v>2.75</v>
      </c>
      <c r="E1632" s="384" t="s">
        <v>11</v>
      </c>
      <c r="F1632" s="389"/>
      <c r="G1632" s="389">
        <v>0.5</v>
      </c>
      <c r="T1632" s="384" t="str">
        <f>IFERROR(__xludf.DUMMYFUNCTION("""COMPUTED_VALUE"""),"Авраам")</f>
        <v>Авраам</v>
      </c>
      <c r="U1632" s="385"/>
      <c r="W1632" s="384" t="str">
        <f>IFERROR(__xludf.DUMMYFUNCTION("""COMPUTED_VALUE"""),"Авраам")</f>
        <v>Авраам</v>
      </c>
      <c r="X1632" s="385"/>
    </row>
    <row r="1633">
      <c r="A1633" s="384" t="s">
        <v>99</v>
      </c>
      <c r="B1633" s="384" t="s">
        <v>269</v>
      </c>
      <c r="C1633" s="389">
        <v>2.5</v>
      </c>
      <c r="D1633" s="389">
        <v>3.75</v>
      </c>
      <c r="E1633" s="384"/>
      <c r="F1633" s="389"/>
      <c r="G1633" s="389"/>
      <c r="T1633" s="384" t="str">
        <f>IFERROR(__xludf.DUMMYFUNCTION("""COMPUTED_VALUE"""),"Андерсен")</f>
        <v>Андерсен</v>
      </c>
      <c r="U1633" s="385"/>
      <c r="W1633" s="384" t="str">
        <f>IFERROR(__xludf.DUMMYFUNCTION("""COMPUTED_VALUE"""),"Админ")</f>
        <v>Админ</v>
      </c>
      <c r="X1633" s="385"/>
    </row>
    <row r="1634">
      <c r="A1634" s="384" t="s">
        <v>90</v>
      </c>
      <c r="B1634" s="384" t="s">
        <v>261</v>
      </c>
      <c r="C1634" s="389"/>
      <c r="D1634" s="389">
        <v>3.75</v>
      </c>
      <c r="E1634" s="384" t="s">
        <v>11</v>
      </c>
      <c r="F1634" s="389">
        <v>0.5</v>
      </c>
      <c r="G1634" s="389">
        <v>0.5</v>
      </c>
      <c r="T1634" s="384" t="str">
        <f>IFERROR(__xludf.DUMMYFUNCTION("""COMPUTED_VALUE"""),"Артик")</f>
        <v>Артик</v>
      </c>
      <c r="U1634" s="385"/>
      <c r="W1634" s="384" t="str">
        <f>IFERROR(__xludf.DUMMYFUNCTION("""COMPUTED_VALUE"""),"Андерсен")</f>
        <v>Андерсен</v>
      </c>
      <c r="X1634" s="385"/>
    </row>
    <row r="1635">
      <c r="A1635" s="384" t="s">
        <v>113</v>
      </c>
      <c r="B1635" s="384" t="s">
        <v>269</v>
      </c>
      <c r="C1635" s="389">
        <v>2.5</v>
      </c>
      <c r="D1635" s="389">
        <v>2.5</v>
      </c>
      <c r="E1635" s="384"/>
      <c r="F1635" s="389"/>
      <c r="G1635" s="389"/>
      <c r="T1635" s="384" t="str">
        <f>IFERROR(__xludf.DUMMYFUNCTION("""COMPUTED_VALUE"""),"Астория")</f>
        <v>Астория</v>
      </c>
      <c r="U1635" s="385"/>
      <c r="W1635" s="384" t="str">
        <f>IFERROR(__xludf.DUMMYFUNCTION("""COMPUTED_VALUE"""),"Артик")</f>
        <v>Артик</v>
      </c>
      <c r="X1635" s="385"/>
    </row>
    <row r="1636">
      <c r="A1636" s="384" t="s">
        <v>80</v>
      </c>
      <c r="B1636" s="384" t="s">
        <v>265</v>
      </c>
      <c r="C1636" s="389">
        <v>2.5</v>
      </c>
      <c r="D1636" s="389">
        <v>2.75</v>
      </c>
      <c r="E1636" s="384"/>
      <c r="F1636" s="389"/>
      <c r="G1636" s="389"/>
      <c r="T1636" s="384" t="str">
        <f>IFERROR(__xludf.DUMMYFUNCTION("""COMPUTED_VALUE"""),"Волга")</f>
        <v>Волга</v>
      </c>
      <c r="U1636" s="385"/>
      <c r="W1636" s="384" t="str">
        <f>IFERROR(__xludf.DUMMYFUNCTION("""COMPUTED_VALUE"""),"Астория")</f>
        <v>Астория</v>
      </c>
      <c r="X1636" s="385"/>
    </row>
    <row r="1637">
      <c r="A1637" s="384" t="s">
        <v>93</v>
      </c>
      <c r="B1637" s="384" t="s">
        <v>261</v>
      </c>
      <c r="C1637" s="389"/>
      <c r="D1637" s="389">
        <v>3.5</v>
      </c>
      <c r="E1637" s="384"/>
      <c r="F1637" s="389"/>
      <c r="G1637" s="389"/>
      <c r="T1637" s="384" t="str">
        <f>IFERROR(__xludf.DUMMYFUNCTION("""COMPUTED_VALUE"""),"Дровосек")</f>
        <v>Дровосек</v>
      </c>
      <c r="U1637" s="385"/>
      <c r="W1637" s="384" t="str">
        <f>IFERROR(__xludf.DUMMYFUNCTION("""COMPUTED_VALUE"""),"Аш")</f>
        <v>Аш</v>
      </c>
      <c r="X1637" s="385"/>
    </row>
    <row r="1638">
      <c r="A1638" s="384" t="s">
        <v>94</v>
      </c>
      <c r="B1638" s="384" t="s">
        <v>261</v>
      </c>
      <c r="C1638" s="389"/>
      <c r="D1638" s="389">
        <v>1.25</v>
      </c>
      <c r="E1638" s="384"/>
      <c r="F1638" s="389"/>
      <c r="G1638" s="389"/>
      <c r="T1638" s="384" t="str">
        <f>IFERROR(__xludf.DUMMYFUNCTION("""COMPUTED_VALUE"""),"Зверюга")</f>
        <v>Зверюга</v>
      </c>
      <c r="U1638" s="385"/>
      <c r="W1638" s="384" t="str">
        <f>IFERROR(__xludf.DUMMYFUNCTION("""COMPUTED_VALUE"""),"Бамблби")</f>
        <v>Бамблби</v>
      </c>
      <c r="X1638" s="385"/>
    </row>
    <row r="1639">
      <c r="A1639" s="384" t="s">
        <v>96</v>
      </c>
      <c r="B1639" s="384" t="s">
        <v>271</v>
      </c>
      <c r="C1639" s="389"/>
      <c r="D1639" s="389">
        <v>4.0</v>
      </c>
      <c r="E1639" s="384"/>
      <c r="F1639" s="389"/>
      <c r="G1639" s="389"/>
      <c r="T1639" s="384" t="str">
        <f>IFERROR(__xludf.DUMMYFUNCTION("""COMPUTED_VALUE"""),"Красавчик")</f>
        <v>Красавчик</v>
      </c>
      <c r="U1639" s="385"/>
      <c r="W1639" s="384" t="str">
        <f>IFERROR(__xludf.DUMMYFUNCTION("""COMPUTED_VALUE"""),"Волга")</f>
        <v>Волга</v>
      </c>
      <c r="X1639" s="385"/>
    </row>
    <row r="1640">
      <c r="A1640" s="384" t="s">
        <v>115</v>
      </c>
      <c r="B1640" s="384" t="s">
        <v>261</v>
      </c>
      <c r="C1640" s="389"/>
      <c r="D1640" s="389">
        <v>2.75</v>
      </c>
      <c r="E1640" s="384"/>
      <c r="F1640" s="389"/>
      <c r="G1640" s="389"/>
      <c r="T1640" s="384" t="str">
        <f>IFERROR(__xludf.DUMMYFUNCTION("""COMPUTED_VALUE"""),"Крестный отец (BLR)")</f>
        <v>Крестный отец (BLR)</v>
      </c>
      <c r="U1640" s="385"/>
      <c r="W1640" s="384" t="str">
        <f>IFERROR(__xludf.DUMMYFUNCTION("""COMPUTED_VALUE"""),"Градиент")</f>
        <v>Градиент</v>
      </c>
      <c r="X1640" s="385"/>
    </row>
    <row r="1641">
      <c r="A1641" s="384" t="s">
        <v>88</v>
      </c>
      <c r="B1641" s="384" t="s">
        <v>261</v>
      </c>
      <c r="C1641" s="389"/>
      <c r="D1641" s="389">
        <v>4.0</v>
      </c>
      <c r="E1641" s="384"/>
      <c r="F1641" s="389"/>
      <c r="G1641" s="389"/>
      <c r="T1641" s="384" t="str">
        <f>IFERROR(__xludf.DUMMYFUNCTION("""COMPUTED_VALUE"""),"Крёстный Отец (RU)")</f>
        <v>Крёстный Отец (RU)</v>
      </c>
      <c r="U1641" s="385"/>
      <c r="W1641" s="384" t="str">
        <f>IFERROR(__xludf.DUMMYFUNCTION("""COMPUTED_VALUE"""),"Дровосек")</f>
        <v>Дровосек</v>
      </c>
      <c r="X1641" s="385"/>
    </row>
    <row r="1642">
      <c r="A1642" s="384" t="s">
        <v>133</v>
      </c>
      <c r="B1642" s="384" t="s">
        <v>261</v>
      </c>
      <c r="C1642" s="389"/>
      <c r="D1642" s="389">
        <v>3.0</v>
      </c>
      <c r="E1642" s="384"/>
      <c r="F1642" s="389"/>
      <c r="G1642" s="389"/>
      <c r="T1642" s="384" t="str">
        <f>IFERROR(__xludf.DUMMYFUNCTION("""COMPUTED_VALUE"""),"Крот")</f>
        <v>Крот</v>
      </c>
      <c r="U1642" s="385"/>
      <c r="W1642" s="384" t="str">
        <f>IFERROR(__xludf.DUMMYFUNCTION("""COMPUTED_VALUE"""),"Инсомнич")</f>
        <v>Инсомнич</v>
      </c>
      <c r="X1642" s="385"/>
    </row>
    <row r="1643">
      <c r="A1643" s="384" t="s">
        <v>99</v>
      </c>
      <c r="B1643" s="384" t="s">
        <v>261</v>
      </c>
      <c r="C1643" s="389"/>
      <c r="D1643" s="389">
        <v>2.25</v>
      </c>
      <c r="E1643" s="384"/>
      <c r="F1643" s="389"/>
      <c r="G1643" s="389"/>
      <c r="T1643" s="384" t="str">
        <f>IFERROR(__xludf.DUMMYFUNCTION("""COMPUTED_VALUE"""),"Левша")</f>
        <v>Левша</v>
      </c>
      <c r="U1643" s="385"/>
      <c r="W1643" s="384" t="str">
        <f>IFERROR(__xludf.DUMMYFUNCTION("""COMPUTED_VALUE"""),"Красавчик")</f>
        <v>Красавчик</v>
      </c>
      <c r="X1643" s="385"/>
    </row>
    <row r="1644">
      <c r="A1644" s="384" t="s">
        <v>90</v>
      </c>
      <c r="B1644" s="384" t="s">
        <v>261</v>
      </c>
      <c r="C1644" s="389"/>
      <c r="D1644" s="389">
        <v>2.75</v>
      </c>
      <c r="E1644" s="384"/>
      <c r="F1644" s="389"/>
      <c r="G1644" s="389"/>
      <c r="T1644" s="384" t="str">
        <f>IFERROR(__xludf.DUMMYFUNCTION("""COMPUTED_VALUE"""),"Лисичка")</f>
        <v>Лисичка</v>
      </c>
      <c r="U1644" s="385"/>
      <c r="W1644" s="384" t="str">
        <f>IFERROR(__xludf.DUMMYFUNCTION("""COMPUTED_VALUE"""),"Крестный отец (BLR)")</f>
        <v>Крестный отец (BLR)</v>
      </c>
      <c r="X1644" s="385"/>
    </row>
    <row r="1645">
      <c r="A1645" s="384" t="s">
        <v>113</v>
      </c>
      <c r="B1645" s="384" t="s">
        <v>261</v>
      </c>
      <c r="C1645" s="389"/>
      <c r="D1645" s="389">
        <v>4.0</v>
      </c>
      <c r="E1645" s="384" t="s">
        <v>11</v>
      </c>
      <c r="F1645" s="389">
        <v>0.5</v>
      </c>
      <c r="G1645" s="389">
        <v>1.0</v>
      </c>
      <c r="T1645" s="384" t="str">
        <f>IFERROR(__xludf.DUMMYFUNCTION("""COMPUTED_VALUE"""),"Манекен")</f>
        <v>Манекен</v>
      </c>
      <c r="U1645" s="385"/>
      <c r="W1645" s="384" t="str">
        <f>IFERROR(__xludf.DUMMYFUNCTION("""COMPUTED_VALUE"""),"Крёстный Отец (RU)")</f>
        <v>Крёстный Отец (RU)</v>
      </c>
      <c r="X1645" s="385"/>
    </row>
    <row r="1646">
      <c r="A1646" s="384" t="s">
        <v>80</v>
      </c>
      <c r="B1646" s="384" t="s">
        <v>269</v>
      </c>
      <c r="C1646" s="389">
        <v>2.5</v>
      </c>
      <c r="D1646" s="389">
        <v>3.75</v>
      </c>
      <c r="E1646" s="384"/>
      <c r="F1646" s="389"/>
      <c r="G1646" s="389"/>
      <c r="T1646" s="384" t="str">
        <f>IFERROR(__xludf.DUMMYFUNCTION("""COMPUTED_VALUE"""),"Марго")</f>
        <v>Марго</v>
      </c>
      <c r="U1646" s="385"/>
      <c r="W1646" s="384" t="str">
        <f>IFERROR(__xludf.DUMMYFUNCTION("""COMPUTED_VALUE"""),"Левша")</f>
        <v>Левша</v>
      </c>
      <c r="X1646" s="385"/>
    </row>
    <row r="1647">
      <c r="A1647" s="384" t="s">
        <v>93</v>
      </c>
      <c r="B1647" s="384" t="s">
        <v>261</v>
      </c>
      <c r="C1647" s="389"/>
      <c r="D1647" s="389">
        <v>2.0</v>
      </c>
      <c r="E1647" s="384"/>
      <c r="F1647" s="389"/>
      <c r="G1647" s="389"/>
      <c r="T1647" s="384" t="str">
        <f>IFERROR(__xludf.DUMMYFUNCTION("""COMPUTED_VALUE"""),"Ментик")</f>
        <v>Ментик</v>
      </c>
      <c r="U1647" s="385"/>
      <c r="W1647" s="384" t="str">
        <f>IFERROR(__xludf.DUMMYFUNCTION("""COMPUTED_VALUE"""),"Лисичка")</f>
        <v>Лисичка</v>
      </c>
      <c r="X1647" s="385"/>
    </row>
    <row r="1648">
      <c r="A1648" s="384" t="s">
        <v>94</v>
      </c>
      <c r="B1648" s="384" t="s">
        <v>265</v>
      </c>
      <c r="C1648" s="389">
        <v>2.5</v>
      </c>
      <c r="D1648" s="389">
        <v>1.25</v>
      </c>
      <c r="E1648" s="384"/>
      <c r="F1648" s="389"/>
      <c r="G1648" s="389"/>
      <c r="T1648" s="384" t="str">
        <f>IFERROR(__xludf.DUMMYFUNCTION("""COMPUTED_VALUE"""),"Наполеон")</f>
        <v>Наполеон</v>
      </c>
      <c r="U1648" s="385"/>
      <c r="W1648" s="384" t="str">
        <f>IFERROR(__xludf.DUMMYFUNCTION("""COMPUTED_VALUE"""),"Маваши")</f>
        <v>Маваши</v>
      </c>
      <c r="X1648" s="385"/>
    </row>
    <row r="1649">
      <c r="A1649" s="384" t="s">
        <v>96</v>
      </c>
      <c r="B1649" s="384" t="s">
        <v>269</v>
      </c>
      <c r="C1649" s="389">
        <v>2.5</v>
      </c>
      <c r="D1649" s="389">
        <v>3.75</v>
      </c>
      <c r="E1649" s="384"/>
      <c r="F1649" s="389"/>
      <c r="G1649" s="389"/>
      <c r="T1649" s="384" t="str">
        <f>IFERROR(__xludf.DUMMYFUNCTION("""COMPUTED_VALUE"""),"Писатель ")</f>
        <v>Писатель </v>
      </c>
      <c r="U1649" s="385"/>
      <c r="W1649" s="384" t="str">
        <f>IFERROR(__xludf.DUMMYFUNCTION("""COMPUTED_VALUE"""),"Манекен")</f>
        <v>Манекен</v>
      </c>
      <c r="X1649" s="385"/>
    </row>
    <row r="1650">
      <c r="A1650" s="384" t="s">
        <v>115</v>
      </c>
      <c r="B1650" s="384" t="s">
        <v>261</v>
      </c>
      <c r="C1650" s="389"/>
      <c r="D1650" s="389">
        <v>2.0</v>
      </c>
      <c r="E1650" s="384"/>
      <c r="F1650" s="389"/>
      <c r="G1650" s="389"/>
      <c r="T1650" s="384" t="str">
        <f>IFERROR(__xludf.DUMMYFUNCTION("""COMPUTED_VALUE"""),"Продюсер")</f>
        <v>Продюсер</v>
      </c>
      <c r="U1650" s="385"/>
      <c r="W1650" s="384" t="str">
        <f>IFERROR(__xludf.DUMMYFUNCTION("""COMPUTED_VALUE"""),"Ментик")</f>
        <v>Ментик</v>
      </c>
      <c r="X1650" s="385"/>
    </row>
    <row r="1651">
      <c r="A1651" s="384" t="s">
        <v>88</v>
      </c>
      <c r="B1651" s="384" t="s">
        <v>261</v>
      </c>
      <c r="C1651" s="389"/>
      <c r="D1651" s="389">
        <v>1.25</v>
      </c>
      <c r="E1651" s="384"/>
      <c r="F1651" s="389"/>
      <c r="G1651" s="389"/>
      <c r="T1651" s="384" t="str">
        <f>IFERROR(__xludf.DUMMYFUNCTION("""COMPUTED_VALUE"""),"РФ")</f>
        <v>РФ</v>
      </c>
      <c r="U1651" s="385"/>
      <c r="W1651" s="384" t="str">
        <f>IFERROR(__xludf.DUMMYFUNCTION("""COMPUTED_VALUE"""),"Мишель ")</f>
        <v>Мишель </v>
      </c>
      <c r="X1651" s="385"/>
    </row>
    <row r="1652">
      <c r="A1652" s="384" t="s">
        <v>133</v>
      </c>
      <c r="B1652" s="384" t="s">
        <v>271</v>
      </c>
      <c r="C1652" s="389"/>
      <c r="D1652" s="389">
        <v>2.25</v>
      </c>
      <c r="E1652" s="384"/>
      <c r="F1652" s="389"/>
      <c r="G1652" s="389"/>
      <c r="T1652" s="384" t="str">
        <f>IFERROR(__xludf.DUMMYFUNCTION("""COMPUTED_VALUE"""),"Старый")</f>
        <v>Старый</v>
      </c>
      <c r="U1652" s="385"/>
      <c r="W1652" s="384" t="str">
        <f>IFERROR(__xludf.DUMMYFUNCTION("""COMPUTED_VALUE"""),"Панда из Руанды")</f>
        <v>Панда из Руанды</v>
      </c>
      <c r="X1652" s="385"/>
    </row>
    <row r="1653">
      <c r="A1653" s="384" t="s">
        <v>122</v>
      </c>
      <c r="B1653" s="384" t="s">
        <v>269</v>
      </c>
      <c r="C1653" s="389">
        <v>2.5</v>
      </c>
      <c r="D1653" s="389">
        <v>3.0</v>
      </c>
      <c r="E1653" s="384"/>
      <c r="F1653" s="389"/>
      <c r="G1653" s="389"/>
      <c r="T1653" s="384" t="str">
        <f>IFERROR(__xludf.DUMMYFUNCTION("""COMPUTED_VALUE"""),"СЭНСЭЙ")</f>
        <v>СЭНСЭЙ</v>
      </c>
      <c r="U1653" s="385"/>
      <c r="W1653" s="384" t="str">
        <f>IFERROR(__xludf.DUMMYFUNCTION("""COMPUTED_VALUE"""),"Правда ")</f>
        <v>Правда </v>
      </c>
      <c r="X1653" s="385"/>
    </row>
    <row r="1654">
      <c r="A1654" s="384" t="s">
        <v>133</v>
      </c>
      <c r="B1654" s="384" t="s">
        <v>261</v>
      </c>
      <c r="C1654" s="389"/>
      <c r="D1654" s="389">
        <v>2.0</v>
      </c>
      <c r="E1654" s="384"/>
      <c r="F1654" s="389"/>
      <c r="G1654" s="389"/>
      <c r="T1654" s="384" t="str">
        <f>IFERROR(__xludf.DUMMYFUNCTION("""COMPUTED_VALUE"""),"Тихий закат")</f>
        <v>Тихий закат</v>
      </c>
      <c r="U1654" s="385"/>
      <c r="W1654" s="384" t="str">
        <f>IFERROR(__xludf.DUMMYFUNCTION("""COMPUTED_VALUE"""),"РФ")</f>
        <v>РФ</v>
      </c>
      <c r="X1654" s="385"/>
    </row>
    <row r="1655">
      <c r="A1655" s="384" t="s">
        <v>82</v>
      </c>
      <c r="B1655" s="384" t="s">
        <v>265</v>
      </c>
      <c r="C1655" s="389">
        <v>2.5</v>
      </c>
      <c r="D1655" s="389">
        <v>2.75</v>
      </c>
      <c r="E1655" s="384"/>
      <c r="F1655" s="389"/>
      <c r="G1655" s="389"/>
      <c r="T1655" s="384" t="str">
        <f>IFERROR(__xludf.DUMMYFUNCTION("""COMPUTED_VALUE"""),"Физик")</f>
        <v>Физик</v>
      </c>
      <c r="U1655" s="385"/>
      <c r="W1655" s="384" t="str">
        <f>IFERROR(__xludf.DUMMYFUNCTION("""COMPUTED_VALUE"""),"Старый")</f>
        <v>Старый</v>
      </c>
      <c r="X1655" s="385"/>
    </row>
    <row r="1656">
      <c r="A1656" s="384" t="s">
        <v>80</v>
      </c>
      <c r="B1656" s="384" t="s">
        <v>271</v>
      </c>
      <c r="C1656" s="389"/>
      <c r="D1656" s="389">
        <v>3.25</v>
      </c>
      <c r="E1656" s="384" t="s">
        <v>11</v>
      </c>
      <c r="F1656" s="389">
        <v>1.0</v>
      </c>
      <c r="G1656" s="389">
        <v>0.5</v>
      </c>
      <c r="T1656" s="384" t="str">
        <f>IFERROR(__xludf.DUMMYFUNCTION("""COMPUTED_VALUE"""),"Флэш")</f>
        <v>Флэш</v>
      </c>
      <c r="U1656" s="385"/>
      <c r="W1656" s="384" t="str">
        <f>IFERROR(__xludf.DUMMYFUNCTION("""COMPUTED_VALUE"""),"СЭНСЭЙ")</f>
        <v>СЭНСЭЙ</v>
      </c>
      <c r="X1656" s="385"/>
    </row>
    <row r="1657">
      <c r="A1657" s="384" t="s">
        <v>93</v>
      </c>
      <c r="B1657" s="384" t="s">
        <v>269</v>
      </c>
      <c r="C1657" s="389">
        <v>2.5</v>
      </c>
      <c r="D1657" s="389">
        <v>4.5</v>
      </c>
      <c r="E1657" s="384" t="s">
        <v>260</v>
      </c>
      <c r="F1657" s="389"/>
      <c r="G1657" s="389"/>
      <c r="T1657" s="384" t="str">
        <f>IFERROR(__xludf.DUMMYFUNCTION("""COMPUTED_VALUE"""),"Фокс")</f>
        <v>Фокс</v>
      </c>
      <c r="U1657" s="385"/>
      <c r="W1657" s="384" t="str">
        <f>IFERROR(__xludf.DUMMYFUNCTION("""COMPUTED_VALUE"""),"Coach")</f>
        <v>Coach</v>
      </c>
      <c r="X1657" s="385"/>
    </row>
    <row r="1658">
      <c r="A1658" s="384" t="s">
        <v>105</v>
      </c>
      <c r="B1658" s="384" t="s">
        <v>261</v>
      </c>
      <c r="C1658" s="389"/>
      <c r="D1658" s="389">
        <v>2.5</v>
      </c>
      <c r="E1658" s="384"/>
      <c r="F1658" s="389"/>
      <c r="G1658" s="389"/>
      <c r="T1658" s="384" t="str">
        <f>IFERROR(__xludf.DUMMYFUNCTION("""COMPUTED_VALUE"""),"Шоу Бой")</f>
        <v>Шоу Бой</v>
      </c>
      <c r="U1658" s="385"/>
      <c r="W1658" s="384" t="str">
        <f>IFERROR(__xludf.DUMMYFUNCTION("""COMPUTED_VALUE"""),"Тихий закат")</f>
        <v>Тихий закат</v>
      </c>
      <c r="X1658" s="385"/>
    </row>
    <row r="1659">
      <c r="A1659" s="384" t="s">
        <v>106</v>
      </c>
      <c r="B1659" s="384" t="s">
        <v>261</v>
      </c>
      <c r="C1659" s="389"/>
      <c r="D1659" s="389">
        <v>2.25</v>
      </c>
      <c r="E1659" s="384"/>
      <c r="F1659" s="389"/>
      <c r="G1659" s="389"/>
      <c r="T1659" s="384" t="str">
        <f>IFERROR(__xludf.DUMMYFUNCTION("""COMPUTED_VALUE"""),"Шпиц")</f>
        <v>Шпиц</v>
      </c>
      <c r="U1659" s="385"/>
      <c r="W1659" s="384" t="str">
        <f>IFERROR(__xludf.DUMMYFUNCTION("""COMPUTED_VALUE"""),"Физик")</f>
        <v>Физик</v>
      </c>
      <c r="X1659" s="385"/>
    </row>
    <row r="1660">
      <c r="A1660" s="384" t="s">
        <v>115</v>
      </c>
      <c r="B1660" s="384" t="s">
        <v>261</v>
      </c>
      <c r="C1660" s="389"/>
      <c r="D1660" s="389">
        <v>3.75</v>
      </c>
      <c r="E1660" s="384" t="s">
        <v>263</v>
      </c>
      <c r="F1660" s="389"/>
      <c r="G1660" s="389"/>
      <c r="T1660" s="384" t="str">
        <f>IFERROR(__xludf.DUMMYFUNCTION("""COMPUTED_VALUE"""),"Юрия")</f>
        <v>Юрия</v>
      </c>
      <c r="U1660" s="385"/>
      <c r="W1660" s="384" t="str">
        <f>IFERROR(__xludf.DUMMYFUNCTION("""COMPUTED_VALUE"""),"Флэш")</f>
        <v>Флэш</v>
      </c>
      <c r="X1660" s="385"/>
    </row>
    <row r="1661">
      <c r="A1661" s="384" t="s">
        <v>88</v>
      </c>
      <c r="B1661" s="384" t="s">
        <v>261</v>
      </c>
      <c r="C1661" s="389"/>
      <c r="D1661" s="389">
        <v>2.0</v>
      </c>
      <c r="E1661" s="384"/>
      <c r="F1661" s="389"/>
      <c r="G1661" s="389"/>
      <c r="T1661" s="384" t="str">
        <f>IFERROR(__xludf.DUMMYFUNCTION("""COMPUTED_VALUE"""),"A1 ")</f>
        <v>A1 </v>
      </c>
      <c r="U1661" s="385"/>
      <c r="W1661" s="384" t="str">
        <f>IFERROR(__xludf.DUMMYFUNCTION("""COMPUTED_VALUE"""),"Фокс")</f>
        <v>Фокс</v>
      </c>
      <c r="X1661" s="385"/>
    </row>
    <row r="1662">
      <c r="A1662" s="384" t="s">
        <v>94</v>
      </c>
      <c r="B1662" s="384" t="s">
        <v>261</v>
      </c>
      <c r="C1662" s="389"/>
      <c r="D1662" s="389">
        <v>1.75</v>
      </c>
      <c r="E1662" s="384" t="s">
        <v>263</v>
      </c>
      <c r="F1662" s="389"/>
      <c r="G1662" s="389"/>
      <c r="T1662" s="384" t="str">
        <f>IFERROR(__xludf.DUMMYFUNCTION("""COMPUTED_VALUE"""),"Alice ")</f>
        <v>Alice </v>
      </c>
      <c r="U1662" s="385"/>
      <c r="W1662" s="384" t="str">
        <f>IFERROR(__xludf.DUMMYFUNCTION("""COMPUTED_VALUE"""),"Шоу Бой")</f>
        <v>Шоу Бой</v>
      </c>
      <c r="X1662" s="385"/>
    </row>
    <row r="1663">
      <c r="A1663" s="384" t="s">
        <v>122</v>
      </c>
      <c r="B1663" s="384" t="s">
        <v>261</v>
      </c>
      <c r="C1663" s="389">
        <v>2.5</v>
      </c>
      <c r="D1663" s="389">
        <v>4.5</v>
      </c>
      <c r="E1663" s="384"/>
      <c r="F1663" s="389"/>
      <c r="G1663" s="389"/>
      <c r="T1663" s="384" t="str">
        <f>IFERROR(__xludf.DUMMYFUNCTION("""COMPUTED_VALUE"""),"Bublik")</f>
        <v>Bublik</v>
      </c>
      <c r="U1663" s="385"/>
      <c r="W1663" s="384" t="str">
        <f>IFERROR(__xludf.DUMMYFUNCTION("""COMPUTED_VALUE"""),"Шпиц")</f>
        <v>Шпиц</v>
      </c>
      <c r="X1663" s="385"/>
    </row>
    <row r="1664">
      <c r="A1664" s="384" t="s">
        <v>133</v>
      </c>
      <c r="B1664" s="384" t="s">
        <v>271</v>
      </c>
      <c r="C1664" s="389">
        <v>2.5</v>
      </c>
      <c r="D1664" s="389">
        <v>3.75</v>
      </c>
      <c r="E1664" s="384" t="s">
        <v>260</v>
      </c>
      <c r="F1664" s="389"/>
      <c r="G1664" s="389"/>
      <c r="T1664" s="384" t="str">
        <f>IFERROR(__xludf.DUMMYFUNCTION("""COMPUTED_VALUE"""),"BWDMoscow")</f>
        <v>BWDMoscow</v>
      </c>
      <c r="U1664" s="385"/>
      <c r="W1664" s="384" t="str">
        <f>IFERROR(__xludf.DUMMYFUNCTION("""COMPUTED_VALUE"""),"Юрия")</f>
        <v>Юрия</v>
      </c>
      <c r="X1664" s="385"/>
    </row>
    <row r="1665">
      <c r="A1665" s="384" t="s">
        <v>82</v>
      </c>
      <c r="B1665" s="384" t="s">
        <v>261</v>
      </c>
      <c r="C1665" s="389">
        <v>2.5</v>
      </c>
      <c r="D1665" s="389">
        <v>2.0</v>
      </c>
      <c r="E1665" s="384" t="s">
        <v>11</v>
      </c>
      <c r="F1665" s="389"/>
      <c r="G1665" s="389">
        <v>0.5</v>
      </c>
      <c r="T1665" s="384" t="str">
        <f>IFERROR(__xludf.DUMMYFUNCTION("""COMPUTED_VALUE"""),"Castor Troy ")</f>
        <v>Castor Troy </v>
      </c>
      <c r="U1665" s="385"/>
      <c r="W1665" s="384" t="str">
        <f>IFERROR(__xludf.DUMMYFUNCTION("""COMPUTED_VALUE"""),"Alice ")</f>
        <v>Alice </v>
      </c>
      <c r="X1665" s="385"/>
    </row>
    <row r="1666">
      <c r="A1666" s="384" t="s">
        <v>80</v>
      </c>
      <c r="B1666" s="384" t="s">
        <v>269</v>
      </c>
      <c r="C1666" s="389"/>
      <c r="D1666" s="389">
        <v>2.0</v>
      </c>
      <c r="E1666" s="384"/>
      <c r="F1666" s="389"/>
      <c r="G1666" s="389"/>
      <c r="T1666" s="384" t="str">
        <f>IFERROR(__xludf.DUMMYFUNCTION("""COMPUTED_VALUE"""),"Cristo")</f>
        <v>Cristo</v>
      </c>
      <c r="U1666" s="385"/>
      <c r="W1666" s="384" t="str">
        <f>IFERROR(__xludf.DUMMYFUNCTION("""COMPUTED_VALUE"""),"Bublik")</f>
        <v>Bublik</v>
      </c>
      <c r="X1666" s="385"/>
    </row>
    <row r="1667">
      <c r="A1667" s="384" t="s">
        <v>93</v>
      </c>
      <c r="B1667" s="384" t="s">
        <v>265</v>
      </c>
      <c r="C1667" s="389"/>
      <c r="D1667" s="389">
        <v>2.0</v>
      </c>
      <c r="E1667" s="384" t="s">
        <v>263</v>
      </c>
      <c r="F1667" s="389"/>
      <c r="G1667" s="389"/>
      <c r="T1667" s="384" t="str">
        <f>IFERROR(__xludf.DUMMYFUNCTION("""COMPUTED_VALUE"""),"Curly")</f>
        <v>Curly</v>
      </c>
      <c r="U1667" s="385"/>
      <c r="W1667" s="384" t="str">
        <f>IFERROR(__xludf.DUMMYFUNCTION("""COMPUTED_VALUE"""),"Castor Troy ")</f>
        <v>Castor Troy </v>
      </c>
      <c r="X1667" s="385"/>
    </row>
    <row r="1668">
      <c r="A1668" s="384" t="s">
        <v>105</v>
      </c>
      <c r="B1668" s="384" t="s">
        <v>261</v>
      </c>
      <c r="C1668" s="389">
        <v>2.5</v>
      </c>
      <c r="D1668" s="389">
        <v>2.5</v>
      </c>
      <c r="E1668" s="384"/>
      <c r="F1668" s="389"/>
      <c r="G1668" s="389"/>
      <c r="T1668" s="384" t="str">
        <f>IFERROR(__xludf.DUMMYFUNCTION("""COMPUTED_VALUE"""),"GALAY")</f>
        <v>GALAY</v>
      </c>
      <c r="U1668" s="385"/>
      <c r="W1668" s="384" t="str">
        <f>IFERROR(__xludf.DUMMYFUNCTION("""COMPUTED_VALUE"""),"Cristo")</f>
        <v>Cristo</v>
      </c>
      <c r="X1668" s="385"/>
    </row>
    <row r="1669">
      <c r="A1669" s="384" t="s">
        <v>106</v>
      </c>
      <c r="B1669" s="384" t="s">
        <v>269</v>
      </c>
      <c r="C1669" s="389"/>
      <c r="D1669" s="389">
        <v>2.25</v>
      </c>
      <c r="E1669" s="384"/>
      <c r="F1669" s="389"/>
      <c r="G1669" s="389"/>
      <c r="T1669" s="384" t="str">
        <f>IFERROR(__xludf.DUMMYFUNCTION("""COMPUTED_VALUE"""),"Helga")</f>
        <v>Helga</v>
      </c>
      <c r="U1669" s="385"/>
      <c r="W1669" s="384" t="str">
        <f>IFERROR(__xludf.DUMMYFUNCTION("""COMPUTED_VALUE"""),"Curly")</f>
        <v>Curly</v>
      </c>
      <c r="X1669" s="385"/>
    </row>
    <row r="1670">
      <c r="A1670" s="384" t="s">
        <v>115</v>
      </c>
      <c r="B1670" s="384" t="s">
        <v>261</v>
      </c>
      <c r="C1670" s="389">
        <v>2.5</v>
      </c>
      <c r="D1670" s="389">
        <v>3.25</v>
      </c>
      <c r="E1670" s="384"/>
      <c r="F1670" s="389"/>
      <c r="G1670" s="389"/>
      <c r="T1670" s="384" t="str">
        <f>IFERROR(__xludf.DUMMYFUNCTION("""COMPUTED_VALUE"""),"Infinity ")</f>
        <v>Infinity </v>
      </c>
      <c r="U1670" s="385"/>
      <c r="W1670" s="384" t="str">
        <f>IFERROR(__xludf.DUMMYFUNCTION("""COMPUTED_VALUE"""),"GALAY")</f>
        <v>GALAY</v>
      </c>
      <c r="X1670" s="385"/>
    </row>
    <row r="1671">
      <c r="A1671" s="384" t="s">
        <v>88</v>
      </c>
      <c r="B1671" s="384" t="s">
        <v>261</v>
      </c>
      <c r="C1671" s="389">
        <v>2.5</v>
      </c>
      <c r="D1671" s="389">
        <v>4.0</v>
      </c>
      <c r="E1671" s="384"/>
      <c r="F1671" s="389"/>
      <c r="G1671" s="389"/>
      <c r="T1671" s="384" t="str">
        <f>IFERROR(__xludf.DUMMYFUNCTION("""COMPUTED_VALUE"""),"Ketamin")</f>
        <v>Ketamin</v>
      </c>
      <c r="U1671" s="385"/>
      <c r="W1671" s="384" t="str">
        <f>IFERROR(__xludf.DUMMYFUNCTION("""COMPUTED_VALUE"""),"Helga")</f>
        <v>Helga</v>
      </c>
      <c r="X1671" s="385"/>
    </row>
    <row r="1672">
      <c r="A1672" s="384" t="s">
        <v>94</v>
      </c>
      <c r="B1672" s="384" t="s">
        <v>261</v>
      </c>
      <c r="C1672" s="389">
        <v>2.5</v>
      </c>
      <c r="D1672" s="389">
        <v>2.75</v>
      </c>
      <c r="E1672" s="384" t="s">
        <v>260</v>
      </c>
      <c r="F1672" s="389"/>
      <c r="G1672" s="389"/>
      <c r="T1672" s="384" t="str">
        <f>IFERROR(__xludf.DUMMYFUNCTION("""COMPUTED_VALUE"""),"Light")</f>
        <v>Light</v>
      </c>
      <c r="U1672" s="385"/>
      <c r="W1672" s="384" t="str">
        <f>IFERROR(__xludf.DUMMYFUNCTION("""COMPUTED_VALUE"""),"Infinity ")</f>
        <v>Infinity </v>
      </c>
      <c r="X1672" s="385"/>
    </row>
    <row r="1673">
      <c r="A1673" s="384" t="s">
        <v>122</v>
      </c>
      <c r="B1673" s="384" t="s">
        <v>261</v>
      </c>
      <c r="C1673" s="389">
        <v>2.5</v>
      </c>
      <c r="D1673" s="389">
        <v>3.25</v>
      </c>
      <c r="E1673" s="384"/>
      <c r="F1673" s="389"/>
      <c r="G1673" s="389"/>
      <c r="T1673" s="384" t="str">
        <f>IFERROR(__xludf.DUMMYFUNCTION("""COMPUTED_VALUE"""),"Morti")</f>
        <v>Morti</v>
      </c>
      <c r="U1673" s="385"/>
      <c r="W1673" s="384" t="str">
        <f>IFERROR(__xludf.DUMMYFUNCTION("""COMPUTED_VALUE"""),"Light")</f>
        <v>Light</v>
      </c>
      <c r="X1673" s="385"/>
    </row>
    <row r="1674">
      <c r="A1674" s="384" t="s">
        <v>133</v>
      </c>
      <c r="B1674" s="384" t="s">
        <v>261</v>
      </c>
      <c r="C1674" s="389">
        <v>2.5</v>
      </c>
      <c r="D1674" s="389">
        <v>3.25</v>
      </c>
      <c r="E1674" s="384" t="s">
        <v>260</v>
      </c>
      <c r="F1674" s="389"/>
      <c r="G1674" s="389"/>
      <c r="T1674" s="384" t="str">
        <f>IFERROR(__xludf.DUMMYFUNCTION("""COMPUTED_VALUE"""),"MSR")</f>
        <v>MSR</v>
      </c>
      <c r="U1674" s="385"/>
      <c r="W1674" s="384" t="str">
        <f>IFERROR(__xludf.DUMMYFUNCTION("""COMPUTED_VALUE"""),"MSR")</f>
        <v>MSR</v>
      </c>
      <c r="X1674" s="385"/>
    </row>
    <row r="1675">
      <c r="A1675" s="384" t="s">
        <v>82</v>
      </c>
      <c r="B1675" s="384" t="s">
        <v>265</v>
      </c>
      <c r="C1675" s="389"/>
      <c r="D1675" s="389">
        <v>3.0</v>
      </c>
      <c r="E1675" s="384" t="s">
        <v>263</v>
      </c>
      <c r="F1675" s="389"/>
      <c r="G1675" s="389"/>
      <c r="T1675" s="384" t="str">
        <f>IFERROR(__xludf.DUMMYFUNCTION("""COMPUTED_VALUE"""),"NLIP")</f>
        <v>NLIP</v>
      </c>
      <c r="U1675" s="385"/>
      <c r="W1675" s="384" t="str">
        <f>IFERROR(__xludf.DUMMYFUNCTION("""COMPUTED_VALUE"""),"NLIP")</f>
        <v>NLIP</v>
      </c>
      <c r="X1675" s="385"/>
    </row>
    <row r="1676">
      <c r="A1676" s="384" t="s">
        <v>80</v>
      </c>
      <c r="B1676" s="384" t="s">
        <v>261</v>
      </c>
      <c r="C1676" s="389">
        <v>2.5</v>
      </c>
      <c r="D1676" s="389">
        <v>2.0</v>
      </c>
      <c r="E1676" s="384"/>
      <c r="F1676" s="389"/>
      <c r="G1676" s="389"/>
      <c r="T1676" s="384" t="str">
        <f>IFERROR(__xludf.DUMMYFUNCTION("""COMPUTED_VALUE"""),"Rocket woman ")</f>
        <v>Rocket woman </v>
      </c>
      <c r="U1676" s="385"/>
      <c r="W1676" s="384" t="str">
        <f>IFERROR(__xludf.DUMMYFUNCTION("""COMPUTED_VALUE"""),"Rocket woman ")</f>
        <v>Rocket woman </v>
      </c>
      <c r="X1676" s="385"/>
    </row>
    <row r="1677">
      <c r="A1677" s="384" t="s">
        <v>93</v>
      </c>
      <c r="B1677" s="384" t="s">
        <v>269</v>
      </c>
      <c r="C1677" s="389"/>
      <c r="D1677" s="389">
        <v>1.5</v>
      </c>
      <c r="E1677" s="384"/>
      <c r="F1677" s="389"/>
      <c r="G1677" s="389"/>
      <c r="T1677" s="384" t="str">
        <f>IFERROR(__xludf.DUMMYFUNCTION("""COMPUTED_VALUE"""),"SCHOKK ")</f>
        <v>SCHOKK </v>
      </c>
      <c r="U1677" s="385"/>
      <c r="W1677" s="384" t="str">
        <f>IFERROR(__xludf.DUMMYFUNCTION("""COMPUTED_VALUE"""),"SCHOKK ")</f>
        <v>SCHOKK </v>
      </c>
      <c r="X1677" s="385"/>
    </row>
    <row r="1678">
      <c r="A1678" s="384" t="s">
        <v>105</v>
      </c>
      <c r="B1678" s="384" t="s">
        <v>261</v>
      </c>
      <c r="C1678" s="389">
        <v>2.5</v>
      </c>
      <c r="D1678" s="389">
        <v>1.75</v>
      </c>
      <c r="E1678" s="384"/>
      <c r="F1678" s="389"/>
      <c r="G1678" s="389"/>
      <c r="T1678" s="384" t="str">
        <f>IFERROR(__xludf.DUMMYFUNCTION("""COMPUTED_VALUE"""),"SOVEST")</f>
        <v>SOVEST</v>
      </c>
      <c r="U1678" s="385"/>
      <c r="W1678" s="384" t="str">
        <f>IFERROR(__xludf.DUMMYFUNCTION("""COMPUTED_VALUE"""),"SOVEST")</f>
        <v>SOVEST</v>
      </c>
      <c r="X1678" s="385"/>
    </row>
    <row r="1679">
      <c r="A1679" s="384" t="s">
        <v>106</v>
      </c>
      <c r="B1679" s="384" t="s">
        <v>261</v>
      </c>
      <c r="C1679" s="389">
        <v>2.5</v>
      </c>
      <c r="D1679" s="389">
        <v>2.5</v>
      </c>
      <c r="E1679" s="384"/>
      <c r="F1679" s="389"/>
      <c r="G1679" s="389"/>
      <c r="T1679" s="384" t="str">
        <f>IFERROR(__xludf.DUMMYFUNCTION("""COMPUTED_VALUE"""),"Stacy")</f>
        <v>Stacy</v>
      </c>
      <c r="U1679" s="385"/>
      <c r="W1679" s="384" t="str">
        <f>IFERROR(__xludf.DUMMYFUNCTION("""COMPUTED_VALUE"""),"Stacy")</f>
        <v>Stacy</v>
      </c>
      <c r="X1679" s="385"/>
    </row>
    <row r="1680">
      <c r="A1680" s="384" t="s">
        <v>115</v>
      </c>
      <c r="B1680" s="384" t="s">
        <v>261</v>
      </c>
      <c r="C1680" s="389">
        <v>2.5</v>
      </c>
      <c r="D1680" s="389">
        <v>3.0</v>
      </c>
      <c r="E1680" s="384"/>
      <c r="F1680" s="389"/>
      <c r="G1680" s="389"/>
      <c r="T1680" s="384" t="str">
        <f>IFERROR(__xludf.DUMMYFUNCTION("""COMPUTED_VALUE"""),"WhoIsWho")</f>
        <v>WhoIsWho</v>
      </c>
      <c r="U1680" s="385"/>
      <c r="W1680" s="384" t="str">
        <f>IFERROR(__xludf.DUMMYFUNCTION("""COMPUTED_VALUE"""),"WhoIsWho")</f>
        <v>WhoIsWho</v>
      </c>
      <c r="X1680" s="385"/>
    </row>
    <row r="1681">
      <c r="A1681" s="384" t="s">
        <v>88</v>
      </c>
      <c r="B1681" s="384" t="s">
        <v>271</v>
      </c>
      <c r="C1681" s="389">
        <v>2.5</v>
      </c>
      <c r="D1681" s="389">
        <v>2.0</v>
      </c>
      <c r="E1681" s="384" t="s">
        <v>260</v>
      </c>
      <c r="F1681" s="389"/>
      <c r="G1681" s="389"/>
      <c r="T1681" s="384" t="str">
        <f>IFERROR(__xludf.DUMMYFUNCTION("""COMPUTED_VALUE"""),"Young")</f>
        <v>Young</v>
      </c>
      <c r="U1681" s="385"/>
      <c r="W1681" s="384" t="str">
        <f>IFERROR(__xludf.DUMMYFUNCTION("""COMPUTED_VALUE"""),"Young")</f>
        <v>Young</v>
      </c>
      <c r="X1681" s="385"/>
    </row>
    <row r="1682">
      <c r="A1682" s="384" t="s">
        <v>94</v>
      </c>
      <c r="B1682" s="384" t="s">
        <v>269</v>
      </c>
      <c r="C1682" s="389"/>
      <c r="D1682" s="389">
        <v>1.25</v>
      </c>
      <c r="E1682" s="384"/>
      <c r="F1682" s="389"/>
      <c r="G1682" s="389"/>
      <c r="T1682" s="384" t="str">
        <f>IFERROR(__xludf.DUMMYFUNCTION("QUERY('Турнирная таблица по Алфавиту'!C7:BG66,""select C,AV order by AV desc"")"),"Аш")</f>
        <v>Аш</v>
      </c>
      <c r="U1682" s="385">
        <f>IFERROR(__xludf.DUMMYFUNCTION("""COMPUTED_VALUE"""),27.0)</f>
        <v>27</v>
      </c>
      <c r="W1682" s="384" t="str">
        <f>IFERROR(__xludf.DUMMYFUNCTION("""COMPUTED_VALUE"""),"Авраам")</f>
        <v>Авраам</v>
      </c>
      <c r="X1682" s="385"/>
    </row>
    <row r="1683">
      <c r="A1683" s="384" t="s">
        <v>122</v>
      </c>
      <c r="B1683" s="384" t="s">
        <v>261</v>
      </c>
      <c r="C1683" s="389">
        <v>2.5</v>
      </c>
      <c r="D1683" s="389">
        <v>3.25</v>
      </c>
      <c r="E1683" s="384"/>
      <c r="F1683" s="389"/>
      <c r="G1683" s="389"/>
      <c r="T1683" s="384" t="str">
        <f>IFERROR(__xludf.DUMMYFUNCTION("""COMPUTED_VALUE"""),"Cristo")</f>
        <v>Cristo</v>
      </c>
      <c r="U1683" s="385">
        <f>IFERROR(__xludf.DUMMYFUNCTION("""COMPUTED_VALUE"""),22.25)</f>
        <v>22.25</v>
      </c>
      <c r="W1683" s="384" t="str">
        <f>IFERROR(__xludf.DUMMYFUNCTION("""COMPUTED_VALUE"""),"Артик")</f>
        <v>Артик</v>
      </c>
      <c r="X1683" s="385"/>
    </row>
    <row r="1684">
      <c r="A1684" s="384" t="s">
        <v>133</v>
      </c>
      <c r="B1684" s="384" t="s">
        <v>261</v>
      </c>
      <c r="C1684" s="389">
        <v>2.5</v>
      </c>
      <c r="D1684" s="389">
        <v>2.75</v>
      </c>
      <c r="E1684" s="384"/>
      <c r="F1684" s="389"/>
      <c r="G1684" s="389"/>
      <c r="T1684" s="384" t="str">
        <f>IFERROR(__xludf.DUMMYFUNCTION("""COMPUTED_VALUE"""),"Градиент")</f>
        <v>Градиент</v>
      </c>
      <c r="U1684" s="385">
        <f>IFERROR(__xludf.DUMMYFUNCTION("""COMPUTED_VALUE"""),21.75)</f>
        <v>21.75</v>
      </c>
      <c r="W1684" s="384" t="str">
        <f>IFERROR(__xludf.DUMMYFUNCTION("""COMPUTED_VALUE"""),"Астория")</f>
        <v>Астория</v>
      </c>
      <c r="X1684" s="385"/>
    </row>
    <row r="1685">
      <c r="A1685" s="384" t="s">
        <v>82</v>
      </c>
      <c r="B1685" s="384" t="s">
        <v>261</v>
      </c>
      <c r="C1685" s="389">
        <v>2.5</v>
      </c>
      <c r="D1685" s="389">
        <v>3.25</v>
      </c>
      <c r="E1685" s="384"/>
      <c r="F1685" s="389"/>
      <c r="G1685" s="389"/>
      <c r="T1685" s="384" t="str">
        <f>IFERROR(__xludf.DUMMYFUNCTION("""COMPUTED_VALUE"""),"Андерсен")</f>
        <v>Андерсен</v>
      </c>
      <c r="U1685" s="385">
        <f>IFERROR(__xludf.DUMMYFUNCTION("""COMPUTED_VALUE"""),19.25)</f>
        <v>19.25</v>
      </c>
      <c r="W1685" s="384" t="str">
        <f>IFERROR(__xludf.DUMMYFUNCTION("""COMPUTED_VALUE"""),"Аш")</f>
        <v>Аш</v>
      </c>
      <c r="X1685" s="385"/>
    </row>
    <row r="1686">
      <c r="A1686" s="384" t="s">
        <v>80</v>
      </c>
      <c r="B1686" s="384" t="s">
        <v>261</v>
      </c>
      <c r="C1686" s="389">
        <v>2.5</v>
      </c>
      <c r="D1686" s="389">
        <v>2.5</v>
      </c>
      <c r="E1686" s="384" t="s">
        <v>11</v>
      </c>
      <c r="F1686" s="389">
        <v>0.5</v>
      </c>
      <c r="G1686" s="389">
        <v>1.0</v>
      </c>
      <c r="T1686" s="384" t="str">
        <f>IFERROR(__xludf.DUMMYFUNCTION("""COMPUTED_VALUE"""),"Крестный отец (BLR)")</f>
        <v>Крестный отец (BLR)</v>
      </c>
      <c r="U1686" s="385">
        <f>IFERROR(__xludf.DUMMYFUNCTION("""COMPUTED_VALUE"""),19.25)</f>
        <v>19.25</v>
      </c>
      <c r="W1686" s="384" t="str">
        <f>IFERROR(__xludf.DUMMYFUNCTION("""COMPUTED_VALUE"""),"Бамблби")</f>
        <v>Бамблби</v>
      </c>
      <c r="X1686" s="385"/>
    </row>
    <row r="1687">
      <c r="A1687" s="384" t="s">
        <v>93</v>
      </c>
      <c r="B1687" s="384" t="s">
        <v>261</v>
      </c>
      <c r="C1687" s="389">
        <v>2.5</v>
      </c>
      <c r="D1687" s="389">
        <v>3.25</v>
      </c>
      <c r="E1687" s="384"/>
      <c r="F1687" s="389"/>
      <c r="G1687" s="389"/>
      <c r="T1687" s="384" t="str">
        <f>IFERROR(__xludf.DUMMYFUNCTION("""COMPUTED_VALUE"""),"Шпиц")</f>
        <v>Шпиц</v>
      </c>
      <c r="U1687" s="385">
        <f>IFERROR(__xludf.DUMMYFUNCTION("""COMPUTED_VALUE"""),19.0)</f>
        <v>19</v>
      </c>
      <c r="W1687" s="384" t="str">
        <f>IFERROR(__xludf.DUMMYFUNCTION("""COMPUTED_VALUE"""),"Волга")</f>
        <v>Волга</v>
      </c>
      <c r="X1687" s="385"/>
    </row>
    <row r="1688">
      <c r="A1688" s="384" t="s">
        <v>105</v>
      </c>
      <c r="B1688" s="384" t="s">
        <v>271</v>
      </c>
      <c r="C1688" s="389">
        <v>2.5</v>
      </c>
      <c r="D1688" s="389">
        <v>3.5</v>
      </c>
      <c r="E1688" s="384"/>
      <c r="F1688" s="389"/>
      <c r="G1688" s="389"/>
      <c r="T1688" s="384" t="str">
        <f>IFERROR(__xludf.DUMMYFUNCTION("""COMPUTED_VALUE"""),"Light")</f>
        <v>Light</v>
      </c>
      <c r="U1688" s="385">
        <f>IFERROR(__xludf.DUMMYFUNCTION("""COMPUTED_VALUE"""),17.25)</f>
        <v>17.25</v>
      </c>
      <c r="W1688" s="384" t="str">
        <f>IFERROR(__xludf.DUMMYFUNCTION("""COMPUTED_VALUE"""),"Градиент")</f>
        <v>Градиент</v>
      </c>
      <c r="X1688" s="385"/>
    </row>
    <row r="1689">
      <c r="A1689" s="384" t="s">
        <v>106</v>
      </c>
      <c r="B1689" s="384" t="s">
        <v>261</v>
      </c>
      <c r="C1689" s="389">
        <v>2.5</v>
      </c>
      <c r="D1689" s="389">
        <v>3.75</v>
      </c>
      <c r="E1689" s="384"/>
      <c r="F1689" s="389"/>
      <c r="G1689" s="389"/>
      <c r="T1689" s="384" t="str">
        <f>IFERROR(__xludf.DUMMYFUNCTION("""COMPUTED_VALUE"""),"Curly")</f>
        <v>Curly</v>
      </c>
      <c r="U1689" s="385">
        <f>IFERROR(__xludf.DUMMYFUNCTION("""COMPUTED_VALUE"""),15.25)</f>
        <v>15.25</v>
      </c>
      <c r="W1689" s="384" t="str">
        <f>IFERROR(__xludf.DUMMYFUNCTION("""COMPUTED_VALUE"""),"Дровосек")</f>
        <v>Дровосек</v>
      </c>
      <c r="X1689" s="385"/>
    </row>
    <row r="1690">
      <c r="A1690" s="384" t="s">
        <v>115</v>
      </c>
      <c r="B1690" s="384" t="s">
        <v>269</v>
      </c>
      <c r="C1690" s="389"/>
      <c r="D1690" s="389">
        <v>2.25</v>
      </c>
      <c r="E1690" s="384"/>
      <c r="F1690" s="389"/>
      <c r="G1690" s="389"/>
      <c r="T1690" s="384" t="str">
        <f>IFERROR(__xludf.DUMMYFUNCTION("""COMPUTED_VALUE"""),"Админ")</f>
        <v>Админ</v>
      </c>
      <c r="U1690" s="385">
        <f>IFERROR(__xludf.DUMMYFUNCTION("""COMPUTED_VALUE"""),14.25)</f>
        <v>14.25</v>
      </c>
      <c r="W1690" s="384" t="str">
        <f>IFERROR(__xludf.DUMMYFUNCTION("""COMPUTED_VALUE"""),"Инсомнич")</f>
        <v>Инсомнич</v>
      </c>
      <c r="X1690" s="385"/>
    </row>
    <row r="1691">
      <c r="A1691" s="384" t="s">
        <v>88</v>
      </c>
      <c r="B1691" s="384" t="s">
        <v>269</v>
      </c>
      <c r="C1691" s="389"/>
      <c r="D1691" s="389">
        <v>2.0</v>
      </c>
      <c r="E1691" s="384"/>
      <c r="F1691" s="389"/>
      <c r="G1691" s="389"/>
      <c r="T1691" s="384" t="str">
        <f>IFERROR(__xludf.DUMMYFUNCTION("""COMPUTED_VALUE"""),"СЭНСЭЙ")</f>
        <v>СЭНСЭЙ</v>
      </c>
      <c r="U1691" s="385">
        <f>IFERROR(__xludf.DUMMYFUNCTION("""COMPUTED_VALUE"""),14.0)</f>
        <v>14</v>
      </c>
      <c r="W1691" s="384" t="str">
        <f>IFERROR(__xludf.DUMMYFUNCTION("""COMPUTED_VALUE"""),"Крестный отец (BLR)")</f>
        <v>Крестный отец (BLR)</v>
      </c>
      <c r="X1691" s="385"/>
    </row>
    <row r="1692">
      <c r="A1692" s="384" t="s">
        <v>94</v>
      </c>
      <c r="B1692" s="384" t="s">
        <v>265</v>
      </c>
      <c r="C1692" s="389"/>
      <c r="D1692" s="389">
        <v>1.0</v>
      </c>
      <c r="E1692" s="384"/>
      <c r="F1692" s="389"/>
      <c r="G1692" s="389"/>
      <c r="T1692" s="384" t="str">
        <f>IFERROR(__xludf.DUMMYFUNCTION("""COMPUTED_VALUE"""),"Авраам")</f>
        <v>Авраам</v>
      </c>
      <c r="U1692" s="385"/>
      <c r="W1692" s="384" t="str">
        <f>IFERROR(__xludf.DUMMYFUNCTION("""COMPUTED_VALUE"""),"Крёстный Отец (RU)")</f>
        <v>Крёстный Отец (RU)</v>
      </c>
      <c r="X1692" s="385"/>
    </row>
    <row r="1693">
      <c r="A1693" s="384" t="s">
        <v>122</v>
      </c>
      <c r="B1693" s="384" t="s">
        <v>269</v>
      </c>
      <c r="C1693" s="389"/>
      <c r="D1693" s="389">
        <v>2.25</v>
      </c>
      <c r="E1693" s="384"/>
      <c r="F1693" s="389"/>
      <c r="G1693" s="389"/>
      <c r="T1693" s="384" t="str">
        <f>IFERROR(__xludf.DUMMYFUNCTION("""COMPUTED_VALUE"""),"Артик")</f>
        <v>Артик</v>
      </c>
      <c r="U1693" s="385"/>
      <c r="W1693" s="384" t="str">
        <f>IFERROR(__xludf.DUMMYFUNCTION("""COMPUTED_VALUE"""),"Крот")</f>
        <v>Крот</v>
      </c>
      <c r="X1693" s="385"/>
    </row>
    <row r="1694">
      <c r="A1694" s="384" t="s">
        <v>133</v>
      </c>
      <c r="B1694" s="384" t="s">
        <v>261</v>
      </c>
      <c r="C1694" s="389">
        <v>2.5</v>
      </c>
      <c r="D1694" s="389">
        <v>3.0</v>
      </c>
      <c r="E1694" s="384"/>
      <c r="F1694" s="389"/>
      <c r="G1694" s="389"/>
      <c r="T1694" s="384" t="str">
        <f>IFERROR(__xludf.DUMMYFUNCTION("""COMPUTED_VALUE"""),"Астория")</f>
        <v>Астория</v>
      </c>
      <c r="U1694" s="385"/>
      <c r="W1694" s="384" t="str">
        <f>IFERROR(__xludf.DUMMYFUNCTION("""COMPUTED_VALUE"""),"Левша")</f>
        <v>Левша</v>
      </c>
      <c r="X1694" s="385"/>
    </row>
    <row r="1695">
      <c r="A1695" s="384" t="s">
        <v>82</v>
      </c>
      <c r="B1695" s="384" t="s">
        <v>271</v>
      </c>
      <c r="C1695" s="389">
        <v>2.5</v>
      </c>
      <c r="D1695" s="389">
        <v>3.0</v>
      </c>
      <c r="E1695" s="384"/>
      <c r="F1695" s="389"/>
      <c r="G1695" s="389"/>
      <c r="T1695" s="384" t="str">
        <f>IFERROR(__xludf.DUMMYFUNCTION("""COMPUTED_VALUE"""),"Бамблби")</f>
        <v>Бамблби</v>
      </c>
      <c r="U1695" s="385"/>
      <c r="W1695" s="384" t="str">
        <f>IFERROR(__xludf.DUMMYFUNCTION("""COMPUTED_VALUE"""),"Лисичка")</f>
        <v>Лисичка</v>
      </c>
      <c r="X1695" s="385"/>
    </row>
    <row r="1696">
      <c r="A1696" s="384" t="s">
        <v>80</v>
      </c>
      <c r="B1696" s="384" t="s">
        <v>261</v>
      </c>
      <c r="C1696" s="389">
        <v>2.5</v>
      </c>
      <c r="D1696" s="389">
        <v>3.75</v>
      </c>
      <c r="E1696" s="384"/>
      <c r="F1696" s="389"/>
      <c r="G1696" s="389"/>
      <c r="T1696" s="384" t="str">
        <f>IFERROR(__xludf.DUMMYFUNCTION("""COMPUTED_VALUE"""),"Волга")</f>
        <v>Волга</v>
      </c>
      <c r="U1696" s="385"/>
      <c r="W1696" s="384" t="str">
        <f>IFERROR(__xludf.DUMMYFUNCTION("""COMPUTED_VALUE"""),"Маваши")</f>
        <v>Маваши</v>
      </c>
      <c r="X1696" s="385"/>
    </row>
    <row r="1697">
      <c r="A1697" s="384" t="s">
        <v>93</v>
      </c>
      <c r="B1697" s="384" t="s">
        <v>261</v>
      </c>
      <c r="C1697" s="389">
        <v>2.5</v>
      </c>
      <c r="D1697" s="389">
        <v>3.25</v>
      </c>
      <c r="E1697" s="384" t="s">
        <v>11</v>
      </c>
      <c r="F1697" s="389">
        <v>0.5</v>
      </c>
      <c r="G1697" s="389">
        <v>0.5</v>
      </c>
      <c r="T1697" s="384" t="str">
        <f>IFERROR(__xludf.DUMMYFUNCTION("""COMPUTED_VALUE"""),"Дровосек")</f>
        <v>Дровосек</v>
      </c>
      <c r="U1697" s="385"/>
      <c r="W1697" s="384" t="str">
        <f>IFERROR(__xludf.DUMMYFUNCTION("""COMPUTED_VALUE"""),"Манекен")</f>
        <v>Манекен</v>
      </c>
      <c r="X1697" s="385"/>
    </row>
    <row r="1698">
      <c r="A1698" s="384" t="s">
        <v>105</v>
      </c>
      <c r="B1698" s="384" t="s">
        <v>261</v>
      </c>
      <c r="C1698" s="389">
        <v>2.5</v>
      </c>
      <c r="D1698" s="389">
        <v>2.25</v>
      </c>
      <c r="E1698" s="384"/>
      <c r="F1698" s="389"/>
      <c r="G1698" s="389"/>
      <c r="T1698" s="384" t="str">
        <f>IFERROR(__xludf.DUMMYFUNCTION("""COMPUTED_VALUE"""),"Зверюга")</f>
        <v>Зверюга</v>
      </c>
      <c r="U1698" s="385"/>
      <c r="W1698" s="384" t="str">
        <f>IFERROR(__xludf.DUMMYFUNCTION("""COMPUTED_VALUE"""),"Ментик")</f>
        <v>Ментик</v>
      </c>
      <c r="X1698" s="385"/>
    </row>
    <row r="1699">
      <c r="A1699" s="384" t="s">
        <v>106</v>
      </c>
      <c r="B1699" s="384" t="s">
        <v>261</v>
      </c>
      <c r="C1699" s="389">
        <v>2.5</v>
      </c>
      <c r="D1699" s="389">
        <v>3.25</v>
      </c>
      <c r="E1699" s="384"/>
      <c r="F1699" s="389"/>
      <c r="G1699" s="389"/>
      <c r="T1699" s="384" t="str">
        <f>IFERROR(__xludf.DUMMYFUNCTION("""COMPUTED_VALUE"""),"Инсомнич")</f>
        <v>Инсомнич</v>
      </c>
      <c r="U1699" s="385"/>
      <c r="W1699" s="384" t="str">
        <f>IFERROR(__xludf.DUMMYFUNCTION("""COMPUTED_VALUE"""),"Мишель ")</f>
        <v>Мишель </v>
      </c>
      <c r="X1699" s="385"/>
    </row>
    <row r="1700">
      <c r="A1700" s="384" t="s">
        <v>115</v>
      </c>
      <c r="B1700" s="384" t="s">
        <v>269</v>
      </c>
      <c r="C1700" s="389"/>
      <c r="D1700" s="389">
        <v>1.5</v>
      </c>
      <c r="E1700" s="384" t="s">
        <v>263</v>
      </c>
      <c r="F1700" s="389"/>
      <c r="G1700" s="389"/>
      <c r="T1700" s="384" t="str">
        <f>IFERROR(__xludf.DUMMYFUNCTION("""COMPUTED_VALUE"""),"Красавчик")</f>
        <v>Красавчик</v>
      </c>
      <c r="U1700" s="385"/>
      <c r="W1700" s="384" t="str">
        <f>IFERROR(__xludf.DUMMYFUNCTION("""COMPUTED_VALUE"""),"Наполеон")</f>
        <v>Наполеон</v>
      </c>
      <c r="X1700" s="385"/>
    </row>
    <row r="1701">
      <c r="A1701" s="384" t="s">
        <v>88</v>
      </c>
      <c r="B1701" s="384" t="s">
        <v>265</v>
      </c>
      <c r="C1701" s="389"/>
      <c r="D1701" s="389">
        <v>2.5</v>
      </c>
      <c r="E1701" s="384"/>
      <c r="F1701" s="389"/>
      <c r="G1701" s="389"/>
      <c r="T1701" s="384" t="str">
        <f>IFERROR(__xludf.DUMMYFUNCTION("""COMPUTED_VALUE"""),"Крёстный Отец (RU)")</f>
        <v>Крёстный Отец (RU)</v>
      </c>
      <c r="U1701" s="385"/>
      <c r="W1701" s="384" t="str">
        <f>IFERROR(__xludf.DUMMYFUNCTION("""COMPUTED_VALUE"""),"Панда из Руанды")</f>
        <v>Панда из Руанды</v>
      </c>
      <c r="X1701" s="385"/>
    </row>
    <row r="1702">
      <c r="A1702" s="384" t="s">
        <v>94</v>
      </c>
      <c r="B1702" s="384" t="s">
        <v>261</v>
      </c>
      <c r="C1702" s="389">
        <v>2.5</v>
      </c>
      <c r="D1702" s="389">
        <v>2.5</v>
      </c>
      <c r="E1702" s="384"/>
      <c r="F1702" s="389"/>
      <c r="G1702" s="389"/>
      <c r="T1702" s="384" t="str">
        <f>IFERROR(__xludf.DUMMYFUNCTION("""COMPUTED_VALUE"""),"Крот")</f>
        <v>Крот</v>
      </c>
      <c r="U1702" s="385"/>
      <c r="W1702" s="384" t="str">
        <f>IFERROR(__xludf.DUMMYFUNCTION("""COMPUTED_VALUE"""),"Писатель ")</f>
        <v>Писатель </v>
      </c>
      <c r="X1702" s="385"/>
    </row>
    <row r="1703">
      <c r="A1703" s="384" t="s">
        <v>93</v>
      </c>
      <c r="B1703" s="384" t="s">
        <v>261</v>
      </c>
      <c r="C1703" s="389">
        <v>2.5</v>
      </c>
      <c r="D1703" s="389">
        <v>2.75</v>
      </c>
      <c r="E1703" s="384"/>
      <c r="F1703" s="389"/>
      <c r="G1703" s="389"/>
      <c r="T1703" s="384" t="str">
        <f>IFERROR(__xludf.DUMMYFUNCTION("""COMPUTED_VALUE"""),"Левша")</f>
        <v>Левша</v>
      </c>
      <c r="U1703" s="385"/>
      <c r="W1703" s="384" t="str">
        <f>IFERROR(__xludf.DUMMYFUNCTION("""COMPUTED_VALUE"""),"Продюсер")</f>
        <v>Продюсер</v>
      </c>
      <c r="X1703" s="385"/>
    </row>
    <row r="1704">
      <c r="A1704" s="384" t="s">
        <v>115</v>
      </c>
      <c r="B1704" s="384" t="s">
        <v>269</v>
      </c>
      <c r="C1704" s="389"/>
      <c r="D1704" s="389">
        <v>1.5</v>
      </c>
      <c r="E1704" s="384"/>
      <c r="F1704" s="389"/>
      <c r="G1704" s="389"/>
      <c r="T1704" s="384" t="str">
        <f>IFERROR(__xludf.DUMMYFUNCTION("""COMPUTED_VALUE"""),"Лисичка")</f>
        <v>Лисичка</v>
      </c>
      <c r="U1704" s="385"/>
      <c r="W1704" s="384" t="str">
        <f>IFERROR(__xludf.DUMMYFUNCTION("""COMPUTED_VALUE"""),"РФ")</f>
        <v>РФ</v>
      </c>
      <c r="X1704" s="385"/>
    </row>
    <row r="1705">
      <c r="A1705" s="384" t="s">
        <v>132</v>
      </c>
      <c r="B1705" s="384" t="s">
        <v>261</v>
      </c>
      <c r="C1705" s="389">
        <v>2.5</v>
      </c>
      <c r="D1705" s="389">
        <v>4.5</v>
      </c>
      <c r="E1705" s="384"/>
      <c r="F1705" s="389"/>
      <c r="G1705" s="389"/>
      <c r="T1705" s="384" t="str">
        <f>IFERROR(__xludf.DUMMYFUNCTION("""COMPUTED_VALUE"""),"Маваши")</f>
        <v>Маваши</v>
      </c>
      <c r="U1705" s="385"/>
      <c r="W1705" s="384" t="str">
        <f>IFERROR(__xludf.DUMMYFUNCTION("""COMPUTED_VALUE"""),"Старый")</f>
        <v>Старый</v>
      </c>
      <c r="X1705" s="385"/>
    </row>
    <row r="1706">
      <c r="A1706" s="384" t="s">
        <v>103</v>
      </c>
      <c r="B1706" s="384" t="s">
        <v>261</v>
      </c>
      <c r="C1706" s="389">
        <v>2.5</v>
      </c>
      <c r="D1706" s="389">
        <v>2.5</v>
      </c>
      <c r="E1706" s="384"/>
      <c r="F1706" s="389"/>
      <c r="G1706" s="389"/>
      <c r="T1706" s="384" t="str">
        <f>IFERROR(__xludf.DUMMYFUNCTION("""COMPUTED_VALUE"""),"Манекен")</f>
        <v>Манекен</v>
      </c>
      <c r="U1706" s="385"/>
      <c r="W1706" s="384" t="str">
        <f>IFERROR(__xludf.DUMMYFUNCTION("""COMPUTED_VALUE"""),"СЭНСЭЙ")</f>
        <v>СЭНСЭЙ</v>
      </c>
      <c r="X1706" s="385"/>
    </row>
    <row r="1707">
      <c r="A1707" s="384" t="s">
        <v>127</v>
      </c>
      <c r="B1707" s="384" t="s">
        <v>261</v>
      </c>
      <c r="C1707" s="389">
        <v>2.5</v>
      </c>
      <c r="D1707" s="389">
        <v>4.0</v>
      </c>
      <c r="E1707" s="384"/>
      <c r="F1707" s="389"/>
      <c r="G1707" s="389"/>
      <c r="T1707" s="384" t="str">
        <f>IFERROR(__xludf.DUMMYFUNCTION("""COMPUTED_VALUE"""),"Марго")</f>
        <v>Марго</v>
      </c>
      <c r="U1707" s="385"/>
      <c r="W1707" s="384" t="str">
        <f>IFERROR(__xludf.DUMMYFUNCTION("""COMPUTED_VALUE"""),"Coach")</f>
        <v>Coach</v>
      </c>
      <c r="X1707" s="385"/>
    </row>
    <row r="1708">
      <c r="A1708" s="384" t="s">
        <v>81</v>
      </c>
      <c r="B1708" s="384" t="s">
        <v>271</v>
      </c>
      <c r="C1708" s="389">
        <v>2.5</v>
      </c>
      <c r="D1708" s="389">
        <v>4.0</v>
      </c>
      <c r="E1708" s="384"/>
      <c r="F1708" s="389"/>
      <c r="G1708" s="389"/>
      <c r="T1708" s="384" t="str">
        <f>IFERROR(__xludf.DUMMYFUNCTION("""COMPUTED_VALUE"""),"Ментик")</f>
        <v>Ментик</v>
      </c>
      <c r="U1708" s="385"/>
      <c r="W1708" s="384" t="str">
        <f>IFERROR(__xludf.DUMMYFUNCTION("""COMPUTED_VALUE"""),"Тихий закат")</f>
        <v>Тихий закат</v>
      </c>
      <c r="X1708" s="385"/>
    </row>
    <row r="1709">
      <c r="A1709" s="384" t="s">
        <v>120</v>
      </c>
      <c r="B1709" s="384" t="s">
        <v>269</v>
      </c>
      <c r="C1709" s="389"/>
      <c r="D1709" s="389">
        <v>2.5</v>
      </c>
      <c r="E1709" s="384"/>
      <c r="F1709" s="389"/>
      <c r="G1709" s="389"/>
      <c r="T1709" s="384" t="str">
        <f>IFERROR(__xludf.DUMMYFUNCTION("""COMPUTED_VALUE"""),"Мишель ")</f>
        <v>Мишель </v>
      </c>
      <c r="U1709" s="385"/>
      <c r="W1709" s="384" t="str">
        <f>IFERROR(__xludf.DUMMYFUNCTION("""COMPUTED_VALUE"""),"Физик")</f>
        <v>Физик</v>
      </c>
      <c r="X1709" s="385"/>
    </row>
    <row r="1710">
      <c r="A1710" s="384" t="s">
        <v>88</v>
      </c>
      <c r="B1710" s="384" t="s">
        <v>261</v>
      </c>
      <c r="C1710" s="389">
        <v>2.5</v>
      </c>
      <c r="D1710" s="389">
        <v>2.5</v>
      </c>
      <c r="E1710" s="384"/>
      <c r="F1710" s="389"/>
      <c r="G1710" s="389"/>
      <c r="T1710" s="384" t="str">
        <f>IFERROR(__xludf.DUMMYFUNCTION("""COMPUTED_VALUE"""),"Наполеон")</f>
        <v>Наполеон</v>
      </c>
      <c r="U1710" s="385"/>
      <c r="W1710" s="384" t="str">
        <f>IFERROR(__xludf.DUMMYFUNCTION("""COMPUTED_VALUE"""),"Флэш")</f>
        <v>Флэш</v>
      </c>
      <c r="X1710" s="385"/>
    </row>
    <row r="1711">
      <c r="A1711" s="384" t="s">
        <v>138</v>
      </c>
      <c r="B1711" s="384" t="s">
        <v>261</v>
      </c>
      <c r="C1711" s="389">
        <v>2.5</v>
      </c>
      <c r="D1711" s="389">
        <v>2.25</v>
      </c>
      <c r="E1711" s="384"/>
      <c r="F1711" s="389"/>
      <c r="G1711" s="389"/>
      <c r="T1711" s="384" t="str">
        <f>IFERROR(__xludf.DUMMYFUNCTION("""COMPUTED_VALUE"""),"Панда из Руанды")</f>
        <v>Панда из Руанды</v>
      </c>
      <c r="U1711" s="385"/>
      <c r="W1711" s="384" t="str">
        <f>IFERROR(__xludf.DUMMYFUNCTION("""COMPUTED_VALUE"""),"Фокс")</f>
        <v>Фокс</v>
      </c>
      <c r="X1711" s="385"/>
    </row>
    <row r="1712">
      <c r="A1712" s="384" t="s">
        <v>86</v>
      </c>
      <c r="B1712" s="384" t="s">
        <v>265</v>
      </c>
      <c r="C1712" s="389"/>
      <c r="D1712" s="389">
        <v>1.0</v>
      </c>
      <c r="E1712" s="384"/>
      <c r="F1712" s="389"/>
      <c r="G1712" s="389"/>
      <c r="T1712" s="384" t="str">
        <f>IFERROR(__xludf.DUMMYFUNCTION("""COMPUTED_VALUE"""),"Писатель ")</f>
        <v>Писатель </v>
      </c>
      <c r="U1712" s="385"/>
      <c r="W1712" s="384" t="str">
        <f>IFERROR(__xludf.DUMMYFUNCTION("""COMPUTED_VALUE"""),"Шоу Бой")</f>
        <v>Шоу Бой</v>
      </c>
      <c r="X1712" s="385"/>
    </row>
    <row r="1713">
      <c r="A1713" s="384" t="s">
        <v>93</v>
      </c>
      <c r="B1713" s="384" t="s">
        <v>265</v>
      </c>
      <c r="C1713" s="389">
        <v>2.5</v>
      </c>
      <c r="D1713" s="389">
        <v>4.0</v>
      </c>
      <c r="E1713" s="384"/>
      <c r="F1713" s="389"/>
      <c r="G1713" s="389"/>
      <c r="T1713" s="384" t="str">
        <f>IFERROR(__xludf.DUMMYFUNCTION("""COMPUTED_VALUE"""),"Правда ")</f>
        <v>Правда </v>
      </c>
      <c r="U1713" s="385"/>
      <c r="W1713" s="384" t="str">
        <f>IFERROR(__xludf.DUMMYFUNCTION("""COMPUTED_VALUE"""),"Шпиц")</f>
        <v>Шпиц</v>
      </c>
      <c r="X1713" s="385"/>
    </row>
    <row r="1714">
      <c r="A1714" s="384" t="s">
        <v>115</v>
      </c>
      <c r="B1714" s="384" t="s">
        <v>269</v>
      </c>
      <c r="C1714" s="389">
        <v>2.5</v>
      </c>
      <c r="D1714" s="389">
        <v>2.5</v>
      </c>
      <c r="E1714" s="384"/>
      <c r="F1714" s="389"/>
      <c r="G1714" s="389"/>
      <c r="T1714" s="384" t="str">
        <f>IFERROR(__xludf.DUMMYFUNCTION("""COMPUTED_VALUE"""),"Продюсер")</f>
        <v>Продюсер</v>
      </c>
      <c r="U1714" s="385"/>
      <c r="W1714" s="384" t="str">
        <f>IFERROR(__xludf.DUMMYFUNCTION("""COMPUTED_VALUE"""),"Юрия")</f>
        <v>Юрия</v>
      </c>
      <c r="X1714" s="385"/>
    </row>
    <row r="1715">
      <c r="A1715" s="384" t="s">
        <v>132</v>
      </c>
      <c r="B1715" s="384" t="s">
        <v>269</v>
      </c>
      <c r="C1715" s="389">
        <v>2.5</v>
      </c>
      <c r="D1715" s="389">
        <v>4.0</v>
      </c>
      <c r="E1715" s="384"/>
      <c r="F1715" s="389"/>
      <c r="G1715" s="389"/>
      <c r="T1715" s="384" t="str">
        <f>IFERROR(__xludf.DUMMYFUNCTION("""COMPUTED_VALUE"""),"РФ")</f>
        <v>РФ</v>
      </c>
      <c r="U1715" s="385"/>
      <c r="W1715" s="384" t="str">
        <f>IFERROR(__xludf.DUMMYFUNCTION("""COMPUTED_VALUE"""),"Alice ")</f>
        <v>Alice </v>
      </c>
      <c r="X1715" s="385"/>
    </row>
    <row r="1716">
      <c r="A1716" s="384" t="s">
        <v>103</v>
      </c>
      <c r="B1716" s="384" t="s">
        <v>261</v>
      </c>
      <c r="C1716" s="389"/>
      <c r="D1716" s="389">
        <v>1.75</v>
      </c>
      <c r="E1716" s="384"/>
      <c r="F1716" s="389"/>
      <c r="G1716" s="389"/>
      <c r="T1716" s="384" t="str">
        <f>IFERROR(__xludf.DUMMYFUNCTION("""COMPUTED_VALUE"""),"Старый")</f>
        <v>Старый</v>
      </c>
      <c r="U1716" s="385"/>
      <c r="W1716" s="384" t="str">
        <f>IFERROR(__xludf.DUMMYFUNCTION("""COMPUTED_VALUE"""),"Bublik")</f>
        <v>Bublik</v>
      </c>
      <c r="X1716" s="385"/>
    </row>
    <row r="1717">
      <c r="A1717" s="384" t="s">
        <v>127</v>
      </c>
      <c r="B1717" s="384" t="s">
        <v>261</v>
      </c>
      <c r="C1717" s="389"/>
      <c r="D1717" s="389">
        <v>1.75</v>
      </c>
      <c r="E1717" s="384"/>
      <c r="F1717" s="389"/>
      <c r="G1717" s="389"/>
      <c r="T1717" s="384" t="str">
        <f>IFERROR(__xludf.DUMMYFUNCTION("""COMPUTED_VALUE"""),"Coach")</f>
        <v>Coach</v>
      </c>
      <c r="U1717" s="385"/>
      <c r="W1717" s="384" t="str">
        <f>IFERROR(__xludf.DUMMYFUNCTION("""COMPUTED_VALUE"""),"Castor Troy ")</f>
        <v>Castor Troy </v>
      </c>
      <c r="X1717" s="385"/>
    </row>
    <row r="1718">
      <c r="A1718" s="384" t="s">
        <v>81</v>
      </c>
      <c r="B1718" s="384" t="s">
        <v>261</v>
      </c>
      <c r="C1718" s="389"/>
      <c r="D1718" s="389">
        <v>2.0</v>
      </c>
      <c r="E1718" s="384"/>
      <c r="F1718" s="389"/>
      <c r="G1718" s="389"/>
      <c r="T1718" s="384" t="str">
        <f>IFERROR(__xludf.DUMMYFUNCTION("""COMPUTED_VALUE"""),"Тихий закат")</f>
        <v>Тихий закат</v>
      </c>
      <c r="U1718" s="385"/>
      <c r="W1718" s="384" t="str">
        <f>IFERROR(__xludf.DUMMYFUNCTION("""COMPUTED_VALUE"""),"Cristo")</f>
        <v>Cristo</v>
      </c>
      <c r="X1718" s="385"/>
    </row>
    <row r="1719">
      <c r="A1719" s="384" t="s">
        <v>120</v>
      </c>
      <c r="B1719" s="384" t="s">
        <v>261</v>
      </c>
      <c r="C1719" s="389"/>
      <c r="D1719" s="389">
        <v>2.0</v>
      </c>
      <c r="E1719" s="384" t="s">
        <v>11</v>
      </c>
      <c r="F1719" s="389"/>
      <c r="G1719" s="389">
        <v>0.5</v>
      </c>
      <c r="T1719" s="384" t="str">
        <f>IFERROR(__xludf.DUMMYFUNCTION("""COMPUTED_VALUE"""),"Физик")</f>
        <v>Физик</v>
      </c>
      <c r="U1719" s="385"/>
      <c r="W1719" s="384" t="str">
        <f>IFERROR(__xludf.DUMMYFUNCTION("""COMPUTED_VALUE"""),"Curly")</f>
        <v>Curly</v>
      </c>
      <c r="X1719" s="385"/>
    </row>
    <row r="1720">
      <c r="A1720" s="384" t="s">
        <v>88</v>
      </c>
      <c r="B1720" s="384" t="s">
        <v>271</v>
      </c>
      <c r="C1720" s="389"/>
      <c r="D1720" s="389">
        <v>1.0</v>
      </c>
      <c r="E1720" s="384"/>
      <c r="F1720" s="389"/>
      <c r="G1720" s="389"/>
      <c r="T1720" s="384" t="str">
        <f>IFERROR(__xludf.DUMMYFUNCTION("""COMPUTED_VALUE"""),"Флэш")</f>
        <v>Флэш</v>
      </c>
      <c r="U1720" s="385"/>
      <c r="W1720" s="384" t="str">
        <f>IFERROR(__xludf.DUMMYFUNCTION("""COMPUTED_VALUE"""),"GALAY")</f>
        <v>GALAY</v>
      </c>
      <c r="X1720" s="385"/>
    </row>
    <row r="1721">
      <c r="A1721" s="384" t="s">
        <v>138</v>
      </c>
      <c r="B1721" s="384" t="s">
        <v>261</v>
      </c>
      <c r="C1721" s="389"/>
      <c r="D1721" s="389">
        <v>1.0</v>
      </c>
      <c r="E1721" s="384"/>
      <c r="F1721" s="389"/>
      <c r="G1721" s="389"/>
      <c r="T1721" s="384" t="str">
        <f>IFERROR(__xludf.DUMMYFUNCTION("""COMPUTED_VALUE"""),"Фокс")</f>
        <v>Фокс</v>
      </c>
      <c r="U1721" s="385"/>
      <c r="W1721" s="384" t="str">
        <f>IFERROR(__xludf.DUMMYFUNCTION("""COMPUTED_VALUE"""),"Helga")</f>
        <v>Helga</v>
      </c>
      <c r="X1721" s="385"/>
    </row>
    <row r="1722">
      <c r="A1722" s="384" t="s">
        <v>86</v>
      </c>
      <c r="B1722" s="384" t="s">
        <v>261</v>
      </c>
      <c r="C1722" s="389"/>
      <c r="D1722" s="389">
        <v>1.25</v>
      </c>
      <c r="E1722" s="384"/>
      <c r="F1722" s="389"/>
      <c r="G1722" s="389"/>
      <c r="T1722" s="384" t="str">
        <f>IFERROR(__xludf.DUMMYFUNCTION("""COMPUTED_VALUE"""),"Шоу Бой")</f>
        <v>Шоу Бой</v>
      </c>
      <c r="U1722" s="385"/>
      <c r="W1722" s="384" t="str">
        <f>IFERROR(__xludf.DUMMYFUNCTION("""COMPUTED_VALUE"""),"Infinity ")</f>
        <v>Infinity </v>
      </c>
      <c r="X1722" s="385"/>
    </row>
    <row r="1723">
      <c r="A1723" s="384" t="s">
        <v>93</v>
      </c>
      <c r="B1723" s="384" t="s">
        <v>261</v>
      </c>
      <c r="C1723" s="389">
        <v>2.5</v>
      </c>
      <c r="D1723" s="389">
        <v>3.0</v>
      </c>
      <c r="E1723" s="384"/>
      <c r="F1723" s="389"/>
      <c r="G1723" s="389"/>
      <c r="T1723" s="384" t="str">
        <f>IFERROR(__xludf.DUMMYFUNCTION("""COMPUTED_VALUE"""),"Юрия")</f>
        <v>Юрия</v>
      </c>
      <c r="U1723" s="385"/>
      <c r="W1723" s="384" t="str">
        <f>IFERROR(__xludf.DUMMYFUNCTION("""COMPUTED_VALUE"""),"Ketamin")</f>
        <v>Ketamin</v>
      </c>
      <c r="X1723" s="385"/>
    </row>
    <row r="1724">
      <c r="A1724" s="384" t="s">
        <v>115</v>
      </c>
      <c r="B1724" s="384" t="s">
        <v>271</v>
      </c>
      <c r="C1724" s="389">
        <v>2.5</v>
      </c>
      <c r="D1724" s="389">
        <v>4.25</v>
      </c>
      <c r="E1724" s="384" t="s">
        <v>260</v>
      </c>
      <c r="F1724" s="389"/>
      <c r="G1724" s="389"/>
      <c r="T1724" s="384" t="str">
        <f>IFERROR(__xludf.DUMMYFUNCTION("""COMPUTED_VALUE"""),"A1 ")</f>
        <v>A1 </v>
      </c>
      <c r="U1724" s="385"/>
      <c r="W1724" s="384" t="str">
        <f>IFERROR(__xludf.DUMMYFUNCTION("""COMPUTED_VALUE"""),"Light")</f>
        <v>Light</v>
      </c>
      <c r="X1724" s="385"/>
    </row>
    <row r="1725">
      <c r="A1725" s="384" t="s">
        <v>132</v>
      </c>
      <c r="B1725" s="384" t="s">
        <v>261</v>
      </c>
      <c r="C1725" s="389">
        <v>2.5</v>
      </c>
      <c r="D1725" s="389">
        <v>2.25</v>
      </c>
      <c r="E1725" s="384" t="s">
        <v>11</v>
      </c>
      <c r="F1725" s="389"/>
      <c r="G1725" s="389">
        <v>0.5</v>
      </c>
      <c r="T1725" s="384" t="str">
        <f>IFERROR(__xludf.DUMMYFUNCTION("""COMPUTED_VALUE"""),"Alice ")</f>
        <v>Alice </v>
      </c>
      <c r="U1725" s="385"/>
      <c r="W1725" s="384" t="str">
        <f>IFERROR(__xludf.DUMMYFUNCTION("""COMPUTED_VALUE"""),"Morti")</f>
        <v>Morti</v>
      </c>
      <c r="X1725" s="385"/>
    </row>
    <row r="1726">
      <c r="A1726" s="384" t="s">
        <v>103</v>
      </c>
      <c r="B1726" s="384" t="s">
        <v>261</v>
      </c>
      <c r="C1726" s="389">
        <v>2.5</v>
      </c>
      <c r="D1726" s="389">
        <v>3.0</v>
      </c>
      <c r="E1726" s="384"/>
      <c r="F1726" s="389"/>
      <c r="G1726" s="389"/>
      <c r="T1726" s="384" t="str">
        <f>IFERROR(__xludf.DUMMYFUNCTION("""COMPUTED_VALUE"""),"Bublik")</f>
        <v>Bublik</v>
      </c>
      <c r="U1726" s="385"/>
      <c r="W1726" s="384" t="str">
        <f>IFERROR(__xludf.DUMMYFUNCTION("""COMPUTED_VALUE"""),"MSR")</f>
        <v>MSR</v>
      </c>
      <c r="X1726" s="385"/>
    </row>
    <row r="1727">
      <c r="A1727" s="384" t="s">
        <v>127</v>
      </c>
      <c r="B1727" s="384" t="s">
        <v>269</v>
      </c>
      <c r="C1727" s="389"/>
      <c r="D1727" s="389">
        <v>2.0</v>
      </c>
      <c r="E1727" s="384"/>
      <c r="F1727" s="389"/>
      <c r="G1727" s="389"/>
      <c r="T1727" s="384" t="str">
        <f>IFERROR(__xludf.DUMMYFUNCTION("""COMPUTED_VALUE"""),"BWDMoscow")</f>
        <v>BWDMoscow</v>
      </c>
      <c r="U1727" s="385"/>
      <c r="W1727" s="384" t="str">
        <f>IFERROR(__xludf.DUMMYFUNCTION("""COMPUTED_VALUE"""),"NLIP")</f>
        <v>NLIP</v>
      </c>
      <c r="X1727" s="385"/>
    </row>
    <row r="1728">
      <c r="A1728" s="384" t="s">
        <v>81</v>
      </c>
      <c r="B1728" s="384" t="s">
        <v>265</v>
      </c>
      <c r="C1728" s="389"/>
      <c r="D1728" s="389">
        <v>3.0</v>
      </c>
      <c r="E1728" s="384" t="s">
        <v>263</v>
      </c>
      <c r="F1728" s="389"/>
      <c r="G1728" s="389"/>
      <c r="T1728" s="384" t="str">
        <f>IFERROR(__xludf.DUMMYFUNCTION("""COMPUTED_VALUE"""),"Castor Troy ")</f>
        <v>Castor Troy </v>
      </c>
      <c r="U1728" s="385"/>
      <c r="W1728" s="384" t="str">
        <f>IFERROR(__xludf.DUMMYFUNCTION("""COMPUTED_VALUE"""),"Rocket woman ")</f>
        <v>Rocket woman </v>
      </c>
      <c r="X1728" s="385"/>
    </row>
    <row r="1729">
      <c r="A1729" s="384" t="s">
        <v>120</v>
      </c>
      <c r="B1729" s="384" t="s">
        <v>261</v>
      </c>
      <c r="C1729" s="389">
        <v>2.5</v>
      </c>
      <c r="D1729" s="389">
        <v>2.0</v>
      </c>
      <c r="E1729" s="384"/>
      <c r="F1729" s="389"/>
      <c r="G1729" s="389"/>
      <c r="T1729" s="384" t="str">
        <f>IFERROR(__xludf.DUMMYFUNCTION("""COMPUTED_VALUE"""),"GALAY")</f>
        <v>GALAY</v>
      </c>
      <c r="U1729" s="385"/>
      <c r="W1729" s="384" t="str">
        <f>IFERROR(__xludf.DUMMYFUNCTION("""COMPUTED_VALUE"""),"SCHOKK ")</f>
        <v>SCHOKK </v>
      </c>
      <c r="X1729" s="385"/>
    </row>
    <row r="1730">
      <c r="A1730" s="384" t="s">
        <v>88</v>
      </c>
      <c r="B1730" s="384" t="s">
        <v>261</v>
      </c>
      <c r="C1730" s="389">
        <v>2.5</v>
      </c>
      <c r="D1730" s="389">
        <v>2.75</v>
      </c>
      <c r="E1730" s="384"/>
      <c r="F1730" s="389"/>
      <c r="G1730" s="389"/>
      <c r="T1730" s="384" t="str">
        <f>IFERROR(__xludf.DUMMYFUNCTION("""COMPUTED_VALUE"""),"Helga")</f>
        <v>Helga</v>
      </c>
      <c r="U1730" s="385"/>
      <c r="W1730" s="384" t="str">
        <f>IFERROR(__xludf.DUMMYFUNCTION("""COMPUTED_VALUE"""),"SOVEST")</f>
        <v>SOVEST</v>
      </c>
      <c r="X1730" s="385"/>
    </row>
    <row r="1731">
      <c r="A1731" s="384" t="s">
        <v>138</v>
      </c>
      <c r="B1731" s="384" t="s">
        <v>269</v>
      </c>
      <c r="C1731" s="389"/>
      <c r="D1731" s="389">
        <v>2.25</v>
      </c>
      <c r="E1731" s="384"/>
      <c r="F1731" s="389"/>
      <c r="G1731" s="389"/>
      <c r="T1731" s="384" t="str">
        <f>IFERROR(__xludf.DUMMYFUNCTION("""COMPUTED_VALUE"""),"Infinity ")</f>
        <v>Infinity </v>
      </c>
      <c r="U1731" s="385"/>
      <c r="W1731" s="384" t="str">
        <f>IFERROR(__xludf.DUMMYFUNCTION("""COMPUTED_VALUE"""),"WhoIsWho")</f>
        <v>WhoIsWho</v>
      </c>
      <c r="X1731" s="385"/>
    </row>
    <row r="1732">
      <c r="A1732" s="384" t="s">
        <v>86</v>
      </c>
      <c r="B1732" s="384" t="s">
        <v>261</v>
      </c>
      <c r="C1732" s="389">
        <v>2.5</v>
      </c>
      <c r="D1732" s="389">
        <v>2.5</v>
      </c>
      <c r="E1732" s="384" t="s">
        <v>260</v>
      </c>
      <c r="F1732" s="389"/>
      <c r="G1732" s="389"/>
      <c r="T1732" s="384" t="str">
        <f>IFERROR(__xludf.DUMMYFUNCTION("""COMPUTED_VALUE"""),"Ketamin")</f>
        <v>Ketamin</v>
      </c>
      <c r="U1732" s="385"/>
      <c r="W1732" s="384" t="str">
        <f>IFERROR(__xludf.DUMMYFUNCTION("""COMPUTED_VALUE"""),"Андерсен")</f>
        <v>Андерсен</v>
      </c>
      <c r="X1732" s="385"/>
    </row>
    <row r="1733">
      <c r="A1733" s="384" t="s">
        <v>93</v>
      </c>
      <c r="B1733" s="384" t="s">
        <v>269</v>
      </c>
      <c r="C1733" s="389">
        <v>2.5</v>
      </c>
      <c r="D1733" s="389">
        <v>4.5</v>
      </c>
      <c r="E1733" s="384"/>
      <c r="F1733" s="389"/>
      <c r="G1733" s="389"/>
      <c r="T1733" s="384" t="str">
        <f>IFERROR(__xludf.DUMMYFUNCTION("""COMPUTED_VALUE"""),"Morti")</f>
        <v>Morti</v>
      </c>
      <c r="U1733" s="385"/>
      <c r="W1733" s="384" t="str">
        <f>IFERROR(__xludf.DUMMYFUNCTION("""COMPUTED_VALUE"""),"Артик")</f>
        <v>Артик</v>
      </c>
      <c r="X1733" s="385"/>
    </row>
    <row r="1734">
      <c r="A1734" s="384" t="s">
        <v>115</v>
      </c>
      <c r="B1734" s="384" t="s">
        <v>265</v>
      </c>
      <c r="C1734" s="389">
        <v>2.5</v>
      </c>
      <c r="D1734" s="389">
        <v>4.0</v>
      </c>
      <c r="E1734" s="384"/>
      <c r="F1734" s="389"/>
      <c r="G1734" s="389"/>
      <c r="T1734" s="384" t="str">
        <f>IFERROR(__xludf.DUMMYFUNCTION("""COMPUTED_VALUE"""),"MSR")</f>
        <v>MSR</v>
      </c>
      <c r="U1734" s="385"/>
      <c r="W1734" s="384" t="str">
        <f>IFERROR(__xludf.DUMMYFUNCTION("""COMPUTED_VALUE"""),"Астория")</f>
        <v>Астория</v>
      </c>
      <c r="X1734" s="385"/>
    </row>
    <row r="1735">
      <c r="A1735" s="384" t="s">
        <v>132</v>
      </c>
      <c r="B1735" s="384" t="s">
        <v>261</v>
      </c>
      <c r="C1735" s="389"/>
      <c r="D1735" s="389">
        <v>2.0</v>
      </c>
      <c r="E1735" s="384"/>
      <c r="F1735" s="389"/>
      <c r="G1735" s="389"/>
      <c r="T1735" s="384" t="str">
        <f>IFERROR(__xludf.DUMMYFUNCTION("""COMPUTED_VALUE"""),"NLIP")</f>
        <v>NLIP</v>
      </c>
      <c r="U1735" s="385"/>
      <c r="W1735" s="384" t="str">
        <f>IFERROR(__xludf.DUMMYFUNCTION("""COMPUTED_VALUE"""),"Аш")</f>
        <v>Аш</v>
      </c>
      <c r="X1735" s="385"/>
    </row>
    <row r="1736">
      <c r="A1736" s="384" t="s">
        <v>103</v>
      </c>
      <c r="B1736" s="384" t="s">
        <v>261</v>
      </c>
      <c r="C1736" s="389"/>
      <c r="D1736" s="389">
        <v>3.0</v>
      </c>
      <c r="E1736" s="384"/>
      <c r="F1736" s="389"/>
      <c r="G1736" s="389"/>
      <c r="T1736" s="384" t="str">
        <f>IFERROR(__xludf.DUMMYFUNCTION("""COMPUTED_VALUE"""),"Rocket woman ")</f>
        <v>Rocket woman </v>
      </c>
      <c r="U1736" s="385"/>
      <c r="W1736" s="384" t="str">
        <f>IFERROR(__xludf.DUMMYFUNCTION("""COMPUTED_VALUE"""),"Бамблби")</f>
        <v>Бамблби</v>
      </c>
      <c r="X1736" s="385"/>
    </row>
    <row r="1737">
      <c r="A1737" s="384" t="s">
        <v>127</v>
      </c>
      <c r="B1737" s="384" t="s">
        <v>269</v>
      </c>
      <c r="C1737" s="389">
        <v>2.5</v>
      </c>
      <c r="D1737" s="389">
        <v>4.0</v>
      </c>
      <c r="E1737" s="384" t="s">
        <v>260</v>
      </c>
      <c r="F1737" s="389"/>
      <c r="G1737" s="389"/>
      <c r="T1737" s="384" t="str">
        <f>IFERROR(__xludf.DUMMYFUNCTION("""COMPUTED_VALUE"""),"SCHOKK ")</f>
        <v>SCHOKK </v>
      </c>
      <c r="U1737" s="385"/>
      <c r="W1737" s="384" t="str">
        <f>IFERROR(__xludf.DUMMYFUNCTION("""COMPUTED_VALUE"""),"Волга")</f>
        <v>Волга</v>
      </c>
      <c r="X1737" s="385"/>
    </row>
    <row r="1738">
      <c r="A1738" s="384" t="s">
        <v>81</v>
      </c>
      <c r="B1738" s="384" t="s">
        <v>261</v>
      </c>
      <c r="C1738" s="389"/>
      <c r="D1738" s="389">
        <v>2.25</v>
      </c>
      <c r="E1738" s="384" t="s">
        <v>263</v>
      </c>
      <c r="F1738" s="389"/>
      <c r="G1738" s="389"/>
      <c r="T1738" s="384" t="str">
        <f>IFERROR(__xludf.DUMMYFUNCTION("""COMPUTED_VALUE"""),"SOVEST")</f>
        <v>SOVEST</v>
      </c>
      <c r="U1738" s="385"/>
      <c r="W1738" s="384" t="str">
        <f>IFERROR(__xludf.DUMMYFUNCTION("""COMPUTED_VALUE"""),"Градиент")</f>
        <v>Градиент</v>
      </c>
      <c r="X1738" s="385"/>
    </row>
    <row r="1739">
      <c r="A1739" s="384" t="s">
        <v>120</v>
      </c>
      <c r="B1739" s="384" t="s">
        <v>261</v>
      </c>
      <c r="C1739" s="389"/>
      <c r="D1739" s="389">
        <v>1.5</v>
      </c>
      <c r="E1739" s="384"/>
      <c r="F1739" s="389"/>
      <c r="G1739" s="389"/>
      <c r="T1739" s="384" t="str">
        <f>IFERROR(__xludf.DUMMYFUNCTION("""COMPUTED_VALUE"""),"Stacy")</f>
        <v>Stacy</v>
      </c>
      <c r="U1739" s="385"/>
      <c r="W1739" s="384" t="str">
        <f>IFERROR(__xludf.DUMMYFUNCTION("""COMPUTED_VALUE"""),"Дровосек")</f>
        <v>Дровосек</v>
      </c>
      <c r="X1739" s="385"/>
    </row>
    <row r="1740">
      <c r="A1740" s="384" t="s">
        <v>88</v>
      </c>
      <c r="B1740" s="384" t="s">
        <v>271</v>
      </c>
      <c r="C1740" s="389"/>
      <c r="D1740" s="389">
        <v>2.25</v>
      </c>
      <c r="E1740" s="384"/>
      <c r="F1740" s="389"/>
      <c r="G1740" s="389"/>
      <c r="T1740" s="384" t="str">
        <f>IFERROR(__xludf.DUMMYFUNCTION("""COMPUTED_VALUE"""),"WhoIsWho")</f>
        <v>WhoIsWho</v>
      </c>
      <c r="U1740" s="385"/>
      <c r="W1740" s="384" t="str">
        <f>IFERROR(__xludf.DUMMYFUNCTION("""COMPUTED_VALUE"""),"Инсомнич")</f>
        <v>Инсомнич</v>
      </c>
      <c r="X1740" s="385"/>
    </row>
    <row r="1741">
      <c r="A1741" s="384" t="s">
        <v>138</v>
      </c>
      <c r="B1741" s="384" t="s">
        <v>261</v>
      </c>
      <c r="C1741" s="389"/>
      <c r="D1741" s="389">
        <v>3.0</v>
      </c>
      <c r="E1741" s="384" t="s">
        <v>11</v>
      </c>
      <c r="F1741" s="389"/>
      <c r="G1741" s="389">
        <v>0.5</v>
      </c>
      <c r="T1741" s="384" t="str">
        <f>IFERROR(__xludf.DUMMYFUNCTION("""COMPUTED_VALUE"""),"Young")</f>
        <v>Young</v>
      </c>
      <c r="U1741" s="385"/>
      <c r="W1741" s="384" t="str">
        <f>IFERROR(__xludf.DUMMYFUNCTION("""COMPUTED_VALUE"""),"Красавчик")</f>
        <v>Красавчик</v>
      </c>
      <c r="X1741" s="385"/>
    </row>
    <row r="1742">
      <c r="A1742" s="384" t="s">
        <v>86</v>
      </c>
      <c r="B1742" s="384" t="s">
        <v>261</v>
      </c>
      <c r="C1742" s="389"/>
      <c r="D1742" s="389">
        <v>1.5</v>
      </c>
      <c r="E1742" s="384" t="s">
        <v>263</v>
      </c>
      <c r="F1742" s="389"/>
      <c r="G1742" s="389"/>
      <c r="T1742" s="384" t="str">
        <f>IFERROR(__xludf.DUMMYFUNCTION("QUERY('Турнирная таблица по Алфавиту'!C7:BG66,""select C,AW order by AW desc"")"),"Bublik")</f>
        <v>Bublik</v>
      </c>
      <c r="U1742" s="385">
        <f>IFERROR(__xludf.DUMMYFUNCTION("""COMPUTED_VALUE"""),25.75)</f>
        <v>25.75</v>
      </c>
      <c r="W1742" s="384" t="str">
        <f>IFERROR(__xludf.DUMMYFUNCTION("""COMPUTED_VALUE"""),"Крестный отец (BLR)")</f>
        <v>Крестный отец (BLR)</v>
      </c>
      <c r="X1742" s="385"/>
    </row>
    <row r="1743">
      <c r="A1743" s="384" t="s">
        <v>93</v>
      </c>
      <c r="B1743" s="384" t="s">
        <v>261</v>
      </c>
      <c r="C1743" s="389">
        <v>2.5</v>
      </c>
      <c r="D1743" s="389">
        <v>3.75</v>
      </c>
      <c r="E1743" s="384"/>
      <c r="F1743" s="389"/>
      <c r="G1743" s="389"/>
      <c r="T1743" s="384" t="str">
        <f>IFERROR(__xludf.DUMMYFUNCTION("""COMPUTED_VALUE"""),"GALAY")</f>
        <v>GALAY</v>
      </c>
      <c r="U1743" s="385">
        <f>IFERROR(__xludf.DUMMYFUNCTION("""COMPUTED_VALUE"""),23.5)</f>
        <v>23.5</v>
      </c>
      <c r="W1743" s="384" t="str">
        <f>IFERROR(__xludf.DUMMYFUNCTION("""COMPUTED_VALUE"""),"Крёстный Отец (RU)")</f>
        <v>Крёстный Отец (RU)</v>
      </c>
      <c r="X1743" s="385"/>
    </row>
    <row r="1744">
      <c r="A1744" s="384" t="s">
        <v>115</v>
      </c>
      <c r="B1744" s="384" t="s">
        <v>271</v>
      </c>
      <c r="C1744" s="389">
        <v>2.5</v>
      </c>
      <c r="D1744" s="389">
        <v>2.5</v>
      </c>
      <c r="E1744" s="384"/>
      <c r="F1744" s="389"/>
      <c r="G1744" s="389"/>
      <c r="T1744" s="384" t="str">
        <f>IFERROR(__xludf.DUMMYFUNCTION("""COMPUTED_VALUE"""),"Крестный отец (BLR)")</f>
        <v>Крестный отец (BLR)</v>
      </c>
      <c r="U1744" s="385">
        <f>IFERROR(__xludf.DUMMYFUNCTION("""COMPUTED_VALUE"""),22.25)</f>
        <v>22.25</v>
      </c>
      <c r="W1744" s="384" t="str">
        <f>IFERROR(__xludf.DUMMYFUNCTION("""COMPUTED_VALUE"""),"Крот")</f>
        <v>Крот</v>
      </c>
      <c r="X1744" s="385"/>
    </row>
    <row r="1745">
      <c r="A1745" s="384" t="s">
        <v>132</v>
      </c>
      <c r="B1745" s="384" t="s">
        <v>265</v>
      </c>
      <c r="C1745" s="389"/>
      <c r="D1745" s="389">
        <v>1.0</v>
      </c>
      <c r="E1745" s="384"/>
      <c r="F1745" s="389"/>
      <c r="G1745" s="389"/>
      <c r="T1745" s="384" t="str">
        <f>IFERROR(__xludf.DUMMYFUNCTION("""COMPUTED_VALUE"""),"SOVEST")</f>
        <v>SOVEST</v>
      </c>
      <c r="U1745" s="385">
        <f>IFERROR(__xludf.DUMMYFUNCTION("""COMPUTED_VALUE"""),19.5)</f>
        <v>19.5</v>
      </c>
      <c r="W1745" s="384" t="str">
        <f>IFERROR(__xludf.DUMMYFUNCTION("""COMPUTED_VALUE"""),"Лисичка")</f>
        <v>Лисичка</v>
      </c>
      <c r="X1745" s="385"/>
    </row>
    <row r="1746">
      <c r="A1746" s="384" t="s">
        <v>103</v>
      </c>
      <c r="B1746" s="384" t="s">
        <v>261</v>
      </c>
      <c r="C1746" s="389">
        <v>2.5</v>
      </c>
      <c r="D1746" s="389">
        <v>2.75</v>
      </c>
      <c r="E1746" s="384"/>
      <c r="F1746" s="389"/>
      <c r="G1746" s="389"/>
      <c r="T1746" s="384" t="str">
        <f>IFERROR(__xludf.DUMMYFUNCTION("""COMPUTED_VALUE"""),"СЭНСЭЙ")</f>
        <v>СЭНСЭЙ</v>
      </c>
      <c r="U1746" s="385">
        <f>IFERROR(__xludf.DUMMYFUNCTION("""COMPUTED_VALUE"""),18.75)</f>
        <v>18.75</v>
      </c>
      <c r="W1746" s="384" t="str">
        <f>IFERROR(__xludf.DUMMYFUNCTION("""COMPUTED_VALUE"""),"Маваши")</f>
        <v>Маваши</v>
      </c>
      <c r="X1746" s="385"/>
    </row>
    <row r="1747">
      <c r="A1747" s="384" t="s">
        <v>127</v>
      </c>
      <c r="B1747" s="384" t="s">
        <v>269</v>
      </c>
      <c r="C1747" s="389"/>
      <c r="D1747" s="389">
        <v>2.5</v>
      </c>
      <c r="E1747" s="384"/>
      <c r="F1747" s="389"/>
      <c r="G1747" s="389"/>
      <c r="T1747" s="384" t="str">
        <f>IFERROR(__xludf.DUMMYFUNCTION("""COMPUTED_VALUE"""),"Аш")</f>
        <v>Аш</v>
      </c>
      <c r="U1747" s="385">
        <f>IFERROR(__xludf.DUMMYFUNCTION("""COMPUTED_VALUE"""),17.25)</f>
        <v>17.25</v>
      </c>
      <c r="W1747" s="384" t="str">
        <f>IFERROR(__xludf.DUMMYFUNCTION("""COMPUTED_VALUE"""),"Манекен")</f>
        <v>Манекен</v>
      </c>
      <c r="X1747" s="385"/>
    </row>
    <row r="1748">
      <c r="A1748" s="384" t="s">
        <v>81</v>
      </c>
      <c r="B1748" s="384" t="s">
        <v>261</v>
      </c>
      <c r="C1748" s="389">
        <v>2.5</v>
      </c>
      <c r="D1748" s="389">
        <v>2.5</v>
      </c>
      <c r="E1748" s="384"/>
      <c r="F1748" s="389"/>
      <c r="G1748" s="389"/>
      <c r="T1748" s="384" t="str">
        <f>IFERROR(__xludf.DUMMYFUNCTION("""COMPUTED_VALUE"""),"Наполеон")</f>
        <v>Наполеон</v>
      </c>
      <c r="U1748" s="385">
        <f>IFERROR(__xludf.DUMMYFUNCTION("""COMPUTED_VALUE"""),16.0)</f>
        <v>16</v>
      </c>
      <c r="W1748" s="384" t="str">
        <f>IFERROR(__xludf.DUMMYFUNCTION("""COMPUTED_VALUE"""),"Марго")</f>
        <v>Марго</v>
      </c>
      <c r="X1748" s="385"/>
    </row>
    <row r="1749">
      <c r="A1749" s="384" t="s">
        <v>120</v>
      </c>
      <c r="B1749" s="384" t="s">
        <v>261</v>
      </c>
      <c r="C1749" s="389">
        <v>2.5</v>
      </c>
      <c r="D1749" s="389">
        <v>3.5</v>
      </c>
      <c r="E1749" s="384"/>
      <c r="F1749" s="389"/>
      <c r="G1749" s="389"/>
      <c r="T1749" s="384" t="str">
        <f>IFERROR(__xludf.DUMMYFUNCTION("""COMPUTED_VALUE"""),"Helga")</f>
        <v>Helga</v>
      </c>
      <c r="U1749" s="385">
        <f>IFERROR(__xludf.DUMMYFUNCTION("""COMPUTED_VALUE"""),15.75)</f>
        <v>15.75</v>
      </c>
      <c r="W1749" s="384" t="str">
        <f>IFERROR(__xludf.DUMMYFUNCTION("""COMPUTED_VALUE"""),"Ментик")</f>
        <v>Ментик</v>
      </c>
      <c r="X1749" s="385"/>
    </row>
    <row r="1750">
      <c r="A1750" s="384" t="s">
        <v>88</v>
      </c>
      <c r="B1750" s="384" t="s">
        <v>261</v>
      </c>
      <c r="C1750" s="389">
        <v>2.5</v>
      </c>
      <c r="D1750" s="389">
        <v>1.0</v>
      </c>
      <c r="E1750" s="384" t="s">
        <v>11</v>
      </c>
      <c r="F1750" s="389"/>
      <c r="G1750" s="389">
        <v>0.5</v>
      </c>
      <c r="T1750" s="384" t="str">
        <f>IFERROR(__xludf.DUMMYFUNCTION("""COMPUTED_VALUE"""),"Градиент")</f>
        <v>Градиент</v>
      </c>
      <c r="U1750" s="385">
        <f>IFERROR(__xludf.DUMMYFUNCTION("""COMPUTED_VALUE"""),14.5)</f>
        <v>14.5</v>
      </c>
      <c r="W1750" s="384" t="str">
        <f>IFERROR(__xludf.DUMMYFUNCTION("""COMPUTED_VALUE"""),"Мишель ")</f>
        <v>Мишель </v>
      </c>
      <c r="X1750" s="385"/>
    </row>
    <row r="1751">
      <c r="A1751" s="384" t="s">
        <v>138</v>
      </c>
      <c r="B1751" s="384" t="s">
        <v>269</v>
      </c>
      <c r="C1751" s="389"/>
      <c r="D1751" s="389">
        <v>2.5</v>
      </c>
      <c r="E1751" s="384"/>
      <c r="F1751" s="389"/>
      <c r="G1751" s="389"/>
      <c r="T1751" s="384" t="str">
        <f>IFERROR(__xludf.DUMMYFUNCTION("""COMPUTED_VALUE"""),"Админ")</f>
        <v>Админ</v>
      </c>
      <c r="U1751" s="385">
        <f>IFERROR(__xludf.DUMMYFUNCTION("""COMPUTED_VALUE"""),14.0)</f>
        <v>14</v>
      </c>
      <c r="W1751" s="384" t="str">
        <f>IFERROR(__xludf.DUMMYFUNCTION("""COMPUTED_VALUE"""),"Наполеон")</f>
        <v>Наполеон</v>
      </c>
      <c r="X1751" s="385"/>
    </row>
    <row r="1752">
      <c r="A1752" s="384" t="s">
        <v>86</v>
      </c>
      <c r="B1752" s="384" t="s">
        <v>261</v>
      </c>
      <c r="C1752" s="389">
        <v>2.5</v>
      </c>
      <c r="D1752" s="389">
        <v>2.5</v>
      </c>
      <c r="E1752" s="384"/>
      <c r="F1752" s="389"/>
      <c r="G1752" s="389"/>
      <c r="T1752" s="384" t="str">
        <f>IFERROR(__xludf.DUMMYFUNCTION("""COMPUTED_VALUE"""),"Авраам")</f>
        <v>Авраам</v>
      </c>
      <c r="U1752" s="385"/>
      <c r="W1752" s="384" t="str">
        <f>IFERROR(__xludf.DUMMYFUNCTION("""COMPUTED_VALUE"""),"Панда из Руанды")</f>
        <v>Панда из Руанды</v>
      </c>
      <c r="X1752" s="385"/>
    </row>
    <row r="1753">
      <c r="A1753" s="384" t="s">
        <v>110</v>
      </c>
      <c r="B1753" s="384" t="s">
        <v>261</v>
      </c>
      <c r="C1753" s="389">
        <v>2.5</v>
      </c>
      <c r="D1753" s="389">
        <v>3.5</v>
      </c>
      <c r="E1753" s="384" t="s">
        <v>260</v>
      </c>
      <c r="F1753" s="389"/>
      <c r="G1753" s="389"/>
      <c r="T1753" s="384" t="str">
        <f>IFERROR(__xludf.DUMMYFUNCTION("""COMPUTED_VALUE"""),"Андерсен")</f>
        <v>Андерсен</v>
      </c>
      <c r="U1753" s="385"/>
      <c r="W1753" s="384" t="str">
        <f>IFERROR(__xludf.DUMMYFUNCTION("""COMPUTED_VALUE"""),"Писатель ")</f>
        <v>Писатель </v>
      </c>
      <c r="X1753" s="385"/>
    </row>
    <row r="1754">
      <c r="A1754" s="384" t="s">
        <v>85</v>
      </c>
      <c r="B1754" s="384" t="s">
        <v>261</v>
      </c>
      <c r="C1754" s="389">
        <v>2.5</v>
      </c>
      <c r="D1754" s="389">
        <v>3.5</v>
      </c>
      <c r="E1754" s="384"/>
      <c r="F1754" s="389"/>
      <c r="G1754" s="389"/>
      <c r="T1754" s="384" t="str">
        <f>IFERROR(__xludf.DUMMYFUNCTION("""COMPUTED_VALUE"""),"Артик")</f>
        <v>Артик</v>
      </c>
      <c r="U1754" s="385"/>
      <c r="W1754" s="384" t="str">
        <f>IFERROR(__xludf.DUMMYFUNCTION("""COMPUTED_VALUE"""),"Правда ")</f>
        <v>Правда </v>
      </c>
      <c r="X1754" s="385"/>
    </row>
    <row r="1755">
      <c r="A1755" s="384" t="s">
        <v>82</v>
      </c>
      <c r="B1755" s="384" t="s">
        <v>269</v>
      </c>
      <c r="C1755" s="389"/>
      <c r="D1755" s="389">
        <v>2.5</v>
      </c>
      <c r="E1755" s="384"/>
      <c r="F1755" s="389"/>
      <c r="G1755" s="389"/>
      <c r="T1755" s="384" t="str">
        <f>IFERROR(__xludf.DUMMYFUNCTION("""COMPUTED_VALUE"""),"Астория")</f>
        <v>Астория</v>
      </c>
      <c r="U1755" s="385"/>
      <c r="W1755" s="384" t="str">
        <f>IFERROR(__xludf.DUMMYFUNCTION("""COMPUTED_VALUE"""),"РФ")</f>
        <v>РФ</v>
      </c>
      <c r="X1755" s="385"/>
    </row>
    <row r="1756">
      <c r="A1756" s="384" t="s">
        <v>104</v>
      </c>
      <c r="B1756" s="384" t="s">
        <v>261</v>
      </c>
      <c r="C1756" s="389">
        <v>2.5</v>
      </c>
      <c r="D1756" s="389">
        <v>3.25</v>
      </c>
      <c r="E1756" s="384" t="s">
        <v>260</v>
      </c>
      <c r="F1756" s="389"/>
      <c r="G1756" s="389"/>
      <c r="T1756" s="384" t="str">
        <f>IFERROR(__xludf.DUMMYFUNCTION("""COMPUTED_VALUE"""),"Бамблби")</f>
        <v>Бамблби</v>
      </c>
      <c r="U1756" s="385"/>
      <c r="W1756" s="384" t="str">
        <f>IFERROR(__xludf.DUMMYFUNCTION("""COMPUTED_VALUE"""),"Старый")</f>
        <v>Старый</v>
      </c>
      <c r="X1756" s="385"/>
    </row>
    <row r="1757">
      <c r="A1757" s="384" t="s">
        <v>106</v>
      </c>
      <c r="B1757" s="384" t="s">
        <v>269</v>
      </c>
      <c r="C1757" s="389"/>
      <c r="D1757" s="389">
        <v>2.25</v>
      </c>
      <c r="E1757" s="384"/>
      <c r="F1757" s="389"/>
      <c r="G1757" s="389"/>
      <c r="T1757" s="384" t="str">
        <f>IFERROR(__xludf.DUMMYFUNCTION("""COMPUTED_VALUE"""),"Волга")</f>
        <v>Волга</v>
      </c>
      <c r="U1757" s="385"/>
      <c r="W1757" s="384" t="str">
        <f>IFERROR(__xludf.DUMMYFUNCTION("""COMPUTED_VALUE"""),"СЭНСЭЙ")</f>
        <v>СЭНСЭЙ</v>
      </c>
      <c r="X1757" s="385"/>
    </row>
    <row r="1758">
      <c r="A1758" s="384" t="s">
        <v>99</v>
      </c>
      <c r="B1758" s="384" t="s">
        <v>271</v>
      </c>
      <c r="C1758" s="389">
        <v>2.5</v>
      </c>
      <c r="D1758" s="389">
        <v>4.0</v>
      </c>
      <c r="E1758" s="384" t="s">
        <v>260</v>
      </c>
      <c r="F1758" s="389"/>
      <c r="G1758" s="389"/>
      <c r="T1758" s="384" t="str">
        <f>IFERROR(__xludf.DUMMYFUNCTION("""COMPUTED_VALUE"""),"Дровосек")</f>
        <v>Дровосек</v>
      </c>
      <c r="U1758" s="385"/>
      <c r="W1758" s="384" t="str">
        <f>IFERROR(__xludf.DUMMYFUNCTION("""COMPUTED_VALUE"""),"Coach")</f>
        <v>Coach</v>
      </c>
      <c r="X1758" s="385"/>
    </row>
    <row r="1759">
      <c r="A1759" s="384" t="s">
        <v>93</v>
      </c>
      <c r="B1759" s="384" t="s">
        <v>261</v>
      </c>
      <c r="C1759" s="389">
        <v>2.5</v>
      </c>
      <c r="D1759" s="389">
        <v>3.5</v>
      </c>
      <c r="E1759" s="384"/>
      <c r="F1759" s="389"/>
      <c r="G1759" s="389"/>
      <c r="T1759" s="384" t="str">
        <f>IFERROR(__xludf.DUMMYFUNCTION("""COMPUTED_VALUE"""),"Зверюга")</f>
        <v>Зверюга</v>
      </c>
      <c r="U1759" s="385"/>
      <c r="W1759" s="384" t="str">
        <f>IFERROR(__xludf.DUMMYFUNCTION("""COMPUTED_VALUE"""),"Тихий закат")</f>
        <v>Тихий закат</v>
      </c>
      <c r="X1759" s="385"/>
    </row>
    <row r="1760">
      <c r="A1760" s="384" t="s">
        <v>79</v>
      </c>
      <c r="B1760" s="384" t="s">
        <v>261</v>
      </c>
      <c r="C1760" s="389">
        <v>2.5</v>
      </c>
      <c r="D1760" s="389">
        <v>2.75</v>
      </c>
      <c r="E1760" s="384" t="s">
        <v>11</v>
      </c>
      <c r="F1760" s="389"/>
      <c r="G1760" s="389">
        <v>0.5</v>
      </c>
      <c r="T1760" s="384" t="str">
        <f>IFERROR(__xludf.DUMMYFUNCTION("""COMPUTED_VALUE"""),"Инсомнич")</f>
        <v>Инсомнич</v>
      </c>
      <c r="U1760" s="385"/>
      <c r="W1760" s="384" t="str">
        <f>IFERROR(__xludf.DUMMYFUNCTION("""COMPUTED_VALUE"""),"Физик")</f>
        <v>Физик</v>
      </c>
      <c r="X1760" s="385"/>
    </row>
    <row r="1761">
      <c r="A1761" s="384" t="s">
        <v>115</v>
      </c>
      <c r="B1761" s="384" t="s">
        <v>261</v>
      </c>
      <c r="C1761" s="389">
        <v>2.5</v>
      </c>
      <c r="D1761" s="389">
        <v>3.75</v>
      </c>
      <c r="E1761" s="384"/>
      <c r="F1761" s="389"/>
      <c r="G1761" s="389"/>
      <c r="T1761" s="384" t="str">
        <f>IFERROR(__xludf.DUMMYFUNCTION("""COMPUTED_VALUE"""),"Красавчик")</f>
        <v>Красавчик</v>
      </c>
      <c r="U1761" s="385"/>
      <c r="W1761" s="384" t="str">
        <f>IFERROR(__xludf.DUMMYFUNCTION("""COMPUTED_VALUE"""),"Фокс")</f>
        <v>Фокс</v>
      </c>
      <c r="X1761" s="385"/>
    </row>
    <row r="1762">
      <c r="A1762" s="384" t="s">
        <v>88</v>
      </c>
      <c r="B1762" s="384" t="s">
        <v>265</v>
      </c>
      <c r="C1762" s="389"/>
      <c r="D1762" s="389">
        <v>1.75</v>
      </c>
      <c r="E1762" s="384" t="s">
        <v>263</v>
      </c>
      <c r="F1762" s="389"/>
      <c r="G1762" s="389"/>
      <c r="T1762" s="384" t="str">
        <f>IFERROR(__xludf.DUMMYFUNCTION("""COMPUTED_VALUE"""),"Крёстный Отец (RU)")</f>
        <v>Крёстный Отец (RU)</v>
      </c>
      <c r="U1762" s="385"/>
      <c r="W1762" s="384" t="str">
        <f>IFERROR(__xludf.DUMMYFUNCTION("""COMPUTED_VALUE"""),"Шоу Бой")</f>
        <v>Шоу Бой</v>
      </c>
      <c r="X1762" s="385"/>
    </row>
    <row r="1763">
      <c r="A1763" s="384" t="s">
        <v>110</v>
      </c>
      <c r="B1763" s="384" t="s">
        <v>265</v>
      </c>
      <c r="C1763" s="389">
        <v>2.5</v>
      </c>
      <c r="D1763" s="389">
        <v>4.0</v>
      </c>
      <c r="E1763" s="384"/>
      <c r="F1763" s="389"/>
      <c r="G1763" s="389"/>
      <c r="T1763" s="384" t="str">
        <f>IFERROR(__xludf.DUMMYFUNCTION("""COMPUTED_VALUE"""),"Крот")</f>
        <v>Крот</v>
      </c>
      <c r="U1763" s="385"/>
      <c r="W1763" s="384" t="str">
        <f>IFERROR(__xludf.DUMMYFUNCTION("""COMPUTED_VALUE"""),"Шпиц")</f>
        <v>Шпиц</v>
      </c>
      <c r="X1763" s="385"/>
    </row>
    <row r="1764">
      <c r="A1764" s="384" t="s">
        <v>85</v>
      </c>
      <c r="B1764" s="384" t="s">
        <v>261</v>
      </c>
      <c r="C1764" s="389"/>
      <c r="D1764" s="389">
        <v>1.75</v>
      </c>
      <c r="E1764" s="384"/>
      <c r="F1764" s="389"/>
      <c r="G1764" s="389"/>
      <c r="T1764" s="384" t="str">
        <f>IFERROR(__xludf.DUMMYFUNCTION("""COMPUTED_VALUE"""),"Левша")</f>
        <v>Левша</v>
      </c>
      <c r="U1764" s="385"/>
      <c r="W1764" s="384" t="str">
        <f>IFERROR(__xludf.DUMMYFUNCTION("""COMPUTED_VALUE"""),"Юрия")</f>
        <v>Юрия</v>
      </c>
      <c r="X1764" s="385"/>
    </row>
    <row r="1765">
      <c r="A1765" s="384" t="s">
        <v>82</v>
      </c>
      <c r="B1765" s="384" t="s">
        <v>269</v>
      </c>
      <c r="C1765" s="389">
        <v>2.5</v>
      </c>
      <c r="D1765" s="389">
        <v>3.75</v>
      </c>
      <c r="E1765" s="384"/>
      <c r="F1765" s="389"/>
      <c r="G1765" s="389"/>
      <c r="T1765" s="384" t="str">
        <f>IFERROR(__xludf.DUMMYFUNCTION("""COMPUTED_VALUE"""),"Лисичка")</f>
        <v>Лисичка</v>
      </c>
      <c r="U1765" s="385"/>
      <c r="W1765" s="384" t="str">
        <f>IFERROR(__xludf.DUMMYFUNCTION("""COMPUTED_VALUE"""),"A1 ")</f>
        <v>A1 </v>
      </c>
      <c r="X1765" s="385"/>
    </row>
    <row r="1766">
      <c r="A1766" s="384" t="s">
        <v>104</v>
      </c>
      <c r="B1766" s="384" t="s">
        <v>261</v>
      </c>
      <c r="C1766" s="389"/>
      <c r="D1766" s="389">
        <v>2.0</v>
      </c>
      <c r="E1766" s="384"/>
      <c r="F1766" s="389"/>
      <c r="G1766" s="389"/>
      <c r="T1766" s="384" t="str">
        <f>IFERROR(__xludf.DUMMYFUNCTION("""COMPUTED_VALUE"""),"Маваши")</f>
        <v>Маваши</v>
      </c>
      <c r="U1766" s="385"/>
      <c r="W1766" s="384" t="str">
        <f>IFERROR(__xludf.DUMMYFUNCTION("""COMPUTED_VALUE"""),"Alice ")</f>
        <v>Alice </v>
      </c>
      <c r="X1766" s="385"/>
    </row>
    <row r="1767">
      <c r="A1767" s="384" t="s">
        <v>106</v>
      </c>
      <c r="B1767" s="384" t="s">
        <v>269</v>
      </c>
      <c r="C1767" s="389">
        <v>2.5</v>
      </c>
      <c r="D1767" s="389">
        <v>3.75</v>
      </c>
      <c r="E1767" s="384"/>
      <c r="F1767" s="389"/>
      <c r="G1767" s="389"/>
      <c r="T1767" s="384" t="str">
        <f>IFERROR(__xludf.DUMMYFUNCTION("""COMPUTED_VALUE"""),"Манекен")</f>
        <v>Манекен</v>
      </c>
      <c r="U1767" s="385"/>
      <c r="W1767" s="384" t="str">
        <f>IFERROR(__xludf.DUMMYFUNCTION("""COMPUTED_VALUE"""),"Bublik")</f>
        <v>Bublik</v>
      </c>
      <c r="X1767" s="385"/>
    </row>
    <row r="1768">
      <c r="A1768" s="384" t="s">
        <v>99</v>
      </c>
      <c r="B1768" s="384" t="s">
        <v>271</v>
      </c>
      <c r="C1768" s="389"/>
      <c r="D1768" s="389">
        <v>2.0</v>
      </c>
      <c r="E1768" s="384"/>
      <c r="F1768" s="389"/>
      <c r="G1768" s="389"/>
      <c r="T1768" s="384" t="str">
        <f>IFERROR(__xludf.DUMMYFUNCTION("""COMPUTED_VALUE"""),"Марго")</f>
        <v>Марго</v>
      </c>
      <c r="U1768" s="385"/>
      <c r="W1768" s="384" t="str">
        <f>IFERROR(__xludf.DUMMYFUNCTION("""COMPUTED_VALUE"""),"Cristo")</f>
        <v>Cristo</v>
      </c>
      <c r="X1768" s="385"/>
    </row>
    <row r="1769">
      <c r="A1769" s="384" t="s">
        <v>93</v>
      </c>
      <c r="B1769" s="384" t="s">
        <v>261</v>
      </c>
      <c r="C1769" s="389"/>
      <c r="D1769" s="389">
        <v>2.0</v>
      </c>
      <c r="E1769" s="384"/>
      <c r="F1769" s="389"/>
      <c r="G1769" s="389"/>
      <c r="T1769" s="384" t="str">
        <f>IFERROR(__xludf.DUMMYFUNCTION("""COMPUTED_VALUE"""),"Ментик")</f>
        <v>Ментик</v>
      </c>
      <c r="U1769" s="385"/>
      <c r="W1769" s="384" t="str">
        <f>IFERROR(__xludf.DUMMYFUNCTION("""COMPUTED_VALUE"""),"GALAY")</f>
        <v>GALAY</v>
      </c>
      <c r="X1769" s="385"/>
    </row>
    <row r="1770">
      <c r="A1770" s="384" t="s">
        <v>79</v>
      </c>
      <c r="B1770" s="384" t="s">
        <v>261</v>
      </c>
      <c r="C1770" s="389"/>
      <c r="D1770" s="389">
        <v>1.5</v>
      </c>
      <c r="E1770" s="384"/>
      <c r="F1770" s="389"/>
      <c r="G1770" s="389"/>
      <c r="T1770" s="384" t="str">
        <f>IFERROR(__xludf.DUMMYFUNCTION("""COMPUTED_VALUE"""),"Мишель ")</f>
        <v>Мишель </v>
      </c>
      <c r="U1770" s="385"/>
      <c r="W1770" s="384" t="str">
        <f>IFERROR(__xludf.DUMMYFUNCTION("""COMPUTED_VALUE"""),"Infinity ")</f>
        <v>Infinity </v>
      </c>
      <c r="X1770" s="385"/>
    </row>
    <row r="1771">
      <c r="A1771" s="384" t="s">
        <v>115</v>
      </c>
      <c r="B1771" s="384" t="s">
        <v>261</v>
      </c>
      <c r="C1771" s="389"/>
      <c r="D1771" s="389">
        <v>2.25</v>
      </c>
      <c r="E1771" s="384" t="s">
        <v>11</v>
      </c>
      <c r="F1771" s="389"/>
      <c r="G1771" s="389">
        <v>0.5</v>
      </c>
      <c r="T1771" s="384" t="str">
        <f>IFERROR(__xludf.DUMMYFUNCTION("""COMPUTED_VALUE"""),"Панда из Руанды")</f>
        <v>Панда из Руанды</v>
      </c>
      <c r="U1771" s="385"/>
      <c r="W1771" s="384" t="str">
        <f>IFERROR(__xludf.DUMMYFUNCTION("""COMPUTED_VALUE"""),"Ketamin")</f>
        <v>Ketamin</v>
      </c>
      <c r="X1771" s="385"/>
    </row>
    <row r="1772">
      <c r="A1772" s="384" t="s">
        <v>88</v>
      </c>
      <c r="B1772" s="384" t="s">
        <v>261</v>
      </c>
      <c r="C1772" s="389"/>
      <c r="D1772" s="389">
        <v>2.25</v>
      </c>
      <c r="E1772" s="384"/>
      <c r="F1772" s="389"/>
      <c r="G1772" s="389"/>
      <c r="T1772" s="384" t="str">
        <f>IFERROR(__xludf.DUMMYFUNCTION("""COMPUTED_VALUE"""),"Писатель ")</f>
        <v>Писатель </v>
      </c>
      <c r="U1772" s="385"/>
      <c r="W1772" s="384" t="str">
        <f>IFERROR(__xludf.DUMMYFUNCTION("""COMPUTED_VALUE"""),"Light")</f>
        <v>Light</v>
      </c>
      <c r="X1772" s="385"/>
    </row>
    <row r="1773">
      <c r="A1773" s="384" t="s">
        <v>110</v>
      </c>
      <c r="B1773" s="384" t="s">
        <v>271</v>
      </c>
      <c r="C1773" s="389"/>
      <c r="D1773" s="389">
        <v>3.0</v>
      </c>
      <c r="E1773" s="384"/>
      <c r="F1773" s="389"/>
      <c r="G1773" s="389"/>
      <c r="T1773" s="384" t="str">
        <f>IFERROR(__xludf.DUMMYFUNCTION("""COMPUTED_VALUE"""),"Правда ")</f>
        <v>Правда </v>
      </c>
      <c r="U1773" s="385"/>
      <c r="W1773" s="384" t="str">
        <f>IFERROR(__xludf.DUMMYFUNCTION("""COMPUTED_VALUE"""),"Morti")</f>
        <v>Morti</v>
      </c>
      <c r="X1773" s="385"/>
    </row>
    <row r="1774">
      <c r="A1774" s="384" t="s">
        <v>85</v>
      </c>
      <c r="B1774" s="384" t="s">
        <v>265</v>
      </c>
      <c r="C1774" s="389">
        <v>2.5</v>
      </c>
      <c r="D1774" s="389">
        <v>3.0</v>
      </c>
      <c r="E1774" s="384"/>
      <c r="F1774" s="389"/>
      <c r="G1774" s="389"/>
      <c r="T1774" s="384" t="str">
        <f>IFERROR(__xludf.DUMMYFUNCTION("""COMPUTED_VALUE"""),"Продюсер")</f>
        <v>Продюсер</v>
      </c>
      <c r="U1774" s="385"/>
      <c r="W1774" s="384" t="str">
        <f>IFERROR(__xludf.DUMMYFUNCTION("""COMPUTED_VALUE"""),"MSR")</f>
        <v>MSR</v>
      </c>
      <c r="X1774" s="385"/>
    </row>
    <row r="1775">
      <c r="A1775" s="384" t="s">
        <v>82</v>
      </c>
      <c r="B1775" s="384" t="s">
        <v>261</v>
      </c>
      <c r="C1775" s="389"/>
      <c r="D1775" s="389">
        <v>2.75</v>
      </c>
      <c r="E1775" s="384" t="s">
        <v>11</v>
      </c>
      <c r="F1775" s="389"/>
      <c r="G1775" s="389">
        <v>0.5</v>
      </c>
      <c r="T1775" s="384" t="str">
        <f>IFERROR(__xludf.DUMMYFUNCTION("""COMPUTED_VALUE"""),"РФ")</f>
        <v>РФ</v>
      </c>
      <c r="U1775" s="385"/>
      <c r="W1775" s="384" t="str">
        <f>IFERROR(__xludf.DUMMYFUNCTION("""COMPUTED_VALUE"""),"NLIP")</f>
        <v>NLIP</v>
      </c>
      <c r="X1775" s="385"/>
    </row>
    <row r="1776">
      <c r="A1776" s="384" t="s">
        <v>104</v>
      </c>
      <c r="B1776" s="384" t="s">
        <v>269</v>
      </c>
      <c r="C1776" s="389">
        <v>2.5</v>
      </c>
      <c r="D1776" s="389">
        <v>4.0</v>
      </c>
      <c r="E1776" s="384"/>
      <c r="F1776" s="389"/>
      <c r="G1776" s="389"/>
      <c r="T1776" s="384" t="str">
        <f>IFERROR(__xludf.DUMMYFUNCTION("""COMPUTED_VALUE"""),"Старый")</f>
        <v>Старый</v>
      </c>
      <c r="U1776" s="385"/>
      <c r="W1776" s="384" t="str">
        <f>IFERROR(__xludf.DUMMYFUNCTION("""COMPUTED_VALUE"""),"Rocket woman ")</f>
        <v>Rocket woman </v>
      </c>
      <c r="X1776" s="385"/>
    </row>
    <row r="1777">
      <c r="A1777" s="384" t="s">
        <v>106</v>
      </c>
      <c r="B1777" s="384" t="s">
        <v>261</v>
      </c>
      <c r="C1777" s="389"/>
      <c r="D1777" s="389">
        <v>3.0</v>
      </c>
      <c r="E1777" s="384"/>
      <c r="F1777" s="389"/>
      <c r="G1777" s="389"/>
      <c r="T1777" s="384" t="str">
        <f>IFERROR(__xludf.DUMMYFUNCTION("""COMPUTED_VALUE"""),"Coach")</f>
        <v>Coach</v>
      </c>
      <c r="U1777" s="385"/>
      <c r="W1777" s="384" t="str">
        <f>IFERROR(__xludf.DUMMYFUNCTION("""COMPUTED_VALUE"""),"SCHOKK ")</f>
        <v>SCHOKK </v>
      </c>
      <c r="X1777" s="385"/>
    </row>
    <row r="1778">
      <c r="A1778" s="384" t="s">
        <v>99</v>
      </c>
      <c r="B1778" s="384" t="s">
        <v>269</v>
      </c>
      <c r="C1778" s="389">
        <v>2.5</v>
      </c>
      <c r="D1778" s="389">
        <v>2.75</v>
      </c>
      <c r="E1778" s="384"/>
      <c r="F1778" s="389"/>
      <c r="G1778" s="389"/>
      <c r="T1778" s="384" t="str">
        <f>IFERROR(__xludf.DUMMYFUNCTION("""COMPUTED_VALUE"""),"Тихий закат")</f>
        <v>Тихий закат</v>
      </c>
      <c r="U1778" s="385"/>
      <c r="W1778" s="384" t="str">
        <f>IFERROR(__xludf.DUMMYFUNCTION("""COMPUTED_VALUE"""),"SOVEST")</f>
        <v>SOVEST</v>
      </c>
      <c r="X1778" s="385"/>
    </row>
    <row r="1779">
      <c r="A1779" s="384" t="s">
        <v>93</v>
      </c>
      <c r="B1779" s="384" t="s">
        <v>261</v>
      </c>
      <c r="C1779" s="389"/>
      <c r="D1779" s="389">
        <v>1.75</v>
      </c>
      <c r="E1779" s="384"/>
      <c r="F1779" s="389"/>
      <c r="G1779" s="389"/>
      <c r="T1779" s="384" t="str">
        <f>IFERROR(__xludf.DUMMYFUNCTION("""COMPUTED_VALUE"""),"Физик")</f>
        <v>Физик</v>
      </c>
      <c r="U1779" s="385"/>
      <c r="W1779" s="384" t="str">
        <f>IFERROR(__xludf.DUMMYFUNCTION("""COMPUTED_VALUE"""),"Stacy")</f>
        <v>Stacy</v>
      </c>
      <c r="X1779" s="385"/>
    </row>
    <row r="1780">
      <c r="A1780" s="384" t="s">
        <v>79</v>
      </c>
      <c r="B1780" s="384" t="s">
        <v>261</v>
      </c>
      <c r="C1780" s="389"/>
      <c r="D1780" s="389">
        <v>1.5</v>
      </c>
      <c r="E1780" s="384"/>
      <c r="F1780" s="389"/>
      <c r="G1780" s="389"/>
      <c r="T1780" s="384" t="str">
        <f>IFERROR(__xludf.DUMMYFUNCTION("""COMPUTED_VALUE"""),"Флэш")</f>
        <v>Флэш</v>
      </c>
      <c r="U1780" s="385"/>
      <c r="W1780" s="384" t="str">
        <f>IFERROR(__xludf.DUMMYFUNCTION("""COMPUTED_VALUE"""),"WhoIsWho")</f>
        <v>WhoIsWho</v>
      </c>
      <c r="X1780" s="385"/>
    </row>
    <row r="1781">
      <c r="A1781" s="384" t="s">
        <v>115</v>
      </c>
      <c r="B1781" s="384" t="s">
        <v>261</v>
      </c>
      <c r="C1781" s="389"/>
      <c r="D1781" s="389">
        <v>3.5</v>
      </c>
      <c r="E1781" s="384"/>
      <c r="F1781" s="389"/>
      <c r="G1781" s="389"/>
      <c r="T1781" s="384" t="str">
        <f>IFERROR(__xludf.DUMMYFUNCTION("""COMPUTED_VALUE"""),"Фокс")</f>
        <v>Фокс</v>
      </c>
      <c r="U1781" s="385"/>
      <c r="W1781" s="384" t="str">
        <f>IFERROR(__xludf.DUMMYFUNCTION("""COMPUTED_VALUE"""),"Young")</f>
        <v>Young</v>
      </c>
      <c r="X1781" s="385"/>
    </row>
    <row r="1782">
      <c r="A1782" s="384" t="s">
        <v>88</v>
      </c>
      <c r="B1782" s="384" t="s">
        <v>261</v>
      </c>
      <c r="C1782" s="389"/>
      <c r="D1782" s="389">
        <v>3.0</v>
      </c>
      <c r="E1782" s="384"/>
      <c r="F1782" s="389"/>
      <c r="G1782" s="389"/>
      <c r="T1782" s="384" t="str">
        <f>IFERROR(__xludf.DUMMYFUNCTION("""COMPUTED_VALUE"""),"Шоу Бой")</f>
        <v>Шоу Бой</v>
      </c>
      <c r="U1782" s="385"/>
      <c r="W1782" s="384" t="str">
        <f>IFERROR(__xludf.DUMMYFUNCTION("""COMPUTED_VALUE"""),"Авраам")</f>
        <v>Авраам</v>
      </c>
      <c r="X1782" s="385"/>
    </row>
    <row r="1783">
      <c r="A1783" s="384" t="s">
        <v>110</v>
      </c>
      <c r="B1783" s="384" t="s">
        <v>271</v>
      </c>
      <c r="C1783" s="389">
        <v>2.5</v>
      </c>
      <c r="D1783" s="389">
        <v>2.0</v>
      </c>
      <c r="E1783" s="384"/>
      <c r="F1783" s="389"/>
      <c r="G1783" s="389"/>
      <c r="T1783" s="384" t="str">
        <f>IFERROR(__xludf.DUMMYFUNCTION("""COMPUTED_VALUE"""),"Шпиц")</f>
        <v>Шпиц</v>
      </c>
      <c r="U1783" s="385"/>
      <c r="W1783" s="384" t="str">
        <f>IFERROR(__xludf.DUMMYFUNCTION("""COMPUTED_VALUE"""),"Андерсен")</f>
        <v>Андерсен</v>
      </c>
      <c r="X1783" s="385"/>
    </row>
    <row r="1784">
      <c r="A1784" s="384" t="s">
        <v>85</v>
      </c>
      <c r="B1784" s="384" t="s">
        <v>261</v>
      </c>
      <c r="C1784" s="389">
        <v>2.5</v>
      </c>
      <c r="D1784" s="389">
        <v>1.5</v>
      </c>
      <c r="E1784" s="384"/>
      <c r="F1784" s="389"/>
      <c r="G1784" s="389"/>
      <c r="T1784" s="384" t="str">
        <f>IFERROR(__xludf.DUMMYFUNCTION("""COMPUTED_VALUE"""),"Юрия")</f>
        <v>Юрия</v>
      </c>
      <c r="U1784" s="385"/>
      <c r="W1784" s="384" t="str">
        <f>IFERROR(__xludf.DUMMYFUNCTION("""COMPUTED_VALUE"""),"Артик")</f>
        <v>Артик</v>
      </c>
      <c r="X1784" s="385"/>
    </row>
    <row r="1785">
      <c r="A1785" s="384" t="s">
        <v>82</v>
      </c>
      <c r="B1785" s="384" t="s">
        <v>265</v>
      </c>
      <c r="C1785" s="389"/>
      <c r="D1785" s="389">
        <v>3.25</v>
      </c>
      <c r="E1785" s="384"/>
      <c r="F1785" s="389"/>
      <c r="G1785" s="389"/>
      <c r="T1785" s="384" t="str">
        <f>IFERROR(__xludf.DUMMYFUNCTION("""COMPUTED_VALUE"""),"A1 ")</f>
        <v>A1 </v>
      </c>
      <c r="U1785" s="385"/>
      <c r="W1785" s="384" t="str">
        <f>IFERROR(__xludf.DUMMYFUNCTION("""COMPUTED_VALUE"""),"Астория")</f>
        <v>Астория</v>
      </c>
      <c r="X1785" s="385"/>
    </row>
    <row r="1786">
      <c r="A1786" s="384" t="s">
        <v>104</v>
      </c>
      <c r="B1786" s="384" t="s">
        <v>261</v>
      </c>
      <c r="C1786" s="389">
        <v>2.5</v>
      </c>
      <c r="D1786" s="389">
        <v>3.5</v>
      </c>
      <c r="E1786" s="384" t="s">
        <v>260</v>
      </c>
      <c r="F1786" s="389" t="s">
        <v>282</v>
      </c>
      <c r="G1786" s="389"/>
      <c r="T1786" s="384" t="str">
        <f>IFERROR(__xludf.DUMMYFUNCTION("""COMPUTED_VALUE"""),"Alice ")</f>
        <v>Alice </v>
      </c>
      <c r="U1786" s="385"/>
      <c r="W1786" s="384" t="str">
        <f>IFERROR(__xludf.DUMMYFUNCTION("""COMPUTED_VALUE"""),"Аш")</f>
        <v>Аш</v>
      </c>
      <c r="X1786" s="385"/>
    </row>
    <row r="1787">
      <c r="A1787" s="384" t="s">
        <v>106</v>
      </c>
      <c r="B1787" s="384" t="s">
        <v>261</v>
      </c>
      <c r="C1787" s="389">
        <v>2.5</v>
      </c>
      <c r="D1787" s="389">
        <v>4.5</v>
      </c>
      <c r="E1787" s="384" t="s">
        <v>260</v>
      </c>
      <c r="F1787" s="389"/>
      <c r="G1787" s="389"/>
      <c r="T1787" s="384" t="str">
        <f>IFERROR(__xludf.DUMMYFUNCTION("""COMPUTED_VALUE"""),"BWDMoscow")</f>
        <v>BWDMoscow</v>
      </c>
      <c r="U1787" s="385"/>
      <c r="W1787" s="384" t="str">
        <f>IFERROR(__xludf.DUMMYFUNCTION("""COMPUTED_VALUE"""),"Бамблби")</f>
        <v>Бамблби</v>
      </c>
      <c r="X1787" s="385"/>
    </row>
    <row r="1788">
      <c r="A1788" s="384" t="s">
        <v>99</v>
      </c>
      <c r="B1788" s="384" t="s">
        <v>261</v>
      </c>
      <c r="C1788" s="389">
        <v>2.5</v>
      </c>
      <c r="D1788" s="389">
        <v>2.0</v>
      </c>
      <c r="E1788" s="384" t="s">
        <v>11</v>
      </c>
      <c r="F1788" s="389"/>
      <c r="G1788" s="389">
        <v>0.5</v>
      </c>
      <c r="T1788" s="384" t="str">
        <f>IFERROR(__xludf.DUMMYFUNCTION("""COMPUTED_VALUE"""),"Castor Troy ")</f>
        <v>Castor Troy </v>
      </c>
      <c r="U1788" s="385"/>
      <c r="W1788" s="384" t="str">
        <f>IFERROR(__xludf.DUMMYFUNCTION("""COMPUTED_VALUE"""),"Волга")</f>
        <v>Волга</v>
      </c>
      <c r="X1788" s="385"/>
    </row>
    <row r="1789">
      <c r="A1789" s="384" t="s">
        <v>93</v>
      </c>
      <c r="B1789" s="384" t="s">
        <v>261</v>
      </c>
      <c r="C1789" s="389">
        <v>2.5</v>
      </c>
      <c r="D1789" s="389">
        <v>2.75</v>
      </c>
      <c r="E1789" s="384"/>
      <c r="F1789" s="389"/>
      <c r="G1789" s="389"/>
      <c r="T1789" s="384" t="str">
        <f>IFERROR(__xludf.DUMMYFUNCTION("""COMPUTED_VALUE"""),"Cristo")</f>
        <v>Cristo</v>
      </c>
      <c r="U1789" s="385"/>
      <c r="W1789" s="384" t="str">
        <f>IFERROR(__xludf.DUMMYFUNCTION("""COMPUTED_VALUE"""),"Градиент")</f>
        <v>Градиент</v>
      </c>
      <c r="X1789" s="385"/>
    </row>
    <row r="1790">
      <c r="A1790" s="384" t="s">
        <v>79</v>
      </c>
      <c r="B1790" s="384" t="s">
        <v>269</v>
      </c>
      <c r="C1790" s="389"/>
      <c r="D1790" s="389">
        <v>3.0</v>
      </c>
      <c r="E1790" s="384" t="s">
        <v>263</v>
      </c>
      <c r="F1790" s="389"/>
      <c r="G1790" s="389"/>
      <c r="T1790" s="384" t="str">
        <f>IFERROR(__xludf.DUMMYFUNCTION("""COMPUTED_VALUE"""),"Curly")</f>
        <v>Curly</v>
      </c>
      <c r="U1790" s="385"/>
      <c r="W1790" s="384" t="str">
        <f>IFERROR(__xludf.DUMMYFUNCTION("""COMPUTED_VALUE"""),"Дровосек")</f>
        <v>Дровосек</v>
      </c>
      <c r="X1790" s="385"/>
    </row>
    <row r="1791">
      <c r="A1791" s="384" t="s">
        <v>115</v>
      </c>
      <c r="B1791" s="384" t="s">
        <v>269</v>
      </c>
      <c r="C1791" s="389"/>
      <c r="D1791" s="389">
        <v>2.0</v>
      </c>
      <c r="E1791" s="384"/>
      <c r="F1791" s="389"/>
      <c r="G1791" s="389"/>
      <c r="T1791" s="384" t="str">
        <f>IFERROR(__xludf.DUMMYFUNCTION("""COMPUTED_VALUE"""),"Infinity ")</f>
        <v>Infinity </v>
      </c>
      <c r="U1791" s="385"/>
      <c r="W1791" s="384" t="str">
        <f>IFERROR(__xludf.DUMMYFUNCTION("""COMPUTED_VALUE"""),"Зверюга")</f>
        <v>Зверюга</v>
      </c>
      <c r="X1791" s="385"/>
    </row>
    <row r="1792">
      <c r="A1792" s="384" t="s">
        <v>88</v>
      </c>
      <c r="B1792" s="384" t="s">
        <v>261</v>
      </c>
      <c r="C1792" s="389">
        <v>2.5</v>
      </c>
      <c r="D1792" s="389">
        <v>3.25</v>
      </c>
      <c r="E1792" s="384"/>
      <c r="F1792" s="389"/>
      <c r="G1792" s="389"/>
      <c r="T1792" s="384" t="str">
        <f>IFERROR(__xludf.DUMMYFUNCTION("""COMPUTED_VALUE"""),"Ketamin")</f>
        <v>Ketamin</v>
      </c>
      <c r="U1792" s="385"/>
      <c r="W1792" s="384" t="str">
        <f>IFERROR(__xludf.DUMMYFUNCTION("""COMPUTED_VALUE"""),"Инсомнич")</f>
        <v>Инсомнич</v>
      </c>
      <c r="X1792" s="385"/>
    </row>
    <row r="1793">
      <c r="A1793" s="384" t="s">
        <v>110</v>
      </c>
      <c r="B1793" s="384" t="s">
        <v>271</v>
      </c>
      <c r="C1793" s="389"/>
      <c r="D1793" s="389">
        <v>4.0</v>
      </c>
      <c r="E1793" s="384"/>
      <c r="F1793" s="389"/>
      <c r="G1793" s="389"/>
      <c r="T1793" s="384" t="str">
        <f>IFERROR(__xludf.DUMMYFUNCTION("""COMPUTED_VALUE"""),"Light")</f>
        <v>Light</v>
      </c>
      <c r="U1793" s="385"/>
      <c r="W1793" s="384" t="str">
        <f>IFERROR(__xludf.DUMMYFUNCTION("""COMPUTED_VALUE"""),"Красавчик")</f>
        <v>Красавчик</v>
      </c>
      <c r="X1793" s="385"/>
    </row>
    <row r="1794">
      <c r="A1794" s="384" t="s">
        <v>85</v>
      </c>
      <c r="B1794" s="384" t="s">
        <v>269</v>
      </c>
      <c r="C1794" s="389">
        <v>2.5</v>
      </c>
      <c r="D1794" s="389">
        <v>3.5</v>
      </c>
      <c r="E1794" s="384"/>
      <c r="F1794" s="389"/>
      <c r="G1794" s="389"/>
      <c r="T1794" s="384" t="str">
        <f>IFERROR(__xludf.DUMMYFUNCTION("""COMPUTED_VALUE"""),"Morti")</f>
        <v>Morti</v>
      </c>
      <c r="U1794" s="385"/>
      <c r="W1794" s="384" t="str">
        <f>IFERROR(__xludf.DUMMYFUNCTION("""COMPUTED_VALUE"""),"Крёстный Отец (RU)")</f>
        <v>Крёстный Отец (RU)</v>
      </c>
      <c r="X1794" s="385"/>
    </row>
    <row r="1795">
      <c r="A1795" s="384" t="s">
        <v>82</v>
      </c>
      <c r="B1795" s="384" t="s">
        <v>265</v>
      </c>
      <c r="C1795" s="389">
        <v>2.5</v>
      </c>
      <c r="D1795" s="389">
        <v>4.5</v>
      </c>
      <c r="E1795" s="384"/>
      <c r="F1795" s="389"/>
      <c r="G1795" s="389"/>
      <c r="T1795" s="384" t="str">
        <f>IFERROR(__xludf.DUMMYFUNCTION("""COMPUTED_VALUE"""),"MSR")</f>
        <v>MSR</v>
      </c>
      <c r="U1795" s="385"/>
      <c r="W1795" s="384" t="str">
        <f>IFERROR(__xludf.DUMMYFUNCTION("""COMPUTED_VALUE"""),"Крот")</f>
        <v>Крот</v>
      </c>
      <c r="X1795" s="385"/>
    </row>
    <row r="1796">
      <c r="A1796" s="384" t="s">
        <v>104</v>
      </c>
      <c r="B1796" s="384" t="s">
        <v>261</v>
      </c>
      <c r="C1796" s="389"/>
      <c r="D1796" s="389">
        <v>1.0</v>
      </c>
      <c r="E1796" s="384"/>
      <c r="F1796" s="389"/>
      <c r="G1796" s="389"/>
      <c r="T1796" s="384" t="str">
        <f>IFERROR(__xludf.DUMMYFUNCTION("""COMPUTED_VALUE"""),"NLIP")</f>
        <v>NLIP</v>
      </c>
      <c r="U1796" s="385"/>
      <c r="W1796" s="384" t="str">
        <f>IFERROR(__xludf.DUMMYFUNCTION("""COMPUTED_VALUE"""),"Левша")</f>
        <v>Левша</v>
      </c>
      <c r="X1796" s="385"/>
    </row>
    <row r="1797">
      <c r="A1797" s="384" t="s">
        <v>106</v>
      </c>
      <c r="B1797" s="384" t="s">
        <v>261</v>
      </c>
      <c r="C1797" s="389"/>
      <c r="D1797" s="389">
        <v>2.25</v>
      </c>
      <c r="E1797" s="384"/>
      <c r="F1797" s="389"/>
      <c r="G1797" s="389"/>
      <c r="T1797" s="384" t="str">
        <f>IFERROR(__xludf.DUMMYFUNCTION("""COMPUTED_VALUE"""),"Rocket woman ")</f>
        <v>Rocket woman </v>
      </c>
      <c r="U1797" s="385"/>
      <c r="W1797" s="384" t="str">
        <f>IFERROR(__xludf.DUMMYFUNCTION("""COMPUTED_VALUE"""),"Лисичка")</f>
        <v>Лисичка</v>
      </c>
      <c r="X1797" s="385"/>
    </row>
    <row r="1798">
      <c r="A1798" s="384" t="s">
        <v>99</v>
      </c>
      <c r="B1798" s="384" t="s">
        <v>261</v>
      </c>
      <c r="C1798" s="389"/>
      <c r="D1798" s="389">
        <v>1.0</v>
      </c>
      <c r="E1798" s="384"/>
      <c r="F1798" s="389"/>
      <c r="G1798" s="389"/>
      <c r="T1798" s="384" t="str">
        <f>IFERROR(__xludf.DUMMYFUNCTION("""COMPUTED_VALUE"""),"SCHOKK ")</f>
        <v>SCHOKK </v>
      </c>
      <c r="U1798" s="385"/>
      <c r="W1798" s="384" t="str">
        <f>IFERROR(__xludf.DUMMYFUNCTION("""COMPUTED_VALUE"""),"Маваши")</f>
        <v>Маваши</v>
      </c>
      <c r="X1798" s="385"/>
    </row>
    <row r="1799">
      <c r="A1799" s="384" t="s">
        <v>93</v>
      </c>
      <c r="B1799" s="384" t="s">
        <v>261</v>
      </c>
      <c r="C1799" s="389"/>
      <c r="D1799" s="389">
        <v>1.75</v>
      </c>
      <c r="E1799" s="384" t="s">
        <v>11</v>
      </c>
      <c r="F1799" s="389"/>
      <c r="G1799" s="389">
        <v>0.5</v>
      </c>
      <c r="T1799" s="384" t="str">
        <f>IFERROR(__xludf.DUMMYFUNCTION("""COMPUTED_VALUE"""),"Stacy")</f>
        <v>Stacy</v>
      </c>
      <c r="U1799" s="385"/>
      <c r="W1799" s="384" t="str">
        <f>IFERROR(__xludf.DUMMYFUNCTION("""COMPUTED_VALUE"""),"Манекен")</f>
        <v>Манекен</v>
      </c>
      <c r="X1799" s="385"/>
    </row>
    <row r="1800">
      <c r="A1800" s="384" t="s">
        <v>79</v>
      </c>
      <c r="B1800" s="384" t="s">
        <v>269</v>
      </c>
      <c r="C1800" s="389">
        <v>2.5</v>
      </c>
      <c r="D1800" s="389">
        <v>2.5</v>
      </c>
      <c r="E1800" s="384"/>
      <c r="F1800" s="389"/>
      <c r="G1800" s="389"/>
      <c r="T1800" s="384" t="str">
        <f>IFERROR(__xludf.DUMMYFUNCTION("""COMPUTED_VALUE"""),"WhoIsWho")</f>
        <v>WhoIsWho</v>
      </c>
      <c r="U1800" s="385"/>
      <c r="W1800" s="384" t="str">
        <f>IFERROR(__xludf.DUMMYFUNCTION("""COMPUTED_VALUE"""),"Марго")</f>
        <v>Марго</v>
      </c>
      <c r="X1800" s="385"/>
    </row>
    <row r="1801">
      <c r="A1801" s="384" t="s">
        <v>115</v>
      </c>
      <c r="B1801" s="384" t="s">
        <v>261</v>
      </c>
      <c r="C1801" s="389"/>
      <c r="D1801" s="389">
        <v>1.5</v>
      </c>
      <c r="E1801" s="384"/>
      <c r="F1801" s="389"/>
      <c r="G1801" s="389"/>
      <c r="T1801" s="384" t="str">
        <f>IFERROR(__xludf.DUMMYFUNCTION("""COMPUTED_VALUE"""),"Young")</f>
        <v>Young</v>
      </c>
      <c r="U1801" s="385"/>
      <c r="W1801" s="384" t="str">
        <f>IFERROR(__xludf.DUMMYFUNCTION("""COMPUTED_VALUE"""),"Ментик")</f>
        <v>Ментик</v>
      </c>
      <c r="X1801" s="385"/>
    </row>
    <row r="1802">
      <c r="A1802" s="384" t="s">
        <v>88</v>
      </c>
      <c r="B1802" s="384" t="s">
        <v>261</v>
      </c>
      <c r="C1802" s="389"/>
      <c r="D1802" s="389">
        <v>1.25</v>
      </c>
      <c r="E1802" s="384"/>
      <c r="F1802" s="389"/>
      <c r="G1802" s="389"/>
      <c r="T1802" s="384" t="str">
        <f>IFERROR(__xludf.DUMMYFUNCTION("QUERY('Турнирная таблица по Алфавиту'!C7:BG66,""select C,AX order by AX desc"")"),"Админ")</f>
        <v>Админ</v>
      </c>
      <c r="U1802" s="385">
        <f>IFERROR(__xludf.DUMMYFUNCTION("""COMPUTED_VALUE"""),25.75)</f>
        <v>25.75</v>
      </c>
      <c r="W1802" s="384" t="str">
        <f>IFERROR(__xludf.DUMMYFUNCTION("""COMPUTED_VALUE"""),"Мишель ")</f>
        <v>Мишель </v>
      </c>
      <c r="X1802" s="385"/>
    </row>
    <row r="1803">
      <c r="A1803" s="384" t="s">
        <v>136</v>
      </c>
      <c r="B1803" s="384" t="s">
        <v>265</v>
      </c>
      <c r="C1803" s="389">
        <v>2.5</v>
      </c>
      <c r="D1803" s="389">
        <v>3.25</v>
      </c>
      <c r="E1803" s="384"/>
      <c r="F1803" s="389"/>
      <c r="G1803" s="389"/>
      <c r="T1803" s="384" t="str">
        <f>IFERROR(__xludf.DUMMYFUNCTION("""COMPUTED_VALUE"""),"Градиент")</f>
        <v>Градиент</v>
      </c>
      <c r="U1803" s="385">
        <f>IFERROR(__xludf.DUMMYFUNCTION("""COMPUTED_VALUE"""),25.0)</f>
        <v>25</v>
      </c>
      <c r="W1803" s="384" t="str">
        <f>IFERROR(__xludf.DUMMYFUNCTION("""COMPUTED_VALUE"""),"Наполеон")</f>
        <v>Наполеон</v>
      </c>
      <c r="X1803" s="385"/>
    </row>
    <row r="1804">
      <c r="A1804" s="384" t="s">
        <v>135</v>
      </c>
      <c r="B1804" s="384" t="s">
        <v>261</v>
      </c>
      <c r="C1804" s="389"/>
      <c r="D1804" s="389">
        <v>2.5</v>
      </c>
      <c r="E1804" s="384"/>
      <c r="F1804" s="389"/>
      <c r="G1804" s="389"/>
      <c r="T1804" s="384" t="str">
        <f>IFERROR(__xludf.DUMMYFUNCTION("""COMPUTED_VALUE"""),"Alice ")</f>
        <v>Alice </v>
      </c>
      <c r="U1804" s="385">
        <f>IFERROR(__xludf.DUMMYFUNCTION("""COMPUTED_VALUE"""),23.5)</f>
        <v>23.5</v>
      </c>
      <c r="W1804" s="384" t="str">
        <f>IFERROR(__xludf.DUMMYFUNCTION("""COMPUTED_VALUE"""),"Панда из Руанды")</f>
        <v>Панда из Руанды</v>
      </c>
      <c r="X1804" s="385"/>
    </row>
    <row r="1805">
      <c r="A1805" s="384" t="s">
        <v>113</v>
      </c>
      <c r="B1805" s="384" t="s">
        <v>269</v>
      </c>
      <c r="C1805" s="389">
        <v>2.5</v>
      </c>
      <c r="D1805" s="389">
        <v>4.0</v>
      </c>
      <c r="E1805" s="384"/>
      <c r="F1805" s="389"/>
      <c r="G1805" s="389"/>
      <c r="T1805" s="384" t="str">
        <f>IFERROR(__xludf.DUMMYFUNCTION("""COMPUTED_VALUE"""),"Физик")</f>
        <v>Физик</v>
      </c>
      <c r="U1805" s="385">
        <f>IFERROR(__xludf.DUMMYFUNCTION("""COMPUTED_VALUE"""),21.25)</f>
        <v>21.25</v>
      </c>
      <c r="W1805" s="384" t="str">
        <f>IFERROR(__xludf.DUMMYFUNCTION("""COMPUTED_VALUE"""),"Писатель ")</f>
        <v>Писатель </v>
      </c>
      <c r="X1805" s="385"/>
    </row>
    <row r="1806">
      <c r="A1806" s="384" t="s">
        <v>123</v>
      </c>
      <c r="B1806" s="384" t="s">
        <v>261</v>
      </c>
      <c r="C1806" s="389"/>
      <c r="D1806" s="389">
        <v>3.0</v>
      </c>
      <c r="E1806" s="384"/>
      <c r="F1806" s="389"/>
      <c r="G1806" s="389"/>
      <c r="T1806" s="384" t="str">
        <f>IFERROR(__xludf.DUMMYFUNCTION("""COMPUTED_VALUE"""),"Ketamin")</f>
        <v>Ketamin</v>
      </c>
      <c r="U1806" s="385">
        <f>IFERROR(__xludf.DUMMYFUNCTION("""COMPUTED_VALUE"""),20.0)</f>
        <v>20</v>
      </c>
      <c r="W1806" s="384" t="str">
        <f>IFERROR(__xludf.DUMMYFUNCTION("""COMPUTED_VALUE"""),"Правда ")</f>
        <v>Правда </v>
      </c>
      <c r="X1806" s="385"/>
    </row>
    <row r="1807">
      <c r="A1807" s="384" t="s">
        <v>88</v>
      </c>
      <c r="B1807" s="384" t="s">
        <v>261</v>
      </c>
      <c r="C1807" s="389"/>
      <c r="D1807" s="389">
        <v>3.25</v>
      </c>
      <c r="E1807" s="384"/>
      <c r="F1807" s="389"/>
      <c r="G1807" s="389"/>
      <c r="T1807" s="384" t="str">
        <f>IFERROR(__xludf.DUMMYFUNCTION("""COMPUTED_VALUE"""),"WhoIsWho")</f>
        <v>WhoIsWho</v>
      </c>
      <c r="U1807" s="385">
        <f>IFERROR(__xludf.DUMMYFUNCTION("""COMPUTED_VALUE"""),18.5)</f>
        <v>18.5</v>
      </c>
      <c r="W1807" s="384" t="str">
        <f>IFERROR(__xludf.DUMMYFUNCTION("""COMPUTED_VALUE"""),"Продюсер")</f>
        <v>Продюсер</v>
      </c>
      <c r="X1807" s="385"/>
    </row>
    <row r="1808">
      <c r="A1808" s="384" t="s">
        <v>95</v>
      </c>
      <c r="B1808" s="384" t="s">
        <v>261</v>
      </c>
      <c r="C1808" s="389"/>
      <c r="D1808" s="389">
        <v>1.75</v>
      </c>
      <c r="E1808" s="384"/>
      <c r="F1808" s="389"/>
      <c r="G1808" s="389"/>
      <c r="T1808" s="384" t="str">
        <f>IFERROR(__xludf.DUMMYFUNCTION("""COMPUTED_VALUE"""),"Авраам")</f>
        <v>Авраам</v>
      </c>
      <c r="U1808" s="385">
        <f>IFERROR(__xludf.DUMMYFUNCTION("""COMPUTED_VALUE"""),18.25)</f>
        <v>18.25</v>
      </c>
      <c r="W1808" s="384" t="str">
        <f>IFERROR(__xludf.DUMMYFUNCTION("""COMPUTED_VALUE"""),"РФ")</f>
        <v>РФ</v>
      </c>
      <c r="X1808" s="385"/>
    </row>
    <row r="1809">
      <c r="A1809" s="384" t="s">
        <v>90</v>
      </c>
      <c r="B1809" s="384" t="s">
        <v>269</v>
      </c>
      <c r="C1809" s="389">
        <v>2.5</v>
      </c>
      <c r="D1809" s="389">
        <v>3.0</v>
      </c>
      <c r="E1809" s="384"/>
      <c r="F1809" s="389"/>
      <c r="G1809" s="389"/>
      <c r="T1809" s="384" t="str">
        <f>IFERROR(__xludf.DUMMYFUNCTION("""COMPUTED_VALUE"""),"Маваши")</f>
        <v>Маваши</v>
      </c>
      <c r="U1809" s="385">
        <f>IFERROR(__xludf.DUMMYFUNCTION("""COMPUTED_VALUE"""),17.5)</f>
        <v>17.5</v>
      </c>
      <c r="W1809" s="384" t="str">
        <f>IFERROR(__xludf.DUMMYFUNCTION("""COMPUTED_VALUE"""),"Старый")</f>
        <v>Старый</v>
      </c>
      <c r="X1809" s="385"/>
    </row>
    <row r="1810">
      <c r="A1810" s="384" t="s">
        <v>115</v>
      </c>
      <c r="B1810" s="384" t="s">
        <v>261</v>
      </c>
      <c r="C1810" s="389"/>
      <c r="D1810" s="389">
        <v>2.0</v>
      </c>
      <c r="E1810" s="384"/>
      <c r="F1810" s="389"/>
      <c r="G1810" s="389"/>
      <c r="T1810" s="384" t="str">
        <f>IFERROR(__xludf.DUMMYFUNCTION("""COMPUTED_VALUE"""),"GALAY")</f>
        <v>GALAY</v>
      </c>
      <c r="U1810" s="385">
        <f>IFERROR(__xludf.DUMMYFUNCTION("""COMPUTED_VALUE"""),15.25)</f>
        <v>15.25</v>
      </c>
      <c r="W1810" s="384" t="str">
        <f>IFERROR(__xludf.DUMMYFUNCTION("""COMPUTED_VALUE"""),"СЭНСЭЙ")</f>
        <v>СЭНСЭЙ</v>
      </c>
      <c r="X1810" s="385"/>
    </row>
    <row r="1811">
      <c r="A1811" s="384" t="s">
        <v>96</v>
      </c>
      <c r="B1811" s="384" t="s">
        <v>271</v>
      </c>
      <c r="C1811" s="389"/>
      <c r="D1811" s="389">
        <v>2.0</v>
      </c>
      <c r="E1811" s="384" t="s">
        <v>11</v>
      </c>
      <c r="F1811" s="389"/>
      <c r="G1811" s="389">
        <v>0.5</v>
      </c>
      <c r="T1811" s="384" t="str">
        <f>IFERROR(__xludf.DUMMYFUNCTION("""COMPUTED_VALUE"""),"СЭНСЭЙ")</f>
        <v>СЭНСЭЙ</v>
      </c>
      <c r="U1811" s="385">
        <f>IFERROR(__xludf.DUMMYFUNCTION("""COMPUTED_VALUE"""),12.0)</f>
        <v>12</v>
      </c>
      <c r="W1811" s="384" t="str">
        <f>IFERROR(__xludf.DUMMYFUNCTION("""COMPUTED_VALUE"""),"Coach")</f>
        <v>Coach</v>
      </c>
      <c r="X1811" s="385"/>
    </row>
    <row r="1812">
      <c r="A1812" s="384" t="s">
        <v>127</v>
      </c>
      <c r="B1812" s="384" t="s">
        <v>261</v>
      </c>
      <c r="C1812" s="389"/>
      <c r="D1812" s="389">
        <v>1.75</v>
      </c>
      <c r="E1812" s="384"/>
      <c r="F1812" s="389"/>
      <c r="G1812" s="389"/>
      <c r="T1812" s="384" t="str">
        <f>IFERROR(__xludf.DUMMYFUNCTION("""COMPUTED_VALUE"""),"Андерсен")</f>
        <v>Андерсен</v>
      </c>
      <c r="U1812" s="385"/>
      <c r="W1812" s="384" t="str">
        <f>IFERROR(__xludf.DUMMYFUNCTION("""COMPUTED_VALUE"""),"Тихий закат")</f>
        <v>Тихий закат</v>
      </c>
      <c r="X1812" s="385"/>
    </row>
    <row r="1813">
      <c r="A1813" s="384" t="s">
        <v>136</v>
      </c>
      <c r="B1813" s="384" t="s">
        <v>265</v>
      </c>
      <c r="C1813" s="389">
        <v>2.5</v>
      </c>
      <c r="D1813" s="389">
        <v>4.0</v>
      </c>
      <c r="E1813" s="384"/>
      <c r="F1813" s="389"/>
      <c r="G1813" s="389"/>
      <c r="T1813" s="384" t="str">
        <f>IFERROR(__xludf.DUMMYFUNCTION("""COMPUTED_VALUE"""),"Артик")</f>
        <v>Артик</v>
      </c>
      <c r="U1813" s="385"/>
      <c r="W1813" s="384" t="str">
        <f>IFERROR(__xludf.DUMMYFUNCTION("""COMPUTED_VALUE"""),"Физик")</f>
        <v>Физик</v>
      </c>
      <c r="X1813" s="385"/>
    </row>
    <row r="1814">
      <c r="A1814" s="384" t="s">
        <v>135</v>
      </c>
      <c r="B1814" s="384" t="s">
        <v>269</v>
      </c>
      <c r="C1814" s="389">
        <v>2.5</v>
      </c>
      <c r="D1814" s="389">
        <v>2.75</v>
      </c>
      <c r="E1814" s="384"/>
      <c r="F1814" s="389"/>
      <c r="G1814" s="389"/>
      <c r="T1814" s="384" t="str">
        <f>IFERROR(__xludf.DUMMYFUNCTION("""COMPUTED_VALUE"""),"Астория")</f>
        <v>Астория</v>
      </c>
      <c r="U1814" s="385"/>
      <c r="W1814" s="384" t="str">
        <f>IFERROR(__xludf.DUMMYFUNCTION("""COMPUTED_VALUE"""),"Флэш")</f>
        <v>Флэш</v>
      </c>
      <c r="X1814" s="385"/>
    </row>
    <row r="1815">
      <c r="A1815" s="384" t="s">
        <v>113</v>
      </c>
      <c r="B1815" s="384" t="s">
        <v>269</v>
      </c>
      <c r="C1815" s="389">
        <v>2.5</v>
      </c>
      <c r="D1815" s="389">
        <v>3.25</v>
      </c>
      <c r="E1815" s="384"/>
      <c r="F1815" s="389"/>
      <c r="G1815" s="389"/>
      <c r="T1815" s="384" t="str">
        <f>IFERROR(__xludf.DUMMYFUNCTION("""COMPUTED_VALUE"""),"Аш")</f>
        <v>Аш</v>
      </c>
      <c r="U1815" s="385"/>
      <c r="W1815" s="384" t="str">
        <f>IFERROR(__xludf.DUMMYFUNCTION("""COMPUTED_VALUE"""),"Фокс")</f>
        <v>Фокс</v>
      </c>
      <c r="X1815" s="385"/>
    </row>
    <row r="1816">
      <c r="A1816" s="384" t="s">
        <v>123</v>
      </c>
      <c r="B1816" s="384" t="s">
        <v>261</v>
      </c>
      <c r="C1816" s="389"/>
      <c r="D1816" s="389">
        <v>2.75</v>
      </c>
      <c r="E1816" s="384" t="s">
        <v>11</v>
      </c>
      <c r="F1816" s="389"/>
      <c r="G1816" s="389">
        <v>0.5</v>
      </c>
      <c r="T1816" s="384" t="str">
        <f>IFERROR(__xludf.DUMMYFUNCTION("""COMPUTED_VALUE"""),"Бамблби")</f>
        <v>Бамблби</v>
      </c>
      <c r="U1816" s="385"/>
      <c r="W1816" s="384" t="str">
        <f>IFERROR(__xludf.DUMMYFUNCTION("""COMPUTED_VALUE"""),"Шоу Бой")</f>
        <v>Шоу Бой</v>
      </c>
      <c r="X1816" s="385"/>
    </row>
    <row r="1817">
      <c r="A1817" s="384" t="s">
        <v>88</v>
      </c>
      <c r="B1817" s="384" t="s">
        <v>271</v>
      </c>
      <c r="C1817" s="389"/>
      <c r="D1817" s="389">
        <v>0.25</v>
      </c>
      <c r="E1817" s="384"/>
      <c r="F1817" s="389"/>
      <c r="G1817" s="389"/>
      <c r="T1817" s="384" t="str">
        <f>IFERROR(__xludf.DUMMYFUNCTION("""COMPUTED_VALUE"""),"Волга")</f>
        <v>Волга</v>
      </c>
      <c r="U1817" s="385"/>
      <c r="W1817" s="384" t="str">
        <f>IFERROR(__xludf.DUMMYFUNCTION("""COMPUTED_VALUE"""),"Шпиц")</f>
        <v>Шпиц</v>
      </c>
      <c r="X1817" s="385"/>
    </row>
    <row r="1818">
      <c r="A1818" s="384" t="s">
        <v>95</v>
      </c>
      <c r="B1818" s="384" t="s">
        <v>261</v>
      </c>
      <c r="C1818" s="389"/>
      <c r="D1818" s="389">
        <v>2.0</v>
      </c>
      <c r="E1818" s="384"/>
      <c r="F1818" s="389"/>
      <c r="G1818" s="389"/>
      <c r="T1818" s="384" t="str">
        <f>IFERROR(__xludf.DUMMYFUNCTION("""COMPUTED_VALUE"""),"Дровосек")</f>
        <v>Дровосек</v>
      </c>
      <c r="U1818" s="385"/>
      <c r="W1818" s="384" t="str">
        <f>IFERROR(__xludf.DUMMYFUNCTION("""COMPUTED_VALUE"""),"Юрия")</f>
        <v>Юрия</v>
      </c>
      <c r="X1818" s="385"/>
    </row>
    <row r="1819">
      <c r="A1819" s="384" t="s">
        <v>90</v>
      </c>
      <c r="B1819" s="384" t="s">
        <v>261</v>
      </c>
      <c r="C1819" s="389"/>
      <c r="D1819" s="389">
        <v>2.25</v>
      </c>
      <c r="E1819" s="384"/>
      <c r="F1819" s="389"/>
      <c r="G1819" s="389"/>
      <c r="T1819" s="384" t="str">
        <f>IFERROR(__xludf.DUMMYFUNCTION("""COMPUTED_VALUE"""),"Зверюга")</f>
        <v>Зверюга</v>
      </c>
      <c r="U1819" s="385"/>
      <c r="W1819" s="384" t="str">
        <f>IFERROR(__xludf.DUMMYFUNCTION("""COMPUTED_VALUE"""),"A1 ")</f>
        <v>A1 </v>
      </c>
      <c r="X1819" s="385"/>
    </row>
    <row r="1820">
      <c r="A1820" s="384" t="s">
        <v>115</v>
      </c>
      <c r="B1820" s="384" t="s">
        <v>261</v>
      </c>
      <c r="C1820" s="389"/>
      <c r="D1820" s="389">
        <v>3.5</v>
      </c>
      <c r="E1820" s="384"/>
      <c r="F1820" s="389"/>
      <c r="G1820" s="389"/>
      <c r="T1820" s="384" t="str">
        <f>IFERROR(__xludf.DUMMYFUNCTION("""COMPUTED_VALUE"""),"Инсомнич")</f>
        <v>Инсомнич</v>
      </c>
      <c r="U1820" s="385"/>
      <c r="W1820" s="384" t="str">
        <f>IFERROR(__xludf.DUMMYFUNCTION("""COMPUTED_VALUE"""),"Alice ")</f>
        <v>Alice </v>
      </c>
      <c r="X1820" s="385"/>
    </row>
    <row r="1821">
      <c r="A1821" s="384" t="s">
        <v>96</v>
      </c>
      <c r="B1821" s="384" t="s">
        <v>261</v>
      </c>
      <c r="C1821" s="389"/>
      <c r="D1821" s="389">
        <v>2.5</v>
      </c>
      <c r="E1821" s="384"/>
      <c r="F1821" s="389"/>
      <c r="G1821" s="389"/>
      <c r="T1821" s="384" t="str">
        <f>IFERROR(__xludf.DUMMYFUNCTION("""COMPUTED_VALUE"""),"Красавчик")</f>
        <v>Красавчик</v>
      </c>
      <c r="U1821" s="385"/>
      <c r="W1821" s="384" t="str">
        <f>IFERROR(__xludf.DUMMYFUNCTION("""COMPUTED_VALUE"""),"Bublik")</f>
        <v>Bublik</v>
      </c>
      <c r="X1821" s="385"/>
    </row>
    <row r="1822">
      <c r="A1822" s="384" t="s">
        <v>127</v>
      </c>
      <c r="B1822" s="384" t="s">
        <v>261</v>
      </c>
      <c r="C1822" s="389"/>
      <c r="D1822" s="389">
        <v>1.25</v>
      </c>
      <c r="E1822" s="384"/>
      <c r="F1822" s="389"/>
      <c r="G1822" s="389"/>
      <c r="T1822" s="384" t="str">
        <f>IFERROR(__xludf.DUMMYFUNCTION("""COMPUTED_VALUE"""),"Крестный отец (BLR)")</f>
        <v>Крестный отец (BLR)</v>
      </c>
      <c r="U1822" s="385"/>
      <c r="W1822" s="384" t="str">
        <f>IFERROR(__xludf.DUMMYFUNCTION("""COMPUTED_VALUE"""),"Castor Troy ")</f>
        <v>Castor Troy </v>
      </c>
      <c r="X1822" s="385"/>
    </row>
    <row r="1823">
      <c r="A1823" s="384" t="s">
        <v>136</v>
      </c>
      <c r="B1823" s="384" t="s">
        <v>261</v>
      </c>
      <c r="C1823" s="389"/>
      <c r="D1823" s="389">
        <v>3.25</v>
      </c>
      <c r="E1823" s="384"/>
      <c r="F1823" s="389"/>
      <c r="G1823" s="389"/>
      <c r="T1823" s="384" t="str">
        <f>IFERROR(__xludf.DUMMYFUNCTION("""COMPUTED_VALUE"""),"Крёстный Отец (RU)")</f>
        <v>Крёстный Отец (RU)</v>
      </c>
      <c r="U1823" s="385"/>
      <c r="W1823" s="384" t="str">
        <f>IFERROR(__xludf.DUMMYFUNCTION("""COMPUTED_VALUE"""),"GALAY")</f>
        <v>GALAY</v>
      </c>
      <c r="X1823" s="385"/>
    </row>
    <row r="1824">
      <c r="A1824" s="384" t="s">
        <v>135</v>
      </c>
      <c r="B1824" s="384" t="s">
        <v>261</v>
      </c>
      <c r="C1824" s="389"/>
      <c r="D1824" s="389">
        <v>1.5</v>
      </c>
      <c r="E1824" s="384"/>
      <c r="F1824" s="389"/>
      <c r="G1824" s="389"/>
      <c r="T1824" s="384" t="str">
        <f>IFERROR(__xludf.DUMMYFUNCTION("""COMPUTED_VALUE"""),"Крот")</f>
        <v>Крот</v>
      </c>
      <c r="U1824" s="385"/>
      <c r="W1824" s="384" t="str">
        <f>IFERROR(__xludf.DUMMYFUNCTION("""COMPUTED_VALUE"""),"Helga")</f>
        <v>Helga</v>
      </c>
      <c r="X1824" s="385"/>
    </row>
    <row r="1825">
      <c r="A1825" s="384" t="s">
        <v>113</v>
      </c>
      <c r="B1825" s="384" t="s">
        <v>261</v>
      </c>
      <c r="C1825" s="389"/>
      <c r="D1825" s="389">
        <v>3.25</v>
      </c>
      <c r="E1825" s="384" t="s">
        <v>11</v>
      </c>
      <c r="F1825" s="389"/>
      <c r="G1825" s="389">
        <v>0.5</v>
      </c>
      <c r="T1825" s="384" t="str">
        <f>IFERROR(__xludf.DUMMYFUNCTION("""COMPUTED_VALUE"""),"Левша")</f>
        <v>Левша</v>
      </c>
      <c r="U1825" s="385"/>
      <c r="W1825" s="384" t="str">
        <f>IFERROR(__xludf.DUMMYFUNCTION("""COMPUTED_VALUE"""),"Ketamin")</f>
        <v>Ketamin</v>
      </c>
      <c r="X1825" s="385"/>
    </row>
    <row r="1826">
      <c r="A1826" s="384" t="s">
        <v>123</v>
      </c>
      <c r="B1826" s="384" t="s">
        <v>269</v>
      </c>
      <c r="C1826" s="389">
        <v>2.5</v>
      </c>
      <c r="D1826" s="389">
        <v>3.5</v>
      </c>
      <c r="E1826" s="384"/>
      <c r="F1826" s="389"/>
      <c r="G1826" s="389"/>
      <c r="T1826" s="384" t="str">
        <f>IFERROR(__xludf.DUMMYFUNCTION("""COMPUTED_VALUE"""),"Лисичка")</f>
        <v>Лисичка</v>
      </c>
      <c r="U1826" s="385"/>
      <c r="W1826" s="384" t="str">
        <f>IFERROR(__xludf.DUMMYFUNCTION("""COMPUTED_VALUE"""),"Morti")</f>
        <v>Morti</v>
      </c>
      <c r="X1826" s="385"/>
    </row>
    <row r="1827">
      <c r="A1827" s="384" t="s">
        <v>88</v>
      </c>
      <c r="B1827" s="384" t="s">
        <v>261</v>
      </c>
      <c r="C1827" s="389"/>
      <c r="D1827" s="389">
        <v>3.0</v>
      </c>
      <c r="E1827" s="384"/>
      <c r="F1827" s="389"/>
      <c r="G1827" s="389"/>
      <c r="T1827" s="384" t="str">
        <f>IFERROR(__xludf.DUMMYFUNCTION("""COMPUTED_VALUE"""),"Манекен")</f>
        <v>Манекен</v>
      </c>
      <c r="U1827" s="385"/>
      <c r="W1827" s="384" t="str">
        <f>IFERROR(__xludf.DUMMYFUNCTION("""COMPUTED_VALUE"""),"MSR")</f>
        <v>MSR</v>
      </c>
      <c r="X1827" s="385"/>
    </row>
    <row r="1828">
      <c r="A1828" s="384" t="s">
        <v>95</v>
      </c>
      <c r="B1828" s="384" t="s">
        <v>271</v>
      </c>
      <c r="C1828" s="389"/>
      <c r="D1828" s="389">
        <v>3.0</v>
      </c>
      <c r="E1828" s="384"/>
      <c r="F1828" s="389"/>
      <c r="G1828" s="389"/>
      <c r="T1828" s="384" t="str">
        <f>IFERROR(__xludf.DUMMYFUNCTION("""COMPUTED_VALUE"""),"Марго")</f>
        <v>Марго</v>
      </c>
      <c r="U1828" s="385"/>
      <c r="W1828" s="384" t="str">
        <f>IFERROR(__xludf.DUMMYFUNCTION("""COMPUTED_VALUE"""),"NLIP")</f>
        <v>NLIP</v>
      </c>
      <c r="X1828" s="385"/>
    </row>
    <row r="1829">
      <c r="A1829" s="384" t="s">
        <v>90</v>
      </c>
      <c r="B1829" s="384" t="s">
        <v>265</v>
      </c>
      <c r="C1829" s="389">
        <v>2.5</v>
      </c>
      <c r="D1829" s="389">
        <v>4.25</v>
      </c>
      <c r="E1829" s="384"/>
      <c r="F1829" s="389"/>
      <c r="G1829" s="389"/>
      <c r="T1829" s="384" t="str">
        <f>IFERROR(__xludf.DUMMYFUNCTION("""COMPUTED_VALUE"""),"Ментик")</f>
        <v>Ментик</v>
      </c>
      <c r="U1829" s="385"/>
      <c r="W1829" s="384" t="str">
        <f>IFERROR(__xludf.DUMMYFUNCTION("""COMPUTED_VALUE"""),"Rocket woman ")</f>
        <v>Rocket woman </v>
      </c>
      <c r="X1829" s="385"/>
    </row>
    <row r="1830">
      <c r="A1830" s="384" t="s">
        <v>115</v>
      </c>
      <c r="B1830" s="384" t="s">
        <v>269</v>
      </c>
      <c r="C1830" s="389">
        <v>2.5</v>
      </c>
      <c r="D1830" s="389">
        <v>2.75</v>
      </c>
      <c r="E1830" s="384"/>
      <c r="F1830" s="389"/>
      <c r="G1830" s="389"/>
      <c r="T1830" s="384" t="str">
        <f>IFERROR(__xludf.DUMMYFUNCTION("""COMPUTED_VALUE"""),"Мишель ")</f>
        <v>Мишель </v>
      </c>
      <c r="U1830" s="385"/>
      <c r="W1830" s="384" t="str">
        <f>IFERROR(__xludf.DUMMYFUNCTION("""COMPUTED_VALUE"""),"Stacy")</f>
        <v>Stacy</v>
      </c>
      <c r="X1830" s="385"/>
    </row>
    <row r="1831">
      <c r="A1831" s="384" t="s">
        <v>96</v>
      </c>
      <c r="B1831" s="384" t="s">
        <v>261</v>
      </c>
      <c r="C1831" s="389"/>
      <c r="D1831" s="389">
        <v>2.25</v>
      </c>
      <c r="E1831" s="384"/>
      <c r="F1831" s="389"/>
      <c r="G1831" s="389"/>
      <c r="T1831" s="384" t="str">
        <f>IFERROR(__xludf.DUMMYFUNCTION("""COMPUTED_VALUE"""),"Наполеон")</f>
        <v>Наполеон</v>
      </c>
      <c r="U1831" s="385"/>
      <c r="W1831" s="384" t="str">
        <f>IFERROR(__xludf.DUMMYFUNCTION("""COMPUTED_VALUE"""),"Young")</f>
        <v>Young</v>
      </c>
      <c r="X1831" s="385"/>
    </row>
    <row r="1832">
      <c r="A1832" s="384" t="s">
        <v>127</v>
      </c>
      <c r="B1832" s="384" t="s">
        <v>261</v>
      </c>
      <c r="C1832" s="389"/>
      <c r="D1832" s="389">
        <v>1.0</v>
      </c>
      <c r="E1832" s="384"/>
      <c r="F1832" s="389"/>
      <c r="G1832" s="389"/>
      <c r="T1832" s="384" t="str">
        <f>IFERROR(__xludf.DUMMYFUNCTION("""COMPUTED_VALUE"""),"Панда из Руанды")</f>
        <v>Панда из Руанды</v>
      </c>
      <c r="U1832" s="385"/>
      <c r="W1832" s="384" t="str">
        <f>IFERROR(__xludf.DUMMYFUNCTION("""COMPUTED_VALUE"""),"Авраам")</f>
        <v>Авраам</v>
      </c>
      <c r="X1832" s="385"/>
    </row>
    <row r="1833">
      <c r="A1833" s="384" t="s">
        <v>136</v>
      </c>
      <c r="B1833" s="384" t="s">
        <v>261</v>
      </c>
      <c r="C1833" s="389"/>
      <c r="D1833" s="389">
        <v>2.25</v>
      </c>
      <c r="E1833" s="384"/>
      <c r="F1833" s="389"/>
      <c r="G1833" s="389"/>
      <c r="T1833" s="384" t="str">
        <f>IFERROR(__xludf.DUMMYFUNCTION("""COMPUTED_VALUE"""),"Писатель ")</f>
        <v>Писатель </v>
      </c>
      <c r="U1833" s="385"/>
      <c r="W1833" s="384" t="str">
        <f>IFERROR(__xludf.DUMMYFUNCTION("""COMPUTED_VALUE"""),"Андерсен")</f>
        <v>Андерсен</v>
      </c>
      <c r="X1833" s="385"/>
    </row>
    <row r="1834">
      <c r="A1834" s="384" t="s">
        <v>135</v>
      </c>
      <c r="B1834" s="384" t="s">
        <v>265</v>
      </c>
      <c r="C1834" s="389">
        <v>2.5</v>
      </c>
      <c r="D1834" s="389">
        <v>4.0</v>
      </c>
      <c r="E1834" s="384"/>
      <c r="F1834" s="389"/>
      <c r="G1834" s="389"/>
      <c r="T1834" s="384" t="str">
        <f>IFERROR(__xludf.DUMMYFUNCTION("""COMPUTED_VALUE"""),"Правда ")</f>
        <v>Правда </v>
      </c>
      <c r="U1834" s="385"/>
      <c r="W1834" s="384" t="str">
        <f>IFERROR(__xludf.DUMMYFUNCTION("""COMPUTED_VALUE"""),"Артик")</f>
        <v>Артик</v>
      </c>
      <c r="X1834" s="385"/>
    </row>
    <row r="1835">
      <c r="A1835" s="384" t="s">
        <v>113</v>
      </c>
      <c r="B1835" s="384" t="s">
        <v>261</v>
      </c>
      <c r="C1835" s="389"/>
      <c r="D1835" s="389">
        <v>1.5</v>
      </c>
      <c r="E1835" s="384"/>
      <c r="F1835" s="389"/>
      <c r="G1835" s="389"/>
      <c r="T1835" s="384" t="str">
        <f>IFERROR(__xludf.DUMMYFUNCTION("""COMPUTED_VALUE"""),"Продюсер")</f>
        <v>Продюсер</v>
      </c>
      <c r="U1835" s="385"/>
      <c r="W1835" s="384" t="str">
        <f>IFERROR(__xludf.DUMMYFUNCTION("""COMPUTED_VALUE"""),"Астория")</f>
        <v>Астория</v>
      </c>
      <c r="X1835" s="385"/>
    </row>
    <row r="1836">
      <c r="A1836" s="384" t="s">
        <v>123</v>
      </c>
      <c r="B1836" s="384" t="s">
        <v>261</v>
      </c>
      <c r="C1836" s="389"/>
      <c r="D1836" s="389">
        <v>1.75</v>
      </c>
      <c r="E1836" s="384"/>
      <c r="F1836" s="389"/>
      <c r="G1836" s="389"/>
      <c r="T1836" s="384" t="str">
        <f>IFERROR(__xludf.DUMMYFUNCTION("""COMPUTED_VALUE"""),"РФ")</f>
        <v>РФ</v>
      </c>
      <c r="U1836" s="385"/>
      <c r="W1836" s="384" t="str">
        <f>IFERROR(__xludf.DUMMYFUNCTION("""COMPUTED_VALUE"""),"Волга")</f>
        <v>Волга</v>
      </c>
      <c r="X1836" s="385"/>
    </row>
    <row r="1837">
      <c r="A1837" s="384" t="s">
        <v>88</v>
      </c>
      <c r="B1837" s="384" t="s">
        <v>269</v>
      </c>
      <c r="C1837" s="389">
        <v>2.5</v>
      </c>
      <c r="D1837" s="389">
        <v>4.0</v>
      </c>
      <c r="E1837" s="384"/>
      <c r="F1837" s="389"/>
      <c r="G1837" s="389"/>
      <c r="T1837" s="384" t="str">
        <f>IFERROR(__xludf.DUMMYFUNCTION("""COMPUTED_VALUE"""),"Старый")</f>
        <v>Старый</v>
      </c>
      <c r="U1837" s="385"/>
      <c r="W1837" s="384" t="str">
        <f>IFERROR(__xludf.DUMMYFUNCTION("""COMPUTED_VALUE"""),"Дровосек")</f>
        <v>Дровосек</v>
      </c>
      <c r="X1837" s="385"/>
    </row>
    <row r="1838">
      <c r="A1838" s="384" t="s">
        <v>95</v>
      </c>
      <c r="B1838" s="384" t="s">
        <v>269</v>
      </c>
      <c r="C1838" s="389">
        <v>2.5</v>
      </c>
      <c r="D1838" s="389">
        <v>3.0</v>
      </c>
      <c r="E1838" s="384"/>
      <c r="F1838" s="389"/>
      <c r="G1838" s="389"/>
      <c r="T1838" s="384" t="str">
        <f>IFERROR(__xludf.DUMMYFUNCTION("""COMPUTED_VALUE"""),"Coach")</f>
        <v>Coach</v>
      </c>
      <c r="U1838" s="385"/>
      <c r="W1838" s="384" t="str">
        <f>IFERROR(__xludf.DUMMYFUNCTION("""COMPUTED_VALUE"""),"Зверюга")</f>
        <v>Зверюга</v>
      </c>
      <c r="X1838" s="385"/>
    </row>
    <row r="1839">
      <c r="A1839" s="384" t="s">
        <v>90</v>
      </c>
      <c r="B1839" s="384" t="s">
        <v>261</v>
      </c>
      <c r="C1839" s="389"/>
      <c r="D1839" s="389">
        <v>1.5</v>
      </c>
      <c r="E1839" s="384"/>
      <c r="F1839" s="389"/>
      <c r="G1839" s="389"/>
      <c r="T1839" s="384" t="str">
        <f>IFERROR(__xludf.DUMMYFUNCTION("""COMPUTED_VALUE"""),"Тихий закат")</f>
        <v>Тихий закат</v>
      </c>
      <c r="U1839" s="385"/>
      <c r="W1839" s="384" t="str">
        <f>IFERROR(__xludf.DUMMYFUNCTION("""COMPUTED_VALUE"""),"Красавчик")</f>
        <v>Красавчик</v>
      </c>
      <c r="X1839" s="385"/>
    </row>
    <row r="1840">
      <c r="A1840" s="384" t="s">
        <v>115</v>
      </c>
      <c r="B1840" s="384" t="s">
        <v>271</v>
      </c>
      <c r="C1840" s="389"/>
      <c r="D1840" s="389">
        <v>1.75</v>
      </c>
      <c r="E1840" s="384"/>
      <c r="F1840" s="389"/>
      <c r="G1840" s="389"/>
      <c r="T1840" s="384" t="str">
        <f>IFERROR(__xludf.DUMMYFUNCTION("""COMPUTED_VALUE"""),"Флэш")</f>
        <v>Флэш</v>
      </c>
      <c r="U1840" s="385"/>
      <c r="W1840" s="384" t="str">
        <f>IFERROR(__xludf.DUMMYFUNCTION("""COMPUTED_VALUE"""),"Крестный отец (BLR)")</f>
        <v>Крестный отец (BLR)</v>
      </c>
      <c r="X1840" s="385"/>
    </row>
    <row r="1841">
      <c r="A1841" s="384" t="s">
        <v>96</v>
      </c>
      <c r="B1841" s="384" t="s">
        <v>261</v>
      </c>
      <c r="C1841" s="389"/>
      <c r="D1841" s="389">
        <v>1.75</v>
      </c>
      <c r="E1841" s="384"/>
      <c r="F1841" s="389"/>
      <c r="G1841" s="389"/>
      <c r="T1841" s="384" t="str">
        <f>IFERROR(__xludf.DUMMYFUNCTION("""COMPUTED_VALUE"""),"Фокс")</f>
        <v>Фокс</v>
      </c>
      <c r="U1841" s="385"/>
      <c r="W1841" s="384" t="str">
        <f>IFERROR(__xludf.DUMMYFUNCTION("""COMPUTED_VALUE"""),"Крёстный Отец (RU)")</f>
        <v>Крёстный Отец (RU)</v>
      </c>
      <c r="X1841" s="385"/>
    </row>
    <row r="1842">
      <c r="A1842" s="384" t="s">
        <v>127</v>
      </c>
      <c r="B1842" s="384" t="s">
        <v>261</v>
      </c>
      <c r="C1842" s="389"/>
      <c r="D1842" s="389">
        <v>2.0</v>
      </c>
      <c r="E1842" s="384" t="s">
        <v>11</v>
      </c>
      <c r="F1842" s="389"/>
      <c r="G1842" s="389">
        <v>0.5</v>
      </c>
      <c r="T1842" s="384" t="str">
        <f>IFERROR(__xludf.DUMMYFUNCTION("""COMPUTED_VALUE"""),"Шоу Бой")</f>
        <v>Шоу Бой</v>
      </c>
      <c r="U1842" s="385"/>
      <c r="W1842" s="384" t="str">
        <f>IFERROR(__xludf.DUMMYFUNCTION("""COMPUTED_VALUE"""),"Крот")</f>
        <v>Крот</v>
      </c>
      <c r="X1842" s="385"/>
    </row>
    <row r="1843">
      <c r="A1843" s="384" t="s">
        <v>136</v>
      </c>
      <c r="B1843" s="384" t="s">
        <v>261</v>
      </c>
      <c r="C1843" s="389">
        <v>2.5</v>
      </c>
      <c r="D1843" s="389">
        <v>2.75</v>
      </c>
      <c r="E1843" s="384"/>
      <c r="F1843" s="389"/>
      <c r="G1843" s="389"/>
      <c r="T1843" s="384" t="str">
        <f>IFERROR(__xludf.DUMMYFUNCTION("""COMPUTED_VALUE"""),"Шпиц")</f>
        <v>Шпиц</v>
      </c>
      <c r="U1843" s="385"/>
      <c r="W1843" s="384" t="str">
        <f>IFERROR(__xludf.DUMMYFUNCTION("""COMPUTED_VALUE"""),"Левша")</f>
        <v>Левша</v>
      </c>
      <c r="X1843" s="385"/>
    </row>
    <row r="1844">
      <c r="A1844" s="384" t="s">
        <v>135</v>
      </c>
      <c r="B1844" s="384" t="s">
        <v>261</v>
      </c>
      <c r="C1844" s="389">
        <v>2.5</v>
      </c>
      <c r="D1844" s="389">
        <v>3.0</v>
      </c>
      <c r="E1844" s="384" t="s">
        <v>260</v>
      </c>
      <c r="F1844" s="389"/>
      <c r="G1844" s="389"/>
      <c r="T1844" s="384" t="str">
        <f>IFERROR(__xludf.DUMMYFUNCTION("""COMPUTED_VALUE"""),"Юрия")</f>
        <v>Юрия</v>
      </c>
      <c r="U1844" s="385"/>
      <c r="W1844" s="384" t="str">
        <f>IFERROR(__xludf.DUMMYFUNCTION("""COMPUTED_VALUE"""),"Лисичка")</f>
        <v>Лисичка</v>
      </c>
      <c r="X1844" s="385"/>
    </row>
    <row r="1845">
      <c r="A1845" s="384" t="s">
        <v>113</v>
      </c>
      <c r="B1845" s="384" t="s">
        <v>269</v>
      </c>
      <c r="C1845" s="389"/>
      <c r="D1845" s="389">
        <v>3.0</v>
      </c>
      <c r="E1845" s="384" t="s">
        <v>263</v>
      </c>
      <c r="F1845" s="389"/>
      <c r="G1845" s="389"/>
      <c r="T1845" s="384" t="str">
        <f>IFERROR(__xludf.DUMMYFUNCTION("""COMPUTED_VALUE"""),"A1 ")</f>
        <v>A1 </v>
      </c>
      <c r="U1845" s="385"/>
      <c r="W1845" s="384" t="str">
        <f>IFERROR(__xludf.DUMMYFUNCTION("""COMPUTED_VALUE"""),"Манекен")</f>
        <v>Манекен</v>
      </c>
      <c r="X1845" s="385"/>
    </row>
    <row r="1846">
      <c r="A1846" s="384" t="s">
        <v>123</v>
      </c>
      <c r="B1846" s="384" t="s">
        <v>261</v>
      </c>
      <c r="C1846" s="389">
        <v>2.5</v>
      </c>
      <c r="D1846" s="389">
        <v>3.25</v>
      </c>
      <c r="E1846" s="384"/>
      <c r="F1846" s="389"/>
      <c r="G1846" s="389"/>
      <c r="T1846" s="384" t="str">
        <f>IFERROR(__xludf.DUMMYFUNCTION("""COMPUTED_VALUE"""),"Bublik")</f>
        <v>Bublik</v>
      </c>
      <c r="U1846" s="385"/>
      <c r="W1846" s="384" t="str">
        <f>IFERROR(__xludf.DUMMYFUNCTION("""COMPUTED_VALUE"""),"Марго")</f>
        <v>Марго</v>
      </c>
      <c r="X1846" s="385"/>
    </row>
    <row r="1847">
      <c r="A1847" s="384" t="s">
        <v>88</v>
      </c>
      <c r="B1847" s="384" t="s">
        <v>271</v>
      </c>
      <c r="C1847" s="389">
        <v>2.5</v>
      </c>
      <c r="D1847" s="389">
        <v>3.5</v>
      </c>
      <c r="E1847" s="384"/>
      <c r="F1847" s="389"/>
      <c r="G1847" s="389"/>
      <c r="T1847" s="384" t="str">
        <f>IFERROR(__xludf.DUMMYFUNCTION("""COMPUTED_VALUE"""),"BWDMoscow")</f>
        <v>BWDMoscow</v>
      </c>
      <c r="U1847" s="385"/>
      <c r="W1847" s="384" t="str">
        <f>IFERROR(__xludf.DUMMYFUNCTION("""COMPUTED_VALUE"""),"Ментик")</f>
        <v>Ментик</v>
      </c>
      <c r="X1847" s="385"/>
    </row>
    <row r="1848">
      <c r="A1848" s="384" t="s">
        <v>95</v>
      </c>
      <c r="B1848" s="384" t="s">
        <v>261</v>
      </c>
      <c r="C1848" s="389">
        <v>2.5</v>
      </c>
      <c r="D1848" s="389">
        <v>4.0</v>
      </c>
      <c r="E1848" s="384"/>
      <c r="F1848" s="389"/>
      <c r="G1848" s="389"/>
      <c r="T1848" s="384" t="str">
        <f>IFERROR(__xludf.DUMMYFUNCTION("""COMPUTED_VALUE"""),"Castor Troy ")</f>
        <v>Castor Troy </v>
      </c>
      <c r="U1848" s="385"/>
      <c r="W1848" s="384" t="str">
        <f>IFERROR(__xludf.DUMMYFUNCTION("""COMPUTED_VALUE"""),"Наполеон")</f>
        <v>Наполеон</v>
      </c>
      <c r="X1848" s="385"/>
    </row>
    <row r="1849">
      <c r="A1849" s="384" t="s">
        <v>90</v>
      </c>
      <c r="B1849" s="384" t="s">
        <v>269</v>
      </c>
      <c r="C1849" s="389"/>
      <c r="D1849" s="389">
        <v>2.0</v>
      </c>
      <c r="E1849" s="384"/>
      <c r="F1849" s="389"/>
      <c r="G1849" s="389"/>
      <c r="T1849" s="384" t="str">
        <f>IFERROR(__xludf.DUMMYFUNCTION("""COMPUTED_VALUE"""),"Cristo")</f>
        <v>Cristo</v>
      </c>
      <c r="U1849" s="385"/>
      <c r="W1849" s="384" t="str">
        <f>IFERROR(__xludf.DUMMYFUNCTION("""COMPUTED_VALUE"""),"Писатель ")</f>
        <v>Писатель </v>
      </c>
      <c r="X1849" s="385"/>
    </row>
    <row r="1850">
      <c r="A1850" s="384" t="s">
        <v>115</v>
      </c>
      <c r="B1850" s="384" t="s">
        <v>261</v>
      </c>
      <c r="C1850" s="389">
        <v>2.5</v>
      </c>
      <c r="D1850" s="389">
        <v>2.25</v>
      </c>
      <c r="E1850" s="384" t="s">
        <v>260</v>
      </c>
      <c r="F1850" s="389"/>
      <c r="G1850" s="389"/>
      <c r="T1850" s="384" t="str">
        <f>IFERROR(__xludf.DUMMYFUNCTION("""COMPUTED_VALUE"""),"Curly")</f>
        <v>Curly</v>
      </c>
      <c r="U1850" s="385"/>
      <c r="W1850" s="384" t="str">
        <f>IFERROR(__xludf.DUMMYFUNCTION("""COMPUTED_VALUE"""),"Продюсер")</f>
        <v>Продюсер</v>
      </c>
      <c r="X1850" s="385"/>
    </row>
    <row r="1851">
      <c r="A1851" s="384" t="s">
        <v>96</v>
      </c>
      <c r="B1851" s="384" t="s">
        <v>261</v>
      </c>
      <c r="C1851" s="389">
        <v>2.5</v>
      </c>
      <c r="D1851" s="389">
        <v>2.75</v>
      </c>
      <c r="E1851" s="384" t="s">
        <v>260</v>
      </c>
      <c r="F1851" s="389"/>
      <c r="G1851" s="389"/>
      <c r="T1851" s="384" t="str">
        <f>IFERROR(__xludf.DUMMYFUNCTION("""COMPUTED_VALUE"""),"Helga")</f>
        <v>Helga</v>
      </c>
      <c r="U1851" s="385"/>
      <c r="W1851" s="384" t="str">
        <f>IFERROR(__xludf.DUMMYFUNCTION("""COMPUTED_VALUE"""),"РФ")</f>
        <v>РФ</v>
      </c>
      <c r="X1851" s="385"/>
    </row>
    <row r="1852">
      <c r="A1852" s="384" t="s">
        <v>127</v>
      </c>
      <c r="B1852" s="384" t="s">
        <v>265</v>
      </c>
      <c r="C1852" s="389"/>
      <c r="D1852" s="389">
        <v>1.25</v>
      </c>
      <c r="E1852" s="384"/>
      <c r="F1852" s="389"/>
      <c r="G1852" s="389"/>
      <c r="T1852" s="384" t="str">
        <f>IFERROR(__xludf.DUMMYFUNCTION("""COMPUTED_VALUE"""),"Infinity ")</f>
        <v>Infinity </v>
      </c>
      <c r="U1852" s="385"/>
      <c r="W1852" s="384" t="str">
        <f>IFERROR(__xludf.DUMMYFUNCTION("""COMPUTED_VALUE"""),"Старый")</f>
        <v>Старый</v>
      </c>
      <c r="X1852" s="385"/>
    </row>
    <row r="1853">
      <c r="A1853" s="384" t="s">
        <v>116</v>
      </c>
      <c r="B1853" s="384" t="s">
        <v>265</v>
      </c>
      <c r="C1853" s="389">
        <v>2.5</v>
      </c>
      <c r="D1853" s="389">
        <v>2.25</v>
      </c>
      <c r="E1853" s="384"/>
      <c r="F1853" s="389"/>
      <c r="G1853" s="389"/>
      <c r="T1853" s="384" t="str">
        <f>IFERROR(__xludf.DUMMYFUNCTION("""COMPUTED_VALUE"""),"Light")</f>
        <v>Light</v>
      </c>
      <c r="U1853" s="385"/>
      <c r="W1853" s="384" t="str">
        <f>IFERROR(__xludf.DUMMYFUNCTION("""COMPUTED_VALUE"""),"СЭНСЭЙ")</f>
        <v>СЭНСЭЙ</v>
      </c>
      <c r="X1853" s="385"/>
    </row>
    <row r="1854">
      <c r="A1854" s="384" t="s">
        <v>84</v>
      </c>
      <c r="B1854" s="384" t="s">
        <v>261</v>
      </c>
      <c r="C1854" s="389"/>
      <c r="D1854" s="389">
        <v>1.5</v>
      </c>
      <c r="E1854" s="384"/>
      <c r="F1854" s="389"/>
      <c r="G1854" s="389"/>
      <c r="T1854" s="384" t="str">
        <f>IFERROR(__xludf.DUMMYFUNCTION("""COMPUTED_VALUE"""),"Morti")</f>
        <v>Morti</v>
      </c>
      <c r="U1854" s="385"/>
      <c r="W1854" s="384" t="str">
        <f>IFERROR(__xludf.DUMMYFUNCTION("""COMPUTED_VALUE"""),"Тихий закат")</f>
        <v>Тихий закат</v>
      </c>
      <c r="X1854" s="385"/>
    </row>
    <row r="1855">
      <c r="A1855" s="384" t="s">
        <v>98</v>
      </c>
      <c r="B1855" s="384" t="s">
        <v>269</v>
      </c>
      <c r="C1855" s="389">
        <v>2.5</v>
      </c>
      <c r="D1855" s="389">
        <v>3.25</v>
      </c>
      <c r="E1855" s="384"/>
      <c r="F1855" s="389"/>
      <c r="G1855" s="389"/>
      <c r="T1855" s="384" t="str">
        <f>IFERROR(__xludf.DUMMYFUNCTION("""COMPUTED_VALUE"""),"MSR")</f>
        <v>MSR</v>
      </c>
      <c r="U1855" s="385"/>
      <c r="W1855" s="384" t="str">
        <f>IFERROR(__xludf.DUMMYFUNCTION("""COMPUTED_VALUE"""),"Физик")</f>
        <v>Физик</v>
      </c>
      <c r="X1855" s="385"/>
    </row>
    <row r="1856">
      <c r="A1856" s="384" t="s">
        <v>127</v>
      </c>
      <c r="B1856" s="384" t="s">
        <v>261</v>
      </c>
      <c r="C1856" s="389"/>
      <c r="D1856" s="389">
        <v>2.25</v>
      </c>
      <c r="E1856" s="384"/>
      <c r="F1856" s="389"/>
      <c r="G1856" s="389"/>
      <c r="T1856" s="384" t="str">
        <f>IFERROR(__xludf.DUMMYFUNCTION("""COMPUTED_VALUE"""),"NLIP")</f>
        <v>NLIP</v>
      </c>
      <c r="U1856" s="385"/>
      <c r="W1856" s="384" t="str">
        <f>IFERROR(__xludf.DUMMYFUNCTION("""COMPUTED_VALUE"""),"Флэш")</f>
        <v>Флэш</v>
      </c>
      <c r="X1856" s="385"/>
    </row>
    <row r="1857">
      <c r="A1857" s="384" t="s">
        <v>110</v>
      </c>
      <c r="B1857" s="384" t="s">
        <v>261</v>
      </c>
      <c r="C1857" s="389"/>
      <c r="D1857" s="389">
        <v>2.5</v>
      </c>
      <c r="E1857" s="384"/>
      <c r="F1857" s="389"/>
      <c r="G1857" s="389"/>
      <c r="T1857" s="384" t="str">
        <f>IFERROR(__xludf.DUMMYFUNCTION("""COMPUTED_VALUE"""),"Rocket woman ")</f>
        <v>Rocket woman </v>
      </c>
      <c r="U1857" s="385"/>
      <c r="W1857" s="384" t="str">
        <f>IFERROR(__xludf.DUMMYFUNCTION("""COMPUTED_VALUE"""),"Фокс")</f>
        <v>Фокс</v>
      </c>
      <c r="X1857" s="385"/>
    </row>
    <row r="1858">
      <c r="A1858" s="384" t="s">
        <v>117</v>
      </c>
      <c r="B1858" s="384" t="s">
        <v>261</v>
      </c>
      <c r="C1858" s="389"/>
      <c r="D1858" s="389">
        <v>2.25</v>
      </c>
      <c r="E1858" s="384"/>
      <c r="F1858" s="389"/>
      <c r="G1858" s="389"/>
      <c r="T1858" s="384" t="str">
        <f>IFERROR(__xludf.DUMMYFUNCTION("""COMPUTED_VALUE"""),"SCHOKK ")</f>
        <v>SCHOKK </v>
      </c>
      <c r="U1858" s="385"/>
      <c r="W1858" s="384" t="str">
        <f>IFERROR(__xludf.DUMMYFUNCTION("""COMPUTED_VALUE"""),"Шоу Бой")</f>
        <v>Шоу Бой</v>
      </c>
      <c r="X1858" s="385"/>
    </row>
    <row r="1859">
      <c r="A1859" s="384" t="s">
        <v>132</v>
      </c>
      <c r="B1859" s="384" t="s">
        <v>261</v>
      </c>
      <c r="C1859" s="389"/>
      <c r="D1859" s="389">
        <v>2.5</v>
      </c>
      <c r="E1859" s="384" t="s">
        <v>11</v>
      </c>
      <c r="F1859" s="389"/>
      <c r="G1859" s="389">
        <v>0.5</v>
      </c>
      <c r="T1859" s="384" t="str">
        <f>IFERROR(__xludf.DUMMYFUNCTION("""COMPUTED_VALUE"""),"SOVEST")</f>
        <v>SOVEST</v>
      </c>
      <c r="U1859" s="385"/>
      <c r="W1859" s="384" t="str">
        <f>IFERROR(__xludf.DUMMYFUNCTION("""COMPUTED_VALUE"""),"Шпиц")</f>
        <v>Шпиц</v>
      </c>
      <c r="X1859" s="385"/>
    </row>
    <row r="1860">
      <c r="A1860" s="384" t="s">
        <v>133</v>
      </c>
      <c r="B1860" s="384" t="s">
        <v>261</v>
      </c>
      <c r="C1860" s="389"/>
      <c r="D1860" s="389">
        <v>2.0</v>
      </c>
      <c r="E1860" s="384"/>
      <c r="F1860" s="389"/>
      <c r="G1860" s="389"/>
      <c r="T1860" s="384" t="str">
        <f>IFERROR(__xludf.DUMMYFUNCTION("""COMPUTED_VALUE"""),"Stacy")</f>
        <v>Stacy</v>
      </c>
      <c r="U1860" s="385"/>
      <c r="W1860" s="384" t="str">
        <f>IFERROR(__xludf.DUMMYFUNCTION("""COMPUTED_VALUE"""),"Юрия")</f>
        <v>Юрия</v>
      </c>
      <c r="X1860" s="385"/>
    </row>
    <row r="1861">
      <c r="A1861" s="384" t="s">
        <v>281</v>
      </c>
      <c r="B1861" s="384" t="s">
        <v>271</v>
      </c>
      <c r="C1861" s="389"/>
      <c r="D1861" s="389">
        <v>1.75</v>
      </c>
      <c r="E1861" s="384"/>
      <c r="F1861" s="389"/>
      <c r="G1861" s="389"/>
      <c r="T1861" s="384" t="str">
        <f>IFERROR(__xludf.DUMMYFUNCTION("""COMPUTED_VALUE"""),"Young")</f>
        <v>Young</v>
      </c>
      <c r="U1861" s="385"/>
      <c r="W1861" s="384" t="str">
        <f>IFERROR(__xludf.DUMMYFUNCTION("""COMPUTED_VALUE"""),"A1 ")</f>
        <v>A1 </v>
      </c>
      <c r="X1861" s="385"/>
    </row>
    <row r="1862">
      <c r="A1862" s="384" t="s">
        <v>138</v>
      </c>
      <c r="B1862" s="384" t="s">
        <v>269</v>
      </c>
      <c r="C1862" s="389">
        <v>2.5</v>
      </c>
      <c r="D1862" s="389">
        <v>3.5</v>
      </c>
      <c r="E1862" s="384"/>
      <c r="F1862" s="389"/>
      <c r="G1862" s="389"/>
      <c r="T1862" s="384" t="str">
        <f>IFERROR(__xludf.DUMMYFUNCTION("QUERY('Турнирная таблица по Алфавиту'!C7:BG66,""select C,AY order by AY desc"")"),"WhoIsWho")</f>
        <v>WhoIsWho</v>
      </c>
      <c r="U1862" s="385">
        <f>IFERROR(__xludf.DUMMYFUNCTION("""COMPUTED_VALUE"""),25.75)</f>
        <v>25.75</v>
      </c>
      <c r="W1862" s="384" t="str">
        <f>IFERROR(__xludf.DUMMYFUNCTION("""COMPUTED_VALUE"""),"Alice ")</f>
        <v>Alice </v>
      </c>
      <c r="X1862" s="385"/>
    </row>
    <row r="1863">
      <c r="A1863" s="384" t="s">
        <v>116</v>
      </c>
      <c r="B1863" s="384" t="s">
        <v>261</v>
      </c>
      <c r="C1863" s="389">
        <v>2.5</v>
      </c>
      <c r="D1863" s="389">
        <v>2.5</v>
      </c>
      <c r="E1863" s="384"/>
      <c r="F1863" s="389"/>
      <c r="G1863" s="389"/>
      <c r="T1863" s="384" t="str">
        <f>IFERROR(__xludf.DUMMYFUNCTION("""COMPUTED_VALUE"""),"Градиент")</f>
        <v>Градиент</v>
      </c>
      <c r="U1863" s="385">
        <f>IFERROR(__xludf.DUMMYFUNCTION("""COMPUTED_VALUE"""),24.25)</f>
        <v>24.25</v>
      </c>
      <c r="W1863" s="384" t="str">
        <f>IFERROR(__xludf.DUMMYFUNCTION("""COMPUTED_VALUE"""),"Bublik")</f>
        <v>Bublik</v>
      </c>
      <c r="X1863" s="385"/>
    </row>
    <row r="1864">
      <c r="A1864" s="384" t="s">
        <v>84</v>
      </c>
      <c r="B1864" s="384" t="s">
        <v>265</v>
      </c>
      <c r="C1864" s="389"/>
      <c r="D1864" s="389">
        <v>1.5</v>
      </c>
      <c r="E1864" s="384"/>
      <c r="F1864" s="389"/>
      <c r="G1864" s="389"/>
      <c r="T1864" s="384" t="str">
        <f>IFERROR(__xludf.DUMMYFUNCTION("""COMPUTED_VALUE"""),"Админ")</f>
        <v>Админ</v>
      </c>
      <c r="U1864" s="385">
        <f>IFERROR(__xludf.DUMMYFUNCTION("""COMPUTED_VALUE"""),22.5)</f>
        <v>22.5</v>
      </c>
      <c r="W1864" s="384" t="str">
        <f>IFERROR(__xludf.DUMMYFUNCTION("""COMPUTED_VALUE"""),"BWDMoscow")</f>
        <v>BWDMoscow</v>
      </c>
      <c r="X1864" s="385"/>
    </row>
    <row r="1865">
      <c r="A1865" s="384" t="s">
        <v>98</v>
      </c>
      <c r="B1865" s="384" t="s">
        <v>271</v>
      </c>
      <c r="C1865" s="389">
        <v>2.5</v>
      </c>
      <c r="D1865" s="389">
        <v>3.5</v>
      </c>
      <c r="E1865" s="384"/>
      <c r="F1865" s="389"/>
      <c r="G1865" s="389"/>
      <c r="T1865" s="384" t="str">
        <f>IFERROR(__xludf.DUMMYFUNCTION("""COMPUTED_VALUE"""),"Helga")</f>
        <v>Helga</v>
      </c>
      <c r="U1865" s="385">
        <f>IFERROR(__xludf.DUMMYFUNCTION("""COMPUTED_VALUE"""),20.0)</f>
        <v>20</v>
      </c>
      <c r="W1865" s="384" t="str">
        <f>IFERROR(__xludf.DUMMYFUNCTION("""COMPUTED_VALUE"""),"Castor Troy ")</f>
        <v>Castor Troy </v>
      </c>
      <c r="X1865" s="385"/>
    </row>
    <row r="1866">
      <c r="A1866" s="384" t="s">
        <v>127</v>
      </c>
      <c r="B1866" s="384" t="s">
        <v>269</v>
      </c>
      <c r="C1866" s="389"/>
      <c r="D1866" s="389">
        <v>2.0</v>
      </c>
      <c r="E1866" s="384"/>
      <c r="F1866" s="389"/>
      <c r="G1866" s="389"/>
      <c r="T1866" s="384" t="str">
        <f>IFERROR(__xludf.DUMMYFUNCTION("""COMPUTED_VALUE"""),"Morti")</f>
        <v>Morti</v>
      </c>
      <c r="U1866" s="385">
        <f>IFERROR(__xludf.DUMMYFUNCTION("""COMPUTED_VALUE"""),20.0)</f>
        <v>20</v>
      </c>
      <c r="W1866" s="384" t="str">
        <f>IFERROR(__xludf.DUMMYFUNCTION("""COMPUTED_VALUE"""),"Cristo")</f>
        <v>Cristo</v>
      </c>
      <c r="X1866" s="385"/>
    </row>
    <row r="1867">
      <c r="A1867" s="384" t="s">
        <v>110</v>
      </c>
      <c r="B1867" s="384" t="s">
        <v>261</v>
      </c>
      <c r="C1867" s="389">
        <v>2.5</v>
      </c>
      <c r="D1867" s="389">
        <v>3.75</v>
      </c>
      <c r="E1867" s="384"/>
      <c r="F1867" s="389"/>
      <c r="G1867" s="389"/>
      <c r="T1867" s="384" t="str">
        <f>IFERROR(__xludf.DUMMYFUNCTION("""COMPUTED_VALUE"""),"Cristo")</f>
        <v>Cristo</v>
      </c>
      <c r="U1867" s="385">
        <f>IFERROR(__xludf.DUMMYFUNCTION("""COMPUTED_VALUE"""),19.5)</f>
        <v>19.5</v>
      </c>
      <c r="W1867" s="384" t="str">
        <f>IFERROR(__xludf.DUMMYFUNCTION("""COMPUTED_VALUE"""),"Curly")</f>
        <v>Curly</v>
      </c>
      <c r="X1867" s="385"/>
    </row>
    <row r="1868">
      <c r="A1868" s="384" t="s">
        <v>117</v>
      </c>
      <c r="B1868" s="384" t="s">
        <v>261</v>
      </c>
      <c r="C1868" s="389">
        <v>2.5</v>
      </c>
      <c r="D1868" s="389">
        <v>2.5</v>
      </c>
      <c r="E1868" s="384"/>
      <c r="F1868" s="389"/>
      <c r="G1868" s="389"/>
      <c r="T1868" s="384" t="str">
        <f>IFERROR(__xludf.DUMMYFUNCTION("""COMPUTED_VALUE"""),"GALAY")</f>
        <v>GALAY</v>
      </c>
      <c r="U1868" s="385">
        <f>IFERROR(__xludf.DUMMYFUNCTION("""COMPUTED_VALUE"""),19.0)</f>
        <v>19</v>
      </c>
      <c r="W1868" s="384" t="str">
        <f>IFERROR(__xludf.DUMMYFUNCTION("""COMPUTED_VALUE"""),"GALAY")</f>
        <v>GALAY</v>
      </c>
      <c r="X1868" s="385"/>
    </row>
    <row r="1869">
      <c r="A1869" s="384" t="s">
        <v>132</v>
      </c>
      <c r="B1869" s="384" t="s">
        <v>269</v>
      </c>
      <c r="C1869" s="389"/>
      <c r="D1869" s="389">
        <v>1.75</v>
      </c>
      <c r="E1869" s="384"/>
      <c r="F1869" s="389"/>
      <c r="G1869" s="389"/>
      <c r="T1869" s="384" t="str">
        <f>IFERROR(__xludf.DUMMYFUNCTION("""COMPUTED_VALUE"""),"Alice ")</f>
        <v>Alice </v>
      </c>
      <c r="U1869" s="385">
        <f>IFERROR(__xludf.DUMMYFUNCTION("""COMPUTED_VALUE"""),18.0)</f>
        <v>18</v>
      </c>
      <c r="W1869" s="384" t="str">
        <f>IFERROR(__xludf.DUMMYFUNCTION("""COMPUTED_VALUE"""),"Helga")</f>
        <v>Helga</v>
      </c>
      <c r="X1869" s="385"/>
    </row>
    <row r="1870">
      <c r="A1870" s="384" t="s">
        <v>133</v>
      </c>
      <c r="B1870" s="384" t="s">
        <v>261</v>
      </c>
      <c r="C1870" s="389">
        <v>2.5</v>
      </c>
      <c r="D1870" s="389">
        <v>3.0</v>
      </c>
      <c r="E1870" s="384" t="s">
        <v>11</v>
      </c>
      <c r="F1870" s="389">
        <v>0.5</v>
      </c>
      <c r="G1870" s="389">
        <v>0.5</v>
      </c>
      <c r="T1870" s="384" t="str">
        <f>IFERROR(__xludf.DUMMYFUNCTION("""COMPUTED_VALUE"""),"СЭНСЭЙ")</f>
        <v>СЭНСЭЙ</v>
      </c>
      <c r="U1870" s="385">
        <f>IFERROR(__xludf.DUMMYFUNCTION("""COMPUTED_VALUE"""),13.75)</f>
        <v>13.75</v>
      </c>
      <c r="W1870" s="384" t="str">
        <f>IFERROR(__xludf.DUMMYFUNCTION("""COMPUTED_VALUE"""),"Infinity ")</f>
        <v>Infinity </v>
      </c>
      <c r="X1870" s="385"/>
    </row>
    <row r="1871">
      <c r="A1871" s="384" t="s">
        <v>281</v>
      </c>
      <c r="B1871" s="384" t="s">
        <v>261</v>
      </c>
      <c r="C1871" s="389">
        <v>2.5</v>
      </c>
      <c r="D1871" s="389">
        <v>3.25</v>
      </c>
      <c r="E1871" s="384"/>
      <c r="F1871" s="389"/>
      <c r="G1871" s="389"/>
      <c r="T1871" s="384" t="str">
        <f>IFERROR(__xludf.DUMMYFUNCTION("""COMPUTED_VALUE"""),"Авраам")</f>
        <v>Авраам</v>
      </c>
      <c r="U1871" s="385"/>
      <c r="W1871" s="384" t="str">
        <f>IFERROR(__xludf.DUMMYFUNCTION("""COMPUTED_VALUE"""),"Ketamin")</f>
        <v>Ketamin</v>
      </c>
      <c r="X1871" s="385"/>
    </row>
    <row r="1872">
      <c r="A1872" s="384" t="s">
        <v>138</v>
      </c>
      <c r="B1872" s="384" t="s">
        <v>261</v>
      </c>
      <c r="C1872" s="389">
        <v>2.5</v>
      </c>
      <c r="D1872" s="389">
        <v>3.5</v>
      </c>
      <c r="E1872" s="384"/>
      <c r="F1872" s="389"/>
      <c r="G1872" s="389"/>
      <c r="T1872" s="384" t="str">
        <f>IFERROR(__xludf.DUMMYFUNCTION("""COMPUTED_VALUE"""),"Андерсен")</f>
        <v>Андерсен</v>
      </c>
      <c r="U1872" s="385"/>
      <c r="W1872" s="384" t="str">
        <f>IFERROR(__xludf.DUMMYFUNCTION("""COMPUTED_VALUE"""),"Light")</f>
        <v>Light</v>
      </c>
      <c r="X1872" s="385"/>
    </row>
    <row r="1873">
      <c r="A1873" s="384" t="s">
        <v>116</v>
      </c>
      <c r="B1873" s="384" t="s">
        <v>261</v>
      </c>
      <c r="C1873" s="389">
        <v>2.5</v>
      </c>
      <c r="D1873" s="389">
        <v>4.0</v>
      </c>
      <c r="E1873" s="384" t="s">
        <v>260</v>
      </c>
      <c r="F1873" s="389"/>
      <c r="G1873" s="389"/>
      <c r="T1873" s="384" t="str">
        <f>IFERROR(__xludf.DUMMYFUNCTION("""COMPUTED_VALUE"""),"Артик")</f>
        <v>Артик</v>
      </c>
      <c r="U1873" s="385"/>
      <c r="W1873" s="384" t="str">
        <f>IFERROR(__xludf.DUMMYFUNCTION("""COMPUTED_VALUE"""),"Morti")</f>
        <v>Morti</v>
      </c>
      <c r="X1873" s="385"/>
    </row>
    <row r="1874">
      <c r="A1874" s="384" t="s">
        <v>84</v>
      </c>
      <c r="B1874" s="384" t="s">
        <v>265</v>
      </c>
      <c r="C1874" s="389"/>
      <c r="D1874" s="389">
        <v>3.0</v>
      </c>
      <c r="E1874" s="384"/>
      <c r="F1874" s="389"/>
      <c r="G1874" s="389"/>
      <c r="T1874" s="384" t="str">
        <f>IFERROR(__xludf.DUMMYFUNCTION("""COMPUTED_VALUE"""),"Астория")</f>
        <v>Астория</v>
      </c>
      <c r="U1874" s="385"/>
      <c r="W1874" s="384" t="str">
        <f>IFERROR(__xludf.DUMMYFUNCTION("""COMPUTED_VALUE"""),"MSR")</f>
        <v>MSR</v>
      </c>
      <c r="X1874" s="385"/>
    </row>
    <row r="1875">
      <c r="A1875" s="384" t="s">
        <v>98</v>
      </c>
      <c r="B1875" s="384" t="s">
        <v>261</v>
      </c>
      <c r="C1875" s="389">
        <v>2.5</v>
      </c>
      <c r="D1875" s="389">
        <v>3.0</v>
      </c>
      <c r="E1875" s="384"/>
      <c r="F1875" s="389"/>
      <c r="G1875" s="389"/>
      <c r="T1875" s="384" t="str">
        <f>IFERROR(__xludf.DUMMYFUNCTION("""COMPUTED_VALUE"""),"Аш")</f>
        <v>Аш</v>
      </c>
      <c r="U1875" s="385"/>
      <c r="W1875" s="384" t="str">
        <f>IFERROR(__xludf.DUMMYFUNCTION("""COMPUTED_VALUE"""),"NLIP")</f>
        <v>NLIP</v>
      </c>
      <c r="X1875" s="385"/>
    </row>
    <row r="1876">
      <c r="A1876" s="384" t="s">
        <v>127</v>
      </c>
      <c r="B1876" s="384" t="s">
        <v>261</v>
      </c>
      <c r="C1876" s="389">
        <v>2.5</v>
      </c>
      <c r="D1876" s="389">
        <v>2.0</v>
      </c>
      <c r="E1876" s="384"/>
      <c r="F1876" s="389"/>
      <c r="G1876" s="389"/>
      <c r="T1876" s="384" t="str">
        <f>IFERROR(__xludf.DUMMYFUNCTION("""COMPUTED_VALUE"""),"Бамблби")</f>
        <v>Бамблби</v>
      </c>
      <c r="U1876" s="385"/>
      <c r="W1876" s="384" t="str">
        <f>IFERROR(__xludf.DUMMYFUNCTION("""COMPUTED_VALUE"""),"Rocket woman ")</f>
        <v>Rocket woman </v>
      </c>
      <c r="X1876" s="385"/>
    </row>
    <row r="1877">
      <c r="A1877" s="384" t="s">
        <v>110</v>
      </c>
      <c r="B1877" s="384" t="s">
        <v>261</v>
      </c>
      <c r="C1877" s="389">
        <v>2.5</v>
      </c>
      <c r="D1877" s="389">
        <v>2.5</v>
      </c>
      <c r="E1877" s="384"/>
      <c r="F1877" s="389"/>
      <c r="G1877" s="389"/>
      <c r="T1877" s="384" t="str">
        <f>IFERROR(__xludf.DUMMYFUNCTION("""COMPUTED_VALUE"""),"Волга")</f>
        <v>Волга</v>
      </c>
      <c r="U1877" s="385"/>
      <c r="W1877" s="384" t="str">
        <f>IFERROR(__xludf.DUMMYFUNCTION("""COMPUTED_VALUE"""),"SCHOKK ")</f>
        <v>SCHOKK </v>
      </c>
      <c r="X1877" s="385"/>
    </row>
    <row r="1878">
      <c r="A1878" s="384" t="s">
        <v>117</v>
      </c>
      <c r="B1878" s="384" t="s">
        <v>271</v>
      </c>
      <c r="C1878" s="389">
        <v>2.5</v>
      </c>
      <c r="D1878" s="389">
        <v>2.25</v>
      </c>
      <c r="E1878" s="384" t="s">
        <v>11</v>
      </c>
      <c r="F1878" s="389"/>
      <c r="G1878" s="389">
        <v>0.5</v>
      </c>
      <c r="T1878" s="384" t="str">
        <f>IFERROR(__xludf.DUMMYFUNCTION("""COMPUTED_VALUE"""),"Дровосек")</f>
        <v>Дровосек</v>
      </c>
      <c r="U1878" s="385"/>
      <c r="W1878" s="384" t="str">
        <f>IFERROR(__xludf.DUMMYFUNCTION("""COMPUTED_VALUE"""),"SOVEST")</f>
        <v>SOVEST</v>
      </c>
      <c r="X1878" s="385"/>
    </row>
    <row r="1879">
      <c r="A1879" s="384" t="s">
        <v>132</v>
      </c>
      <c r="B1879" s="384" t="s">
        <v>261</v>
      </c>
      <c r="C1879" s="389">
        <v>2.5</v>
      </c>
      <c r="D1879" s="389">
        <v>4.5</v>
      </c>
      <c r="E1879" s="384" t="s">
        <v>260</v>
      </c>
      <c r="F1879" s="389"/>
      <c r="G1879" s="389"/>
      <c r="T1879" s="384" t="str">
        <f>IFERROR(__xludf.DUMMYFUNCTION("""COMPUTED_VALUE"""),"Зверюга")</f>
        <v>Зверюга</v>
      </c>
      <c r="U1879" s="385"/>
      <c r="W1879" s="384" t="str">
        <f>IFERROR(__xludf.DUMMYFUNCTION("""COMPUTED_VALUE"""),"Stacy")</f>
        <v>Stacy</v>
      </c>
      <c r="X1879" s="385"/>
    </row>
    <row r="1880">
      <c r="A1880" s="384" t="s">
        <v>133</v>
      </c>
      <c r="B1880" s="384" t="s">
        <v>261</v>
      </c>
      <c r="C1880" s="389">
        <v>2.5</v>
      </c>
      <c r="D1880" s="389">
        <v>2.25</v>
      </c>
      <c r="E1880" s="384"/>
      <c r="F1880" s="389"/>
      <c r="G1880" s="389"/>
      <c r="T1880" s="384" t="str">
        <f>IFERROR(__xludf.DUMMYFUNCTION("""COMPUTED_VALUE"""),"Инсомнич")</f>
        <v>Инсомнич</v>
      </c>
      <c r="U1880" s="385"/>
      <c r="W1880" s="384" t="str">
        <f>IFERROR(__xludf.DUMMYFUNCTION("""COMPUTED_VALUE"""),"WhoIsWho")</f>
        <v>WhoIsWho</v>
      </c>
      <c r="X1880" s="385"/>
    </row>
    <row r="1881">
      <c r="A1881" s="384" t="s">
        <v>281</v>
      </c>
      <c r="B1881" s="384" t="s">
        <v>269</v>
      </c>
      <c r="C1881" s="389"/>
      <c r="D1881" s="389">
        <v>2.5</v>
      </c>
      <c r="E1881" s="384" t="s">
        <v>263</v>
      </c>
      <c r="F1881" s="389"/>
      <c r="G1881" s="389"/>
      <c r="T1881" s="384" t="str">
        <f>IFERROR(__xludf.DUMMYFUNCTION("""COMPUTED_VALUE"""),"Красавчик")</f>
        <v>Красавчик</v>
      </c>
      <c r="U1881" s="385"/>
      <c r="W1881" s="384" t="str">
        <f>IFERROR(__xludf.DUMMYFUNCTION("""COMPUTED_VALUE"""),"Young")</f>
        <v>Young</v>
      </c>
      <c r="X1881" s="385"/>
    </row>
    <row r="1882">
      <c r="A1882" s="384" t="s">
        <v>138</v>
      </c>
      <c r="B1882" s="384" t="s">
        <v>269</v>
      </c>
      <c r="C1882" s="389"/>
      <c r="D1882" s="389">
        <v>2.5</v>
      </c>
      <c r="E1882" s="384"/>
      <c r="F1882" s="389"/>
      <c r="G1882" s="389"/>
      <c r="T1882" s="384" t="str">
        <f>IFERROR(__xludf.DUMMYFUNCTION("""COMPUTED_VALUE"""),"Крестный отец (BLR)")</f>
        <v>Крестный отец (BLR)</v>
      </c>
      <c r="U1882" s="385"/>
      <c r="W1882" s="384" t="str">
        <f>IFERROR(__xludf.DUMMYFUNCTION("""COMPUTED_VALUE"""),"Авраам")</f>
        <v>Авраам</v>
      </c>
      <c r="X1882" s="385"/>
    </row>
    <row r="1883">
      <c r="A1883" s="384" t="s">
        <v>116</v>
      </c>
      <c r="B1883" s="384" t="s">
        <v>261</v>
      </c>
      <c r="C1883" s="389">
        <v>2.5</v>
      </c>
      <c r="D1883" s="389">
        <v>4.0</v>
      </c>
      <c r="E1883" s="384" t="s">
        <v>260</v>
      </c>
      <c r="F1883" s="389"/>
      <c r="G1883" s="389"/>
      <c r="T1883" s="384" t="str">
        <f>IFERROR(__xludf.DUMMYFUNCTION("""COMPUTED_VALUE"""),"Крёстный Отец (RU)")</f>
        <v>Крёстный Отец (RU)</v>
      </c>
      <c r="U1883" s="385"/>
      <c r="W1883" s="384" t="str">
        <f>IFERROR(__xludf.DUMMYFUNCTION("""COMPUTED_VALUE"""),"Артик")</f>
        <v>Артик</v>
      </c>
      <c r="X1883" s="385"/>
    </row>
    <row r="1884">
      <c r="A1884" s="384" t="s">
        <v>84</v>
      </c>
      <c r="B1884" s="384" t="s">
        <v>261</v>
      </c>
      <c r="C1884" s="389">
        <v>2.5</v>
      </c>
      <c r="D1884" s="389">
        <v>2.75</v>
      </c>
      <c r="E1884" s="384"/>
      <c r="F1884" s="389"/>
      <c r="G1884" s="389"/>
      <c r="T1884" s="384" t="str">
        <f>IFERROR(__xludf.DUMMYFUNCTION("""COMPUTED_VALUE"""),"Крот")</f>
        <v>Крот</v>
      </c>
      <c r="U1884" s="385"/>
      <c r="W1884" s="384" t="str">
        <f>IFERROR(__xludf.DUMMYFUNCTION("""COMPUTED_VALUE"""),"Астория")</f>
        <v>Астория</v>
      </c>
      <c r="X1884" s="385"/>
    </row>
    <row r="1885">
      <c r="A1885" s="384" t="s">
        <v>98</v>
      </c>
      <c r="B1885" s="384" t="s">
        <v>269</v>
      </c>
      <c r="C1885" s="389"/>
      <c r="D1885" s="389">
        <v>2.5</v>
      </c>
      <c r="E1885" s="384" t="s">
        <v>263</v>
      </c>
      <c r="F1885" s="389"/>
      <c r="G1885" s="389"/>
      <c r="T1885" s="384" t="str">
        <f>IFERROR(__xludf.DUMMYFUNCTION("""COMPUTED_VALUE"""),"Левша")</f>
        <v>Левша</v>
      </c>
      <c r="U1885" s="385"/>
      <c r="W1885" s="384" t="str">
        <f>IFERROR(__xludf.DUMMYFUNCTION("""COMPUTED_VALUE"""),"Бамблби")</f>
        <v>Бамблби</v>
      </c>
      <c r="X1885" s="385"/>
    </row>
    <row r="1886">
      <c r="A1886" s="384" t="s">
        <v>127</v>
      </c>
      <c r="B1886" s="384" t="s">
        <v>265</v>
      </c>
      <c r="C1886" s="389"/>
      <c r="D1886" s="389">
        <v>1.5</v>
      </c>
      <c r="E1886" s="384"/>
      <c r="F1886" s="389"/>
      <c r="G1886" s="389"/>
      <c r="T1886" s="384" t="str">
        <f>IFERROR(__xludf.DUMMYFUNCTION("""COMPUTED_VALUE"""),"Лисичка")</f>
        <v>Лисичка</v>
      </c>
      <c r="U1886" s="385"/>
      <c r="W1886" s="384" t="str">
        <f>IFERROR(__xludf.DUMMYFUNCTION("""COMPUTED_VALUE"""),"Волга")</f>
        <v>Волга</v>
      </c>
      <c r="X1886" s="385"/>
    </row>
    <row r="1887">
      <c r="A1887" s="384" t="s">
        <v>110</v>
      </c>
      <c r="B1887" s="384" t="s">
        <v>261</v>
      </c>
      <c r="C1887" s="389">
        <v>2.5</v>
      </c>
      <c r="D1887" s="389">
        <v>2.25</v>
      </c>
      <c r="E1887" s="384"/>
      <c r="F1887" s="389"/>
      <c r="G1887" s="389"/>
      <c r="T1887" s="384" t="str">
        <f>IFERROR(__xludf.DUMMYFUNCTION("""COMPUTED_VALUE"""),"Маваши")</f>
        <v>Маваши</v>
      </c>
      <c r="U1887" s="385"/>
      <c r="W1887" s="384" t="str">
        <f>IFERROR(__xludf.DUMMYFUNCTION("""COMPUTED_VALUE"""),"Дровосек")</f>
        <v>Дровосек</v>
      </c>
      <c r="X1887" s="385"/>
    </row>
    <row r="1888">
      <c r="A1888" s="384" t="s">
        <v>117</v>
      </c>
      <c r="B1888" s="384" t="s">
        <v>269</v>
      </c>
      <c r="C1888" s="389"/>
      <c r="D1888" s="389">
        <v>2.5</v>
      </c>
      <c r="E1888" s="384"/>
      <c r="F1888" s="389"/>
      <c r="G1888" s="389"/>
      <c r="T1888" s="384" t="str">
        <f>IFERROR(__xludf.DUMMYFUNCTION("""COMPUTED_VALUE"""),"Манекен")</f>
        <v>Манекен</v>
      </c>
      <c r="U1888" s="385"/>
      <c r="W1888" s="384" t="str">
        <f>IFERROR(__xludf.DUMMYFUNCTION("""COMPUTED_VALUE"""),"Зверюга")</f>
        <v>Зверюга</v>
      </c>
      <c r="X1888" s="385"/>
    </row>
    <row r="1889">
      <c r="A1889" s="384" t="s">
        <v>132</v>
      </c>
      <c r="B1889" s="384" t="s">
        <v>261</v>
      </c>
      <c r="C1889" s="389">
        <v>2.5</v>
      </c>
      <c r="D1889" s="389">
        <v>2.0</v>
      </c>
      <c r="E1889" s="384" t="s">
        <v>11</v>
      </c>
      <c r="F1889" s="389"/>
      <c r="G1889" s="389">
        <v>1.0</v>
      </c>
      <c r="T1889" s="384" t="str">
        <f>IFERROR(__xludf.DUMMYFUNCTION("""COMPUTED_VALUE"""),"Марго")</f>
        <v>Марго</v>
      </c>
      <c r="U1889" s="385"/>
      <c r="W1889" s="384" t="str">
        <f>IFERROR(__xludf.DUMMYFUNCTION("""COMPUTED_VALUE"""),"Инсомнич")</f>
        <v>Инсомнич</v>
      </c>
      <c r="X1889" s="385"/>
    </row>
    <row r="1890">
      <c r="A1890" s="384" t="s">
        <v>133</v>
      </c>
      <c r="B1890" s="384" t="s">
        <v>271</v>
      </c>
      <c r="C1890" s="389">
        <v>2.5</v>
      </c>
      <c r="D1890" s="389">
        <v>3.5</v>
      </c>
      <c r="E1890" s="384"/>
      <c r="F1890" s="389"/>
      <c r="G1890" s="389"/>
      <c r="T1890" s="384" t="str">
        <f>IFERROR(__xludf.DUMMYFUNCTION("""COMPUTED_VALUE"""),"Ментик")</f>
        <v>Ментик</v>
      </c>
      <c r="U1890" s="385"/>
      <c r="W1890" s="384" t="str">
        <f>IFERROR(__xludf.DUMMYFUNCTION("""COMPUTED_VALUE"""),"Красавчик")</f>
        <v>Красавчик</v>
      </c>
      <c r="X1890" s="385"/>
    </row>
    <row r="1891">
      <c r="A1891" s="384" t="s">
        <v>281</v>
      </c>
      <c r="B1891" s="384" t="s">
        <v>261</v>
      </c>
      <c r="C1891" s="389">
        <v>2.5</v>
      </c>
      <c r="D1891" s="389">
        <v>3.75</v>
      </c>
      <c r="E1891" s="384" t="s">
        <v>260</v>
      </c>
      <c r="F1891" s="389"/>
      <c r="G1891" s="389"/>
      <c r="T1891" s="384" t="str">
        <f>IFERROR(__xludf.DUMMYFUNCTION("""COMPUTED_VALUE"""),"Мишель ")</f>
        <v>Мишель </v>
      </c>
      <c r="U1891" s="385"/>
      <c r="W1891" s="384" t="str">
        <f>IFERROR(__xludf.DUMMYFUNCTION("""COMPUTED_VALUE"""),"Крёстный Отец (RU)")</f>
        <v>Крёстный Отец (RU)</v>
      </c>
      <c r="X1891" s="385"/>
    </row>
    <row r="1892">
      <c r="A1892" s="384" t="s">
        <v>138</v>
      </c>
      <c r="B1892" s="384" t="s">
        <v>261</v>
      </c>
      <c r="C1892" s="389">
        <v>2.5</v>
      </c>
      <c r="D1892" s="389">
        <v>3.25</v>
      </c>
      <c r="E1892" s="384"/>
      <c r="F1892" s="389"/>
      <c r="G1892" s="389"/>
      <c r="T1892" s="384" t="str">
        <f>IFERROR(__xludf.DUMMYFUNCTION("""COMPUTED_VALUE"""),"Наполеон")</f>
        <v>Наполеон</v>
      </c>
      <c r="U1892" s="385"/>
      <c r="W1892" s="384" t="str">
        <f>IFERROR(__xludf.DUMMYFUNCTION("""COMPUTED_VALUE"""),"Крот")</f>
        <v>Крот</v>
      </c>
      <c r="X1892" s="385"/>
    </row>
    <row r="1893">
      <c r="A1893" s="384" t="s">
        <v>116</v>
      </c>
      <c r="B1893" s="384" t="s">
        <v>271</v>
      </c>
      <c r="C1893" s="389"/>
      <c r="D1893" s="389">
        <v>2.0</v>
      </c>
      <c r="E1893" s="384" t="s">
        <v>11</v>
      </c>
      <c r="F1893" s="389"/>
      <c r="G1893" s="389">
        <v>0.5</v>
      </c>
      <c r="T1893" s="384" t="str">
        <f>IFERROR(__xludf.DUMMYFUNCTION("""COMPUTED_VALUE"""),"Панда из Руанды")</f>
        <v>Панда из Руанды</v>
      </c>
      <c r="U1893" s="385"/>
      <c r="W1893" s="384" t="str">
        <f>IFERROR(__xludf.DUMMYFUNCTION("""COMPUTED_VALUE"""),"Левша")</f>
        <v>Левша</v>
      </c>
      <c r="X1893" s="385"/>
    </row>
    <row r="1894">
      <c r="A1894" s="384" t="s">
        <v>84</v>
      </c>
      <c r="B1894" s="384" t="s">
        <v>269</v>
      </c>
      <c r="C1894" s="389">
        <v>2.5</v>
      </c>
      <c r="D1894" s="389">
        <v>4.0</v>
      </c>
      <c r="E1894" s="384"/>
      <c r="F1894" s="389"/>
      <c r="G1894" s="389"/>
      <c r="T1894" s="384" t="str">
        <f>IFERROR(__xludf.DUMMYFUNCTION("""COMPUTED_VALUE"""),"Писатель ")</f>
        <v>Писатель </v>
      </c>
      <c r="U1894" s="385"/>
      <c r="W1894" s="384" t="str">
        <f>IFERROR(__xludf.DUMMYFUNCTION("""COMPUTED_VALUE"""),"Лисичка")</f>
        <v>Лисичка</v>
      </c>
      <c r="X1894" s="385"/>
    </row>
    <row r="1895">
      <c r="A1895" s="384" t="s">
        <v>98</v>
      </c>
      <c r="B1895" s="384" t="s">
        <v>261</v>
      </c>
      <c r="C1895" s="389"/>
      <c r="D1895" s="389">
        <v>2.5</v>
      </c>
      <c r="E1895" s="384"/>
      <c r="F1895" s="389"/>
      <c r="G1895" s="389"/>
      <c r="T1895" s="384" t="str">
        <f>IFERROR(__xludf.DUMMYFUNCTION("""COMPUTED_VALUE"""),"Правда ")</f>
        <v>Правда </v>
      </c>
      <c r="U1895" s="385"/>
      <c r="W1895" s="384" t="str">
        <f>IFERROR(__xludf.DUMMYFUNCTION("""COMPUTED_VALUE"""),"Маваши")</f>
        <v>Маваши</v>
      </c>
      <c r="X1895" s="385"/>
    </row>
    <row r="1896">
      <c r="A1896" s="384" t="s">
        <v>127</v>
      </c>
      <c r="B1896" s="384" t="s">
        <v>261</v>
      </c>
      <c r="C1896" s="389"/>
      <c r="D1896" s="389">
        <v>2.25</v>
      </c>
      <c r="E1896" s="384"/>
      <c r="F1896" s="389"/>
      <c r="G1896" s="389"/>
      <c r="T1896" s="384" t="str">
        <f>IFERROR(__xludf.DUMMYFUNCTION("""COMPUTED_VALUE"""),"Продюсер")</f>
        <v>Продюсер</v>
      </c>
      <c r="U1896" s="385"/>
      <c r="W1896" s="384" t="str">
        <f>IFERROR(__xludf.DUMMYFUNCTION("""COMPUTED_VALUE"""),"Манекен")</f>
        <v>Манекен</v>
      </c>
      <c r="X1896" s="385"/>
    </row>
    <row r="1897">
      <c r="A1897" s="384" t="s">
        <v>110</v>
      </c>
      <c r="B1897" s="384" t="s">
        <v>261</v>
      </c>
      <c r="C1897" s="389"/>
      <c r="D1897" s="389">
        <v>2.0</v>
      </c>
      <c r="E1897" s="384"/>
      <c r="F1897" s="389"/>
      <c r="G1897" s="389"/>
      <c r="T1897" s="384" t="str">
        <f>IFERROR(__xludf.DUMMYFUNCTION("""COMPUTED_VALUE"""),"РФ")</f>
        <v>РФ</v>
      </c>
      <c r="U1897" s="385"/>
      <c r="W1897" s="384" t="str">
        <f>IFERROR(__xludf.DUMMYFUNCTION("""COMPUTED_VALUE"""),"Марго")</f>
        <v>Марго</v>
      </c>
      <c r="X1897" s="385"/>
    </row>
    <row r="1898">
      <c r="A1898" s="384" t="s">
        <v>117</v>
      </c>
      <c r="B1898" s="384" t="s">
        <v>261</v>
      </c>
      <c r="C1898" s="389"/>
      <c r="D1898" s="389">
        <v>2.0</v>
      </c>
      <c r="E1898" s="384"/>
      <c r="F1898" s="389"/>
      <c r="G1898" s="389"/>
      <c r="T1898" s="384" t="str">
        <f>IFERROR(__xludf.DUMMYFUNCTION("""COMPUTED_VALUE"""),"Старый")</f>
        <v>Старый</v>
      </c>
      <c r="U1898" s="385"/>
      <c r="W1898" s="384" t="str">
        <f>IFERROR(__xludf.DUMMYFUNCTION("""COMPUTED_VALUE"""),"Ментик")</f>
        <v>Ментик</v>
      </c>
      <c r="X1898" s="385"/>
    </row>
    <row r="1899">
      <c r="A1899" s="384" t="s">
        <v>132</v>
      </c>
      <c r="B1899" s="384" t="s">
        <v>261</v>
      </c>
      <c r="C1899" s="389"/>
      <c r="D1899" s="389">
        <v>2.5</v>
      </c>
      <c r="E1899" s="384"/>
      <c r="F1899" s="389"/>
      <c r="G1899" s="389"/>
      <c r="T1899" s="384" t="str">
        <f>IFERROR(__xludf.DUMMYFUNCTION("""COMPUTED_VALUE"""),"Coach")</f>
        <v>Coach</v>
      </c>
      <c r="U1899" s="385"/>
      <c r="W1899" s="384" t="str">
        <f>IFERROR(__xludf.DUMMYFUNCTION("""COMPUTED_VALUE"""),"Мишель ")</f>
        <v>Мишель </v>
      </c>
      <c r="X1899" s="385"/>
    </row>
    <row r="1900">
      <c r="A1900" s="384" t="s">
        <v>133</v>
      </c>
      <c r="B1900" s="384" t="s">
        <v>265</v>
      </c>
      <c r="C1900" s="389">
        <v>2.5</v>
      </c>
      <c r="D1900" s="389">
        <v>3.25</v>
      </c>
      <c r="E1900" s="384"/>
      <c r="F1900" s="389"/>
      <c r="G1900" s="389"/>
      <c r="T1900" s="384" t="str">
        <f>IFERROR(__xludf.DUMMYFUNCTION("""COMPUTED_VALUE"""),"Тихий закат")</f>
        <v>Тихий закат</v>
      </c>
      <c r="U1900" s="385"/>
      <c r="W1900" s="384" t="str">
        <f>IFERROR(__xludf.DUMMYFUNCTION("""COMPUTED_VALUE"""),"Наполеон")</f>
        <v>Наполеон</v>
      </c>
      <c r="X1900" s="385"/>
    </row>
    <row r="1901">
      <c r="A1901" s="384" t="s">
        <v>281</v>
      </c>
      <c r="B1901" s="384" t="s">
        <v>261</v>
      </c>
      <c r="C1901" s="389"/>
      <c r="D1901" s="389">
        <v>1.75</v>
      </c>
      <c r="E1901" s="384"/>
      <c r="F1901" s="389"/>
      <c r="G1901" s="389"/>
      <c r="T1901" s="384" t="str">
        <f>IFERROR(__xludf.DUMMYFUNCTION("""COMPUTED_VALUE"""),"Физик")</f>
        <v>Физик</v>
      </c>
      <c r="U1901" s="385"/>
      <c r="W1901" s="384" t="str">
        <f>IFERROR(__xludf.DUMMYFUNCTION("""COMPUTED_VALUE"""),"Панда из Руанды")</f>
        <v>Панда из Руанды</v>
      </c>
      <c r="X1901" s="385"/>
    </row>
    <row r="1902">
      <c r="A1902" s="384" t="s">
        <v>138</v>
      </c>
      <c r="B1902" s="384" t="s">
        <v>269</v>
      </c>
      <c r="C1902" s="389">
        <v>2.5</v>
      </c>
      <c r="D1902" s="389">
        <v>3.25</v>
      </c>
      <c r="E1902" s="384"/>
      <c r="F1902" s="389"/>
      <c r="G1902" s="389"/>
      <c r="T1902" s="384" t="str">
        <f>IFERROR(__xludf.DUMMYFUNCTION("""COMPUTED_VALUE"""),"Флэш")</f>
        <v>Флэш</v>
      </c>
      <c r="U1902" s="385"/>
      <c r="W1902" s="384" t="str">
        <f>IFERROR(__xludf.DUMMYFUNCTION("""COMPUTED_VALUE"""),"Писатель ")</f>
        <v>Писатель </v>
      </c>
      <c r="X1902" s="385"/>
    </row>
    <row r="1903">
      <c r="A1903" s="384" t="s">
        <v>122</v>
      </c>
      <c r="B1903" s="384" t="s">
        <v>269</v>
      </c>
      <c r="C1903" s="389"/>
      <c r="D1903" s="389">
        <v>2.75</v>
      </c>
      <c r="E1903" s="384" t="s">
        <v>263</v>
      </c>
      <c r="F1903" s="389"/>
      <c r="G1903" s="389"/>
      <c r="T1903" s="384" t="str">
        <f>IFERROR(__xludf.DUMMYFUNCTION("""COMPUTED_VALUE"""),"Фокс")</f>
        <v>Фокс</v>
      </c>
      <c r="U1903" s="385"/>
      <c r="W1903" s="384" t="str">
        <f>IFERROR(__xludf.DUMMYFUNCTION("""COMPUTED_VALUE"""),"Правда ")</f>
        <v>Правда </v>
      </c>
      <c r="X1903" s="385"/>
    </row>
    <row r="1904">
      <c r="A1904" s="384" t="s">
        <v>281</v>
      </c>
      <c r="B1904" s="384" t="s">
        <v>261</v>
      </c>
      <c r="C1904" s="389">
        <v>2.5</v>
      </c>
      <c r="D1904" s="389">
        <v>4.25</v>
      </c>
      <c r="E1904" s="384"/>
      <c r="F1904" s="389"/>
      <c r="G1904" s="389"/>
      <c r="T1904" s="384" t="str">
        <f>IFERROR(__xludf.DUMMYFUNCTION("""COMPUTED_VALUE"""),"Шоу Бой")</f>
        <v>Шоу Бой</v>
      </c>
      <c r="U1904" s="385"/>
      <c r="W1904" s="384" t="str">
        <f>IFERROR(__xludf.DUMMYFUNCTION("""COMPUTED_VALUE"""),"Продюсер")</f>
        <v>Продюсер</v>
      </c>
      <c r="X1904" s="385"/>
    </row>
    <row r="1905">
      <c r="A1905" s="384" t="s">
        <v>104</v>
      </c>
      <c r="B1905" s="384" t="s">
        <v>261</v>
      </c>
      <c r="C1905" s="389">
        <v>2.5</v>
      </c>
      <c r="D1905" s="389">
        <v>3.5</v>
      </c>
      <c r="E1905" s="384" t="s">
        <v>260</v>
      </c>
      <c r="F1905" s="389"/>
      <c r="G1905" s="389"/>
      <c r="T1905" s="384" t="str">
        <f>IFERROR(__xludf.DUMMYFUNCTION("""COMPUTED_VALUE"""),"Шпиц")</f>
        <v>Шпиц</v>
      </c>
      <c r="U1905" s="385"/>
      <c r="W1905" s="384" t="str">
        <f>IFERROR(__xludf.DUMMYFUNCTION("""COMPUTED_VALUE"""),"РФ")</f>
        <v>РФ</v>
      </c>
      <c r="X1905" s="385"/>
    </row>
    <row r="1906">
      <c r="A1906" s="384" t="s">
        <v>92</v>
      </c>
      <c r="B1906" s="384" t="s">
        <v>261</v>
      </c>
      <c r="C1906" s="389">
        <v>2.5</v>
      </c>
      <c r="D1906" s="389">
        <v>2.0</v>
      </c>
      <c r="E1906" s="384"/>
      <c r="F1906" s="389"/>
      <c r="G1906" s="389"/>
      <c r="T1906" s="384" t="str">
        <f>IFERROR(__xludf.DUMMYFUNCTION("""COMPUTED_VALUE"""),"Юрия")</f>
        <v>Юрия</v>
      </c>
      <c r="U1906" s="385"/>
      <c r="W1906" s="384" t="str">
        <f>IFERROR(__xludf.DUMMYFUNCTION("""COMPUTED_VALUE"""),"Старый")</f>
        <v>Старый</v>
      </c>
      <c r="X1906" s="385"/>
    </row>
    <row r="1907">
      <c r="A1907" s="384" t="s">
        <v>112</v>
      </c>
      <c r="B1907" s="384" t="s">
        <v>271</v>
      </c>
      <c r="C1907" s="389">
        <v>2.5</v>
      </c>
      <c r="D1907" s="389">
        <v>2.0</v>
      </c>
      <c r="E1907" s="384"/>
      <c r="F1907" s="389"/>
      <c r="G1907" s="389"/>
      <c r="T1907" s="384" t="str">
        <f>IFERROR(__xludf.DUMMYFUNCTION("""COMPUTED_VALUE"""),"A1 ")</f>
        <v>A1 </v>
      </c>
      <c r="U1907" s="385"/>
      <c r="W1907" s="384" t="str">
        <f>IFERROR(__xludf.DUMMYFUNCTION("""COMPUTED_VALUE"""),"Coach")</f>
        <v>Coach</v>
      </c>
      <c r="X1907" s="385"/>
    </row>
    <row r="1908">
      <c r="A1908" s="384" t="s">
        <v>137</v>
      </c>
      <c r="B1908" s="384" t="s">
        <v>261</v>
      </c>
      <c r="C1908" s="389">
        <v>2.5</v>
      </c>
      <c r="D1908" s="389">
        <v>3.75</v>
      </c>
      <c r="E1908" s="384" t="s">
        <v>260</v>
      </c>
      <c r="F1908" s="389"/>
      <c r="G1908" s="389"/>
      <c r="T1908" s="384" t="str">
        <f>IFERROR(__xludf.DUMMYFUNCTION("""COMPUTED_VALUE"""),"Bublik")</f>
        <v>Bublik</v>
      </c>
      <c r="U1908" s="385"/>
      <c r="W1908" s="384" t="str">
        <f>IFERROR(__xludf.DUMMYFUNCTION("""COMPUTED_VALUE"""),"Тихий закат")</f>
        <v>Тихий закат</v>
      </c>
      <c r="X1908" s="385"/>
    </row>
    <row r="1909">
      <c r="A1909" s="384" t="s">
        <v>103</v>
      </c>
      <c r="B1909" s="384" t="s">
        <v>269</v>
      </c>
      <c r="C1909" s="389"/>
      <c r="D1909" s="389">
        <v>2.25</v>
      </c>
      <c r="E1909" s="384"/>
      <c r="F1909" s="389"/>
      <c r="G1909" s="389"/>
      <c r="T1909" s="384" t="str">
        <f>IFERROR(__xludf.DUMMYFUNCTION("""COMPUTED_VALUE"""),"BWDMoscow")</f>
        <v>BWDMoscow</v>
      </c>
      <c r="U1909" s="385"/>
      <c r="W1909" s="384" t="str">
        <f>IFERROR(__xludf.DUMMYFUNCTION("""COMPUTED_VALUE"""),"Физик")</f>
        <v>Физик</v>
      </c>
      <c r="X1909" s="385"/>
    </row>
    <row r="1910">
      <c r="A1910" s="384" t="s">
        <v>105</v>
      </c>
      <c r="B1910" s="384" t="s">
        <v>261</v>
      </c>
      <c r="C1910" s="389">
        <v>2.5</v>
      </c>
      <c r="D1910" s="389">
        <v>2.5</v>
      </c>
      <c r="E1910" s="384" t="s">
        <v>11</v>
      </c>
      <c r="F1910" s="389"/>
      <c r="G1910" s="389">
        <v>0.5</v>
      </c>
      <c r="T1910" s="384" t="str">
        <f>IFERROR(__xludf.DUMMYFUNCTION("""COMPUTED_VALUE"""),"Castor Troy ")</f>
        <v>Castor Troy </v>
      </c>
      <c r="U1910" s="385"/>
      <c r="W1910" s="384" t="str">
        <f>IFERROR(__xludf.DUMMYFUNCTION("""COMPUTED_VALUE"""),"Флэш")</f>
        <v>Флэш</v>
      </c>
      <c r="X1910" s="385"/>
    </row>
    <row r="1911">
      <c r="A1911" s="384" t="s">
        <v>117</v>
      </c>
      <c r="B1911" s="384" t="s">
        <v>265</v>
      </c>
      <c r="C1911" s="389"/>
      <c r="D1911" s="389">
        <v>3.25</v>
      </c>
      <c r="E1911" s="384"/>
      <c r="F1911" s="389"/>
      <c r="G1911" s="389"/>
      <c r="T1911" s="384" t="str">
        <f>IFERROR(__xludf.DUMMYFUNCTION("""COMPUTED_VALUE"""),"Curly")</f>
        <v>Curly</v>
      </c>
      <c r="U1911" s="385"/>
      <c r="W1911" s="384" t="str">
        <f>IFERROR(__xludf.DUMMYFUNCTION("""COMPUTED_VALUE"""),"Фокс")</f>
        <v>Фокс</v>
      </c>
      <c r="X1911" s="385"/>
    </row>
    <row r="1912">
      <c r="A1912" s="384" t="s">
        <v>84</v>
      </c>
      <c r="B1912" s="384" t="s">
        <v>261</v>
      </c>
      <c r="C1912" s="389">
        <v>2.5</v>
      </c>
      <c r="D1912" s="389">
        <v>2.0</v>
      </c>
      <c r="E1912" s="384"/>
      <c r="F1912" s="389"/>
      <c r="G1912" s="389"/>
      <c r="T1912" s="384" t="str">
        <f>IFERROR(__xludf.DUMMYFUNCTION("""COMPUTED_VALUE"""),"Infinity ")</f>
        <v>Infinity </v>
      </c>
      <c r="U1912" s="385"/>
      <c r="W1912" s="384" t="str">
        <f>IFERROR(__xludf.DUMMYFUNCTION("""COMPUTED_VALUE"""),"Шоу Бой")</f>
        <v>Шоу Бой</v>
      </c>
      <c r="X1912" s="385"/>
    </row>
    <row r="1913">
      <c r="A1913" s="384" t="s">
        <v>122</v>
      </c>
      <c r="B1913" s="384" t="s">
        <v>261</v>
      </c>
      <c r="C1913" s="389">
        <v>2.5</v>
      </c>
      <c r="D1913" s="389">
        <v>4.0</v>
      </c>
      <c r="E1913" s="384"/>
      <c r="F1913" s="389"/>
      <c r="G1913" s="389"/>
      <c r="T1913" s="384" t="str">
        <f>IFERROR(__xludf.DUMMYFUNCTION("""COMPUTED_VALUE"""),"Ketamin")</f>
        <v>Ketamin</v>
      </c>
      <c r="U1913" s="385"/>
      <c r="W1913" s="384" t="str">
        <f>IFERROR(__xludf.DUMMYFUNCTION("""COMPUTED_VALUE"""),"Юрия")</f>
        <v>Юрия</v>
      </c>
      <c r="X1913" s="385"/>
    </row>
    <row r="1914">
      <c r="A1914" s="384" t="s">
        <v>281</v>
      </c>
      <c r="B1914" s="384" t="s">
        <v>261</v>
      </c>
      <c r="C1914" s="389">
        <v>2.5</v>
      </c>
      <c r="D1914" s="389">
        <v>4.0</v>
      </c>
      <c r="E1914" s="384"/>
      <c r="F1914" s="389"/>
      <c r="G1914" s="389"/>
      <c r="T1914" s="384" t="str">
        <f>IFERROR(__xludf.DUMMYFUNCTION("""COMPUTED_VALUE"""),"Light")</f>
        <v>Light</v>
      </c>
      <c r="U1914" s="385"/>
      <c r="W1914" s="384" t="str">
        <f>IFERROR(__xludf.DUMMYFUNCTION("""COMPUTED_VALUE"""),"A1 ")</f>
        <v>A1 </v>
      </c>
      <c r="X1914" s="385"/>
    </row>
    <row r="1915">
      <c r="A1915" s="384" t="s">
        <v>104</v>
      </c>
      <c r="B1915" s="384" t="s">
        <v>261</v>
      </c>
      <c r="C1915" s="389">
        <v>2.5</v>
      </c>
      <c r="D1915" s="389">
        <v>2.25</v>
      </c>
      <c r="E1915" s="384"/>
      <c r="F1915" s="389"/>
      <c r="G1915" s="389"/>
      <c r="T1915" s="384" t="str">
        <f>IFERROR(__xludf.DUMMYFUNCTION("""COMPUTED_VALUE"""),"MSR")</f>
        <v>MSR</v>
      </c>
      <c r="U1915" s="385"/>
      <c r="W1915" s="384" t="str">
        <f>IFERROR(__xludf.DUMMYFUNCTION("""COMPUTED_VALUE"""),"Alice ")</f>
        <v>Alice </v>
      </c>
      <c r="X1915" s="385"/>
    </row>
    <row r="1916">
      <c r="A1916" s="384" t="s">
        <v>92</v>
      </c>
      <c r="B1916" s="384" t="s">
        <v>269</v>
      </c>
      <c r="C1916" s="389"/>
      <c r="D1916" s="389">
        <v>2.25</v>
      </c>
      <c r="E1916" s="384"/>
      <c r="F1916" s="389"/>
      <c r="G1916" s="389"/>
      <c r="T1916" s="384" t="str">
        <f>IFERROR(__xludf.DUMMYFUNCTION("""COMPUTED_VALUE"""),"NLIP")</f>
        <v>NLIP</v>
      </c>
      <c r="U1916" s="385"/>
      <c r="W1916" s="384" t="str">
        <f>IFERROR(__xludf.DUMMYFUNCTION("""COMPUTED_VALUE"""),"Bublik")</f>
        <v>Bublik</v>
      </c>
      <c r="X1916" s="385"/>
    </row>
    <row r="1917">
      <c r="A1917" s="384" t="s">
        <v>112</v>
      </c>
      <c r="B1917" s="384" t="s">
        <v>261</v>
      </c>
      <c r="C1917" s="389">
        <v>2.5</v>
      </c>
      <c r="D1917" s="389">
        <v>4.25</v>
      </c>
      <c r="E1917" s="384"/>
      <c r="F1917" s="389"/>
      <c r="G1917" s="389"/>
      <c r="T1917" s="384" t="str">
        <f>IFERROR(__xludf.DUMMYFUNCTION("""COMPUTED_VALUE"""),"Rocket woman ")</f>
        <v>Rocket woman </v>
      </c>
      <c r="U1917" s="385"/>
      <c r="W1917" s="384" t="str">
        <f>IFERROR(__xludf.DUMMYFUNCTION("""COMPUTED_VALUE"""),"BWDMoscow")</f>
        <v>BWDMoscow</v>
      </c>
      <c r="X1917" s="385"/>
    </row>
    <row r="1918">
      <c r="A1918" s="384" t="s">
        <v>137</v>
      </c>
      <c r="B1918" s="384" t="s">
        <v>269</v>
      </c>
      <c r="C1918" s="389"/>
      <c r="D1918" s="389">
        <v>1.0</v>
      </c>
      <c r="E1918" s="384"/>
      <c r="F1918" s="389"/>
      <c r="G1918" s="389"/>
      <c r="T1918" s="384" t="str">
        <f>IFERROR(__xludf.DUMMYFUNCTION("""COMPUTED_VALUE"""),"SCHOKK ")</f>
        <v>SCHOKK </v>
      </c>
      <c r="U1918" s="385"/>
      <c r="W1918" s="384" t="str">
        <f>IFERROR(__xludf.DUMMYFUNCTION("""COMPUTED_VALUE"""),"Castor Troy ")</f>
        <v>Castor Troy </v>
      </c>
      <c r="X1918" s="385"/>
    </row>
    <row r="1919">
      <c r="A1919" s="384" t="s">
        <v>103</v>
      </c>
      <c r="B1919" s="384" t="s">
        <v>265</v>
      </c>
      <c r="C1919" s="389"/>
      <c r="D1919" s="389">
        <v>2.0</v>
      </c>
      <c r="E1919" s="384" t="s">
        <v>263</v>
      </c>
      <c r="F1919" s="389"/>
      <c r="G1919" s="389"/>
      <c r="T1919" s="384" t="str">
        <f>IFERROR(__xludf.DUMMYFUNCTION("""COMPUTED_VALUE"""),"SOVEST")</f>
        <v>SOVEST</v>
      </c>
      <c r="U1919" s="385"/>
      <c r="W1919" s="384" t="str">
        <f>IFERROR(__xludf.DUMMYFUNCTION("""COMPUTED_VALUE"""),"GALAY")</f>
        <v>GALAY</v>
      </c>
      <c r="X1919" s="385"/>
    </row>
    <row r="1920">
      <c r="A1920" s="384" t="s">
        <v>105</v>
      </c>
      <c r="B1920" s="384" t="s">
        <v>261</v>
      </c>
      <c r="C1920" s="389">
        <v>2.5</v>
      </c>
      <c r="D1920" s="389">
        <v>2.5</v>
      </c>
      <c r="E1920" s="384" t="s">
        <v>260</v>
      </c>
      <c r="F1920" s="389"/>
      <c r="G1920" s="389"/>
      <c r="T1920" s="384" t="str">
        <f>IFERROR(__xludf.DUMMYFUNCTION("""COMPUTED_VALUE"""),"Stacy")</f>
        <v>Stacy</v>
      </c>
      <c r="U1920" s="385"/>
      <c r="W1920" s="384" t="str">
        <f>IFERROR(__xludf.DUMMYFUNCTION("""COMPUTED_VALUE"""),"Helga")</f>
        <v>Helga</v>
      </c>
      <c r="X1920" s="385"/>
    </row>
    <row r="1921">
      <c r="A1921" s="384" t="s">
        <v>117</v>
      </c>
      <c r="B1921" s="384" t="s">
        <v>261</v>
      </c>
      <c r="C1921" s="389">
        <v>2.5</v>
      </c>
      <c r="D1921" s="389">
        <v>2.5</v>
      </c>
      <c r="E1921" s="384" t="s">
        <v>11</v>
      </c>
      <c r="F1921" s="389"/>
      <c r="G1921" s="389">
        <v>0.5</v>
      </c>
      <c r="T1921" s="384" t="str">
        <f>IFERROR(__xludf.DUMMYFUNCTION("""COMPUTED_VALUE"""),"Young")</f>
        <v>Young</v>
      </c>
      <c r="U1921" s="385"/>
      <c r="W1921" s="384" t="str">
        <f>IFERROR(__xludf.DUMMYFUNCTION("""COMPUTED_VALUE"""),"Infinity ")</f>
        <v>Infinity </v>
      </c>
      <c r="X1921" s="385"/>
    </row>
    <row r="1922">
      <c r="A1922" s="384" t="s">
        <v>84</v>
      </c>
      <c r="B1922" s="384" t="s">
        <v>271</v>
      </c>
      <c r="C1922" s="389">
        <v>2.5</v>
      </c>
      <c r="D1922" s="389">
        <v>2.0</v>
      </c>
      <c r="E1922" s="384" t="s">
        <v>260</v>
      </c>
      <c r="F1922" s="389"/>
      <c r="G1922" s="389"/>
      <c r="T1922" s="384" t="str">
        <f>IFERROR(__xludf.DUMMYFUNCTION("QUERY('Турнирная таблица по Алфавиту'!C7:BG66,""select C,AZ order by AZ desc"")"),"Марго")</f>
        <v>Марго</v>
      </c>
      <c r="U1922" s="385">
        <f>IFERROR(__xludf.DUMMYFUNCTION("""COMPUTED_VALUE"""),27.25)</f>
        <v>27.25</v>
      </c>
      <c r="W1922" s="384" t="str">
        <f>IFERROR(__xludf.DUMMYFUNCTION("""COMPUTED_VALUE"""),"Ketamin")</f>
        <v>Ketamin</v>
      </c>
      <c r="X1922" s="385"/>
    </row>
    <row r="1923">
      <c r="A1923" s="384" t="s">
        <v>122</v>
      </c>
      <c r="B1923" s="384" t="s">
        <v>261</v>
      </c>
      <c r="C1923" s="389">
        <v>2.5</v>
      </c>
      <c r="D1923" s="389">
        <v>3.75</v>
      </c>
      <c r="E1923" s="384"/>
      <c r="F1923" s="389"/>
      <c r="G1923" s="389"/>
      <c r="T1923" s="384" t="str">
        <f>IFERROR(__xludf.DUMMYFUNCTION("""COMPUTED_VALUE"""),"Инсомнич")</f>
        <v>Инсомнич</v>
      </c>
      <c r="U1923" s="385">
        <f>IFERROR(__xludf.DUMMYFUNCTION("""COMPUTED_VALUE"""),22.75)</f>
        <v>22.75</v>
      </c>
      <c r="W1923" s="384" t="str">
        <f>IFERROR(__xludf.DUMMYFUNCTION("""COMPUTED_VALUE"""),"Morti")</f>
        <v>Morti</v>
      </c>
      <c r="X1923" s="385"/>
    </row>
    <row r="1924">
      <c r="A1924" s="384" t="s">
        <v>281</v>
      </c>
      <c r="B1924" s="384" t="s">
        <v>261</v>
      </c>
      <c r="C1924" s="389">
        <v>2.5</v>
      </c>
      <c r="D1924" s="389">
        <v>3.75</v>
      </c>
      <c r="E1924" s="384"/>
      <c r="F1924" s="389"/>
      <c r="G1924" s="389"/>
      <c r="T1924" s="384" t="str">
        <f>IFERROR(__xludf.DUMMYFUNCTION("""COMPUTED_VALUE"""),"Флэш")</f>
        <v>Флэш</v>
      </c>
      <c r="U1924" s="385">
        <f>IFERROR(__xludf.DUMMYFUNCTION("""COMPUTED_VALUE"""),21.75)</f>
        <v>21.75</v>
      </c>
      <c r="W1924" s="384" t="str">
        <f>IFERROR(__xludf.DUMMYFUNCTION("""COMPUTED_VALUE"""),"MSR")</f>
        <v>MSR</v>
      </c>
      <c r="X1924" s="385"/>
    </row>
    <row r="1925">
      <c r="A1925" s="384" t="s">
        <v>104</v>
      </c>
      <c r="B1925" s="384" t="s">
        <v>271</v>
      </c>
      <c r="C1925" s="389">
        <v>2.5</v>
      </c>
      <c r="D1925" s="389">
        <v>3.75</v>
      </c>
      <c r="E1925" s="384"/>
      <c r="F1925" s="389"/>
      <c r="G1925" s="389"/>
      <c r="T1925" s="384" t="str">
        <f>IFERROR(__xludf.DUMMYFUNCTION("""COMPUTED_VALUE"""),"Админ")</f>
        <v>Админ</v>
      </c>
      <c r="U1925" s="385">
        <f>IFERROR(__xludf.DUMMYFUNCTION("""COMPUTED_VALUE"""),21.5)</f>
        <v>21.5</v>
      </c>
      <c r="W1925" s="384" t="str">
        <f>IFERROR(__xludf.DUMMYFUNCTION("""COMPUTED_VALUE"""),"NLIP")</f>
        <v>NLIP</v>
      </c>
      <c r="X1925" s="385"/>
    </row>
    <row r="1926">
      <c r="A1926" s="384" t="s">
        <v>92</v>
      </c>
      <c r="B1926" s="384" t="s">
        <v>261</v>
      </c>
      <c r="C1926" s="389">
        <v>2.5</v>
      </c>
      <c r="D1926" s="389">
        <v>2.5</v>
      </c>
      <c r="E1926" s="384" t="s">
        <v>11</v>
      </c>
      <c r="F1926" s="389"/>
      <c r="G1926" s="389">
        <v>0.5</v>
      </c>
      <c r="T1926" s="384" t="str">
        <f>IFERROR(__xludf.DUMMYFUNCTION("""COMPUTED_VALUE"""),"Крёстный Отец (RU)")</f>
        <v>Крёстный Отец (RU)</v>
      </c>
      <c r="U1926" s="385">
        <f>IFERROR(__xludf.DUMMYFUNCTION("""COMPUTED_VALUE"""),18.0)</f>
        <v>18</v>
      </c>
      <c r="W1926" s="384" t="str">
        <f>IFERROR(__xludf.DUMMYFUNCTION("""COMPUTED_VALUE"""),"Rocket woman ")</f>
        <v>Rocket woman </v>
      </c>
      <c r="X1926" s="385"/>
    </row>
    <row r="1927">
      <c r="A1927" s="384" t="s">
        <v>112</v>
      </c>
      <c r="B1927" s="384" t="s">
        <v>261</v>
      </c>
      <c r="C1927" s="389">
        <v>2.5</v>
      </c>
      <c r="D1927" s="389">
        <v>4.25</v>
      </c>
      <c r="E1927" s="384"/>
      <c r="F1927" s="389"/>
      <c r="G1927" s="389"/>
      <c r="T1927" s="384" t="str">
        <f>IFERROR(__xludf.DUMMYFUNCTION("""COMPUTED_VALUE"""),"Крот")</f>
        <v>Крот</v>
      </c>
      <c r="U1927" s="385">
        <f>IFERROR(__xludf.DUMMYFUNCTION("""COMPUTED_VALUE"""),17.0)</f>
        <v>17</v>
      </c>
      <c r="W1927" s="384" t="str">
        <f>IFERROR(__xludf.DUMMYFUNCTION("""COMPUTED_VALUE"""),"SCHOKK ")</f>
        <v>SCHOKK </v>
      </c>
      <c r="X1927" s="385"/>
    </row>
    <row r="1928">
      <c r="A1928" s="384" t="s">
        <v>137</v>
      </c>
      <c r="B1928" s="384" t="s">
        <v>261</v>
      </c>
      <c r="C1928" s="389">
        <v>2.5</v>
      </c>
      <c r="D1928" s="389">
        <v>3.75</v>
      </c>
      <c r="E1928" s="384"/>
      <c r="F1928" s="389"/>
      <c r="G1928" s="389"/>
      <c r="T1928" s="384" t="str">
        <f>IFERROR(__xludf.DUMMYFUNCTION("""COMPUTED_VALUE"""),"Лисичка")</f>
        <v>Лисичка</v>
      </c>
      <c r="U1928" s="385">
        <f>IFERROR(__xludf.DUMMYFUNCTION("""COMPUTED_VALUE"""),16.5)</f>
        <v>16.5</v>
      </c>
      <c r="W1928" s="384" t="str">
        <f>IFERROR(__xludf.DUMMYFUNCTION("""COMPUTED_VALUE"""),"SOVEST")</f>
        <v>SOVEST</v>
      </c>
      <c r="X1928" s="385"/>
    </row>
    <row r="1929">
      <c r="A1929" s="384" t="s">
        <v>103</v>
      </c>
      <c r="B1929" s="384" t="s">
        <v>261</v>
      </c>
      <c r="C1929" s="389">
        <v>2.5</v>
      </c>
      <c r="D1929" s="389">
        <v>2.75</v>
      </c>
      <c r="E1929" s="384"/>
      <c r="F1929" s="389"/>
      <c r="G1929" s="389"/>
      <c r="T1929" s="384" t="str">
        <f>IFERROR(__xludf.DUMMYFUNCTION("""COMPUTED_VALUE"""),"Шоу Бой")</f>
        <v>Шоу Бой</v>
      </c>
      <c r="U1929" s="385">
        <f>IFERROR(__xludf.DUMMYFUNCTION("""COMPUTED_VALUE"""),15.5)</f>
        <v>15.5</v>
      </c>
      <c r="W1929" s="384" t="str">
        <f>IFERROR(__xludf.DUMMYFUNCTION("""COMPUTED_VALUE"""),"Stacy")</f>
        <v>Stacy</v>
      </c>
      <c r="X1929" s="385"/>
    </row>
    <row r="1930">
      <c r="A1930" s="384" t="s">
        <v>105</v>
      </c>
      <c r="B1930" s="384" t="s">
        <v>265</v>
      </c>
      <c r="C1930" s="389"/>
      <c r="D1930" s="389">
        <v>1.25</v>
      </c>
      <c r="E1930" s="384"/>
      <c r="F1930" s="389"/>
      <c r="G1930" s="389"/>
      <c r="T1930" s="384" t="str">
        <f>IFERROR(__xludf.DUMMYFUNCTION("""COMPUTED_VALUE"""),"Дровосек")</f>
        <v>Дровосек</v>
      </c>
      <c r="U1930" s="385">
        <f>IFERROR(__xludf.DUMMYFUNCTION("""COMPUTED_VALUE"""),14.25)</f>
        <v>14.25</v>
      </c>
      <c r="W1930" s="384" t="str">
        <f>IFERROR(__xludf.DUMMYFUNCTION("""COMPUTED_VALUE"""),"WhoIsWho")</f>
        <v>WhoIsWho</v>
      </c>
      <c r="X1930" s="385"/>
    </row>
    <row r="1931">
      <c r="A1931" s="384" t="s">
        <v>117</v>
      </c>
      <c r="B1931" s="384" t="s">
        <v>269</v>
      </c>
      <c r="C1931" s="389"/>
      <c r="D1931" s="389">
        <v>2.0</v>
      </c>
      <c r="E1931" s="384"/>
      <c r="F1931" s="389"/>
      <c r="G1931" s="389"/>
      <c r="T1931" s="384" t="str">
        <f>IFERROR(__xludf.DUMMYFUNCTION("""COMPUTED_VALUE"""),"Rocket woman ")</f>
        <v>Rocket woman </v>
      </c>
      <c r="U1931" s="385">
        <f>IFERROR(__xludf.DUMMYFUNCTION("""COMPUTED_VALUE"""),13.0)</f>
        <v>13</v>
      </c>
      <c r="W1931" s="384" t="str">
        <f>IFERROR(__xludf.DUMMYFUNCTION("""COMPUTED_VALUE"""),"Young")</f>
        <v>Young</v>
      </c>
      <c r="X1931" s="385"/>
    </row>
    <row r="1932">
      <c r="A1932" s="384" t="s">
        <v>84</v>
      </c>
      <c r="B1932" s="384" t="s">
        <v>269</v>
      </c>
      <c r="C1932" s="389"/>
      <c r="D1932" s="389">
        <v>2.5</v>
      </c>
      <c r="E1932" s="384"/>
      <c r="F1932" s="389"/>
      <c r="G1932" s="389"/>
      <c r="T1932" s="384" t="str">
        <f>IFERROR(__xludf.DUMMYFUNCTION("""COMPUTED_VALUE"""),"Авраам")</f>
        <v>Авраам</v>
      </c>
      <c r="U1932" s="385"/>
      <c r="W1932" s="384" t="str">
        <f>IFERROR(__xludf.DUMMYFUNCTION("""COMPUTED_VALUE"""),"Авраам")</f>
        <v>Авраам</v>
      </c>
      <c r="X1932" s="385"/>
    </row>
    <row r="1933">
      <c r="A1933" s="384" t="s">
        <v>122</v>
      </c>
      <c r="B1933" s="384" t="s">
        <v>271</v>
      </c>
      <c r="C1933" s="389">
        <v>2.5</v>
      </c>
      <c r="D1933" s="389">
        <v>3.75</v>
      </c>
      <c r="E1933" s="384" t="s">
        <v>260</v>
      </c>
      <c r="F1933" s="389"/>
      <c r="G1933" s="389"/>
      <c r="T1933" s="384" t="str">
        <f>IFERROR(__xludf.DUMMYFUNCTION("""COMPUTED_VALUE"""),"Андерсен")</f>
        <v>Андерсен</v>
      </c>
      <c r="U1933" s="385"/>
      <c r="W1933" s="384" t="str">
        <f>IFERROR(__xludf.DUMMYFUNCTION("""COMPUTED_VALUE"""),"Андерсен")</f>
        <v>Андерсен</v>
      </c>
      <c r="X1933" s="385"/>
    </row>
    <row r="1934">
      <c r="A1934" s="384" t="s">
        <v>281</v>
      </c>
      <c r="B1934" s="384" t="s">
        <v>261</v>
      </c>
      <c r="C1934" s="389">
        <v>2.5</v>
      </c>
      <c r="D1934" s="389">
        <v>2.5</v>
      </c>
      <c r="E1934" s="384" t="s">
        <v>11</v>
      </c>
      <c r="F1934" s="389"/>
      <c r="G1934" s="389">
        <v>0.5</v>
      </c>
      <c r="T1934" s="384" t="str">
        <f>IFERROR(__xludf.DUMMYFUNCTION("""COMPUTED_VALUE"""),"Артик")</f>
        <v>Артик</v>
      </c>
      <c r="U1934" s="385"/>
      <c r="W1934" s="384" t="str">
        <f>IFERROR(__xludf.DUMMYFUNCTION("""COMPUTED_VALUE"""),"Артик")</f>
        <v>Артик</v>
      </c>
      <c r="X1934" s="385"/>
    </row>
    <row r="1935">
      <c r="A1935" s="384" t="s">
        <v>104</v>
      </c>
      <c r="B1935" s="384" t="s">
        <v>261</v>
      </c>
      <c r="C1935" s="389">
        <v>2.5</v>
      </c>
      <c r="D1935" s="389">
        <v>3.0</v>
      </c>
      <c r="E1935" s="384"/>
      <c r="F1935" s="389"/>
      <c r="G1935" s="389"/>
      <c r="T1935" s="384" t="str">
        <f>IFERROR(__xludf.DUMMYFUNCTION("""COMPUTED_VALUE"""),"Астория")</f>
        <v>Астория</v>
      </c>
      <c r="U1935" s="385"/>
      <c r="W1935" s="384" t="str">
        <f>IFERROR(__xludf.DUMMYFUNCTION("""COMPUTED_VALUE"""),"Астория")</f>
        <v>Астория</v>
      </c>
      <c r="X1935" s="385"/>
    </row>
    <row r="1936">
      <c r="A1936" s="384" t="s">
        <v>92</v>
      </c>
      <c r="B1936" s="384" t="s">
        <v>261</v>
      </c>
      <c r="C1936" s="389">
        <v>2.5</v>
      </c>
      <c r="D1936" s="389">
        <v>3.75</v>
      </c>
      <c r="E1936" s="384" t="s">
        <v>260</v>
      </c>
      <c r="F1936" s="389"/>
      <c r="G1936" s="389"/>
      <c r="T1936" s="384" t="str">
        <f>IFERROR(__xludf.DUMMYFUNCTION("""COMPUTED_VALUE"""),"Аш")</f>
        <v>Аш</v>
      </c>
      <c r="U1936" s="385"/>
      <c r="W1936" s="384" t="str">
        <f>IFERROR(__xludf.DUMMYFUNCTION("""COMPUTED_VALUE"""),"Бамблби")</f>
        <v>Бамблби</v>
      </c>
      <c r="X1936" s="385"/>
    </row>
    <row r="1937">
      <c r="A1937" s="384" t="s">
        <v>112</v>
      </c>
      <c r="B1937" s="384" t="s">
        <v>269</v>
      </c>
      <c r="C1937" s="389"/>
      <c r="D1937" s="389">
        <v>1.75</v>
      </c>
      <c r="E1937" s="384"/>
      <c r="F1937" s="389"/>
      <c r="G1937" s="389"/>
      <c r="T1937" s="384" t="str">
        <f>IFERROR(__xludf.DUMMYFUNCTION("""COMPUTED_VALUE"""),"Бамблби")</f>
        <v>Бамблби</v>
      </c>
      <c r="U1937" s="385"/>
      <c r="W1937" s="384" t="str">
        <f>IFERROR(__xludf.DUMMYFUNCTION("""COMPUTED_VALUE"""),"Волга")</f>
        <v>Волга</v>
      </c>
      <c r="X1937" s="385"/>
    </row>
    <row r="1938">
      <c r="A1938" s="384" t="s">
        <v>137</v>
      </c>
      <c r="B1938" s="384" t="s">
        <v>261</v>
      </c>
      <c r="C1938" s="389">
        <v>2.5</v>
      </c>
      <c r="D1938" s="389">
        <v>2.5</v>
      </c>
      <c r="E1938" s="384"/>
      <c r="F1938" s="389"/>
      <c r="G1938" s="389"/>
      <c r="T1938" s="384" t="str">
        <f>IFERROR(__xludf.DUMMYFUNCTION("""COMPUTED_VALUE"""),"Волга")</f>
        <v>Волга</v>
      </c>
      <c r="U1938" s="385"/>
      <c r="W1938" s="384" t="str">
        <f>IFERROR(__xludf.DUMMYFUNCTION("""COMPUTED_VALUE"""),"Дровосек")</f>
        <v>Дровосек</v>
      </c>
      <c r="X1938" s="385"/>
    </row>
    <row r="1939">
      <c r="A1939" s="384" t="s">
        <v>103</v>
      </c>
      <c r="B1939" s="384" t="s">
        <v>261</v>
      </c>
      <c r="C1939" s="389">
        <v>2.5</v>
      </c>
      <c r="D1939" s="389">
        <v>2.5</v>
      </c>
      <c r="E1939" s="384"/>
      <c r="F1939" s="389"/>
      <c r="G1939" s="389"/>
      <c r="T1939" s="384" t="str">
        <f>IFERROR(__xludf.DUMMYFUNCTION("""COMPUTED_VALUE"""),"Градиент")</f>
        <v>Градиент</v>
      </c>
      <c r="U1939" s="385"/>
      <c r="W1939" s="384" t="str">
        <f>IFERROR(__xludf.DUMMYFUNCTION("""COMPUTED_VALUE"""),"Зверюга")</f>
        <v>Зверюга</v>
      </c>
      <c r="X1939" s="385"/>
    </row>
    <row r="1940">
      <c r="A1940" s="384" t="s">
        <v>105</v>
      </c>
      <c r="B1940" s="384" t="s">
        <v>265</v>
      </c>
      <c r="C1940" s="389"/>
      <c r="D1940" s="389">
        <v>3.0</v>
      </c>
      <c r="E1940" s="384" t="s">
        <v>263</v>
      </c>
      <c r="F1940" s="389"/>
      <c r="G1940" s="389"/>
      <c r="T1940" s="384" t="str">
        <f>IFERROR(__xludf.DUMMYFUNCTION("""COMPUTED_VALUE"""),"Зверюга")</f>
        <v>Зверюга</v>
      </c>
      <c r="U1940" s="385"/>
      <c r="W1940" s="384" t="str">
        <f>IFERROR(__xludf.DUMMYFUNCTION("""COMPUTED_VALUE"""),"Инсомнич")</f>
        <v>Инсомнич</v>
      </c>
      <c r="X1940" s="385"/>
    </row>
    <row r="1941">
      <c r="A1941" s="384" t="s">
        <v>117</v>
      </c>
      <c r="B1941" s="384" t="s">
        <v>261</v>
      </c>
      <c r="C1941" s="389">
        <v>2.5</v>
      </c>
      <c r="D1941" s="389">
        <v>2.0</v>
      </c>
      <c r="E1941" s="384"/>
      <c r="F1941" s="389"/>
      <c r="G1941" s="389"/>
      <c r="T1941" s="384" t="str">
        <f>IFERROR(__xludf.DUMMYFUNCTION("""COMPUTED_VALUE"""),"Красавчик")</f>
        <v>Красавчик</v>
      </c>
      <c r="U1941" s="385"/>
      <c r="W1941" s="384" t="str">
        <f>IFERROR(__xludf.DUMMYFUNCTION("""COMPUTED_VALUE"""),"Красавчик")</f>
        <v>Красавчик</v>
      </c>
      <c r="X1941" s="385"/>
    </row>
    <row r="1942">
      <c r="A1942" s="384" t="s">
        <v>84</v>
      </c>
      <c r="B1942" s="384" t="s">
        <v>269</v>
      </c>
      <c r="C1942" s="389"/>
      <c r="D1942" s="389">
        <v>2.75</v>
      </c>
      <c r="E1942" s="384"/>
      <c r="F1942" s="389"/>
      <c r="G1942" s="389"/>
      <c r="T1942" s="384" t="str">
        <f>IFERROR(__xludf.DUMMYFUNCTION("""COMPUTED_VALUE"""),"Крестный отец (BLR)")</f>
        <v>Крестный отец (BLR)</v>
      </c>
      <c r="U1942" s="385"/>
      <c r="W1942" s="384" t="str">
        <f>IFERROR(__xludf.DUMMYFUNCTION("""COMPUTED_VALUE"""),"Крёстный Отец (RU)")</f>
        <v>Крёстный Отец (RU)</v>
      </c>
      <c r="X1942" s="385"/>
    </row>
    <row r="1943">
      <c r="A1943" s="384" t="s">
        <v>122</v>
      </c>
      <c r="B1943" s="384" t="s">
        <v>269</v>
      </c>
      <c r="C1943" s="389">
        <v>2.5</v>
      </c>
      <c r="D1943" s="389">
        <v>3.75</v>
      </c>
      <c r="E1943" s="384"/>
      <c r="F1943" s="389"/>
      <c r="G1943" s="389"/>
      <c r="T1943" s="384" t="str">
        <f>IFERROR(__xludf.DUMMYFUNCTION("""COMPUTED_VALUE"""),"Левша")</f>
        <v>Левша</v>
      </c>
      <c r="U1943" s="385"/>
      <c r="W1943" s="384" t="str">
        <f>IFERROR(__xludf.DUMMYFUNCTION("""COMPUTED_VALUE"""),"Крот")</f>
        <v>Крот</v>
      </c>
      <c r="X1943" s="385"/>
    </row>
    <row r="1944">
      <c r="A1944" s="384" t="s">
        <v>281</v>
      </c>
      <c r="B1944" s="384" t="s">
        <v>271</v>
      </c>
      <c r="C1944" s="389"/>
      <c r="D1944" s="389">
        <v>1.5</v>
      </c>
      <c r="E1944" s="384"/>
      <c r="F1944" s="389"/>
      <c r="G1944" s="389"/>
      <c r="T1944" s="384" t="str">
        <f>IFERROR(__xludf.DUMMYFUNCTION("""COMPUTED_VALUE"""),"Маваши")</f>
        <v>Маваши</v>
      </c>
      <c r="U1944" s="385"/>
      <c r="W1944" s="384" t="str">
        <f>IFERROR(__xludf.DUMMYFUNCTION("""COMPUTED_VALUE"""),"Левша")</f>
        <v>Левша</v>
      </c>
      <c r="X1944" s="385"/>
    </row>
    <row r="1945">
      <c r="A1945" s="384" t="s">
        <v>104</v>
      </c>
      <c r="B1945" s="384" t="s">
        <v>261</v>
      </c>
      <c r="C1945" s="389"/>
      <c r="D1945" s="389">
        <v>2.5</v>
      </c>
      <c r="E1945" s="384" t="s">
        <v>11</v>
      </c>
      <c r="F1945" s="389"/>
      <c r="G1945" s="389">
        <v>0.5</v>
      </c>
      <c r="T1945" s="384" t="str">
        <f>IFERROR(__xludf.DUMMYFUNCTION("""COMPUTED_VALUE"""),"Манекен")</f>
        <v>Манекен</v>
      </c>
      <c r="U1945" s="385"/>
      <c r="W1945" s="384" t="str">
        <f>IFERROR(__xludf.DUMMYFUNCTION("""COMPUTED_VALUE"""),"Лисичка")</f>
        <v>Лисичка</v>
      </c>
      <c r="X1945" s="385"/>
    </row>
    <row r="1946">
      <c r="A1946" s="384" t="s">
        <v>92</v>
      </c>
      <c r="B1946" s="384" t="s">
        <v>269</v>
      </c>
      <c r="C1946" s="389">
        <v>2.5</v>
      </c>
      <c r="D1946" s="389">
        <v>4.25</v>
      </c>
      <c r="E1946" s="384"/>
      <c r="F1946" s="389"/>
      <c r="G1946" s="389"/>
      <c r="T1946" s="384" t="str">
        <f>IFERROR(__xludf.DUMMYFUNCTION("""COMPUTED_VALUE"""),"Ментик")</f>
        <v>Ментик</v>
      </c>
      <c r="U1946" s="385"/>
      <c r="W1946" s="384" t="str">
        <f>IFERROR(__xludf.DUMMYFUNCTION("""COMPUTED_VALUE"""),"Маваши")</f>
        <v>Маваши</v>
      </c>
      <c r="X1946" s="385"/>
    </row>
    <row r="1947">
      <c r="A1947" s="384" t="s">
        <v>112</v>
      </c>
      <c r="B1947" s="384" t="s">
        <v>261</v>
      </c>
      <c r="C1947" s="389"/>
      <c r="D1947" s="389">
        <v>2.0</v>
      </c>
      <c r="E1947" s="384"/>
      <c r="F1947" s="389"/>
      <c r="G1947" s="389"/>
      <c r="T1947" s="384" t="str">
        <f>IFERROR(__xludf.DUMMYFUNCTION("""COMPUTED_VALUE"""),"Мишель ")</f>
        <v>Мишель </v>
      </c>
      <c r="U1947" s="385"/>
      <c r="W1947" s="384" t="str">
        <f>IFERROR(__xludf.DUMMYFUNCTION("""COMPUTED_VALUE"""),"Манекен")</f>
        <v>Манекен</v>
      </c>
      <c r="X1947" s="385"/>
    </row>
    <row r="1948">
      <c r="A1948" s="384" t="s">
        <v>137</v>
      </c>
      <c r="B1948" s="384" t="s">
        <v>261</v>
      </c>
      <c r="C1948" s="389"/>
      <c r="D1948" s="389">
        <v>1.5</v>
      </c>
      <c r="E1948" s="384"/>
      <c r="F1948" s="389"/>
      <c r="G1948" s="389"/>
      <c r="T1948" s="384" t="str">
        <f>IFERROR(__xludf.DUMMYFUNCTION("""COMPUTED_VALUE"""),"Наполеон")</f>
        <v>Наполеон</v>
      </c>
      <c r="U1948" s="385"/>
      <c r="W1948" s="384" t="str">
        <f>IFERROR(__xludf.DUMMYFUNCTION("""COMPUTED_VALUE"""),"Марго")</f>
        <v>Марго</v>
      </c>
      <c r="X1948" s="385"/>
    </row>
    <row r="1949">
      <c r="A1949" s="384" t="s">
        <v>103</v>
      </c>
      <c r="B1949" s="384" t="s">
        <v>265</v>
      </c>
      <c r="C1949" s="389">
        <v>2.5</v>
      </c>
      <c r="D1949" s="389">
        <v>2.0</v>
      </c>
      <c r="E1949" s="384"/>
      <c r="F1949" s="389"/>
      <c r="G1949" s="389"/>
      <c r="T1949" s="384" t="str">
        <f>IFERROR(__xludf.DUMMYFUNCTION("""COMPUTED_VALUE"""),"Панда из Руанды")</f>
        <v>Панда из Руанды</v>
      </c>
      <c r="U1949" s="385"/>
      <c r="W1949" s="384" t="str">
        <f>IFERROR(__xludf.DUMMYFUNCTION("""COMPUTED_VALUE"""),"Ментик")</f>
        <v>Ментик</v>
      </c>
      <c r="X1949" s="385"/>
    </row>
    <row r="1950">
      <c r="A1950" s="384" t="s">
        <v>105</v>
      </c>
      <c r="B1950" s="384" t="s">
        <v>261</v>
      </c>
      <c r="C1950" s="389"/>
      <c r="D1950" s="389">
        <v>2.5</v>
      </c>
      <c r="E1950" s="384"/>
      <c r="F1950" s="389"/>
      <c r="G1950" s="389"/>
      <c r="T1950" s="384" t="str">
        <f>IFERROR(__xludf.DUMMYFUNCTION("""COMPUTED_VALUE"""),"Писатель ")</f>
        <v>Писатель </v>
      </c>
      <c r="U1950" s="385"/>
      <c r="W1950" s="384" t="str">
        <f>IFERROR(__xludf.DUMMYFUNCTION("""COMPUTED_VALUE"""),"Мишель ")</f>
        <v>Мишель </v>
      </c>
      <c r="X1950" s="385"/>
    </row>
    <row r="1951">
      <c r="A1951" s="384" t="s">
        <v>117</v>
      </c>
      <c r="B1951" s="384" t="s">
        <v>261</v>
      </c>
      <c r="C1951" s="389"/>
      <c r="D1951" s="389">
        <v>1.5</v>
      </c>
      <c r="E1951" s="384"/>
      <c r="F1951" s="389"/>
      <c r="G1951" s="389"/>
      <c r="T1951" s="384" t="str">
        <f>IFERROR(__xludf.DUMMYFUNCTION("""COMPUTED_VALUE"""),"Правда ")</f>
        <v>Правда </v>
      </c>
      <c r="U1951" s="385"/>
      <c r="W1951" s="384" t="str">
        <f>IFERROR(__xludf.DUMMYFUNCTION("""COMPUTED_VALUE"""),"Панда из Руанды")</f>
        <v>Панда из Руанды</v>
      </c>
      <c r="X1951" s="385"/>
    </row>
    <row r="1952">
      <c r="A1952" s="384" t="s">
        <v>84</v>
      </c>
      <c r="B1952" s="384" t="s">
        <v>261</v>
      </c>
      <c r="C1952" s="389"/>
      <c r="D1952" s="389">
        <v>1.5</v>
      </c>
      <c r="E1952" s="384"/>
      <c r="F1952" s="389"/>
      <c r="G1952" s="389"/>
      <c r="T1952" s="384" t="str">
        <f>IFERROR(__xludf.DUMMYFUNCTION("""COMPUTED_VALUE"""),"Продюсер")</f>
        <v>Продюсер</v>
      </c>
      <c r="U1952" s="385"/>
      <c r="W1952" s="384" t="str">
        <f>IFERROR(__xludf.DUMMYFUNCTION("""COMPUTED_VALUE"""),"Писатель ")</f>
        <v>Писатель </v>
      </c>
      <c r="X1952" s="385"/>
    </row>
    <row r="1953">
      <c r="A1953" s="384" t="s">
        <v>82</v>
      </c>
      <c r="B1953" s="384" t="s">
        <v>261</v>
      </c>
      <c r="C1953" s="389">
        <v>2.5</v>
      </c>
      <c r="D1953" s="389">
        <v>3.5</v>
      </c>
      <c r="E1953" s="384"/>
      <c r="F1953" s="389"/>
      <c r="G1953" s="389"/>
      <c r="T1953" s="384" t="str">
        <f>IFERROR(__xludf.DUMMYFUNCTION("""COMPUTED_VALUE"""),"РФ")</f>
        <v>РФ</v>
      </c>
      <c r="U1953" s="385"/>
      <c r="W1953" s="384" t="str">
        <f>IFERROR(__xludf.DUMMYFUNCTION("""COMPUTED_VALUE"""),"Правда ")</f>
        <v>Правда </v>
      </c>
      <c r="X1953" s="385"/>
    </row>
    <row r="1954">
      <c r="A1954" s="384" t="s">
        <v>102</v>
      </c>
      <c r="B1954" s="384" t="s">
        <v>261</v>
      </c>
      <c r="C1954" s="389">
        <v>2.5</v>
      </c>
      <c r="D1954" s="389">
        <v>3.5</v>
      </c>
      <c r="E1954" s="384"/>
      <c r="F1954" s="389"/>
      <c r="G1954" s="389"/>
      <c r="T1954" s="384" t="str">
        <f>IFERROR(__xludf.DUMMYFUNCTION("""COMPUTED_VALUE"""),"Старый")</f>
        <v>Старый</v>
      </c>
      <c r="U1954" s="385"/>
      <c r="W1954" s="384" t="str">
        <f>IFERROR(__xludf.DUMMYFUNCTION("""COMPUTED_VALUE"""),"Продюсер")</f>
        <v>Продюсер</v>
      </c>
      <c r="X1954" s="385"/>
    </row>
    <row r="1955">
      <c r="A1955" s="384" t="s">
        <v>132</v>
      </c>
      <c r="B1955" s="384" t="s">
        <v>261</v>
      </c>
      <c r="C1955" s="389">
        <v>2.5</v>
      </c>
      <c r="D1955" s="389">
        <v>2.0</v>
      </c>
      <c r="E1955" s="384" t="s">
        <v>11</v>
      </c>
      <c r="F1955" s="389">
        <v>0.5</v>
      </c>
      <c r="G1955" s="389">
        <v>0.5</v>
      </c>
      <c r="T1955" s="384" t="str">
        <f>IFERROR(__xludf.DUMMYFUNCTION("""COMPUTED_VALUE"""),"СЭНСЭЙ")</f>
        <v>СЭНСЭЙ</v>
      </c>
      <c r="U1955" s="385"/>
      <c r="W1955" s="384" t="str">
        <f>IFERROR(__xludf.DUMMYFUNCTION("""COMPUTED_VALUE"""),"РФ")</f>
        <v>РФ</v>
      </c>
      <c r="X1955" s="385"/>
    </row>
    <row r="1956">
      <c r="A1956" s="384" t="s">
        <v>123</v>
      </c>
      <c r="B1956" s="384" t="s">
        <v>271</v>
      </c>
      <c r="C1956" s="389">
        <v>2.5</v>
      </c>
      <c r="D1956" s="389">
        <v>4.0</v>
      </c>
      <c r="E1956" s="384"/>
      <c r="F1956" s="389"/>
      <c r="G1956" s="389"/>
      <c r="T1956" s="384" t="str">
        <f>IFERROR(__xludf.DUMMYFUNCTION("""COMPUTED_VALUE"""),"Coach")</f>
        <v>Coach</v>
      </c>
      <c r="U1956" s="385"/>
      <c r="W1956" s="384" t="str">
        <f>IFERROR(__xludf.DUMMYFUNCTION("""COMPUTED_VALUE"""),"Старый")</f>
        <v>Старый</v>
      </c>
      <c r="X1956" s="385"/>
    </row>
    <row r="1957">
      <c r="A1957" s="384" t="s">
        <v>79</v>
      </c>
      <c r="B1957" s="384" t="s">
        <v>261</v>
      </c>
      <c r="C1957" s="389">
        <v>2.5</v>
      </c>
      <c r="D1957" s="389">
        <v>2.75</v>
      </c>
      <c r="E1957" s="384"/>
      <c r="F1957" s="389"/>
      <c r="G1957" s="389"/>
      <c r="T1957" s="384" t="str">
        <f>IFERROR(__xludf.DUMMYFUNCTION("""COMPUTED_VALUE"""),"Тихий закат")</f>
        <v>Тихий закат</v>
      </c>
      <c r="U1957" s="385"/>
      <c r="W1957" s="384" t="str">
        <f>IFERROR(__xludf.DUMMYFUNCTION("""COMPUTED_VALUE"""),"Coach")</f>
        <v>Coach</v>
      </c>
      <c r="X1957" s="385"/>
    </row>
    <row r="1958">
      <c r="A1958" s="384" t="s">
        <v>136</v>
      </c>
      <c r="B1958" s="384" t="s">
        <v>261</v>
      </c>
      <c r="C1958" s="389">
        <v>2.5</v>
      </c>
      <c r="D1958" s="389">
        <v>3.75</v>
      </c>
      <c r="E1958" s="384"/>
      <c r="F1958" s="389"/>
      <c r="G1958" s="389"/>
      <c r="T1958" s="384" t="str">
        <f>IFERROR(__xludf.DUMMYFUNCTION("""COMPUTED_VALUE"""),"Физик")</f>
        <v>Физик</v>
      </c>
      <c r="U1958" s="385"/>
      <c r="W1958" s="384" t="str">
        <f>IFERROR(__xludf.DUMMYFUNCTION("""COMPUTED_VALUE"""),"Тихий закат")</f>
        <v>Тихий закат</v>
      </c>
      <c r="X1958" s="385"/>
    </row>
    <row r="1959">
      <c r="A1959" s="384" t="s">
        <v>122</v>
      </c>
      <c r="B1959" s="384" t="s">
        <v>261</v>
      </c>
      <c r="C1959" s="389">
        <v>2.5</v>
      </c>
      <c r="D1959" s="389">
        <v>3.25</v>
      </c>
      <c r="E1959" s="384"/>
      <c r="F1959" s="389"/>
      <c r="G1959" s="389"/>
      <c r="T1959" s="384" t="str">
        <f>IFERROR(__xludf.DUMMYFUNCTION("""COMPUTED_VALUE"""),"Фокс")</f>
        <v>Фокс</v>
      </c>
      <c r="U1959" s="385"/>
      <c r="W1959" s="384" t="str">
        <f>IFERROR(__xludf.DUMMYFUNCTION("""COMPUTED_VALUE"""),"Физик")</f>
        <v>Физик</v>
      </c>
      <c r="X1959" s="385"/>
    </row>
    <row r="1960">
      <c r="A1960" s="384" t="s">
        <v>281</v>
      </c>
      <c r="B1960" s="384" t="s">
        <v>269</v>
      </c>
      <c r="C1960" s="389"/>
      <c r="D1960" s="389">
        <v>3.0</v>
      </c>
      <c r="E1960" s="384"/>
      <c r="F1960" s="389"/>
      <c r="G1960" s="389"/>
      <c r="T1960" s="384" t="str">
        <f>IFERROR(__xludf.DUMMYFUNCTION("""COMPUTED_VALUE"""),"Шпиц")</f>
        <v>Шпиц</v>
      </c>
      <c r="U1960" s="385"/>
      <c r="W1960" s="384" t="str">
        <f>IFERROR(__xludf.DUMMYFUNCTION("""COMPUTED_VALUE"""),"Флэш")</f>
        <v>Флэш</v>
      </c>
      <c r="X1960" s="385"/>
    </row>
    <row r="1961">
      <c r="A1961" s="384" t="s">
        <v>84</v>
      </c>
      <c r="B1961" s="384" t="s">
        <v>265</v>
      </c>
      <c r="C1961" s="389"/>
      <c r="D1961" s="389">
        <v>1.5</v>
      </c>
      <c r="E1961" s="384"/>
      <c r="F1961" s="389"/>
      <c r="G1961" s="389"/>
      <c r="T1961" s="384" t="str">
        <f>IFERROR(__xludf.DUMMYFUNCTION("""COMPUTED_VALUE"""),"Юрия")</f>
        <v>Юрия</v>
      </c>
      <c r="U1961" s="385"/>
      <c r="W1961" s="384" t="str">
        <f>IFERROR(__xludf.DUMMYFUNCTION("""COMPUTED_VALUE"""),"Фокс")</f>
        <v>Фокс</v>
      </c>
      <c r="X1961" s="385"/>
    </row>
    <row r="1962">
      <c r="A1962" s="384" t="s">
        <v>85</v>
      </c>
      <c r="B1962" s="384" t="s">
        <v>269</v>
      </c>
      <c r="C1962" s="389"/>
      <c r="D1962" s="389">
        <v>2.0</v>
      </c>
      <c r="E1962" s="384"/>
      <c r="F1962" s="389"/>
      <c r="G1962" s="389"/>
      <c r="T1962" s="384" t="str">
        <f>IFERROR(__xludf.DUMMYFUNCTION("""COMPUTED_VALUE"""),"A1 ")</f>
        <v>A1 </v>
      </c>
      <c r="U1962" s="385"/>
      <c r="W1962" s="384" t="str">
        <f>IFERROR(__xludf.DUMMYFUNCTION("""COMPUTED_VALUE"""),"Шоу Бой")</f>
        <v>Шоу Бой</v>
      </c>
      <c r="X1962" s="385"/>
    </row>
    <row r="1963">
      <c r="A1963" s="384" t="s">
        <v>82</v>
      </c>
      <c r="B1963" s="384" t="s">
        <v>269</v>
      </c>
      <c r="C1963" s="389">
        <v>2.5</v>
      </c>
      <c r="D1963" s="389">
        <v>3.75</v>
      </c>
      <c r="E1963" s="384"/>
      <c r="F1963" s="389"/>
      <c r="G1963" s="389"/>
      <c r="T1963" s="384" t="str">
        <f>IFERROR(__xludf.DUMMYFUNCTION("""COMPUTED_VALUE"""),"Alice ")</f>
        <v>Alice </v>
      </c>
      <c r="U1963" s="385"/>
      <c r="W1963" s="384" t="str">
        <f>IFERROR(__xludf.DUMMYFUNCTION("""COMPUTED_VALUE"""),"Шпиц")</f>
        <v>Шпиц</v>
      </c>
      <c r="X1963" s="385"/>
    </row>
    <row r="1964">
      <c r="A1964" s="384" t="s">
        <v>102</v>
      </c>
      <c r="B1964" s="384" t="s">
        <v>261</v>
      </c>
      <c r="C1964" s="389"/>
      <c r="D1964" s="389">
        <v>2.0</v>
      </c>
      <c r="E1964" s="384"/>
      <c r="F1964" s="389"/>
      <c r="G1964" s="389"/>
      <c r="T1964" s="384" t="str">
        <f>IFERROR(__xludf.DUMMYFUNCTION("""COMPUTED_VALUE"""),"Bublik")</f>
        <v>Bublik</v>
      </c>
      <c r="U1964" s="385"/>
      <c r="W1964" s="384" t="str">
        <f>IFERROR(__xludf.DUMMYFUNCTION("""COMPUTED_VALUE"""),"Юрия")</f>
        <v>Юрия</v>
      </c>
      <c r="X1964" s="385"/>
    </row>
    <row r="1965">
      <c r="A1965" s="384" t="s">
        <v>132</v>
      </c>
      <c r="B1965" s="384" t="s">
        <v>261</v>
      </c>
      <c r="C1965" s="389"/>
      <c r="D1965" s="389">
        <v>3.0</v>
      </c>
      <c r="E1965" s="384"/>
      <c r="F1965" s="389"/>
      <c r="G1965" s="389"/>
      <c r="T1965" s="384" t="str">
        <f>IFERROR(__xludf.DUMMYFUNCTION("""COMPUTED_VALUE"""),"BWDMoscow")</f>
        <v>BWDMoscow</v>
      </c>
      <c r="U1965" s="385"/>
      <c r="W1965" s="384" t="str">
        <f>IFERROR(__xludf.DUMMYFUNCTION("""COMPUTED_VALUE"""),"A1 ")</f>
        <v>A1 </v>
      </c>
      <c r="X1965" s="385"/>
    </row>
    <row r="1966">
      <c r="A1966" s="384" t="s">
        <v>123</v>
      </c>
      <c r="B1966" s="384" t="s">
        <v>261</v>
      </c>
      <c r="C1966" s="389"/>
      <c r="D1966" s="389">
        <v>2.0</v>
      </c>
      <c r="E1966" s="384" t="s">
        <v>11</v>
      </c>
      <c r="F1966" s="389"/>
      <c r="G1966" s="389">
        <v>0.5</v>
      </c>
      <c r="T1966" s="384" t="str">
        <f>IFERROR(__xludf.DUMMYFUNCTION("""COMPUTED_VALUE"""),"Castor Troy ")</f>
        <v>Castor Troy </v>
      </c>
      <c r="U1966" s="385"/>
      <c r="W1966" s="384" t="str">
        <f>IFERROR(__xludf.DUMMYFUNCTION("""COMPUTED_VALUE"""),"Alice ")</f>
        <v>Alice </v>
      </c>
      <c r="X1966" s="385"/>
    </row>
    <row r="1967">
      <c r="A1967" s="384" t="s">
        <v>79</v>
      </c>
      <c r="B1967" s="384" t="s">
        <v>265</v>
      </c>
      <c r="C1967" s="389">
        <v>2.5</v>
      </c>
      <c r="D1967" s="389">
        <v>4.0</v>
      </c>
      <c r="E1967" s="384"/>
      <c r="F1967" s="389"/>
      <c r="G1967" s="389"/>
      <c r="T1967" s="384" t="str">
        <f>IFERROR(__xludf.DUMMYFUNCTION("""COMPUTED_VALUE"""),"Cristo")</f>
        <v>Cristo</v>
      </c>
      <c r="U1967" s="385"/>
      <c r="W1967" s="384" t="str">
        <f>IFERROR(__xludf.DUMMYFUNCTION("""COMPUTED_VALUE"""),"BWDMoscow")</f>
        <v>BWDMoscow</v>
      </c>
      <c r="X1967" s="385"/>
    </row>
    <row r="1968">
      <c r="A1968" s="384" t="s">
        <v>136</v>
      </c>
      <c r="B1968" s="384" t="s">
        <v>261</v>
      </c>
      <c r="C1968" s="389"/>
      <c r="D1968" s="389">
        <v>1.5</v>
      </c>
      <c r="E1968" s="384"/>
      <c r="F1968" s="389"/>
      <c r="G1968" s="389"/>
      <c r="T1968" s="384" t="str">
        <f>IFERROR(__xludf.DUMMYFUNCTION("""COMPUTED_VALUE"""),"Curly")</f>
        <v>Curly</v>
      </c>
      <c r="U1968" s="385"/>
      <c r="W1968" s="384" t="str">
        <f>IFERROR(__xludf.DUMMYFUNCTION("""COMPUTED_VALUE"""),"Castor Troy ")</f>
        <v>Castor Troy </v>
      </c>
      <c r="X1968" s="385"/>
    </row>
    <row r="1969">
      <c r="A1969" s="384" t="s">
        <v>122</v>
      </c>
      <c r="B1969" s="384" t="s">
        <v>271</v>
      </c>
      <c r="C1969" s="389"/>
      <c r="D1969" s="389">
        <v>2.0</v>
      </c>
      <c r="E1969" s="384"/>
      <c r="F1969" s="389"/>
      <c r="G1969" s="389"/>
      <c r="T1969" s="384" t="str">
        <f>IFERROR(__xludf.DUMMYFUNCTION("""COMPUTED_VALUE"""),"GALAY")</f>
        <v>GALAY</v>
      </c>
      <c r="U1969" s="385"/>
      <c r="W1969" s="384" t="str">
        <f>IFERROR(__xludf.DUMMYFUNCTION("""COMPUTED_VALUE"""),"Cristo")</f>
        <v>Cristo</v>
      </c>
      <c r="X1969" s="385"/>
    </row>
    <row r="1970">
      <c r="A1970" s="384" t="s">
        <v>281</v>
      </c>
      <c r="B1970" s="384" t="s">
        <v>261</v>
      </c>
      <c r="C1970" s="389"/>
      <c r="D1970" s="389">
        <v>1.5</v>
      </c>
      <c r="E1970" s="384"/>
      <c r="F1970" s="389"/>
      <c r="G1970" s="389"/>
      <c r="T1970" s="384" t="str">
        <f>IFERROR(__xludf.DUMMYFUNCTION("""COMPUTED_VALUE"""),"Helga")</f>
        <v>Helga</v>
      </c>
      <c r="U1970" s="385"/>
      <c r="W1970" s="384" t="str">
        <f>IFERROR(__xludf.DUMMYFUNCTION("""COMPUTED_VALUE"""),"Curly")</f>
        <v>Curly</v>
      </c>
      <c r="X1970" s="385"/>
    </row>
    <row r="1971">
      <c r="A1971" s="384" t="s">
        <v>84</v>
      </c>
      <c r="B1971" s="384" t="s">
        <v>261</v>
      </c>
      <c r="C1971" s="389"/>
      <c r="D1971" s="389">
        <v>1.75</v>
      </c>
      <c r="E1971" s="384"/>
      <c r="F1971" s="389"/>
      <c r="G1971" s="389"/>
      <c r="T1971" s="384" t="str">
        <f>IFERROR(__xludf.DUMMYFUNCTION("""COMPUTED_VALUE"""),"Infinity ")</f>
        <v>Infinity </v>
      </c>
      <c r="U1971" s="385"/>
      <c r="W1971" s="384" t="str">
        <f>IFERROR(__xludf.DUMMYFUNCTION("""COMPUTED_VALUE"""),"Infinity ")</f>
        <v>Infinity </v>
      </c>
      <c r="X1971" s="385"/>
    </row>
    <row r="1972">
      <c r="A1972" s="384" t="s">
        <v>85</v>
      </c>
      <c r="B1972" s="384" t="s">
        <v>269</v>
      </c>
      <c r="C1972" s="389">
        <v>2.5</v>
      </c>
      <c r="D1972" s="389">
        <v>3.75</v>
      </c>
      <c r="E1972" s="384"/>
      <c r="F1972" s="389"/>
      <c r="G1972" s="389"/>
      <c r="T1972" s="384" t="str">
        <f>IFERROR(__xludf.DUMMYFUNCTION("""COMPUTED_VALUE"""),"Ketamin")</f>
        <v>Ketamin</v>
      </c>
      <c r="U1972" s="385"/>
      <c r="W1972" s="384" t="str">
        <f>IFERROR(__xludf.DUMMYFUNCTION("""COMPUTED_VALUE"""),"Ketamin")</f>
        <v>Ketamin</v>
      </c>
      <c r="X1972" s="385"/>
    </row>
    <row r="1973">
      <c r="A1973" s="384" t="s">
        <v>82</v>
      </c>
      <c r="B1973" s="384" t="s">
        <v>261</v>
      </c>
      <c r="C1973" s="389"/>
      <c r="D1973" s="389">
        <v>2.5</v>
      </c>
      <c r="E1973" s="384" t="s">
        <v>11</v>
      </c>
      <c r="F1973" s="389">
        <v>0.5</v>
      </c>
      <c r="G1973" s="389">
        <v>0.5</v>
      </c>
      <c r="T1973" s="384" t="str">
        <f>IFERROR(__xludf.DUMMYFUNCTION("""COMPUTED_VALUE"""),"Light")</f>
        <v>Light</v>
      </c>
      <c r="U1973" s="385"/>
      <c r="W1973" s="384" t="str">
        <f>IFERROR(__xludf.DUMMYFUNCTION("""COMPUTED_VALUE"""),"Light")</f>
        <v>Light</v>
      </c>
      <c r="X1973" s="385"/>
    </row>
    <row r="1974">
      <c r="A1974" s="384" t="s">
        <v>102</v>
      </c>
      <c r="B1974" s="384" t="s">
        <v>265</v>
      </c>
      <c r="C1974" s="389">
        <v>2.5</v>
      </c>
      <c r="D1974" s="389">
        <v>4.5</v>
      </c>
      <c r="E1974" s="384"/>
      <c r="F1974" s="389"/>
      <c r="G1974" s="389"/>
      <c r="T1974" s="384" t="str">
        <f>IFERROR(__xludf.DUMMYFUNCTION("""COMPUTED_VALUE"""),"Morti")</f>
        <v>Morti</v>
      </c>
      <c r="U1974" s="385"/>
      <c r="W1974" s="384" t="str">
        <f>IFERROR(__xludf.DUMMYFUNCTION("""COMPUTED_VALUE"""),"Morti")</f>
        <v>Morti</v>
      </c>
      <c r="X1974" s="385"/>
    </row>
    <row r="1975">
      <c r="A1975" s="384" t="s">
        <v>132</v>
      </c>
      <c r="B1975" s="384" t="s">
        <v>269</v>
      </c>
      <c r="C1975" s="389">
        <v>2.5</v>
      </c>
      <c r="D1975" s="389">
        <v>4.25</v>
      </c>
      <c r="E1975" s="384"/>
      <c r="F1975" s="389"/>
      <c r="G1975" s="389"/>
      <c r="T1975" s="384" t="str">
        <f>IFERROR(__xludf.DUMMYFUNCTION("""COMPUTED_VALUE"""),"MSR")</f>
        <v>MSR</v>
      </c>
      <c r="U1975" s="385"/>
      <c r="W1975" s="384" t="str">
        <f>IFERROR(__xludf.DUMMYFUNCTION("""COMPUTED_VALUE"""),"MSR")</f>
        <v>MSR</v>
      </c>
      <c r="X1975" s="385"/>
    </row>
    <row r="1976">
      <c r="A1976" s="384" t="s">
        <v>123</v>
      </c>
      <c r="B1976" s="384" t="s">
        <v>269</v>
      </c>
      <c r="C1976" s="389">
        <v>2.5</v>
      </c>
      <c r="D1976" s="389">
        <v>3.25</v>
      </c>
      <c r="E1976" s="384"/>
      <c r="F1976" s="389"/>
      <c r="G1976" s="389"/>
      <c r="T1976" s="384" t="str">
        <f>IFERROR(__xludf.DUMMYFUNCTION("""COMPUTED_VALUE"""),"NLIP")</f>
        <v>NLIP</v>
      </c>
      <c r="U1976" s="385"/>
      <c r="W1976" s="384" t="str">
        <f>IFERROR(__xludf.DUMMYFUNCTION("""COMPUTED_VALUE"""),"NLIP")</f>
        <v>NLIP</v>
      </c>
      <c r="X1976" s="385"/>
    </row>
    <row r="1977">
      <c r="A1977" s="384" t="s">
        <v>79</v>
      </c>
      <c r="B1977" s="384" t="s">
        <v>261</v>
      </c>
      <c r="C1977" s="389"/>
      <c r="D1977" s="389">
        <v>1.0</v>
      </c>
      <c r="E1977" s="384"/>
      <c r="F1977" s="389"/>
      <c r="G1977" s="389"/>
      <c r="T1977" s="384" t="str">
        <f>IFERROR(__xludf.DUMMYFUNCTION("""COMPUTED_VALUE"""),"SCHOKK ")</f>
        <v>SCHOKK </v>
      </c>
      <c r="U1977" s="385"/>
      <c r="W1977" s="384" t="str">
        <f>IFERROR(__xludf.DUMMYFUNCTION("""COMPUTED_VALUE"""),"Rocket woman ")</f>
        <v>Rocket woman </v>
      </c>
      <c r="X1977" s="385"/>
    </row>
    <row r="1978">
      <c r="A1978" s="384" t="s">
        <v>136</v>
      </c>
      <c r="B1978" s="384" t="s">
        <v>261</v>
      </c>
      <c r="C1978" s="389"/>
      <c r="D1978" s="389">
        <v>3.25</v>
      </c>
      <c r="E1978" s="384"/>
      <c r="F1978" s="389"/>
      <c r="G1978" s="389"/>
      <c r="T1978" s="384" t="str">
        <f>IFERROR(__xludf.DUMMYFUNCTION("""COMPUTED_VALUE"""),"SOVEST")</f>
        <v>SOVEST</v>
      </c>
      <c r="U1978" s="385"/>
      <c r="W1978" s="384" t="str">
        <f>IFERROR(__xludf.DUMMYFUNCTION("""COMPUTED_VALUE"""),"SCHOKK ")</f>
        <v>SCHOKK </v>
      </c>
      <c r="X1978" s="385"/>
    </row>
    <row r="1979">
      <c r="A1979" s="384" t="s">
        <v>122</v>
      </c>
      <c r="B1979" s="384" t="s">
        <v>261</v>
      </c>
      <c r="C1979" s="389"/>
      <c r="D1979" s="389">
        <v>0.75</v>
      </c>
      <c r="E1979" s="384"/>
      <c r="F1979" s="389"/>
      <c r="G1979" s="389"/>
      <c r="T1979" s="384" t="str">
        <f>IFERROR(__xludf.DUMMYFUNCTION("""COMPUTED_VALUE"""),"Stacy")</f>
        <v>Stacy</v>
      </c>
      <c r="U1979" s="385"/>
      <c r="W1979" s="384" t="str">
        <f>IFERROR(__xludf.DUMMYFUNCTION("""COMPUTED_VALUE"""),"Stacy")</f>
        <v>Stacy</v>
      </c>
      <c r="X1979" s="385"/>
    </row>
    <row r="1980">
      <c r="A1980" s="384" t="s">
        <v>281</v>
      </c>
      <c r="B1980" s="384" t="s">
        <v>261</v>
      </c>
      <c r="C1980" s="389"/>
      <c r="D1980" s="389">
        <v>2.5</v>
      </c>
      <c r="E1980" s="384"/>
      <c r="F1980" s="389"/>
      <c r="G1980" s="389"/>
      <c r="T1980" s="384" t="str">
        <f>IFERROR(__xludf.DUMMYFUNCTION("""COMPUTED_VALUE"""),"WhoIsWho")</f>
        <v>WhoIsWho</v>
      </c>
      <c r="U1980" s="385"/>
      <c r="W1980" s="384" t="str">
        <f>IFERROR(__xludf.DUMMYFUNCTION("""COMPUTED_VALUE"""),"WhoIsWho")</f>
        <v>WhoIsWho</v>
      </c>
      <c r="X1980" s="385"/>
    </row>
    <row r="1981">
      <c r="A1981" s="384" t="s">
        <v>84</v>
      </c>
      <c r="B1981" s="384" t="s">
        <v>271</v>
      </c>
      <c r="C1981" s="389"/>
      <c r="D1981" s="389">
        <v>2.25</v>
      </c>
      <c r="E1981" s="384"/>
      <c r="F1981" s="389"/>
      <c r="G1981" s="389"/>
      <c r="T1981" s="384" t="str">
        <f>IFERROR(__xludf.DUMMYFUNCTION("""COMPUTED_VALUE"""),"Young")</f>
        <v>Young</v>
      </c>
      <c r="U1981" s="385"/>
      <c r="W1981" s="384" t="str">
        <f>IFERROR(__xludf.DUMMYFUNCTION("""COMPUTED_VALUE"""),"Young")</f>
        <v>Young</v>
      </c>
      <c r="X1981" s="385"/>
    </row>
    <row r="1982">
      <c r="A1982" s="384" t="s">
        <v>85</v>
      </c>
      <c r="B1982" s="384" t="s">
        <v>261</v>
      </c>
      <c r="C1982" s="389"/>
      <c r="D1982" s="389">
        <v>1.0</v>
      </c>
      <c r="E1982" s="384"/>
      <c r="F1982" s="389"/>
      <c r="G1982" s="389"/>
      <c r="T1982" s="384" t="str">
        <f>IFERROR(__xludf.DUMMYFUNCTION("QUERY('Турнирная таблица по Алфавиту'!C7:BG66,""select C,BA order by BA desc"")"),"Castor Troy ")</f>
        <v>Castor Troy </v>
      </c>
      <c r="U1982" s="385">
        <f>IFERROR(__xludf.DUMMYFUNCTION("""COMPUTED_VALUE"""),26.25)</f>
        <v>26.25</v>
      </c>
      <c r="W1982" s="384" t="str">
        <f>IFERROR(__xludf.DUMMYFUNCTION("""COMPUTED_VALUE"""),"Андерсен")</f>
        <v>Андерсен</v>
      </c>
      <c r="X1982" s="385"/>
    </row>
    <row r="1983">
      <c r="A1983" s="384" t="s">
        <v>82</v>
      </c>
      <c r="B1983" s="384" t="s">
        <v>269</v>
      </c>
      <c r="C1983" s="389">
        <v>2.5</v>
      </c>
      <c r="D1983" s="389">
        <v>4.25</v>
      </c>
      <c r="E1983" s="384"/>
      <c r="F1983" s="389"/>
      <c r="G1983" s="389"/>
      <c r="T1983" s="384" t="str">
        <f>IFERROR(__xludf.DUMMYFUNCTION("""COMPUTED_VALUE"""),"Rocket woman ")</f>
        <v>Rocket woman </v>
      </c>
      <c r="U1983" s="385">
        <f>IFERROR(__xludf.DUMMYFUNCTION("""COMPUTED_VALUE"""),24.75)</f>
        <v>24.75</v>
      </c>
      <c r="W1983" s="384" t="str">
        <f>IFERROR(__xludf.DUMMYFUNCTION("""COMPUTED_VALUE"""),"Артик")</f>
        <v>Артик</v>
      </c>
      <c r="X1983" s="385"/>
    </row>
    <row r="1984">
      <c r="A1984" s="384" t="s">
        <v>102</v>
      </c>
      <c r="B1984" s="384" t="s">
        <v>261</v>
      </c>
      <c r="C1984" s="389"/>
      <c r="D1984" s="389">
        <v>2.75</v>
      </c>
      <c r="E1984" s="384"/>
      <c r="F1984" s="389"/>
      <c r="G1984" s="389"/>
      <c r="T1984" s="384" t="str">
        <f>IFERROR(__xludf.DUMMYFUNCTION("""COMPUTED_VALUE"""),"Артик")</f>
        <v>Артик</v>
      </c>
      <c r="U1984" s="385">
        <f>IFERROR(__xludf.DUMMYFUNCTION("""COMPUTED_VALUE"""),24.5)</f>
        <v>24.5</v>
      </c>
      <c r="W1984" s="384" t="str">
        <f>IFERROR(__xludf.DUMMYFUNCTION("""COMPUTED_VALUE"""),"Астория")</f>
        <v>Астория</v>
      </c>
      <c r="X1984" s="385"/>
    </row>
    <row r="1985">
      <c r="A1985" s="384" t="s">
        <v>132</v>
      </c>
      <c r="B1985" s="384" t="s">
        <v>261</v>
      </c>
      <c r="C1985" s="389"/>
      <c r="D1985" s="389">
        <v>1.75</v>
      </c>
      <c r="E1985" s="384"/>
      <c r="F1985" s="389"/>
      <c r="G1985" s="389"/>
      <c r="T1985" s="384" t="str">
        <f>IFERROR(__xludf.DUMMYFUNCTION("""COMPUTED_VALUE"""),"Админ")</f>
        <v>Админ</v>
      </c>
      <c r="U1985" s="385">
        <f>IFERROR(__xludf.DUMMYFUNCTION("""COMPUTED_VALUE"""),24.0)</f>
        <v>24</v>
      </c>
      <c r="W1985" s="384" t="str">
        <f>IFERROR(__xludf.DUMMYFUNCTION("""COMPUTED_VALUE"""),"Аш")</f>
        <v>Аш</v>
      </c>
      <c r="X1985" s="385"/>
    </row>
    <row r="1986">
      <c r="A1986" s="384" t="s">
        <v>123</v>
      </c>
      <c r="B1986" s="384" t="s">
        <v>261</v>
      </c>
      <c r="C1986" s="389"/>
      <c r="D1986" s="389">
        <v>2.0</v>
      </c>
      <c r="E1986" s="384"/>
      <c r="F1986" s="389"/>
      <c r="G1986" s="389"/>
      <c r="T1986" s="384" t="str">
        <f>IFERROR(__xludf.DUMMYFUNCTION("""COMPUTED_VALUE"""),"Крёстный Отец (RU)")</f>
        <v>Крёстный Отец (RU)</v>
      </c>
      <c r="U1986" s="385">
        <f>IFERROR(__xludf.DUMMYFUNCTION("""COMPUTED_VALUE"""),23.0)</f>
        <v>23</v>
      </c>
      <c r="W1986" s="384" t="str">
        <f>IFERROR(__xludf.DUMMYFUNCTION("""COMPUTED_VALUE"""),"Бамблби")</f>
        <v>Бамблби</v>
      </c>
      <c r="X1986" s="385"/>
    </row>
    <row r="1987">
      <c r="A1987" s="384" t="s">
        <v>79</v>
      </c>
      <c r="B1987" s="384" t="s">
        <v>265</v>
      </c>
      <c r="C1987" s="389">
        <v>2.5</v>
      </c>
      <c r="D1987" s="389">
        <v>3.5</v>
      </c>
      <c r="E1987" s="384"/>
      <c r="F1987" s="389"/>
      <c r="G1987" s="389"/>
      <c r="T1987" s="384" t="str">
        <f>IFERROR(__xludf.DUMMYFUNCTION("""COMPUTED_VALUE"""),"Правда ")</f>
        <v>Правда </v>
      </c>
      <c r="U1987" s="385">
        <f>IFERROR(__xludf.DUMMYFUNCTION("""COMPUTED_VALUE"""),22.5)</f>
        <v>22.5</v>
      </c>
      <c r="W1987" s="384" t="str">
        <f>IFERROR(__xludf.DUMMYFUNCTION("""COMPUTED_VALUE"""),"Волга")</f>
        <v>Волга</v>
      </c>
      <c r="X1987" s="385"/>
    </row>
    <row r="1988">
      <c r="A1988" s="384" t="s">
        <v>136</v>
      </c>
      <c r="B1988" s="384" t="s">
        <v>269</v>
      </c>
      <c r="C1988" s="389">
        <v>2.5</v>
      </c>
      <c r="D1988" s="389">
        <v>2.75</v>
      </c>
      <c r="E1988" s="384"/>
      <c r="F1988" s="389"/>
      <c r="G1988" s="389"/>
      <c r="T1988" s="384" t="str">
        <f>IFERROR(__xludf.DUMMYFUNCTION("""COMPUTED_VALUE"""),"Продюсер")</f>
        <v>Продюсер</v>
      </c>
      <c r="U1988" s="385">
        <f>IFERROR(__xludf.DUMMYFUNCTION("""COMPUTED_VALUE"""),21.5)</f>
        <v>21.5</v>
      </c>
      <c r="W1988" s="384" t="str">
        <f>IFERROR(__xludf.DUMMYFUNCTION("""COMPUTED_VALUE"""),"Дровосек")</f>
        <v>Дровосек</v>
      </c>
      <c r="X1988" s="385"/>
    </row>
    <row r="1989">
      <c r="A1989" s="384" t="s">
        <v>122</v>
      </c>
      <c r="B1989" s="384" t="s">
        <v>271</v>
      </c>
      <c r="C1989" s="389"/>
      <c r="D1989" s="389">
        <v>2.5</v>
      </c>
      <c r="E1989" s="384" t="s">
        <v>11</v>
      </c>
      <c r="F1989" s="389"/>
      <c r="G1989" s="389">
        <v>0.5</v>
      </c>
      <c r="T1989" s="384" t="str">
        <f>IFERROR(__xludf.DUMMYFUNCTION("""COMPUTED_VALUE"""),"Шоу Бой")</f>
        <v>Шоу Бой</v>
      </c>
      <c r="U1989" s="385">
        <f>IFERROR(__xludf.DUMMYFUNCTION("""COMPUTED_VALUE"""),18.75)</f>
        <v>18.75</v>
      </c>
      <c r="W1989" s="384" t="str">
        <f>IFERROR(__xludf.DUMMYFUNCTION("""COMPUTED_VALUE"""),"Зверюга")</f>
        <v>Зверюга</v>
      </c>
      <c r="X1989" s="385"/>
    </row>
    <row r="1990">
      <c r="A1990" s="384" t="s">
        <v>281</v>
      </c>
      <c r="B1990" s="384" t="s">
        <v>261</v>
      </c>
      <c r="C1990" s="389"/>
      <c r="D1990" s="389">
        <v>2.0</v>
      </c>
      <c r="E1990" s="384"/>
      <c r="F1990" s="389"/>
      <c r="G1990" s="389"/>
      <c r="T1990" s="384" t="str">
        <f>IFERROR(__xludf.DUMMYFUNCTION("""COMPUTED_VALUE"""),"Дровосек")</f>
        <v>Дровосек</v>
      </c>
      <c r="U1990" s="385">
        <f>IFERROR(__xludf.DUMMYFUNCTION("""COMPUTED_VALUE"""),16.5)</f>
        <v>16.5</v>
      </c>
      <c r="W1990" s="384" t="str">
        <f>IFERROR(__xludf.DUMMYFUNCTION("""COMPUTED_VALUE"""),"Инсомнич")</f>
        <v>Инсомнич</v>
      </c>
      <c r="X1990" s="385"/>
    </row>
    <row r="1991">
      <c r="A1991" s="384" t="s">
        <v>84</v>
      </c>
      <c r="B1991" s="384" t="s">
        <v>261</v>
      </c>
      <c r="C1991" s="389"/>
      <c r="D1991" s="389">
        <v>2.0</v>
      </c>
      <c r="E1991" s="384"/>
      <c r="F1991" s="389"/>
      <c r="G1991" s="389"/>
      <c r="T1991" s="384" t="str">
        <f>IFERROR(__xludf.DUMMYFUNCTION("""COMPUTED_VALUE"""),"Крот")</f>
        <v>Крот</v>
      </c>
      <c r="U1991" s="385">
        <f>IFERROR(__xludf.DUMMYFUNCTION("""COMPUTED_VALUE"""),14.25)</f>
        <v>14.25</v>
      </c>
      <c r="W1991" s="384" t="str">
        <f>IFERROR(__xludf.DUMMYFUNCTION("""COMPUTED_VALUE"""),"Красавчик")</f>
        <v>Красавчик</v>
      </c>
      <c r="X1991" s="385"/>
    </row>
    <row r="1992">
      <c r="A1992" s="384" t="s">
        <v>85</v>
      </c>
      <c r="B1992" s="384" t="s">
        <v>261</v>
      </c>
      <c r="C1992" s="389"/>
      <c r="D1992" s="389">
        <v>2.0</v>
      </c>
      <c r="E1992" s="384"/>
      <c r="F1992" s="389"/>
      <c r="G1992" s="389"/>
      <c r="T1992" s="384" t="str">
        <f>IFERROR(__xludf.DUMMYFUNCTION("""COMPUTED_VALUE"""),"Авраам")</f>
        <v>Авраам</v>
      </c>
      <c r="U1992" s="385"/>
      <c r="W1992" s="384" t="str">
        <f>IFERROR(__xludf.DUMMYFUNCTION("""COMPUTED_VALUE"""),"Крестный отец (BLR)")</f>
        <v>Крестный отец (BLR)</v>
      </c>
      <c r="X1992" s="385"/>
    </row>
    <row r="1993">
      <c r="A1993" s="384" t="s">
        <v>82</v>
      </c>
      <c r="B1993" s="384" t="s">
        <v>261</v>
      </c>
      <c r="C1993" s="389">
        <v>2.5</v>
      </c>
      <c r="D1993" s="389">
        <v>3.0</v>
      </c>
      <c r="E1993" s="384"/>
      <c r="F1993" s="389"/>
      <c r="G1993" s="389"/>
      <c r="T1993" s="384" t="str">
        <f>IFERROR(__xludf.DUMMYFUNCTION("""COMPUTED_VALUE"""),"Андерсен")</f>
        <v>Андерсен</v>
      </c>
      <c r="U1993" s="385"/>
      <c r="W1993" s="384" t="str">
        <f>IFERROR(__xludf.DUMMYFUNCTION("""COMPUTED_VALUE"""),"Крёстный Отец (RU)")</f>
        <v>Крёстный Отец (RU)</v>
      </c>
      <c r="X1993" s="385"/>
    </row>
    <row r="1994">
      <c r="A1994" s="384" t="s">
        <v>102</v>
      </c>
      <c r="B1994" s="384" t="s">
        <v>261</v>
      </c>
      <c r="C1994" s="389">
        <v>2.5</v>
      </c>
      <c r="D1994" s="389">
        <v>4.5</v>
      </c>
      <c r="E1994" s="384"/>
      <c r="F1994" s="389"/>
      <c r="G1994" s="389"/>
      <c r="T1994" s="384" t="str">
        <f>IFERROR(__xludf.DUMMYFUNCTION("""COMPUTED_VALUE"""),"Астория")</f>
        <v>Астория</v>
      </c>
      <c r="U1994" s="385"/>
      <c r="W1994" s="384" t="str">
        <f>IFERROR(__xludf.DUMMYFUNCTION("""COMPUTED_VALUE"""),"Крот")</f>
        <v>Крот</v>
      </c>
      <c r="X1994" s="385"/>
    </row>
    <row r="1995">
      <c r="A1995" s="384" t="s">
        <v>132</v>
      </c>
      <c r="B1995" s="384" t="s">
        <v>271</v>
      </c>
      <c r="C1995" s="389">
        <v>2.5</v>
      </c>
      <c r="D1995" s="389">
        <v>3.25</v>
      </c>
      <c r="E1995" s="384"/>
      <c r="F1995" s="389"/>
      <c r="G1995" s="389"/>
      <c r="T1995" s="384" t="str">
        <f>IFERROR(__xludf.DUMMYFUNCTION("""COMPUTED_VALUE"""),"Аш")</f>
        <v>Аш</v>
      </c>
      <c r="U1995" s="385"/>
      <c r="W1995" s="384" t="str">
        <f>IFERROR(__xludf.DUMMYFUNCTION("""COMPUTED_VALUE"""),"Левша")</f>
        <v>Левша</v>
      </c>
      <c r="X1995" s="385"/>
    </row>
    <row r="1996">
      <c r="A1996" s="384" t="s">
        <v>123</v>
      </c>
      <c r="B1996" s="384" t="s">
        <v>261</v>
      </c>
      <c r="C1996" s="389">
        <v>2.5</v>
      </c>
      <c r="D1996" s="389">
        <v>2.25</v>
      </c>
      <c r="E1996" s="384" t="s">
        <v>11</v>
      </c>
      <c r="F1996" s="389"/>
      <c r="G1996" s="389">
        <v>1.0</v>
      </c>
      <c r="T1996" s="384" t="str">
        <f>IFERROR(__xludf.DUMMYFUNCTION("""COMPUTED_VALUE"""),"Бамблби")</f>
        <v>Бамблби</v>
      </c>
      <c r="U1996" s="385"/>
      <c r="W1996" s="384" t="str">
        <f>IFERROR(__xludf.DUMMYFUNCTION("""COMPUTED_VALUE"""),"Лисичка")</f>
        <v>Лисичка</v>
      </c>
      <c r="X1996" s="385"/>
    </row>
    <row r="1997">
      <c r="A1997" s="384" t="s">
        <v>79</v>
      </c>
      <c r="B1997" s="384" t="s">
        <v>265</v>
      </c>
      <c r="C1997" s="389"/>
      <c r="D1997" s="389">
        <v>1.75</v>
      </c>
      <c r="E1997" s="384"/>
      <c r="F1997" s="389"/>
      <c r="G1997" s="389"/>
      <c r="T1997" s="384" t="str">
        <f>IFERROR(__xludf.DUMMYFUNCTION("""COMPUTED_VALUE"""),"Волга")</f>
        <v>Волга</v>
      </c>
      <c r="U1997" s="385"/>
      <c r="W1997" s="384" t="str">
        <f>IFERROR(__xludf.DUMMYFUNCTION("""COMPUTED_VALUE"""),"Манекен")</f>
        <v>Манекен</v>
      </c>
      <c r="X1997" s="385"/>
    </row>
    <row r="1998">
      <c r="A1998" s="384" t="s">
        <v>136</v>
      </c>
      <c r="B1998" s="384" t="s">
        <v>269</v>
      </c>
      <c r="C1998" s="389"/>
      <c r="D1998" s="389">
        <v>2.0</v>
      </c>
      <c r="E1998" s="384"/>
      <c r="F1998" s="389"/>
      <c r="G1998" s="389"/>
      <c r="T1998" s="384" t="str">
        <f>IFERROR(__xludf.DUMMYFUNCTION("""COMPUTED_VALUE"""),"Градиент")</f>
        <v>Градиент</v>
      </c>
      <c r="U1998" s="385"/>
      <c r="W1998" s="384" t="str">
        <f>IFERROR(__xludf.DUMMYFUNCTION("""COMPUTED_VALUE"""),"Марго")</f>
        <v>Марго</v>
      </c>
      <c r="X1998" s="385"/>
    </row>
    <row r="1999">
      <c r="A1999" s="384" t="s">
        <v>122</v>
      </c>
      <c r="B1999" s="384" t="s">
        <v>261</v>
      </c>
      <c r="C1999" s="389">
        <v>2.5</v>
      </c>
      <c r="D1999" s="389">
        <v>3.75</v>
      </c>
      <c r="E1999" s="384" t="s">
        <v>260</v>
      </c>
      <c r="F1999" s="389"/>
      <c r="G1999" s="389"/>
      <c r="T1999" s="384" t="str">
        <f>IFERROR(__xludf.DUMMYFUNCTION("""COMPUTED_VALUE"""),"Зверюга")</f>
        <v>Зверюга</v>
      </c>
      <c r="U1999" s="385"/>
      <c r="W1999" s="384" t="str">
        <f>IFERROR(__xludf.DUMMYFUNCTION("""COMPUTED_VALUE"""),"Ментик")</f>
        <v>Ментик</v>
      </c>
      <c r="X1999" s="385"/>
    </row>
    <row r="2000">
      <c r="A2000" s="384" t="s">
        <v>281</v>
      </c>
      <c r="B2000" s="384" t="s">
        <v>261</v>
      </c>
      <c r="C2000" s="389">
        <v>2.5</v>
      </c>
      <c r="D2000" s="389">
        <v>3.75</v>
      </c>
      <c r="E2000" s="384"/>
      <c r="F2000" s="389"/>
      <c r="G2000" s="389"/>
      <c r="T2000" s="384" t="str">
        <f>IFERROR(__xludf.DUMMYFUNCTION("""COMPUTED_VALUE"""),"Инсомнич")</f>
        <v>Инсомнич</v>
      </c>
      <c r="U2000" s="385"/>
      <c r="W2000" s="384" t="str">
        <f>IFERROR(__xludf.DUMMYFUNCTION("""COMPUTED_VALUE"""),"Мишель ")</f>
        <v>Мишель </v>
      </c>
      <c r="X2000" s="385"/>
    </row>
    <row r="2001">
      <c r="A2001" s="384" t="s">
        <v>84</v>
      </c>
      <c r="B2001" s="384" t="s">
        <v>261</v>
      </c>
      <c r="C2001" s="389">
        <v>2.5</v>
      </c>
      <c r="D2001" s="389">
        <v>3.75</v>
      </c>
      <c r="E2001" s="384" t="s">
        <v>260</v>
      </c>
      <c r="F2001" s="389"/>
      <c r="G2001" s="389"/>
      <c r="T2001" s="384" t="str">
        <f>IFERROR(__xludf.DUMMYFUNCTION("""COMPUTED_VALUE"""),"Красавчик")</f>
        <v>Красавчик</v>
      </c>
      <c r="U2001" s="385"/>
      <c r="W2001" s="384" t="str">
        <f>IFERROR(__xludf.DUMMYFUNCTION("""COMPUTED_VALUE"""),"Наполеон")</f>
        <v>Наполеон</v>
      </c>
      <c r="X2001" s="385"/>
    </row>
    <row r="2002">
      <c r="A2002" s="384" t="s">
        <v>85</v>
      </c>
      <c r="B2002" s="384" t="s">
        <v>269</v>
      </c>
      <c r="C2002" s="389"/>
      <c r="D2002" s="389">
        <v>2.5</v>
      </c>
      <c r="E2002" s="384" t="s">
        <v>263</v>
      </c>
      <c r="F2002" s="389"/>
      <c r="G2002" s="389"/>
      <c r="T2002" s="384" t="str">
        <f>IFERROR(__xludf.DUMMYFUNCTION("""COMPUTED_VALUE"""),"Крестный отец (BLR)")</f>
        <v>Крестный отец (BLR)</v>
      </c>
      <c r="U2002" s="385"/>
      <c r="W2002" s="384" t="str">
        <f>IFERROR(__xludf.DUMMYFUNCTION("""COMPUTED_VALUE"""),"Панда из Руанды")</f>
        <v>Панда из Руанды</v>
      </c>
      <c r="X2002" s="385"/>
    </row>
    <row r="2003">
      <c r="A2003" s="384" t="s">
        <v>281</v>
      </c>
      <c r="B2003" s="384" t="s">
        <v>261</v>
      </c>
      <c r="C2003" s="389">
        <v>2.5</v>
      </c>
      <c r="D2003" s="389">
        <v>4.0</v>
      </c>
      <c r="E2003" s="384" t="s">
        <v>260</v>
      </c>
      <c r="F2003" s="389"/>
      <c r="G2003" s="389"/>
      <c r="T2003" s="384" t="str">
        <f>IFERROR(__xludf.DUMMYFUNCTION("""COMPUTED_VALUE"""),"Левша")</f>
        <v>Левша</v>
      </c>
      <c r="U2003" s="385"/>
      <c r="W2003" s="384" t="str">
        <f>IFERROR(__xludf.DUMMYFUNCTION("""COMPUTED_VALUE"""),"Писатель ")</f>
        <v>Писатель </v>
      </c>
      <c r="X2003" s="385"/>
    </row>
    <row r="2004">
      <c r="A2004" s="384" t="s">
        <v>95</v>
      </c>
      <c r="B2004" s="384" t="s">
        <v>271</v>
      </c>
      <c r="C2004" s="389">
        <v>2.5</v>
      </c>
      <c r="D2004" s="389">
        <v>4.0</v>
      </c>
      <c r="E2004" s="384"/>
      <c r="F2004" s="389"/>
      <c r="G2004" s="389"/>
      <c r="T2004" s="384" t="str">
        <f>IFERROR(__xludf.DUMMYFUNCTION("""COMPUTED_VALUE"""),"Лисичка")</f>
        <v>Лисичка</v>
      </c>
      <c r="U2004" s="385"/>
      <c r="W2004" s="384" t="str">
        <f>IFERROR(__xludf.DUMMYFUNCTION("""COMPUTED_VALUE"""),"Правда ")</f>
        <v>Правда </v>
      </c>
      <c r="X2004" s="385"/>
    </row>
    <row r="2005">
      <c r="A2005" s="384" t="s">
        <v>113</v>
      </c>
      <c r="B2005" s="384" t="s">
        <v>261</v>
      </c>
      <c r="C2005" s="389">
        <v>2.5</v>
      </c>
      <c r="D2005" s="389">
        <v>2.5</v>
      </c>
      <c r="E2005" s="384" t="s">
        <v>11</v>
      </c>
      <c r="F2005" s="389"/>
      <c r="G2005" s="389">
        <v>0.5</v>
      </c>
      <c r="T2005" s="384" t="str">
        <f>IFERROR(__xludf.DUMMYFUNCTION("""COMPUTED_VALUE"""),"Маваши")</f>
        <v>Маваши</v>
      </c>
      <c r="U2005" s="385"/>
      <c r="W2005" s="384" t="str">
        <f>IFERROR(__xludf.DUMMYFUNCTION("""COMPUTED_VALUE"""),"Продюсер")</f>
        <v>Продюсер</v>
      </c>
      <c r="X2005" s="385"/>
    </row>
    <row r="2006">
      <c r="A2006" s="384" t="s">
        <v>84</v>
      </c>
      <c r="B2006" s="384" t="s">
        <v>269</v>
      </c>
      <c r="C2006" s="389"/>
      <c r="D2006" s="389">
        <v>2.5</v>
      </c>
      <c r="E2006" s="384" t="s">
        <v>263</v>
      </c>
      <c r="F2006" s="389"/>
      <c r="G2006" s="389"/>
      <c r="T2006" s="384" t="str">
        <f>IFERROR(__xludf.DUMMYFUNCTION("""COMPUTED_VALUE"""),"Манекен")</f>
        <v>Манекен</v>
      </c>
      <c r="U2006" s="385"/>
      <c r="W2006" s="384" t="str">
        <f>IFERROR(__xludf.DUMMYFUNCTION("""COMPUTED_VALUE"""),"РФ")</f>
        <v>РФ</v>
      </c>
      <c r="X2006" s="385"/>
    </row>
    <row r="2007">
      <c r="A2007" s="384" t="s">
        <v>133</v>
      </c>
      <c r="B2007" s="384" t="s">
        <v>261</v>
      </c>
      <c r="C2007" s="389">
        <v>2.5</v>
      </c>
      <c r="D2007" s="389">
        <v>3.5</v>
      </c>
      <c r="E2007" s="384" t="s">
        <v>260</v>
      </c>
      <c r="F2007" s="389"/>
      <c r="G2007" s="389"/>
      <c r="T2007" s="384" t="str">
        <f>IFERROR(__xludf.DUMMYFUNCTION("""COMPUTED_VALUE"""),"Марго")</f>
        <v>Марго</v>
      </c>
      <c r="U2007" s="385"/>
      <c r="W2007" s="384" t="str">
        <f>IFERROR(__xludf.DUMMYFUNCTION("""COMPUTED_VALUE"""),"Старый")</f>
        <v>Старый</v>
      </c>
      <c r="X2007" s="385"/>
    </row>
    <row r="2008">
      <c r="A2008" s="384" t="s">
        <v>112</v>
      </c>
      <c r="B2008" s="384" t="s">
        <v>261</v>
      </c>
      <c r="C2008" s="389">
        <v>2.5</v>
      </c>
      <c r="D2008" s="389">
        <v>2.5</v>
      </c>
      <c r="E2008" s="384"/>
      <c r="F2008" s="389"/>
      <c r="G2008" s="389"/>
      <c r="T2008" s="384" t="str">
        <f>IFERROR(__xludf.DUMMYFUNCTION("""COMPUTED_VALUE"""),"Ментик")</f>
        <v>Ментик</v>
      </c>
      <c r="U2008" s="385"/>
      <c r="W2008" s="384" t="str">
        <f>IFERROR(__xludf.DUMMYFUNCTION("""COMPUTED_VALUE"""),"Coach")</f>
        <v>Coach</v>
      </c>
      <c r="X2008" s="385"/>
    </row>
    <row r="2009">
      <c r="A2009" s="384" t="s">
        <v>120</v>
      </c>
      <c r="B2009" s="384" t="s">
        <v>261</v>
      </c>
      <c r="C2009" s="389">
        <v>2.5</v>
      </c>
      <c r="D2009" s="389">
        <v>2.25</v>
      </c>
      <c r="E2009" s="384"/>
      <c r="F2009" s="389"/>
      <c r="G2009" s="389"/>
      <c r="T2009" s="384" t="str">
        <f>IFERROR(__xludf.DUMMYFUNCTION("""COMPUTED_VALUE"""),"Мишель ")</f>
        <v>Мишель </v>
      </c>
      <c r="U2009" s="385"/>
      <c r="W2009" s="384" t="str">
        <f>IFERROR(__xludf.DUMMYFUNCTION("""COMPUTED_VALUE"""),"Тихий закат")</f>
        <v>Тихий закат</v>
      </c>
      <c r="X2009" s="385"/>
    </row>
    <row r="2010">
      <c r="A2010" s="384" t="s">
        <v>119</v>
      </c>
      <c r="B2010" s="384" t="s">
        <v>261</v>
      </c>
      <c r="C2010" s="389">
        <v>2.5</v>
      </c>
      <c r="D2010" s="389">
        <v>3.0</v>
      </c>
      <c r="E2010" s="384"/>
      <c r="F2010" s="389"/>
      <c r="G2010" s="389"/>
      <c r="T2010" s="384" t="str">
        <f>IFERROR(__xludf.DUMMYFUNCTION("""COMPUTED_VALUE"""),"Наполеон")</f>
        <v>Наполеон</v>
      </c>
      <c r="U2010" s="385"/>
      <c r="W2010" s="384" t="str">
        <f>IFERROR(__xludf.DUMMYFUNCTION("""COMPUTED_VALUE"""),"Флэш")</f>
        <v>Флэш</v>
      </c>
      <c r="X2010" s="385"/>
    </row>
    <row r="2011">
      <c r="A2011" s="384" t="s">
        <v>134</v>
      </c>
      <c r="B2011" s="384" t="s">
        <v>265</v>
      </c>
      <c r="C2011" s="389"/>
      <c r="D2011" s="389">
        <v>1.0</v>
      </c>
      <c r="E2011" s="384"/>
      <c r="F2011" s="389"/>
      <c r="G2011" s="389"/>
      <c r="T2011" s="384" t="str">
        <f>IFERROR(__xludf.DUMMYFUNCTION("""COMPUTED_VALUE"""),"Панда из Руанды")</f>
        <v>Панда из Руанды</v>
      </c>
      <c r="U2011" s="385"/>
      <c r="W2011" s="384" t="str">
        <f>IFERROR(__xludf.DUMMYFUNCTION("""COMPUTED_VALUE"""),"Фокс")</f>
        <v>Фокс</v>
      </c>
      <c r="X2011" s="385"/>
    </row>
    <row r="2012">
      <c r="A2012" s="384" t="s">
        <v>126</v>
      </c>
      <c r="B2012" s="384" t="s">
        <v>269</v>
      </c>
      <c r="C2012" s="389"/>
      <c r="D2012" s="389">
        <v>2.25</v>
      </c>
      <c r="E2012" s="384"/>
      <c r="F2012" s="389"/>
      <c r="G2012" s="389"/>
      <c r="T2012" s="384" t="str">
        <f>IFERROR(__xludf.DUMMYFUNCTION("""COMPUTED_VALUE"""),"Писатель ")</f>
        <v>Писатель </v>
      </c>
      <c r="U2012" s="385"/>
      <c r="W2012" s="384" t="str">
        <f>IFERROR(__xludf.DUMMYFUNCTION("""COMPUTED_VALUE"""),"Шоу Бой")</f>
        <v>Шоу Бой</v>
      </c>
      <c r="X2012" s="385"/>
    </row>
    <row r="2013">
      <c r="A2013" s="384" t="s">
        <v>281</v>
      </c>
      <c r="B2013" s="384" t="s">
        <v>261</v>
      </c>
      <c r="C2013" s="389">
        <v>2.5</v>
      </c>
      <c r="D2013" s="389">
        <v>3.5</v>
      </c>
      <c r="E2013" s="384" t="s">
        <v>260</v>
      </c>
      <c r="F2013" s="389"/>
      <c r="G2013" s="389"/>
      <c r="T2013" s="384" t="str">
        <f>IFERROR(__xludf.DUMMYFUNCTION("""COMPUTED_VALUE"""),"РФ")</f>
        <v>РФ</v>
      </c>
      <c r="U2013" s="385"/>
      <c r="W2013" s="384" t="str">
        <f>IFERROR(__xludf.DUMMYFUNCTION("""COMPUTED_VALUE"""),"Шпиц")</f>
        <v>Шпиц</v>
      </c>
      <c r="X2013" s="385"/>
    </row>
    <row r="2014">
      <c r="A2014" s="384" t="s">
        <v>95</v>
      </c>
      <c r="B2014" s="384" t="s">
        <v>261</v>
      </c>
      <c r="C2014" s="389">
        <v>2.5</v>
      </c>
      <c r="D2014" s="389">
        <v>3.25</v>
      </c>
      <c r="E2014" s="384"/>
      <c r="F2014" s="389"/>
      <c r="G2014" s="389"/>
      <c r="T2014" s="384" t="str">
        <f>IFERROR(__xludf.DUMMYFUNCTION("""COMPUTED_VALUE"""),"Старый")</f>
        <v>Старый</v>
      </c>
      <c r="U2014" s="385"/>
      <c r="W2014" s="384" t="str">
        <f>IFERROR(__xludf.DUMMYFUNCTION("""COMPUTED_VALUE"""),"Юрия")</f>
        <v>Юрия</v>
      </c>
      <c r="X2014" s="385"/>
    </row>
    <row r="2015">
      <c r="A2015" s="384" t="s">
        <v>113</v>
      </c>
      <c r="B2015" s="384" t="s">
        <v>269</v>
      </c>
      <c r="C2015" s="389"/>
      <c r="D2015" s="389">
        <v>2.75</v>
      </c>
      <c r="E2015" s="384" t="s">
        <v>263</v>
      </c>
      <c r="F2015" s="389"/>
      <c r="G2015" s="389"/>
      <c r="T2015" s="384" t="str">
        <f>IFERROR(__xludf.DUMMYFUNCTION("""COMPUTED_VALUE"""),"СЭНСЭЙ")</f>
        <v>СЭНСЭЙ</v>
      </c>
      <c r="U2015" s="385"/>
      <c r="W2015" s="384" t="str">
        <f>IFERROR(__xludf.DUMMYFUNCTION("""COMPUTED_VALUE"""),"A1 ")</f>
        <v>A1 </v>
      </c>
      <c r="X2015" s="385"/>
    </row>
    <row r="2016">
      <c r="A2016" s="384" t="s">
        <v>84</v>
      </c>
      <c r="B2016" s="384" t="s">
        <v>261</v>
      </c>
      <c r="C2016" s="389">
        <v>2.5</v>
      </c>
      <c r="D2016" s="389">
        <v>2.75</v>
      </c>
      <c r="E2016" s="384" t="s">
        <v>11</v>
      </c>
      <c r="F2016" s="389">
        <v>0.5</v>
      </c>
      <c r="G2016" s="389">
        <v>0.5</v>
      </c>
      <c r="T2016" s="384" t="str">
        <f>IFERROR(__xludf.DUMMYFUNCTION("""COMPUTED_VALUE"""),"Coach")</f>
        <v>Coach</v>
      </c>
      <c r="U2016" s="385"/>
      <c r="W2016" s="384" t="str">
        <f>IFERROR(__xludf.DUMMYFUNCTION("""COMPUTED_VALUE"""),"Bublik")</f>
        <v>Bublik</v>
      </c>
      <c r="X2016" s="385"/>
    </row>
    <row r="2017">
      <c r="A2017" s="384" t="s">
        <v>133</v>
      </c>
      <c r="B2017" s="384" t="s">
        <v>271</v>
      </c>
      <c r="C2017" s="389">
        <v>2.5</v>
      </c>
      <c r="D2017" s="389">
        <v>3.25</v>
      </c>
      <c r="E2017" s="384"/>
      <c r="F2017" s="389"/>
      <c r="G2017" s="389"/>
      <c r="T2017" s="384" t="str">
        <f>IFERROR(__xludf.DUMMYFUNCTION("""COMPUTED_VALUE"""),"Тихий закат")</f>
        <v>Тихий закат</v>
      </c>
      <c r="U2017" s="385"/>
      <c r="W2017" s="384" t="str">
        <f>IFERROR(__xludf.DUMMYFUNCTION("""COMPUTED_VALUE"""),"BWDMoscow")</f>
        <v>BWDMoscow</v>
      </c>
      <c r="X2017" s="385"/>
    </row>
    <row r="2018">
      <c r="A2018" s="384" t="s">
        <v>112</v>
      </c>
      <c r="B2018" s="384" t="s">
        <v>261</v>
      </c>
      <c r="C2018" s="389">
        <v>2.5</v>
      </c>
      <c r="D2018" s="389">
        <v>2.0</v>
      </c>
      <c r="E2018" s="384"/>
      <c r="F2018" s="389"/>
      <c r="G2018" s="389"/>
      <c r="T2018" s="384" t="str">
        <f>IFERROR(__xludf.DUMMYFUNCTION("""COMPUTED_VALUE"""),"Физик")</f>
        <v>Физик</v>
      </c>
      <c r="U2018" s="385"/>
      <c r="W2018" s="384" t="str">
        <f>IFERROR(__xludf.DUMMYFUNCTION("""COMPUTED_VALUE"""),"Castor Troy ")</f>
        <v>Castor Troy </v>
      </c>
      <c r="X2018" s="385"/>
    </row>
    <row r="2019">
      <c r="A2019" s="384" t="s">
        <v>120</v>
      </c>
      <c r="B2019" s="384" t="s">
        <v>261</v>
      </c>
      <c r="C2019" s="389">
        <v>2.5</v>
      </c>
      <c r="D2019" s="389">
        <v>2.75</v>
      </c>
      <c r="E2019" s="384"/>
      <c r="F2019" s="389"/>
      <c r="G2019" s="389"/>
      <c r="T2019" s="384" t="str">
        <f>IFERROR(__xludf.DUMMYFUNCTION("""COMPUTED_VALUE"""),"Флэш")</f>
        <v>Флэш</v>
      </c>
      <c r="U2019" s="385"/>
      <c r="W2019" s="384" t="str">
        <f>IFERROR(__xludf.DUMMYFUNCTION("""COMPUTED_VALUE"""),"Cristo")</f>
        <v>Cristo</v>
      </c>
      <c r="X2019" s="385"/>
    </row>
    <row r="2020">
      <c r="A2020" s="384" t="s">
        <v>119</v>
      </c>
      <c r="B2020" s="384" t="s">
        <v>265</v>
      </c>
      <c r="C2020" s="389"/>
      <c r="D2020" s="389">
        <v>1.25</v>
      </c>
      <c r="E2020" s="384"/>
      <c r="F2020" s="389"/>
      <c r="G2020" s="389"/>
      <c r="T2020" s="384" t="str">
        <f>IFERROR(__xludf.DUMMYFUNCTION("""COMPUTED_VALUE"""),"Фокс")</f>
        <v>Фокс</v>
      </c>
      <c r="U2020" s="385"/>
      <c r="W2020" s="384" t="str">
        <f>IFERROR(__xludf.DUMMYFUNCTION("""COMPUTED_VALUE"""),"Curly")</f>
        <v>Curly</v>
      </c>
      <c r="X2020" s="385"/>
    </row>
    <row r="2021">
      <c r="A2021" s="384" t="s">
        <v>134</v>
      </c>
      <c r="B2021" s="384" t="s">
        <v>261</v>
      </c>
      <c r="C2021" s="389">
        <v>2.5</v>
      </c>
      <c r="D2021" s="389">
        <v>3.25</v>
      </c>
      <c r="E2021" s="384" t="s">
        <v>260</v>
      </c>
      <c r="F2021" s="389"/>
      <c r="G2021" s="389"/>
      <c r="T2021" s="384" t="str">
        <f>IFERROR(__xludf.DUMMYFUNCTION("""COMPUTED_VALUE"""),"Шпиц")</f>
        <v>Шпиц</v>
      </c>
      <c r="U2021" s="385"/>
      <c r="W2021" s="384" t="str">
        <f>IFERROR(__xludf.DUMMYFUNCTION("""COMPUTED_VALUE"""),"Helga")</f>
        <v>Helga</v>
      </c>
      <c r="X2021" s="385"/>
    </row>
    <row r="2022">
      <c r="A2022" s="384" t="s">
        <v>126</v>
      </c>
      <c r="B2022" s="384" t="s">
        <v>269</v>
      </c>
      <c r="C2022" s="389"/>
      <c r="D2022" s="389">
        <v>2.25</v>
      </c>
      <c r="E2022" s="384"/>
      <c r="F2022" s="389"/>
      <c r="G2022" s="389"/>
      <c r="T2022" s="384" t="str">
        <f>IFERROR(__xludf.DUMMYFUNCTION("""COMPUTED_VALUE"""),"Юрия")</f>
        <v>Юрия</v>
      </c>
      <c r="U2022" s="385"/>
      <c r="W2022" s="384" t="str">
        <f>IFERROR(__xludf.DUMMYFUNCTION("""COMPUTED_VALUE"""),"Infinity ")</f>
        <v>Infinity </v>
      </c>
      <c r="X2022" s="385"/>
    </row>
    <row r="2023">
      <c r="A2023" s="384" t="s">
        <v>281</v>
      </c>
      <c r="B2023" s="384" t="s">
        <v>269</v>
      </c>
      <c r="C2023" s="389">
        <v>2.5</v>
      </c>
      <c r="D2023" s="389">
        <v>2.75</v>
      </c>
      <c r="E2023" s="384"/>
      <c r="F2023" s="389"/>
      <c r="G2023" s="389"/>
      <c r="T2023" s="384" t="str">
        <f>IFERROR(__xludf.DUMMYFUNCTION("""COMPUTED_VALUE"""),"A1 ")</f>
        <v>A1 </v>
      </c>
      <c r="U2023" s="385"/>
      <c r="W2023" s="384" t="str">
        <f>IFERROR(__xludf.DUMMYFUNCTION("""COMPUTED_VALUE"""),"Light")</f>
        <v>Light</v>
      </c>
      <c r="X2023" s="385"/>
    </row>
    <row r="2024">
      <c r="A2024" s="384" t="s">
        <v>95</v>
      </c>
      <c r="B2024" s="384" t="s">
        <v>261</v>
      </c>
      <c r="C2024" s="389"/>
      <c r="D2024" s="389">
        <v>2.25</v>
      </c>
      <c r="E2024" s="384"/>
      <c r="F2024" s="389"/>
      <c r="G2024" s="389"/>
      <c r="T2024" s="384" t="str">
        <f>IFERROR(__xludf.DUMMYFUNCTION("""COMPUTED_VALUE"""),"Alice ")</f>
        <v>Alice </v>
      </c>
      <c r="U2024" s="385"/>
      <c r="W2024" s="384" t="str">
        <f>IFERROR(__xludf.DUMMYFUNCTION("""COMPUTED_VALUE"""),"Morti")</f>
        <v>Morti</v>
      </c>
      <c r="X2024" s="385"/>
    </row>
    <row r="2025">
      <c r="A2025" s="384" t="s">
        <v>113</v>
      </c>
      <c r="B2025" s="384" t="s">
        <v>265</v>
      </c>
      <c r="C2025" s="389">
        <v>2.5</v>
      </c>
      <c r="D2025" s="389">
        <v>4.0</v>
      </c>
      <c r="E2025" s="384"/>
      <c r="F2025" s="389"/>
      <c r="G2025" s="389"/>
      <c r="T2025" s="384" t="str">
        <f>IFERROR(__xludf.DUMMYFUNCTION("""COMPUTED_VALUE"""),"Bublik")</f>
        <v>Bublik</v>
      </c>
      <c r="U2025" s="385"/>
      <c r="W2025" s="384" t="str">
        <f>IFERROR(__xludf.DUMMYFUNCTION("""COMPUTED_VALUE"""),"MSR")</f>
        <v>MSR</v>
      </c>
      <c r="X2025" s="385"/>
    </row>
    <row r="2026">
      <c r="A2026" s="384" t="s">
        <v>84</v>
      </c>
      <c r="B2026" s="384" t="s">
        <v>261</v>
      </c>
      <c r="C2026" s="389"/>
      <c r="D2026" s="389">
        <v>2.0</v>
      </c>
      <c r="E2026" s="384"/>
      <c r="F2026" s="389"/>
      <c r="G2026" s="389"/>
      <c r="T2026" s="384" t="str">
        <f>IFERROR(__xludf.DUMMYFUNCTION("""COMPUTED_VALUE"""),"BWDMoscow")</f>
        <v>BWDMoscow</v>
      </c>
      <c r="U2026" s="385"/>
      <c r="W2026" s="384" t="str">
        <f>IFERROR(__xludf.DUMMYFUNCTION("""COMPUTED_VALUE"""),"NLIP")</f>
        <v>NLIP</v>
      </c>
      <c r="X2026" s="385"/>
    </row>
    <row r="2027">
      <c r="A2027" s="384" t="s">
        <v>133</v>
      </c>
      <c r="B2027" s="384" t="s">
        <v>261</v>
      </c>
      <c r="C2027" s="389"/>
      <c r="D2027" s="389">
        <v>2.0</v>
      </c>
      <c r="E2027" s="384"/>
      <c r="F2027" s="389"/>
      <c r="G2027" s="389"/>
      <c r="T2027" s="384" t="str">
        <f>IFERROR(__xludf.DUMMYFUNCTION("""COMPUTED_VALUE"""),"Cristo")</f>
        <v>Cristo</v>
      </c>
      <c r="U2027" s="385"/>
      <c r="W2027" s="384" t="str">
        <f>IFERROR(__xludf.DUMMYFUNCTION("""COMPUTED_VALUE"""),"Rocket woman ")</f>
        <v>Rocket woman </v>
      </c>
      <c r="X2027" s="385"/>
    </row>
    <row r="2028">
      <c r="A2028" s="384" t="s">
        <v>112</v>
      </c>
      <c r="B2028" s="384" t="s">
        <v>271</v>
      </c>
      <c r="C2028" s="389"/>
      <c r="D2028" s="389">
        <v>2.25</v>
      </c>
      <c r="E2028" s="384" t="s">
        <v>11</v>
      </c>
      <c r="F2028" s="389"/>
      <c r="G2028" s="389">
        <v>0.5</v>
      </c>
      <c r="T2028" s="384" t="str">
        <f>IFERROR(__xludf.DUMMYFUNCTION("""COMPUTED_VALUE"""),"Curly")</f>
        <v>Curly</v>
      </c>
      <c r="U2028" s="385"/>
      <c r="W2028" s="384" t="str">
        <f>IFERROR(__xludf.DUMMYFUNCTION("""COMPUTED_VALUE"""),"SCHOKK ")</f>
        <v>SCHOKK </v>
      </c>
      <c r="X2028" s="385"/>
    </row>
    <row r="2029">
      <c r="A2029" s="384" t="s">
        <v>120</v>
      </c>
      <c r="B2029" s="384" t="s">
        <v>261</v>
      </c>
      <c r="C2029" s="389"/>
      <c r="D2029" s="389">
        <v>2.25</v>
      </c>
      <c r="E2029" s="384"/>
      <c r="F2029" s="389"/>
      <c r="G2029" s="389"/>
      <c r="T2029" s="384" t="str">
        <f>IFERROR(__xludf.DUMMYFUNCTION("""COMPUTED_VALUE"""),"GALAY")</f>
        <v>GALAY</v>
      </c>
      <c r="U2029" s="385"/>
      <c r="W2029" s="384" t="str">
        <f>IFERROR(__xludf.DUMMYFUNCTION("""COMPUTED_VALUE"""),"SOVEST")</f>
        <v>SOVEST</v>
      </c>
      <c r="X2029" s="385"/>
    </row>
    <row r="2030">
      <c r="A2030" s="384" t="s">
        <v>119</v>
      </c>
      <c r="B2030" s="384" t="s">
        <v>269</v>
      </c>
      <c r="C2030" s="389">
        <v>2.5</v>
      </c>
      <c r="D2030" s="389">
        <v>3.75</v>
      </c>
      <c r="E2030" s="384"/>
      <c r="F2030" s="389"/>
      <c r="G2030" s="389"/>
      <c r="T2030" s="384" t="str">
        <f>IFERROR(__xludf.DUMMYFUNCTION("""COMPUTED_VALUE"""),"Helga")</f>
        <v>Helga</v>
      </c>
      <c r="U2030" s="385"/>
      <c r="W2030" s="384" t="str">
        <f>IFERROR(__xludf.DUMMYFUNCTION("""COMPUTED_VALUE"""),"Stacy")</f>
        <v>Stacy</v>
      </c>
      <c r="X2030" s="385"/>
    </row>
    <row r="2031">
      <c r="A2031" s="384" t="s">
        <v>134</v>
      </c>
      <c r="B2031" s="384" t="s">
        <v>261</v>
      </c>
      <c r="C2031" s="389"/>
      <c r="D2031" s="389">
        <v>2.0</v>
      </c>
      <c r="E2031" s="384"/>
      <c r="F2031" s="389"/>
      <c r="G2031" s="389"/>
      <c r="T2031" s="384" t="str">
        <f>IFERROR(__xludf.DUMMYFUNCTION("""COMPUTED_VALUE"""),"Infinity ")</f>
        <v>Infinity </v>
      </c>
      <c r="U2031" s="385"/>
      <c r="W2031" s="384" t="str">
        <f>IFERROR(__xludf.DUMMYFUNCTION("""COMPUTED_VALUE"""),"Young")</f>
        <v>Young</v>
      </c>
      <c r="X2031" s="385"/>
    </row>
    <row r="2032">
      <c r="A2032" s="384" t="s">
        <v>126</v>
      </c>
      <c r="B2032" s="384" t="s">
        <v>261</v>
      </c>
      <c r="C2032" s="389"/>
      <c r="D2032" s="389">
        <v>2.5</v>
      </c>
      <c r="E2032" s="384"/>
      <c r="F2032" s="389"/>
      <c r="G2032" s="389"/>
      <c r="T2032" s="384" t="str">
        <f>IFERROR(__xludf.DUMMYFUNCTION("""COMPUTED_VALUE"""),"Ketamin")</f>
        <v>Ketamin</v>
      </c>
      <c r="U2032" s="385"/>
      <c r="W2032" s="384" t="str">
        <f>IFERROR(__xludf.DUMMYFUNCTION("""COMPUTED_VALUE"""),"Авраам")</f>
        <v>Авраам</v>
      </c>
      <c r="X2032" s="385"/>
    </row>
    <row r="2033">
      <c r="A2033" s="384" t="s">
        <v>281</v>
      </c>
      <c r="B2033" s="384" t="s">
        <v>261</v>
      </c>
      <c r="C2033" s="389">
        <v>2.5</v>
      </c>
      <c r="D2033" s="389">
        <v>2.5</v>
      </c>
      <c r="E2033" s="384" t="s">
        <v>11</v>
      </c>
      <c r="F2033" s="389"/>
      <c r="G2033" s="389">
        <v>0.5</v>
      </c>
      <c r="T2033" s="384" t="str">
        <f>IFERROR(__xludf.DUMMYFUNCTION("""COMPUTED_VALUE"""),"Light")</f>
        <v>Light</v>
      </c>
      <c r="U2033" s="385"/>
      <c r="W2033" s="384" t="str">
        <f>IFERROR(__xludf.DUMMYFUNCTION("""COMPUTED_VALUE"""),"Андерсен")</f>
        <v>Андерсен</v>
      </c>
      <c r="X2033" s="385"/>
    </row>
    <row r="2034">
      <c r="A2034" s="384" t="s">
        <v>95</v>
      </c>
      <c r="B2034" s="384" t="s">
        <v>261</v>
      </c>
      <c r="C2034" s="389">
        <v>2.5</v>
      </c>
      <c r="D2034" s="389">
        <v>4.0</v>
      </c>
      <c r="E2034" s="384"/>
      <c r="F2034" s="389"/>
      <c r="G2034" s="389"/>
      <c r="T2034" s="384" t="str">
        <f>IFERROR(__xludf.DUMMYFUNCTION("""COMPUTED_VALUE"""),"Morti")</f>
        <v>Morti</v>
      </c>
      <c r="U2034" s="385"/>
      <c r="W2034" s="384" t="str">
        <f>IFERROR(__xludf.DUMMYFUNCTION("""COMPUTED_VALUE"""),"Артик")</f>
        <v>Артик</v>
      </c>
      <c r="X2034" s="385"/>
    </row>
    <row r="2035">
      <c r="A2035" s="384" t="s">
        <v>113</v>
      </c>
      <c r="B2035" s="384" t="s">
        <v>265</v>
      </c>
      <c r="C2035" s="389"/>
      <c r="D2035" s="389">
        <v>3.0</v>
      </c>
      <c r="E2035" s="384"/>
      <c r="F2035" s="389"/>
      <c r="G2035" s="389"/>
      <c r="T2035" s="384" t="str">
        <f>IFERROR(__xludf.DUMMYFUNCTION("""COMPUTED_VALUE"""),"MSR")</f>
        <v>MSR</v>
      </c>
      <c r="U2035" s="385"/>
      <c r="W2035" s="384" t="str">
        <f>IFERROR(__xludf.DUMMYFUNCTION("""COMPUTED_VALUE"""),"Астория")</f>
        <v>Астория</v>
      </c>
      <c r="X2035" s="385"/>
    </row>
    <row r="2036">
      <c r="A2036" s="384" t="s">
        <v>84</v>
      </c>
      <c r="B2036" s="384" t="s">
        <v>261</v>
      </c>
      <c r="C2036" s="389">
        <v>2.5</v>
      </c>
      <c r="D2036" s="389">
        <v>3.5</v>
      </c>
      <c r="E2036" s="384"/>
      <c r="F2036" s="389"/>
      <c r="G2036" s="389"/>
      <c r="T2036" s="384" t="str">
        <f>IFERROR(__xludf.DUMMYFUNCTION("""COMPUTED_VALUE"""),"NLIP")</f>
        <v>NLIP</v>
      </c>
      <c r="U2036" s="385"/>
      <c r="W2036" s="384" t="str">
        <f>IFERROR(__xludf.DUMMYFUNCTION("""COMPUTED_VALUE"""),"Аш")</f>
        <v>Аш</v>
      </c>
      <c r="X2036" s="385"/>
    </row>
    <row r="2037">
      <c r="A2037" s="384" t="s">
        <v>133</v>
      </c>
      <c r="B2037" s="384" t="s">
        <v>269</v>
      </c>
      <c r="C2037" s="389"/>
      <c r="D2037" s="389">
        <v>2.5</v>
      </c>
      <c r="E2037" s="384"/>
      <c r="F2037" s="389"/>
      <c r="G2037" s="389"/>
      <c r="T2037" s="384" t="str">
        <f>IFERROR(__xludf.DUMMYFUNCTION("""COMPUTED_VALUE"""),"SCHOKK ")</f>
        <v>SCHOKK </v>
      </c>
      <c r="U2037" s="385"/>
      <c r="W2037" s="384" t="str">
        <f>IFERROR(__xludf.DUMMYFUNCTION("""COMPUTED_VALUE"""),"Бамблби")</f>
        <v>Бамблби</v>
      </c>
      <c r="X2037" s="385"/>
    </row>
    <row r="2038">
      <c r="A2038" s="384" t="s">
        <v>112</v>
      </c>
      <c r="B2038" s="384" t="s">
        <v>261</v>
      </c>
      <c r="C2038" s="389">
        <v>2.5</v>
      </c>
      <c r="D2038" s="389">
        <v>1.5</v>
      </c>
      <c r="E2038" s="384"/>
      <c r="F2038" s="389"/>
      <c r="G2038" s="389"/>
      <c r="T2038" s="384" t="str">
        <f>IFERROR(__xludf.DUMMYFUNCTION("""COMPUTED_VALUE"""),"SOVEST")</f>
        <v>SOVEST</v>
      </c>
      <c r="U2038" s="385"/>
      <c r="W2038" s="384" t="str">
        <f>IFERROR(__xludf.DUMMYFUNCTION("""COMPUTED_VALUE"""),"Волга")</f>
        <v>Волга</v>
      </c>
      <c r="X2038" s="385"/>
    </row>
    <row r="2039">
      <c r="A2039" s="384" t="s">
        <v>120</v>
      </c>
      <c r="B2039" s="384" t="s">
        <v>269</v>
      </c>
      <c r="C2039" s="389"/>
      <c r="D2039" s="389">
        <v>2.25</v>
      </c>
      <c r="E2039" s="384"/>
      <c r="F2039" s="389"/>
      <c r="G2039" s="389"/>
      <c r="T2039" s="384" t="str">
        <f>IFERROR(__xludf.DUMMYFUNCTION("""COMPUTED_VALUE"""),"Stacy")</f>
        <v>Stacy</v>
      </c>
      <c r="U2039" s="385"/>
      <c r="W2039" s="384" t="str">
        <f>IFERROR(__xludf.DUMMYFUNCTION("""COMPUTED_VALUE"""),"Дровосек")</f>
        <v>Дровосек</v>
      </c>
      <c r="X2039" s="385"/>
    </row>
    <row r="2040">
      <c r="A2040" s="384" t="s">
        <v>119</v>
      </c>
      <c r="B2040" s="384" t="s">
        <v>271</v>
      </c>
      <c r="C2040" s="389">
        <v>2.5</v>
      </c>
      <c r="D2040" s="389">
        <v>2.5</v>
      </c>
      <c r="E2040" s="384"/>
      <c r="F2040" s="389"/>
      <c r="G2040" s="389"/>
      <c r="T2040" s="384" t="str">
        <f>IFERROR(__xludf.DUMMYFUNCTION("""COMPUTED_VALUE"""),"WhoIsWho")</f>
        <v>WhoIsWho</v>
      </c>
      <c r="U2040" s="385"/>
      <c r="W2040" s="384" t="str">
        <f>IFERROR(__xludf.DUMMYFUNCTION("""COMPUTED_VALUE"""),"Зверюга")</f>
        <v>Зверюга</v>
      </c>
      <c r="X2040" s="385"/>
    </row>
    <row r="2041">
      <c r="A2041" s="384" t="s">
        <v>134</v>
      </c>
      <c r="B2041" s="384" t="s">
        <v>261</v>
      </c>
      <c r="C2041" s="389">
        <v>2.5</v>
      </c>
      <c r="D2041" s="389">
        <v>2.75</v>
      </c>
      <c r="E2041" s="384"/>
      <c r="F2041" s="389"/>
      <c r="G2041" s="389"/>
      <c r="T2041" s="384" t="str">
        <f>IFERROR(__xludf.DUMMYFUNCTION("""COMPUTED_VALUE"""),"Young")</f>
        <v>Young</v>
      </c>
      <c r="U2041" s="385"/>
      <c r="W2041" s="384" t="str">
        <f>IFERROR(__xludf.DUMMYFUNCTION("""COMPUTED_VALUE"""),"Инсомнич")</f>
        <v>Инсомнич</v>
      </c>
      <c r="X2041" s="385"/>
    </row>
    <row r="2042">
      <c r="A2042" s="384" t="s">
        <v>126</v>
      </c>
      <c r="B2042" s="384" t="s">
        <v>261</v>
      </c>
      <c r="C2042" s="389">
        <v>2.5</v>
      </c>
      <c r="D2042" s="389">
        <v>3.75</v>
      </c>
      <c r="E2042" s="384"/>
      <c r="F2042" s="389"/>
      <c r="G2042" s="389"/>
      <c r="T2042" s="384" t="str">
        <f>IFERROR(__xludf.DUMMYFUNCTION("QUERY('Турнирная таблица по Алфавиту'!C7:BG66,""select C,BB order by BB desc"")"),"Крёстный Отец (RU)")</f>
        <v>Крёстный Отец (RU)</v>
      </c>
      <c r="U2042" s="385">
        <f>IFERROR(__xludf.DUMMYFUNCTION("""COMPUTED_VALUE"""),30.5)</f>
        <v>30.5</v>
      </c>
      <c r="W2042" s="384" t="str">
        <f>IFERROR(__xludf.DUMMYFUNCTION("""COMPUTED_VALUE"""),"Красавчик")</f>
        <v>Красавчик</v>
      </c>
      <c r="X2042" s="385"/>
    </row>
    <row r="2043">
      <c r="A2043" s="384" t="s">
        <v>281</v>
      </c>
      <c r="B2043" s="384" t="s">
        <v>261</v>
      </c>
      <c r="C2043" s="389">
        <v>2.5</v>
      </c>
      <c r="D2043" s="389">
        <v>3.25</v>
      </c>
      <c r="E2043" s="384"/>
      <c r="F2043" s="389"/>
      <c r="G2043" s="389"/>
      <c r="T2043" s="384" t="str">
        <f>IFERROR(__xludf.DUMMYFUNCTION("""COMPUTED_VALUE"""),"Шоу Бой")</f>
        <v>Шоу Бой</v>
      </c>
      <c r="U2043" s="385">
        <f>IFERROR(__xludf.DUMMYFUNCTION("""COMPUTED_VALUE"""),24.75)</f>
        <v>24.75</v>
      </c>
      <c r="W2043" s="384" t="str">
        <f>IFERROR(__xludf.DUMMYFUNCTION("""COMPUTED_VALUE"""),"Крестный отец (BLR)")</f>
        <v>Крестный отец (BLR)</v>
      </c>
      <c r="X2043" s="385"/>
    </row>
    <row r="2044">
      <c r="A2044" s="384" t="s">
        <v>95</v>
      </c>
      <c r="B2044" s="384" t="s">
        <v>261</v>
      </c>
      <c r="C2044" s="389">
        <v>2.5</v>
      </c>
      <c r="D2044" s="389">
        <v>3.75</v>
      </c>
      <c r="E2044" s="384" t="s">
        <v>11</v>
      </c>
      <c r="F2044" s="389">
        <v>0.5</v>
      </c>
      <c r="G2044" s="389">
        <v>0.5</v>
      </c>
      <c r="T2044" s="384" t="str">
        <f>IFERROR(__xludf.DUMMYFUNCTION("""COMPUTED_VALUE"""),"NLIP")</f>
        <v>NLIP</v>
      </c>
      <c r="U2044" s="385">
        <f>IFERROR(__xludf.DUMMYFUNCTION("""COMPUTED_VALUE"""),21.75)</f>
        <v>21.75</v>
      </c>
      <c r="W2044" s="384" t="str">
        <f>IFERROR(__xludf.DUMMYFUNCTION("""COMPUTED_VALUE"""),"Крёстный Отец (RU)")</f>
        <v>Крёстный Отец (RU)</v>
      </c>
      <c r="X2044" s="385"/>
    </row>
    <row r="2045">
      <c r="A2045" s="384" t="s">
        <v>113</v>
      </c>
      <c r="B2045" s="384" t="s">
        <v>261</v>
      </c>
      <c r="C2045" s="389">
        <v>2.5</v>
      </c>
      <c r="D2045" s="389">
        <v>4.0</v>
      </c>
      <c r="E2045" s="384"/>
      <c r="F2045" s="389"/>
      <c r="G2045" s="389"/>
      <c r="T2045" s="384" t="str">
        <f>IFERROR(__xludf.DUMMYFUNCTION("""COMPUTED_VALUE"""),"Панда из Руанды")</f>
        <v>Панда из Руанды</v>
      </c>
      <c r="U2045" s="385">
        <f>IFERROR(__xludf.DUMMYFUNCTION("""COMPUTED_VALUE"""),20.5)</f>
        <v>20.5</v>
      </c>
      <c r="W2045" s="384" t="str">
        <f>IFERROR(__xludf.DUMMYFUNCTION("""COMPUTED_VALUE"""),"Крот")</f>
        <v>Крот</v>
      </c>
      <c r="X2045" s="385"/>
    </row>
    <row r="2046">
      <c r="A2046" s="384" t="s">
        <v>84</v>
      </c>
      <c r="B2046" s="384" t="s">
        <v>261</v>
      </c>
      <c r="C2046" s="389">
        <v>2.5</v>
      </c>
      <c r="D2046" s="389">
        <v>2.5</v>
      </c>
      <c r="E2046" s="384"/>
      <c r="F2046" s="389"/>
      <c r="G2046" s="389"/>
      <c r="T2046" s="384" t="str">
        <f>IFERROR(__xludf.DUMMYFUNCTION("""COMPUTED_VALUE"""),"Infinity ")</f>
        <v>Infinity </v>
      </c>
      <c r="U2046" s="385">
        <f>IFERROR(__xludf.DUMMYFUNCTION("""COMPUTED_VALUE"""),19.25)</f>
        <v>19.25</v>
      </c>
      <c r="W2046" s="384" t="str">
        <f>IFERROR(__xludf.DUMMYFUNCTION("""COMPUTED_VALUE"""),"Левша")</f>
        <v>Левша</v>
      </c>
      <c r="X2046" s="385"/>
    </row>
    <row r="2047">
      <c r="A2047" s="384" t="s">
        <v>133</v>
      </c>
      <c r="B2047" s="384" t="s">
        <v>261</v>
      </c>
      <c r="C2047" s="389">
        <v>2.5</v>
      </c>
      <c r="D2047" s="389">
        <v>2.75</v>
      </c>
      <c r="E2047" s="384"/>
      <c r="F2047" s="389"/>
      <c r="G2047" s="389"/>
      <c r="T2047" s="384" t="str">
        <f>IFERROR(__xludf.DUMMYFUNCTION("""COMPUTED_VALUE"""),"Андерсен")</f>
        <v>Андерсен</v>
      </c>
      <c r="U2047" s="385">
        <f>IFERROR(__xludf.DUMMYFUNCTION("""COMPUTED_VALUE"""),18.75)</f>
        <v>18.75</v>
      </c>
      <c r="W2047" s="384" t="str">
        <f>IFERROR(__xludf.DUMMYFUNCTION("""COMPUTED_VALUE"""),"Лисичка")</f>
        <v>Лисичка</v>
      </c>
      <c r="X2047" s="385"/>
    </row>
    <row r="2048">
      <c r="A2048" s="384" t="s">
        <v>112</v>
      </c>
      <c r="B2048" s="384" t="s">
        <v>261</v>
      </c>
      <c r="C2048" s="389">
        <v>2.5</v>
      </c>
      <c r="D2048" s="389">
        <v>2.75</v>
      </c>
      <c r="E2048" s="384"/>
      <c r="F2048" s="389"/>
      <c r="G2048" s="389"/>
      <c r="T2048" s="384" t="str">
        <f>IFERROR(__xludf.DUMMYFUNCTION("""COMPUTED_VALUE"""),"Bublik")</f>
        <v>Bublik</v>
      </c>
      <c r="U2048" s="385">
        <f>IFERROR(__xludf.DUMMYFUNCTION("""COMPUTED_VALUE"""),17.0)</f>
        <v>17</v>
      </c>
      <c r="W2048" s="384" t="str">
        <f>IFERROR(__xludf.DUMMYFUNCTION("""COMPUTED_VALUE"""),"Маваши")</f>
        <v>Маваши</v>
      </c>
      <c r="X2048" s="385"/>
    </row>
    <row r="2049">
      <c r="A2049" s="384" t="s">
        <v>120</v>
      </c>
      <c r="B2049" s="384" t="s">
        <v>271</v>
      </c>
      <c r="C2049" s="389">
        <v>2.5</v>
      </c>
      <c r="D2049" s="389">
        <v>4.0</v>
      </c>
      <c r="E2049" s="384"/>
      <c r="F2049" s="389"/>
      <c r="G2049" s="389"/>
      <c r="T2049" s="384" t="str">
        <f>IFERROR(__xludf.DUMMYFUNCTION("""COMPUTED_VALUE"""),"Дровосек")</f>
        <v>Дровосек</v>
      </c>
      <c r="U2049" s="385">
        <f>IFERROR(__xludf.DUMMYFUNCTION("""COMPUTED_VALUE"""),16.5)</f>
        <v>16.5</v>
      </c>
      <c r="W2049" s="384" t="str">
        <f>IFERROR(__xludf.DUMMYFUNCTION("""COMPUTED_VALUE"""),"Манекен")</f>
        <v>Манекен</v>
      </c>
      <c r="X2049" s="385"/>
    </row>
    <row r="2050">
      <c r="A2050" s="384" t="s">
        <v>119</v>
      </c>
      <c r="B2050" s="384" t="s">
        <v>265</v>
      </c>
      <c r="C2050" s="389"/>
      <c r="D2050" s="389">
        <v>1.75</v>
      </c>
      <c r="E2050" s="384"/>
      <c r="F2050" s="389"/>
      <c r="G2050" s="389"/>
      <c r="T2050" s="384" t="str">
        <f>IFERROR(__xludf.DUMMYFUNCTION("""COMPUTED_VALUE"""),"Young")</f>
        <v>Young</v>
      </c>
      <c r="U2050" s="385">
        <f>IFERROR(__xludf.DUMMYFUNCTION("""COMPUTED_VALUE"""),14.0)</f>
        <v>14</v>
      </c>
      <c r="W2050" s="384" t="str">
        <f>IFERROR(__xludf.DUMMYFUNCTION("""COMPUTED_VALUE"""),"Марго")</f>
        <v>Марго</v>
      </c>
      <c r="X2050" s="385"/>
    </row>
    <row r="2051">
      <c r="A2051" s="384" t="s">
        <v>134</v>
      </c>
      <c r="B2051" s="384" t="s">
        <v>269</v>
      </c>
      <c r="C2051" s="389"/>
      <c r="D2051" s="389">
        <v>1.75</v>
      </c>
      <c r="E2051" s="384"/>
      <c r="F2051" s="389"/>
      <c r="G2051" s="389"/>
      <c r="T2051" s="384" t="str">
        <f>IFERROR(__xludf.DUMMYFUNCTION("""COMPUTED_VALUE"""),"Волга")</f>
        <v>Волга</v>
      </c>
      <c r="U2051" s="385">
        <f>IFERROR(__xludf.DUMMYFUNCTION("""COMPUTED_VALUE"""),13.75)</f>
        <v>13.75</v>
      </c>
      <c r="W2051" s="384" t="str">
        <f>IFERROR(__xludf.DUMMYFUNCTION("""COMPUTED_VALUE"""),"Ментик")</f>
        <v>Ментик</v>
      </c>
      <c r="X2051" s="385"/>
    </row>
    <row r="2052">
      <c r="A2052" s="384" t="s">
        <v>126</v>
      </c>
      <c r="B2052" s="384" t="s">
        <v>269</v>
      </c>
      <c r="C2052" s="389"/>
      <c r="D2052" s="389">
        <v>2.0</v>
      </c>
      <c r="E2052" s="384"/>
      <c r="F2052" s="389"/>
      <c r="G2052" s="389"/>
      <c r="T2052" s="384" t="str">
        <f>IFERROR(__xludf.DUMMYFUNCTION("""COMPUTED_VALUE"""),"Авраам")</f>
        <v>Авраам</v>
      </c>
      <c r="U2052" s="385"/>
      <c r="W2052" s="384" t="str">
        <f>IFERROR(__xludf.DUMMYFUNCTION("""COMPUTED_VALUE"""),"Мишель ")</f>
        <v>Мишель </v>
      </c>
      <c r="X2052" s="385"/>
    </row>
    <row r="2053">
      <c r="A2053" s="384" t="s">
        <v>112</v>
      </c>
      <c r="B2053" s="384" t="s">
        <v>261</v>
      </c>
      <c r="C2053" s="389">
        <v>2.5</v>
      </c>
      <c r="D2053" s="389">
        <v>4.75</v>
      </c>
      <c r="E2053" s="384"/>
      <c r="F2053" s="389"/>
      <c r="G2053" s="389"/>
      <c r="T2053" s="384" t="str">
        <f>IFERROR(__xludf.DUMMYFUNCTION("""COMPUTED_VALUE"""),"Админ")</f>
        <v>Админ</v>
      </c>
      <c r="U2053" s="385"/>
      <c r="W2053" s="384" t="str">
        <f>IFERROR(__xludf.DUMMYFUNCTION("""COMPUTED_VALUE"""),"Наполеон")</f>
        <v>Наполеон</v>
      </c>
      <c r="X2053" s="385"/>
    </row>
    <row r="2054">
      <c r="A2054" s="384" t="s">
        <v>119</v>
      </c>
      <c r="B2054" s="384" t="s">
        <v>261</v>
      </c>
      <c r="C2054" s="389">
        <v>2.5</v>
      </c>
      <c r="D2054" s="389">
        <v>4.0</v>
      </c>
      <c r="E2054" s="384"/>
      <c r="F2054" s="389"/>
      <c r="G2054" s="389"/>
      <c r="T2054" s="384" t="str">
        <f>IFERROR(__xludf.DUMMYFUNCTION("""COMPUTED_VALUE"""),"Артик")</f>
        <v>Артик</v>
      </c>
      <c r="U2054" s="385"/>
      <c r="W2054" s="384" t="str">
        <f>IFERROR(__xludf.DUMMYFUNCTION("""COMPUTED_VALUE"""),"Панда из Руанды")</f>
        <v>Панда из Руанды</v>
      </c>
      <c r="X2054" s="385"/>
    </row>
    <row r="2055">
      <c r="A2055" s="384" t="s">
        <v>131</v>
      </c>
      <c r="B2055" s="384" t="s">
        <v>261</v>
      </c>
      <c r="C2055" s="389">
        <v>2.5</v>
      </c>
      <c r="D2055" s="389">
        <v>3.0</v>
      </c>
      <c r="E2055" s="384" t="s">
        <v>11</v>
      </c>
      <c r="F2055" s="389"/>
      <c r="G2055" s="389">
        <v>0.5</v>
      </c>
      <c r="T2055" s="384" t="str">
        <f>IFERROR(__xludf.DUMMYFUNCTION("""COMPUTED_VALUE"""),"Астория")</f>
        <v>Астория</v>
      </c>
      <c r="U2055" s="385"/>
      <c r="W2055" s="384" t="str">
        <f>IFERROR(__xludf.DUMMYFUNCTION("""COMPUTED_VALUE"""),"Писатель ")</f>
        <v>Писатель </v>
      </c>
      <c r="X2055" s="385"/>
    </row>
    <row r="2056">
      <c r="A2056" s="384" t="s">
        <v>132</v>
      </c>
      <c r="B2056" s="384" t="s">
        <v>261</v>
      </c>
      <c r="C2056" s="389">
        <v>2.5</v>
      </c>
      <c r="D2056" s="389">
        <v>3.75</v>
      </c>
      <c r="E2056" s="384"/>
      <c r="F2056" s="389"/>
      <c r="G2056" s="389"/>
      <c r="T2056" s="384" t="str">
        <f>IFERROR(__xludf.DUMMYFUNCTION("""COMPUTED_VALUE"""),"Аш")</f>
        <v>Аш</v>
      </c>
      <c r="U2056" s="385"/>
      <c r="W2056" s="384" t="str">
        <f>IFERROR(__xludf.DUMMYFUNCTION("""COMPUTED_VALUE"""),"Правда ")</f>
        <v>Правда </v>
      </c>
      <c r="X2056" s="385"/>
    </row>
    <row r="2057">
      <c r="A2057" s="384" t="s">
        <v>153</v>
      </c>
      <c r="B2057" s="384" t="s">
        <v>261</v>
      </c>
      <c r="C2057" s="389">
        <v>2.5</v>
      </c>
      <c r="D2057" s="389">
        <v>3.75</v>
      </c>
      <c r="E2057" s="384"/>
      <c r="F2057" s="389"/>
      <c r="G2057" s="389"/>
      <c r="T2057" s="384" t="str">
        <f>IFERROR(__xludf.DUMMYFUNCTION("""COMPUTED_VALUE"""),"Бамблби")</f>
        <v>Бамблби</v>
      </c>
      <c r="U2057" s="385"/>
      <c r="W2057" s="384" t="str">
        <f>IFERROR(__xludf.DUMMYFUNCTION("""COMPUTED_VALUE"""),"Продюсер")</f>
        <v>Продюсер</v>
      </c>
      <c r="X2057" s="385"/>
    </row>
    <row r="2058">
      <c r="A2058" s="384" t="s">
        <v>86</v>
      </c>
      <c r="B2058" s="384" t="s">
        <v>261</v>
      </c>
      <c r="C2058" s="389">
        <v>2.5</v>
      </c>
      <c r="D2058" s="389">
        <v>3.75</v>
      </c>
      <c r="E2058" s="384"/>
      <c r="F2058" s="389"/>
      <c r="G2058" s="389"/>
      <c r="T2058" s="384" t="str">
        <f>IFERROR(__xludf.DUMMYFUNCTION("""COMPUTED_VALUE"""),"Градиент")</f>
        <v>Градиент</v>
      </c>
      <c r="U2058" s="385"/>
      <c r="W2058" s="384" t="str">
        <f>IFERROR(__xludf.DUMMYFUNCTION("""COMPUTED_VALUE"""),"РФ")</f>
        <v>РФ</v>
      </c>
      <c r="X2058" s="385"/>
    </row>
    <row r="2059">
      <c r="A2059" s="384" t="s">
        <v>120</v>
      </c>
      <c r="B2059" s="384" t="s">
        <v>265</v>
      </c>
      <c r="C2059" s="389"/>
      <c r="D2059" s="389">
        <v>1.25</v>
      </c>
      <c r="E2059" s="384"/>
      <c r="F2059" s="389"/>
      <c r="G2059" s="389"/>
      <c r="T2059" s="384" t="str">
        <f>IFERROR(__xludf.DUMMYFUNCTION("""COMPUTED_VALUE"""),"Зверюга")</f>
        <v>Зверюга</v>
      </c>
      <c r="U2059" s="385"/>
      <c r="W2059" s="384" t="str">
        <f>IFERROR(__xludf.DUMMYFUNCTION("""COMPUTED_VALUE"""),"Старый")</f>
        <v>Старый</v>
      </c>
      <c r="X2059" s="385"/>
    </row>
    <row r="2060">
      <c r="A2060" s="384" t="s">
        <v>101</v>
      </c>
      <c r="B2060" s="384" t="s">
        <v>271</v>
      </c>
      <c r="C2060" s="389">
        <v>2.5</v>
      </c>
      <c r="D2060" s="389">
        <v>3.75</v>
      </c>
      <c r="E2060" s="384"/>
      <c r="F2060" s="389"/>
      <c r="G2060" s="389"/>
      <c r="T2060" s="384" t="str">
        <f>IFERROR(__xludf.DUMMYFUNCTION("""COMPUTED_VALUE"""),"Инсомнич")</f>
        <v>Инсомнич</v>
      </c>
      <c r="U2060" s="385"/>
      <c r="W2060" s="384" t="str">
        <f>IFERROR(__xludf.DUMMYFUNCTION("""COMPUTED_VALUE"""),"Coach")</f>
        <v>Coach</v>
      </c>
      <c r="X2060" s="385"/>
    </row>
    <row r="2061">
      <c r="A2061" s="384" t="s">
        <v>104</v>
      </c>
      <c r="B2061" s="384" t="s">
        <v>269</v>
      </c>
      <c r="C2061" s="389"/>
      <c r="D2061" s="389">
        <v>2.0</v>
      </c>
      <c r="E2061" s="384"/>
      <c r="F2061" s="389"/>
      <c r="G2061" s="389"/>
      <c r="T2061" s="384" t="str">
        <f>IFERROR(__xludf.DUMMYFUNCTION("""COMPUTED_VALUE"""),"Красавчик")</f>
        <v>Красавчик</v>
      </c>
      <c r="U2061" s="385"/>
      <c r="W2061" s="384" t="str">
        <f>IFERROR(__xludf.DUMMYFUNCTION("""COMPUTED_VALUE"""),"Тихий закат")</f>
        <v>Тихий закат</v>
      </c>
      <c r="X2061" s="385"/>
    </row>
    <row r="2062">
      <c r="A2062" s="384" t="s">
        <v>128</v>
      </c>
      <c r="B2062" s="384" t="s">
        <v>269</v>
      </c>
      <c r="C2062" s="389"/>
      <c r="D2062" s="389">
        <v>2.0</v>
      </c>
      <c r="E2062" s="384"/>
      <c r="F2062" s="389"/>
      <c r="G2062" s="389"/>
      <c r="T2062" s="384" t="str">
        <f>IFERROR(__xludf.DUMMYFUNCTION("""COMPUTED_VALUE"""),"Крестный отец (BLR)")</f>
        <v>Крестный отец (BLR)</v>
      </c>
      <c r="U2062" s="385"/>
      <c r="W2062" s="384" t="str">
        <f>IFERROR(__xludf.DUMMYFUNCTION("""COMPUTED_VALUE"""),"Физик")</f>
        <v>Физик</v>
      </c>
      <c r="X2062" s="385"/>
    </row>
    <row r="2063">
      <c r="A2063" s="384" t="s">
        <v>112</v>
      </c>
      <c r="B2063" s="384" t="s">
        <v>261</v>
      </c>
      <c r="C2063" s="389">
        <v>2.5</v>
      </c>
      <c r="D2063" s="389">
        <v>3.25</v>
      </c>
      <c r="E2063" s="384" t="s">
        <v>260</v>
      </c>
      <c r="F2063" s="389"/>
      <c r="G2063" s="389"/>
      <c r="T2063" s="384" t="str">
        <f>IFERROR(__xludf.DUMMYFUNCTION("""COMPUTED_VALUE"""),"Крот")</f>
        <v>Крот</v>
      </c>
      <c r="U2063" s="385"/>
      <c r="W2063" s="384" t="str">
        <f>IFERROR(__xludf.DUMMYFUNCTION("""COMPUTED_VALUE"""),"Флэш")</f>
        <v>Флэш</v>
      </c>
      <c r="X2063" s="385"/>
    </row>
    <row r="2064">
      <c r="A2064" s="384" t="s">
        <v>119</v>
      </c>
      <c r="B2064" s="384" t="s">
        <v>269</v>
      </c>
      <c r="C2064" s="389"/>
      <c r="D2064" s="389">
        <v>2.25</v>
      </c>
      <c r="E2064" s="384"/>
      <c r="F2064" s="389"/>
      <c r="G2064" s="389"/>
      <c r="T2064" s="384" t="str">
        <f>IFERROR(__xludf.DUMMYFUNCTION("""COMPUTED_VALUE"""),"Левша")</f>
        <v>Левша</v>
      </c>
      <c r="U2064" s="385"/>
      <c r="W2064" s="384" t="str">
        <f>IFERROR(__xludf.DUMMYFUNCTION("""COMPUTED_VALUE"""),"Фокс")</f>
        <v>Фокс</v>
      </c>
      <c r="X2064" s="385"/>
    </row>
    <row r="2065">
      <c r="A2065" s="384" t="s">
        <v>131</v>
      </c>
      <c r="B2065" s="384" t="s">
        <v>261</v>
      </c>
      <c r="C2065" s="389">
        <v>2.5</v>
      </c>
      <c r="D2065" s="389">
        <v>3.25</v>
      </c>
      <c r="E2065" s="384"/>
      <c r="F2065" s="389"/>
      <c r="G2065" s="389"/>
      <c r="T2065" s="384" t="str">
        <f>IFERROR(__xludf.DUMMYFUNCTION("""COMPUTED_VALUE"""),"Лисичка")</f>
        <v>Лисичка</v>
      </c>
      <c r="U2065" s="385"/>
      <c r="W2065" s="384" t="str">
        <f>IFERROR(__xludf.DUMMYFUNCTION("""COMPUTED_VALUE"""),"Шоу Бой")</f>
        <v>Шоу Бой</v>
      </c>
      <c r="X2065" s="385"/>
    </row>
    <row r="2066">
      <c r="A2066" s="384" t="s">
        <v>132</v>
      </c>
      <c r="B2066" s="384" t="s">
        <v>261</v>
      </c>
      <c r="C2066" s="389">
        <v>2.5</v>
      </c>
      <c r="D2066" s="389">
        <v>3.75</v>
      </c>
      <c r="E2066" s="384" t="s">
        <v>260</v>
      </c>
      <c r="F2066" s="389"/>
      <c r="G2066" s="389"/>
      <c r="T2066" s="384" t="str">
        <f>IFERROR(__xludf.DUMMYFUNCTION("""COMPUTED_VALUE"""),"Маваши")</f>
        <v>Маваши</v>
      </c>
      <c r="U2066" s="385"/>
      <c r="W2066" s="384" t="str">
        <f>IFERROR(__xludf.DUMMYFUNCTION("""COMPUTED_VALUE"""),"Шпиц")</f>
        <v>Шпиц</v>
      </c>
      <c r="X2066" s="385"/>
    </row>
    <row r="2067">
      <c r="A2067" s="384" t="s">
        <v>153</v>
      </c>
      <c r="B2067" s="384" t="s">
        <v>265</v>
      </c>
      <c r="C2067" s="389"/>
      <c r="D2067" s="389">
        <v>3.0</v>
      </c>
      <c r="E2067" s="384"/>
      <c r="F2067" s="389"/>
      <c r="G2067" s="389"/>
      <c r="T2067" s="384" t="str">
        <f>IFERROR(__xludf.DUMMYFUNCTION("""COMPUTED_VALUE"""),"Манекен")</f>
        <v>Манекен</v>
      </c>
      <c r="U2067" s="385"/>
      <c r="W2067" s="384" t="str">
        <f>IFERROR(__xludf.DUMMYFUNCTION("""COMPUTED_VALUE"""),"Юрия")</f>
        <v>Юрия</v>
      </c>
      <c r="X2067" s="385"/>
    </row>
    <row r="2068">
      <c r="A2068" s="384" t="s">
        <v>86</v>
      </c>
      <c r="B2068" s="384" t="s">
        <v>271</v>
      </c>
      <c r="C2068" s="389">
        <v>2.5</v>
      </c>
      <c r="D2068" s="389">
        <v>3.0</v>
      </c>
      <c r="E2068" s="384"/>
      <c r="F2068" s="389"/>
      <c r="G2068" s="389"/>
      <c r="T2068" s="384" t="str">
        <f>IFERROR(__xludf.DUMMYFUNCTION("""COMPUTED_VALUE"""),"Марго")</f>
        <v>Марго</v>
      </c>
      <c r="U2068" s="385"/>
      <c r="W2068" s="384" t="str">
        <f>IFERROR(__xludf.DUMMYFUNCTION("""COMPUTED_VALUE"""),"A1 ")</f>
        <v>A1 </v>
      </c>
      <c r="X2068" s="385"/>
    </row>
    <row r="2069">
      <c r="A2069" s="384" t="s">
        <v>120</v>
      </c>
      <c r="B2069" s="384" t="s">
        <v>261</v>
      </c>
      <c r="C2069" s="389">
        <v>2.5</v>
      </c>
      <c r="D2069" s="389">
        <v>2.5</v>
      </c>
      <c r="E2069" s="384" t="s">
        <v>11</v>
      </c>
      <c r="F2069" s="389"/>
      <c r="G2069" s="389">
        <v>0.5</v>
      </c>
      <c r="T2069" s="384" t="str">
        <f>IFERROR(__xludf.DUMMYFUNCTION("""COMPUTED_VALUE"""),"Ментик")</f>
        <v>Ментик</v>
      </c>
      <c r="U2069" s="385"/>
      <c r="W2069" s="384" t="str">
        <f>IFERROR(__xludf.DUMMYFUNCTION("""COMPUTED_VALUE"""),"Bublik")</f>
        <v>Bublik</v>
      </c>
      <c r="X2069" s="385"/>
    </row>
    <row r="2070">
      <c r="A2070" s="384" t="s">
        <v>101</v>
      </c>
      <c r="B2070" s="384" t="s">
        <v>261</v>
      </c>
      <c r="C2070" s="389">
        <v>2.5</v>
      </c>
      <c r="D2070" s="389">
        <v>2.25</v>
      </c>
      <c r="E2070" s="384"/>
      <c r="F2070" s="389"/>
      <c r="G2070" s="389"/>
      <c r="T2070" s="384" t="str">
        <f>IFERROR(__xludf.DUMMYFUNCTION("""COMPUTED_VALUE"""),"Мишель ")</f>
        <v>Мишель </v>
      </c>
      <c r="U2070" s="385"/>
      <c r="W2070" s="384" t="str">
        <f>IFERROR(__xludf.DUMMYFUNCTION("""COMPUTED_VALUE"""),"BWDMoscow")</f>
        <v>BWDMoscow</v>
      </c>
      <c r="X2070" s="385"/>
    </row>
    <row r="2071">
      <c r="A2071" s="384" t="s">
        <v>104</v>
      </c>
      <c r="B2071" s="384" t="s">
        <v>269</v>
      </c>
      <c r="C2071" s="389"/>
      <c r="D2071" s="389">
        <v>2.0</v>
      </c>
      <c r="E2071" s="384" t="s">
        <v>263</v>
      </c>
      <c r="F2071" s="389"/>
      <c r="G2071" s="389"/>
      <c r="T2071" s="384" t="str">
        <f>IFERROR(__xludf.DUMMYFUNCTION("""COMPUTED_VALUE"""),"Наполеон")</f>
        <v>Наполеон</v>
      </c>
      <c r="U2071" s="385"/>
      <c r="W2071" s="384" t="str">
        <f>IFERROR(__xludf.DUMMYFUNCTION("""COMPUTED_VALUE"""),"Castor Troy ")</f>
        <v>Castor Troy </v>
      </c>
      <c r="X2071" s="385"/>
    </row>
    <row r="2072">
      <c r="A2072" s="384" t="s">
        <v>128</v>
      </c>
      <c r="B2072" s="384" t="s">
        <v>261</v>
      </c>
      <c r="C2072" s="389">
        <v>2.5</v>
      </c>
      <c r="D2072" s="389">
        <v>2.0</v>
      </c>
      <c r="E2072" s="384"/>
      <c r="F2072" s="389"/>
      <c r="G2072" s="389"/>
      <c r="T2072" s="384" t="str">
        <f>IFERROR(__xludf.DUMMYFUNCTION("""COMPUTED_VALUE"""),"Писатель ")</f>
        <v>Писатель </v>
      </c>
      <c r="U2072" s="385"/>
      <c r="W2072" s="384" t="str">
        <f>IFERROR(__xludf.DUMMYFUNCTION("""COMPUTED_VALUE"""),"Curly")</f>
        <v>Curly</v>
      </c>
      <c r="X2072" s="385"/>
    </row>
    <row r="2073">
      <c r="A2073" s="384" t="s">
        <v>112</v>
      </c>
      <c r="B2073" s="384" t="s">
        <v>271</v>
      </c>
      <c r="C2073" s="389"/>
      <c r="D2073" s="389">
        <v>2.0</v>
      </c>
      <c r="E2073" s="384"/>
      <c r="F2073" s="389"/>
      <c r="G2073" s="389"/>
      <c r="T2073" s="384" t="str">
        <f>IFERROR(__xludf.DUMMYFUNCTION("""COMPUTED_VALUE"""),"Правда ")</f>
        <v>Правда </v>
      </c>
      <c r="U2073" s="385"/>
      <c r="W2073" s="384" t="str">
        <f>IFERROR(__xludf.DUMMYFUNCTION("""COMPUTED_VALUE"""),"Infinity ")</f>
        <v>Infinity </v>
      </c>
      <c r="X2073" s="385"/>
    </row>
    <row r="2074">
      <c r="A2074" s="384" t="s">
        <v>119</v>
      </c>
      <c r="B2074" s="384" t="s">
        <v>269</v>
      </c>
      <c r="C2074" s="389">
        <v>2.5</v>
      </c>
      <c r="D2074" s="389">
        <v>4.0</v>
      </c>
      <c r="E2074" s="384"/>
      <c r="F2074" s="389"/>
      <c r="G2074" s="389"/>
      <c r="T2074" s="384" t="str">
        <f>IFERROR(__xludf.DUMMYFUNCTION("""COMPUTED_VALUE"""),"Продюсер")</f>
        <v>Продюсер</v>
      </c>
      <c r="U2074" s="385"/>
      <c r="W2074" s="384" t="str">
        <f>IFERROR(__xludf.DUMMYFUNCTION("""COMPUTED_VALUE"""),"Ketamin")</f>
        <v>Ketamin</v>
      </c>
      <c r="X2074" s="385"/>
    </row>
    <row r="2075">
      <c r="A2075" s="384" t="s">
        <v>131</v>
      </c>
      <c r="B2075" s="384" t="s">
        <v>261</v>
      </c>
      <c r="C2075" s="389"/>
      <c r="D2075" s="389">
        <v>2.25</v>
      </c>
      <c r="E2075" s="384"/>
      <c r="F2075" s="389"/>
      <c r="G2075" s="389"/>
      <c r="T2075" s="384" t="str">
        <f>IFERROR(__xludf.DUMMYFUNCTION("""COMPUTED_VALUE"""),"РФ")</f>
        <v>РФ</v>
      </c>
      <c r="U2075" s="385"/>
      <c r="W2075" s="384" t="str">
        <f>IFERROR(__xludf.DUMMYFUNCTION("""COMPUTED_VALUE"""),"Light")</f>
        <v>Light</v>
      </c>
      <c r="X2075" s="385"/>
    </row>
    <row r="2076">
      <c r="A2076" s="384" t="s">
        <v>132</v>
      </c>
      <c r="B2076" s="384" t="s">
        <v>261</v>
      </c>
      <c r="C2076" s="389"/>
      <c r="D2076" s="389">
        <v>2.25</v>
      </c>
      <c r="E2076" s="384"/>
      <c r="F2076" s="389"/>
      <c r="G2076" s="389"/>
      <c r="T2076" s="384" t="str">
        <f>IFERROR(__xludf.DUMMYFUNCTION("""COMPUTED_VALUE"""),"Старый")</f>
        <v>Старый</v>
      </c>
      <c r="U2076" s="385"/>
      <c r="W2076" s="384" t="str">
        <f>IFERROR(__xludf.DUMMYFUNCTION("""COMPUTED_VALUE"""),"MSR")</f>
        <v>MSR</v>
      </c>
      <c r="X2076" s="385"/>
    </row>
    <row r="2077">
      <c r="A2077" s="384" t="s">
        <v>153</v>
      </c>
      <c r="B2077" s="384" t="s">
        <v>261</v>
      </c>
      <c r="C2077" s="389"/>
      <c r="D2077" s="389">
        <v>1.75</v>
      </c>
      <c r="E2077" s="384"/>
      <c r="F2077" s="389"/>
      <c r="G2077" s="389"/>
      <c r="T2077" s="384" t="str">
        <f>IFERROR(__xludf.DUMMYFUNCTION("""COMPUTED_VALUE"""),"СЭНСЭЙ")</f>
        <v>СЭНСЭЙ</v>
      </c>
      <c r="U2077" s="385"/>
      <c r="W2077" s="384" t="str">
        <f>IFERROR(__xludf.DUMMYFUNCTION("""COMPUTED_VALUE"""),"NLIP")</f>
        <v>NLIP</v>
      </c>
      <c r="X2077" s="385"/>
    </row>
    <row r="2078">
      <c r="A2078" s="384" t="s">
        <v>86</v>
      </c>
      <c r="B2078" s="384" t="s">
        <v>261</v>
      </c>
      <c r="C2078" s="389"/>
      <c r="D2078" s="389">
        <v>2.0</v>
      </c>
      <c r="E2078" s="384" t="s">
        <v>11</v>
      </c>
      <c r="F2078" s="389"/>
      <c r="G2078" s="389">
        <v>0.5</v>
      </c>
      <c r="T2078" s="384" t="str">
        <f>IFERROR(__xludf.DUMMYFUNCTION("""COMPUTED_VALUE"""),"Coach")</f>
        <v>Coach</v>
      </c>
      <c r="U2078" s="385"/>
      <c r="W2078" s="384" t="str">
        <f>IFERROR(__xludf.DUMMYFUNCTION("""COMPUTED_VALUE"""),"Rocket woman ")</f>
        <v>Rocket woman </v>
      </c>
      <c r="X2078" s="385"/>
    </row>
    <row r="2079">
      <c r="A2079" s="384" t="s">
        <v>120</v>
      </c>
      <c r="B2079" s="384" t="s">
        <v>265</v>
      </c>
      <c r="C2079" s="389">
        <v>2.5</v>
      </c>
      <c r="D2079" s="389">
        <v>2.0</v>
      </c>
      <c r="E2079" s="384"/>
      <c r="F2079" s="389"/>
      <c r="G2079" s="389"/>
      <c r="T2079" s="384" t="str">
        <f>IFERROR(__xludf.DUMMYFUNCTION("""COMPUTED_VALUE"""),"Тихий закат")</f>
        <v>Тихий закат</v>
      </c>
      <c r="U2079" s="385"/>
      <c r="W2079" s="384" t="str">
        <f>IFERROR(__xludf.DUMMYFUNCTION("""COMPUTED_VALUE"""),"SCHOKK ")</f>
        <v>SCHOKK </v>
      </c>
      <c r="X2079" s="385"/>
    </row>
    <row r="2080">
      <c r="A2080" s="384" t="s">
        <v>101</v>
      </c>
      <c r="B2080" s="384" t="s">
        <v>261</v>
      </c>
      <c r="C2080" s="389"/>
      <c r="D2080" s="389">
        <v>2.75</v>
      </c>
      <c r="E2080" s="384" t="s">
        <v>263</v>
      </c>
      <c r="F2080" s="389"/>
      <c r="G2080" s="389"/>
      <c r="T2080" s="384" t="str">
        <f>IFERROR(__xludf.DUMMYFUNCTION("""COMPUTED_VALUE"""),"Физик")</f>
        <v>Физик</v>
      </c>
      <c r="U2080" s="385"/>
      <c r="W2080" s="384" t="str">
        <f>IFERROR(__xludf.DUMMYFUNCTION("""COMPUTED_VALUE"""),"SOVEST")</f>
        <v>SOVEST</v>
      </c>
      <c r="X2080" s="385"/>
    </row>
    <row r="2081">
      <c r="A2081" s="384" t="s">
        <v>104</v>
      </c>
      <c r="B2081" s="384" t="s">
        <v>269</v>
      </c>
      <c r="C2081" s="389">
        <v>2.5</v>
      </c>
      <c r="D2081" s="389">
        <v>3.5</v>
      </c>
      <c r="E2081" s="384"/>
      <c r="F2081" s="389"/>
      <c r="G2081" s="389"/>
      <c r="T2081" s="384" t="str">
        <f>IFERROR(__xludf.DUMMYFUNCTION("""COMPUTED_VALUE"""),"Флэш")</f>
        <v>Флэш</v>
      </c>
      <c r="U2081" s="385"/>
      <c r="W2081" s="384" t="str">
        <f>IFERROR(__xludf.DUMMYFUNCTION("""COMPUTED_VALUE"""),"Stacy")</f>
        <v>Stacy</v>
      </c>
      <c r="X2081" s="385"/>
    </row>
    <row r="2082">
      <c r="A2082" s="384" t="s">
        <v>128</v>
      </c>
      <c r="B2082" s="384" t="s">
        <v>261</v>
      </c>
      <c r="C2082" s="389"/>
      <c r="D2082" s="389">
        <v>2.5</v>
      </c>
      <c r="E2082" s="384" t="s">
        <v>263</v>
      </c>
      <c r="F2082" s="389"/>
      <c r="G2082" s="389"/>
      <c r="T2082" s="384" t="str">
        <f>IFERROR(__xludf.DUMMYFUNCTION("""COMPUTED_VALUE"""),"Фокс")</f>
        <v>Фокс</v>
      </c>
      <c r="U2082" s="385"/>
      <c r="W2082" s="384" t="str">
        <f>IFERROR(__xludf.DUMMYFUNCTION("""COMPUTED_VALUE"""),"Young")</f>
        <v>Young</v>
      </c>
      <c r="X2082" s="385"/>
    </row>
    <row r="2083">
      <c r="A2083" s="384" t="s">
        <v>112</v>
      </c>
      <c r="B2083" s="384" t="s">
        <v>261</v>
      </c>
      <c r="C2083" s="389">
        <v>2.5</v>
      </c>
      <c r="D2083" s="389">
        <v>2.25</v>
      </c>
      <c r="E2083" s="384" t="s">
        <v>11</v>
      </c>
      <c r="F2083" s="389"/>
      <c r="G2083" s="389">
        <v>0.5</v>
      </c>
      <c r="T2083" s="384" t="str">
        <f>IFERROR(__xludf.DUMMYFUNCTION("""COMPUTED_VALUE"""),"Шпиц")</f>
        <v>Шпиц</v>
      </c>
      <c r="U2083" s="385"/>
      <c r="W2083" s="384" t="str">
        <f>IFERROR(__xludf.DUMMYFUNCTION("""COMPUTED_VALUE"""),"Авраам")</f>
        <v>Авраам</v>
      </c>
      <c r="X2083" s="385"/>
    </row>
    <row r="2084">
      <c r="A2084" s="384" t="s">
        <v>119</v>
      </c>
      <c r="B2084" s="384" t="s">
        <v>261</v>
      </c>
      <c r="C2084" s="389">
        <v>2.5</v>
      </c>
      <c r="D2084" s="389">
        <v>3.0</v>
      </c>
      <c r="E2084" s="384"/>
      <c r="F2084" s="389"/>
      <c r="G2084" s="389"/>
      <c r="T2084" s="384" t="str">
        <f>IFERROR(__xludf.DUMMYFUNCTION("""COMPUTED_VALUE"""),"Юрия")</f>
        <v>Юрия</v>
      </c>
      <c r="U2084" s="385"/>
      <c r="W2084" s="384" t="str">
        <f>IFERROR(__xludf.DUMMYFUNCTION("""COMPUTED_VALUE"""),"Андерсен")</f>
        <v>Андерсен</v>
      </c>
      <c r="X2084" s="385"/>
    </row>
    <row r="2085">
      <c r="A2085" s="384" t="s">
        <v>131</v>
      </c>
      <c r="B2085" s="384" t="s">
        <v>261</v>
      </c>
      <c r="C2085" s="389">
        <v>2.5</v>
      </c>
      <c r="D2085" s="389">
        <v>4.25</v>
      </c>
      <c r="E2085" s="384"/>
      <c r="F2085" s="389"/>
      <c r="G2085" s="389"/>
      <c r="T2085" s="384" t="str">
        <f>IFERROR(__xludf.DUMMYFUNCTION("""COMPUTED_VALUE"""),"A1 ")</f>
        <v>A1 </v>
      </c>
      <c r="U2085" s="385"/>
      <c r="W2085" s="384" t="str">
        <f>IFERROR(__xludf.DUMMYFUNCTION("""COMPUTED_VALUE"""),"Артик")</f>
        <v>Артик</v>
      </c>
      <c r="X2085" s="385"/>
    </row>
    <row r="2086">
      <c r="A2086" s="384" t="s">
        <v>132</v>
      </c>
      <c r="B2086" s="384" t="s">
        <v>269</v>
      </c>
      <c r="C2086" s="389"/>
      <c r="D2086" s="389">
        <v>2.25</v>
      </c>
      <c r="E2086" s="384"/>
      <c r="F2086" s="389"/>
      <c r="G2086" s="389"/>
      <c r="T2086" s="384" t="str">
        <f>IFERROR(__xludf.DUMMYFUNCTION("""COMPUTED_VALUE"""),"Alice ")</f>
        <v>Alice </v>
      </c>
      <c r="U2086" s="385"/>
      <c r="W2086" s="384" t="str">
        <f>IFERROR(__xludf.DUMMYFUNCTION("""COMPUTED_VALUE"""),"Астория")</f>
        <v>Астория</v>
      </c>
      <c r="X2086" s="385"/>
    </row>
    <row r="2087">
      <c r="A2087" s="384" t="s">
        <v>153</v>
      </c>
      <c r="B2087" s="384" t="s">
        <v>261</v>
      </c>
      <c r="C2087" s="389">
        <v>2.5</v>
      </c>
      <c r="D2087" s="389">
        <v>3.75</v>
      </c>
      <c r="E2087" s="384"/>
      <c r="F2087" s="389"/>
      <c r="G2087" s="389"/>
      <c r="T2087" s="384" t="str">
        <f>IFERROR(__xludf.DUMMYFUNCTION("""COMPUTED_VALUE"""),"BWDMoscow")</f>
        <v>BWDMoscow</v>
      </c>
      <c r="U2087" s="385"/>
      <c r="W2087" s="384" t="str">
        <f>IFERROR(__xludf.DUMMYFUNCTION("""COMPUTED_VALUE"""),"Аш")</f>
        <v>Аш</v>
      </c>
      <c r="X2087" s="385"/>
    </row>
    <row r="2088">
      <c r="A2088" s="384" t="s">
        <v>86</v>
      </c>
      <c r="B2088" s="384" t="s">
        <v>271</v>
      </c>
      <c r="C2088" s="389">
        <v>2.5</v>
      </c>
      <c r="D2088" s="389">
        <v>2.25</v>
      </c>
      <c r="E2088" s="384"/>
      <c r="F2088" s="389"/>
      <c r="G2088" s="389"/>
      <c r="T2088" s="384" t="str">
        <f>IFERROR(__xludf.DUMMYFUNCTION("""COMPUTED_VALUE"""),"Castor Troy ")</f>
        <v>Castor Troy </v>
      </c>
      <c r="U2088" s="385"/>
      <c r="W2088" s="384" t="str">
        <f>IFERROR(__xludf.DUMMYFUNCTION("""COMPUTED_VALUE"""),"Бамблби")</f>
        <v>Бамблби</v>
      </c>
      <c r="X2088" s="385"/>
    </row>
    <row r="2089">
      <c r="A2089" s="384" t="s">
        <v>120</v>
      </c>
      <c r="B2089" s="384" t="s">
        <v>265</v>
      </c>
      <c r="C2089" s="389"/>
      <c r="D2089" s="389">
        <v>1.5</v>
      </c>
      <c r="E2089" s="384"/>
      <c r="F2089" s="389"/>
      <c r="G2089" s="389"/>
      <c r="T2089" s="384" t="str">
        <f>IFERROR(__xludf.DUMMYFUNCTION("""COMPUTED_VALUE"""),"Cristo")</f>
        <v>Cristo</v>
      </c>
      <c r="U2089" s="385"/>
      <c r="W2089" s="384" t="str">
        <f>IFERROR(__xludf.DUMMYFUNCTION("""COMPUTED_VALUE"""),"Волга")</f>
        <v>Волга</v>
      </c>
      <c r="X2089" s="385"/>
    </row>
    <row r="2090">
      <c r="A2090" s="384" t="s">
        <v>101</v>
      </c>
      <c r="B2090" s="384" t="s">
        <v>269</v>
      </c>
      <c r="C2090" s="389"/>
      <c r="D2090" s="389">
        <v>1.75</v>
      </c>
      <c r="E2090" s="384"/>
      <c r="F2090" s="389"/>
      <c r="G2090" s="389"/>
      <c r="T2090" s="384" t="str">
        <f>IFERROR(__xludf.DUMMYFUNCTION("""COMPUTED_VALUE"""),"Curly")</f>
        <v>Curly</v>
      </c>
      <c r="U2090" s="385"/>
      <c r="W2090" s="384" t="str">
        <f>IFERROR(__xludf.DUMMYFUNCTION("""COMPUTED_VALUE"""),"Градиент")</f>
        <v>Градиент</v>
      </c>
      <c r="X2090" s="385"/>
    </row>
    <row r="2091">
      <c r="A2091" s="384" t="s">
        <v>104</v>
      </c>
      <c r="B2091" s="384" t="s">
        <v>261</v>
      </c>
      <c r="C2091" s="389">
        <v>2.5</v>
      </c>
      <c r="D2091" s="389">
        <v>3.0</v>
      </c>
      <c r="E2091" s="384"/>
      <c r="F2091" s="389"/>
      <c r="G2091" s="389"/>
      <c r="T2091" s="384" t="str">
        <f>IFERROR(__xludf.DUMMYFUNCTION("""COMPUTED_VALUE"""),"GALAY")</f>
        <v>GALAY</v>
      </c>
      <c r="U2091" s="385"/>
      <c r="W2091" s="384" t="str">
        <f>IFERROR(__xludf.DUMMYFUNCTION("""COMPUTED_VALUE"""),"Зверюга")</f>
        <v>Зверюга</v>
      </c>
      <c r="X2091" s="385"/>
    </row>
    <row r="2092">
      <c r="A2092" s="384" t="s">
        <v>128</v>
      </c>
      <c r="B2092" s="384" t="s">
        <v>261</v>
      </c>
      <c r="C2092" s="389">
        <v>2.5</v>
      </c>
      <c r="D2092" s="389">
        <v>2.75</v>
      </c>
      <c r="E2092" s="384"/>
      <c r="F2092" s="389"/>
      <c r="G2092" s="389"/>
      <c r="T2092" s="384" t="str">
        <f>IFERROR(__xludf.DUMMYFUNCTION("""COMPUTED_VALUE"""),"Helga")</f>
        <v>Helga</v>
      </c>
      <c r="U2092" s="385"/>
      <c r="W2092" s="384" t="str">
        <f>IFERROR(__xludf.DUMMYFUNCTION("""COMPUTED_VALUE"""),"Красавчик")</f>
        <v>Красавчик</v>
      </c>
      <c r="X2092" s="385"/>
    </row>
    <row r="2093">
      <c r="A2093" s="384" t="s">
        <v>112</v>
      </c>
      <c r="B2093" s="384" t="s">
        <v>265</v>
      </c>
      <c r="C2093" s="389">
        <v>2.5</v>
      </c>
      <c r="D2093" s="389">
        <v>3.75</v>
      </c>
      <c r="E2093" s="384"/>
      <c r="F2093" s="389"/>
      <c r="G2093" s="389"/>
      <c r="T2093" s="384" t="str">
        <f>IFERROR(__xludf.DUMMYFUNCTION("""COMPUTED_VALUE"""),"Ketamin")</f>
        <v>Ketamin</v>
      </c>
      <c r="U2093" s="385"/>
      <c r="W2093" s="384" t="str">
        <f>IFERROR(__xludf.DUMMYFUNCTION("""COMPUTED_VALUE"""),"Крестный отец (BLR)")</f>
        <v>Крестный отец (BLR)</v>
      </c>
      <c r="X2093" s="385"/>
    </row>
    <row r="2094">
      <c r="A2094" s="384" t="s">
        <v>119</v>
      </c>
      <c r="B2094" s="384" t="s">
        <v>269</v>
      </c>
      <c r="C2094" s="389">
        <v>2.5</v>
      </c>
      <c r="D2094" s="389">
        <v>3.25</v>
      </c>
      <c r="E2094" s="384"/>
      <c r="F2094" s="389"/>
      <c r="G2094" s="389"/>
      <c r="T2094" s="384" t="str">
        <f>IFERROR(__xludf.DUMMYFUNCTION("""COMPUTED_VALUE"""),"Light")</f>
        <v>Light</v>
      </c>
      <c r="U2094" s="385"/>
      <c r="W2094" s="384" t="str">
        <f>IFERROR(__xludf.DUMMYFUNCTION("""COMPUTED_VALUE"""),"Левша")</f>
        <v>Левша</v>
      </c>
      <c r="X2094" s="385"/>
    </row>
    <row r="2095">
      <c r="A2095" s="384" t="s">
        <v>131</v>
      </c>
      <c r="B2095" s="384" t="s">
        <v>261</v>
      </c>
      <c r="C2095" s="389"/>
      <c r="D2095" s="389">
        <v>3.25</v>
      </c>
      <c r="E2095" s="384"/>
      <c r="F2095" s="389"/>
      <c r="G2095" s="389"/>
      <c r="T2095" s="384" t="str">
        <f>IFERROR(__xludf.DUMMYFUNCTION("""COMPUTED_VALUE"""),"Morti")</f>
        <v>Morti</v>
      </c>
      <c r="U2095" s="385"/>
      <c r="W2095" s="384" t="str">
        <f>IFERROR(__xludf.DUMMYFUNCTION("""COMPUTED_VALUE"""),"Маваши")</f>
        <v>Маваши</v>
      </c>
      <c r="X2095" s="385"/>
    </row>
    <row r="2096">
      <c r="A2096" s="384" t="s">
        <v>132</v>
      </c>
      <c r="B2096" s="384" t="s">
        <v>261</v>
      </c>
      <c r="C2096" s="389"/>
      <c r="D2096" s="389">
        <v>3.25</v>
      </c>
      <c r="E2096" s="384"/>
      <c r="F2096" s="389"/>
      <c r="G2096" s="389"/>
      <c r="T2096" s="384" t="str">
        <f>IFERROR(__xludf.DUMMYFUNCTION("""COMPUTED_VALUE"""),"MSR")</f>
        <v>MSR</v>
      </c>
      <c r="U2096" s="385"/>
      <c r="W2096" s="384" t="str">
        <f>IFERROR(__xludf.DUMMYFUNCTION("""COMPUTED_VALUE"""),"Манекен")</f>
        <v>Манекен</v>
      </c>
      <c r="X2096" s="385"/>
    </row>
    <row r="2097">
      <c r="A2097" s="384" t="s">
        <v>153</v>
      </c>
      <c r="B2097" s="384" t="s">
        <v>261</v>
      </c>
      <c r="C2097" s="389"/>
      <c r="D2097" s="389">
        <v>2.25</v>
      </c>
      <c r="E2097" s="384" t="s">
        <v>11</v>
      </c>
      <c r="F2097" s="389"/>
      <c r="G2097" s="389">
        <v>0.5</v>
      </c>
      <c r="T2097" s="384" t="str">
        <f>IFERROR(__xludf.DUMMYFUNCTION("""COMPUTED_VALUE"""),"Rocket woman ")</f>
        <v>Rocket woman </v>
      </c>
      <c r="U2097" s="385"/>
      <c r="W2097" s="384" t="str">
        <f>IFERROR(__xludf.DUMMYFUNCTION("""COMPUTED_VALUE"""),"Ментик")</f>
        <v>Ментик</v>
      </c>
      <c r="X2097" s="385"/>
    </row>
    <row r="2098">
      <c r="A2098" s="384" t="s">
        <v>86</v>
      </c>
      <c r="B2098" s="384" t="s">
        <v>271</v>
      </c>
      <c r="C2098" s="389"/>
      <c r="D2098" s="389">
        <v>0.75</v>
      </c>
      <c r="E2098" s="384"/>
      <c r="F2098" s="389"/>
      <c r="G2098" s="389"/>
      <c r="T2098" s="384" t="str">
        <f>IFERROR(__xludf.DUMMYFUNCTION("""COMPUTED_VALUE"""),"SCHOKK ")</f>
        <v>SCHOKK </v>
      </c>
      <c r="U2098" s="385"/>
      <c r="W2098" s="384" t="str">
        <f>IFERROR(__xludf.DUMMYFUNCTION("""COMPUTED_VALUE"""),"Мишель ")</f>
        <v>Мишель </v>
      </c>
      <c r="X2098" s="385"/>
    </row>
    <row r="2099">
      <c r="A2099" s="384" t="s">
        <v>120</v>
      </c>
      <c r="B2099" s="384" t="s">
        <v>269</v>
      </c>
      <c r="C2099" s="389">
        <v>2.5</v>
      </c>
      <c r="D2099" s="389">
        <v>3.25</v>
      </c>
      <c r="E2099" s="384"/>
      <c r="F2099" s="389"/>
      <c r="G2099" s="389"/>
      <c r="T2099" s="384" t="str">
        <f>IFERROR(__xludf.DUMMYFUNCTION("""COMPUTED_VALUE"""),"SOVEST")</f>
        <v>SOVEST</v>
      </c>
      <c r="U2099" s="385"/>
      <c r="W2099" s="384" t="str">
        <f>IFERROR(__xludf.DUMMYFUNCTION("""COMPUTED_VALUE"""),"Наполеон")</f>
        <v>Наполеон</v>
      </c>
      <c r="X2099" s="385"/>
    </row>
    <row r="2100">
      <c r="A2100" s="384" t="s">
        <v>101</v>
      </c>
      <c r="B2100" s="384" t="s">
        <v>261</v>
      </c>
      <c r="C2100" s="389"/>
      <c r="D2100" s="389">
        <v>2.0</v>
      </c>
      <c r="E2100" s="384"/>
      <c r="F2100" s="389"/>
      <c r="G2100" s="389"/>
      <c r="T2100" s="384" t="str">
        <f>IFERROR(__xludf.DUMMYFUNCTION("""COMPUTED_VALUE"""),"Stacy")</f>
        <v>Stacy</v>
      </c>
      <c r="U2100" s="385"/>
      <c r="W2100" s="384" t="str">
        <f>IFERROR(__xludf.DUMMYFUNCTION("""COMPUTED_VALUE"""),"Панда из Руанды")</f>
        <v>Панда из Руанды</v>
      </c>
      <c r="X2100" s="385"/>
    </row>
    <row r="2101">
      <c r="A2101" s="384" t="s">
        <v>104</v>
      </c>
      <c r="B2101" s="384" t="s">
        <v>261</v>
      </c>
      <c r="C2101" s="389"/>
      <c r="D2101" s="389">
        <v>1.75</v>
      </c>
      <c r="E2101" s="384"/>
      <c r="F2101" s="389"/>
      <c r="G2101" s="389"/>
      <c r="T2101" s="384" t="str">
        <f>IFERROR(__xludf.DUMMYFUNCTION("""COMPUTED_VALUE"""),"WhoIsWho")</f>
        <v>WhoIsWho</v>
      </c>
      <c r="U2101" s="385"/>
      <c r="W2101" s="384" t="str">
        <f>IFERROR(__xludf.DUMMYFUNCTION("""COMPUTED_VALUE"""),"Писатель ")</f>
        <v>Писатель </v>
      </c>
      <c r="X2101" s="385"/>
    </row>
    <row r="2102">
      <c r="A2102" s="384" t="s">
        <v>128</v>
      </c>
      <c r="B2102" s="384" t="s">
        <v>261</v>
      </c>
      <c r="C2102" s="389"/>
      <c r="D2102" s="389">
        <v>1.75</v>
      </c>
      <c r="E2102" s="384"/>
      <c r="F2102" s="389"/>
      <c r="G2102" s="389"/>
      <c r="T2102" s="384" t="str">
        <f>IFERROR(__xludf.DUMMYFUNCTION("QUERY('Турнирная таблица по Алфавиту'!C7:BG66,""select C,BC order by BC desc"")"),"Coach")</f>
        <v>Coach</v>
      </c>
      <c r="U2102" s="385">
        <f>IFERROR(__xludf.DUMMYFUNCTION("""COMPUTED_VALUE"""),24.0)</f>
        <v>24</v>
      </c>
      <c r="W2102" s="384" t="str">
        <f>IFERROR(__xludf.DUMMYFUNCTION("""COMPUTED_VALUE"""),"Правда ")</f>
        <v>Правда </v>
      </c>
      <c r="X2102" s="385"/>
    </row>
    <row r="2103">
      <c r="A2103" s="384" t="s">
        <v>131</v>
      </c>
      <c r="B2103" s="384" t="s">
        <v>265</v>
      </c>
      <c r="C2103" s="389">
        <v>2.5</v>
      </c>
      <c r="D2103" s="389">
        <v>4.5</v>
      </c>
      <c r="E2103" s="384" t="s">
        <v>260</v>
      </c>
      <c r="F2103" s="389"/>
      <c r="G2103" s="389"/>
      <c r="T2103" s="384" t="str">
        <f>IFERROR(__xludf.DUMMYFUNCTION("""COMPUTED_VALUE"""),"Бамблби")</f>
        <v>Бамблби</v>
      </c>
      <c r="U2103" s="385">
        <f>IFERROR(__xludf.DUMMYFUNCTION("""COMPUTED_VALUE"""),23.25)</f>
        <v>23.25</v>
      </c>
      <c r="W2103" s="384" t="str">
        <f>IFERROR(__xludf.DUMMYFUNCTION("""COMPUTED_VALUE"""),"Продюсер")</f>
        <v>Продюсер</v>
      </c>
      <c r="X2103" s="385"/>
    </row>
    <row r="2104">
      <c r="A2104" s="384" t="s">
        <v>153</v>
      </c>
      <c r="B2104" s="384" t="s">
        <v>261</v>
      </c>
      <c r="C2104" s="389"/>
      <c r="D2104" s="389">
        <v>3.0</v>
      </c>
      <c r="E2104" s="384"/>
      <c r="F2104" s="389"/>
      <c r="G2104" s="389"/>
      <c r="T2104" s="384" t="str">
        <f>IFERROR(__xludf.DUMMYFUNCTION("""COMPUTED_VALUE"""),"Артик")</f>
        <v>Артик</v>
      </c>
      <c r="U2104" s="385">
        <f>IFERROR(__xludf.DUMMYFUNCTION("""COMPUTED_VALUE"""),22.25)</f>
        <v>22.25</v>
      </c>
      <c r="W2104" s="384" t="str">
        <f>IFERROR(__xludf.DUMMYFUNCTION("""COMPUTED_VALUE"""),"РФ")</f>
        <v>РФ</v>
      </c>
      <c r="X2104" s="385"/>
    </row>
    <row r="2105">
      <c r="A2105" s="384" t="s">
        <v>98</v>
      </c>
      <c r="B2105" s="384" t="s">
        <v>261</v>
      </c>
      <c r="C2105" s="389"/>
      <c r="D2105" s="389">
        <v>3.25</v>
      </c>
      <c r="E2105" s="384"/>
      <c r="F2105" s="389"/>
      <c r="G2105" s="389"/>
      <c r="T2105" s="384" t="str">
        <f>IFERROR(__xludf.DUMMYFUNCTION("""COMPUTED_VALUE"""),"Писатель ")</f>
        <v>Писатель </v>
      </c>
      <c r="U2105" s="385">
        <f>IFERROR(__xludf.DUMMYFUNCTION("""COMPUTED_VALUE"""),21.25)</f>
        <v>21.25</v>
      </c>
      <c r="W2105" s="384" t="str">
        <f>IFERROR(__xludf.DUMMYFUNCTION("""COMPUTED_VALUE"""),"Старый")</f>
        <v>Старый</v>
      </c>
      <c r="X2105" s="385"/>
    </row>
    <row r="2106">
      <c r="A2106" s="384" t="s">
        <v>96</v>
      </c>
      <c r="B2106" s="384" t="s">
        <v>269</v>
      </c>
      <c r="C2106" s="389">
        <v>2.5</v>
      </c>
      <c r="D2106" s="389">
        <v>3.75</v>
      </c>
      <c r="E2106" s="384"/>
      <c r="F2106" s="389"/>
      <c r="G2106" s="389"/>
      <c r="T2106" s="384" t="str">
        <f>IFERROR(__xludf.DUMMYFUNCTION("""COMPUTED_VALUE"""),"Продюсер")</f>
        <v>Продюсер</v>
      </c>
      <c r="U2106" s="385">
        <f>IFERROR(__xludf.DUMMYFUNCTION("""COMPUTED_VALUE"""),20.75)</f>
        <v>20.75</v>
      </c>
      <c r="W2106" s="384" t="str">
        <f>IFERROR(__xludf.DUMMYFUNCTION("""COMPUTED_VALUE"""),"СЭНСЭЙ")</f>
        <v>СЭНСЭЙ</v>
      </c>
      <c r="X2106" s="385"/>
    </row>
    <row r="2107">
      <c r="A2107" s="384" t="s">
        <v>108</v>
      </c>
      <c r="B2107" s="384" t="s">
        <v>261</v>
      </c>
      <c r="C2107" s="389"/>
      <c r="D2107" s="389">
        <v>3.0</v>
      </c>
      <c r="E2107" s="384" t="s">
        <v>11</v>
      </c>
      <c r="F2107" s="389">
        <v>0.5</v>
      </c>
      <c r="G2107" s="389">
        <v>0.5</v>
      </c>
      <c r="T2107" s="384" t="str">
        <f>IFERROR(__xludf.DUMMYFUNCTION("""COMPUTED_VALUE"""),"Марго")</f>
        <v>Марго</v>
      </c>
      <c r="U2107" s="385">
        <f>IFERROR(__xludf.DUMMYFUNCTION("""COMPUTED_VALUE"""),19.75)</f>
        <v>19.75</v>
      </c>
      <c r="W2107" s="384" t="str">
        <f>IFERROR(__xludf.DUMMYFUNCTION("""COMPUTED_VALUE"""),"Coach")</f>
        <v>Coach</v>
      </c>
      <c r="X2107" s="385"/>
    </row>
    <row r="2108">
      <c r="A2108" s="384" t="s">
        <v>138</v>
      </c>
      <c r="B2108" s="384" t="s">
        <v>269</v>
      </c>
      <c r="C2108" s="389">
        <v>2.5</v>
      </c>
      <c r="D2108" s="389">
        <v>2.25</v>
      </c>
      <c r="E2108" s="384"/>
      <c r="F2108" s="389"/>
      <c r="G2108" s="389"/>
      <c r="T2108" s="384" t="str">
        <f>IFERROR(__xludf.DUMMYFUNCTION("""COMPUTED_VALUE"""),"Крёстный Отец (RU)")</f>
        <v>Крёстный Отец (RU)</v>
      </c>
      <c r="U2108" s="385">
        <f>IFERROR(__xludf.DUMMYFUNCTION("""COMPUTED_VALUE"""),17.25)</f>
        <v>17.25</v>
      </c>
      <c r="W2108" s="384" t="str">
        <f>IFERROR(__xludf.DUMMYFUNCTION("""COMPUTED_VALUE"""),"Тихий закат")</f>
        <v>Тихий закат</v>
      </c>
      <c r="X2108" s="385"/>
    </row>
    <row r="2109">
      <c r="A2109" s="384" t="s">
        <v>102</v>
      </c>
      <c r="B2109" s="384" t="s">
        <v>271</v>
      </c>
      <c r="C2109" s="389"/>
      <c r="D2109" s="389">
        <v>3.0</v>
      </c>
      <c r="E2109" s="384" t="s">
        <v>263</v>
      </c>
      <c r="F2109" s="389"/>
      <c r="G2109" s="389"/>
      <c r="T2109" s="384" t="str">
        <f>IFERROR(__xludf.DUMMYFUNCTION("""COMPUTED_VALUE"""),"Авраам")</f>
        <v>Авраам</v>
      </c>
      <c r="U2109" s="385">
        <f>IFERROR(__xludf.DUMMYFUNCTION("""COMPUTED_VALUE"""),16.75)</f>
        <v>16.75</v>
      </c>
      <c r="W2109" s="384" t="str">
        <f>IFERROR(__xludf.DUMMYFUNCTION("""COMPUTED_VALUE"""),"Физик")</f>
        <v>Физик</v>
      </c>
      <c r="X2109" s="385"/>
    </row>
    <row r="2110">
      <c r="A2110" s="384" t="s">
        <v>97</v>
      </c>
      <c r="B2110" s="384" t="s">
        <v>261</v>
      </c>
      <c r="C2110" s="389"/>
      <c r="D2110" s="389">
        <v>2.75</v>
      </c>
      <c r="E2110" s="384"/>
      <c r="F2110" s="389"/>
      <c r="G2110" s="389"/>
      <c r="T2110" s="384" t="str">
        <f>IFERROR(__xludf.DUMMYFUNCTION("""COMPUTED_VALUE"""),"Шоу Бой")</f>
        <v>Шоу Бой</v>
      </c>
      <c r="U2110" s="385">
        <f>IFERROR(__xludf.DUMMYFUNCTION("""COMPUTED_VALUE"""),16.0)</f>
        <v>16</v>
      </c>
      <c r="W2110" s="384" t="str">
        <f>IFERROR(__xludf.DUMMYFUNCTION("""COMPUTED_VALUE"""),"Фокс")</f>
        <v>Фокс</v>
      </c>
      <c r="X2110" s="385"/>
    </row>
    <row r="2111">
      <c r="A2111" s="384" t="s">
        <v>129</v>
      </c>
      <c r="B2111" s="384" t="s">
        <v>261</v>
      </c>
      <c r="C2111" s="389"/>
      <c r="D2111" s="389">
        <v>1.75</v>
      </c>
      <c r="E2111" s="384" t="s">
        <v>263</v>
      </c>
      <c r="F2111" s="389"/>
      <c r="G2111" s="389"/>
      <c r="T2111" s="384" t="str">
        <f>IFERROR(__xludf.DUMMYFUNCTION("""COMPUTED_VALUE"""),"Дровосек")</f>
        <v>Дровосек</v>
      </c>
      <c r="U2111" s="385">
        <f>IFERROR(__xludf.DUMMYFUNCTION("""COMPUTED_VALUE"""),14.0)</f>
        <v>14</v>
      </c>
      <c r="W2111" s="384" t="str">
        <f>IFERROR(__xludf.DUMMYFUNCTION("""COMPUTED_VALUE"""),"Шпиц")</f>
        <v>Шпиц</v>
      </c>
      <c r="X2111" s="385"/>
    </row>
    <row r="2112">
      <c r="A2112" s="384" t="s">
        <v>106</v>
      </c>
      <c r="B2112" s="384" t="s">
        <v>261</v>
      </c>
      <c r="C2112" s="389"/>
      <c r="D2112" s="389">
        <v>1.75</v>
      </c>
      <c r="E2112" s="384"/>
      <c r="F2112" s="389"/>
      <c r="G2112" s="389"/>
      <c r="T2112" s="384" t="str">
        <f>IFERROR(__xludf.DUMMYFUNCTION("""COMPUTED_VALUE"""),"Админ")</f>
        <v>Админ</v>
      </c>
      <c r="U2112" s="385"/>
      <c r="W2112" s="384" t="str">
        <f>IFERROR(__xludf.DUMMYFUNCTION("""COMPUTED_VALUE"""),"Юрия")</f>
        <v>Юрия</v>
      </c>
      <c r="X2112" s="385"/>
    </row>
    <row r="2113">
      <c r="A2113" s="384" t="s">
        <v>131</v>
      </c>
      <c r="B2113" s="384" t="s">
        <v>261</v>
      </c>
      <c r="C2113" s="389">
        <v>2.5</v>
      </c>
      <c r="D2113" s="389">
        <v>3.5</v>
      </c>
      <c r="E2113" s="384"/>
      <c r="F2113" s="389"/>
      <c r="G2113" s="389"/>
      <c r="T2113" s="384" t="str">
        <f>IFERROR(__xludf.DUMMYFUNCTION("""COMPUTED_VALUE"""),"Андерсен")</f>
        <v>Андерсен</v>
      </c>
      <c r="U2113" s="385"/>
      <c r="W2113" s="384" t="str">
        <f>IFERROR(__xludf.DUMMYFUNCTION("""COMPUTED_VALUE"""),"A1 ")</f>
        <v>A1 </v>
      </c>
      <c r="X2113" s="385"/>
    </row>
    <row r="2114">
      <c r="A2114" s="384" t="s">
        <v>153</v>
      </c>
      <c r="B2114" s="384" t="s">
        <v>261</v>
      </c>
      <c r="C2114" s="389">
        <v>2.5</v>
      </c>
      <c r="D2114" s="389">
        <v>3.25</v>
      </c>
      <c r="E2114" s="384"/>
      <c r="F2114" s="389"/>
      <c r="G2114" s="389"/>
      <c r="T2114" s="384" t="str">
        <f>IFERROR(__xludf.DUMMYFUNCTION("""COMPUTED_VALUE"""),"Астория")</f>
        <v>Астория</v>
      </c>
      <c r="U2114" s="385"/>
      <c r="W2114" s="384" t="str">
        <f>IFERROR(__xludf.DUMMYFUNCTION("""COMPUTED_VALUE"""),"Alice ")</f>
        <v>Alice </v>
      </c>
      <c r="X2114" s="385"/>
    </row>
    <row r="2115">
      <c r="A2115" s="384" t="s">
        <v>98</v>
      </c>
      <c r="B2115" s="384" t="s">
        <v>271</v>
      </c>
      <c r="C2115" s="389">
        <v>2.5</v>
      </c>
      <c r="D2115" s="389">
        <v>4.5</v>
      </c>
      <c r="E2115" s="384"/>
      <c r="F2115" s="389"/>
      <c r="G2115" s="389"/>
      <c r="T2115" s="384" t="str">
        <f>IFERROR(__xludf.DUMMYFUNCTION("""COMPUTED_VALUE"""),"Аш")</f>
        <v>Аш</v>
      </c>
      <c r="U2115" s="385"/>
      <c r="W2115" s="384" t="str">
        <f>IFERROR(__xludf.DUMMYFUNCTION("""COMPUTED_VALUE"""),"Bublik")</f>
        <v>Bublik</v>
      </c>
      <c r="X2115" s="385"/>
    </row>
    <row r="2116">
      <c r="A2116" s="384" t="s">
        <v>96</v>
      </c>
      <c r="B2116" s="384" t="s">
        <v>265</v>
      </c>
      <c r="C2116" s="389"/>
      <c r="D2116" s="389">
        <v>2.0</v>
      </c>
      <c r="E2116" s="384"/>
      <c r="F2116" s="389"/>
      <c r="G2116" s="389"/>
      <c r="T2116" s="384" t="str">
        <f>IFERROR(__xludf.DUMMYFUNCTION("""COMPUTED_VALUE"""),"Волга")</f>
        <v>Волга</v>
      </c>
      <c r="U2116" s="385"/>
      <c r="W2116" s="384" t="str">
        <f>IFERROR(__xludf.DUMMYFUNCTION("""COMPUTED_VALUE"""),"BWDMoscow")</f>
        <v>BWDMoscow</v>
      </c>
      <c r="X2116" s="385"/>
    </row>
    <row r="2117">
      <c r="A2117" s="384" t="s">
        <v>108</v>
      </c>
      <c r="B2117" s="384" t="s">
        <v>261</v>
      </c>
      <c r="C2117" s="389">
        <v>2.5</v>
      </c>
      <c r="D2117" s="389">
        <v>3.0</v>
      </c>
      <c r="E2117" s="384" t="s">
        <v>11</v>
      </c>
      <c r="F2117" s="389">
        <v>0.5</v>
      </c>
      <c r="G2117" s="389">
        <v>1.0</v>
      </c>
      <c r="T2117" s="384" t="str">
        <f>IFERROR(__xludf.DUMMYFUNCTION("""COMPUTED_VALUE"""),"Градиент")</f>
        <v>Градиент</v>
      </c>
      <c r="U2117" s="385"/>
      <c r="W2117" s="384" t="str">
        <f>IFERROR(__xludf.DUMMYFUNCTION("""COMPUTED_VALUE"""),"Castor Troy ")</f>
        <v>Castor Troy </v>
      </c>
      <c r="X2117" s="385"/>
    </row>
    <row r="2118">
      <c r="A2118" s="384" t="s">
        <v>138</v>
      </c>
      <c r="B2118" s="384" t="s">
        <v>261</v>
      </c>
      <c r="C2118" s="389">
        <v>2.5</v>
      </c>
      <c r="D2118" s="389">
        <v>3.75</v>
      </c>
      <c r="E2118" s="384"/>
      <c r="F2118" s="389"/>
      <c r="G2118" s="389"/>
      <c r="T2118" s="384" t="str">
        <f>IFERROR(__xludf.DUMMYFUNCTION("""COMPUTED_VALUE"""),"Зверюга")</f>
        <v>Зверюга</v>
      </c>
      <c r="U2118" s="385"/>
      <c r="W2118" s="384" t="str">
        <f>IFERROR(__xludf.DUMMYFUNCTION("""COMPUTED_VALUE"""),"Cristo")</f>
        <v>Cristo</v>
      </c>
      <c r="X2118" s="385"/>
    </row>
    <row r="2119">
      <c r="A2119" s="384" t="s">
        <v>102</v>
      </c>
      <c r="B2119" s="384" t="s">
        <v>261</v>
      </c>
      <c r="C2119" s="389">
        <v>2.5</v>
      </c>
      <c r="D2119" s="389">
        <v>3.75</v>
      </c>
      <c r="E2119" s="384" t="s">
        <v>260</v>
      </c>
      <c r="F2119" s="389"/>
      <c r="G2119" s="389"/>
      <c r="T2119" s="384" t="str">
        <f>IFERROR(__xludf.DUMMYFUNCTION("""COMPUTED_VALUE"""),"Инсомнич")</f>
        <v>Инсомнич</v>
      </c>
      <c r="U2119" s="385"/>
      <c r="W2119" s="384" t="str">
        <f>IFERROR(__xludf.DUMMYFUNCTION("""COMPUTED_VALUE"""),"Curly")</f>
        <v>Curly</v>
      </c>
      <c r="X2119" s="385"/>
    </row>
    <row r="2120">
      <c r="A2120" s="384" t="s">
        <v>97</v>
      </c>
      <c r="B2120" s="384" t="s">
        <v>261</v>
      </c>
      <c r="C2120" s="389">
        <v>2.5</v>
      </c>
      <c r="D2120" s="389">
        <v>3.75</v>
      </c>
      <c r="E2120" s="384" t="s">
        <v>260</v>
      </c>
      <c r="F2120" s="389"/>
      <c r="G2120" s="389"/>
      <c r="T2120" s="384" t="str">
        <f>IFERROR(__xludf.DUMMYFUNCTION("""COMPUTED_VALUE"""),"Красавчик")</f>
        <v>Красавчик</v>
      </c>
      <c r="U2120" s="385"/>
      <c r="W2120" s="384" t="str">
        <f>IFERROR(__xludf.DUMMYFUNCTION("""COMPUTED_VALUE"""),"GALAY")</f>
        <v>GALAY</v>
      </c>
      <c r="X2120" s="385"/>
    </row>
    <row r="2121">
      <c r="A2121" s="384" t="s">
        <v>129</v>
      </c>
      <c r="B2121" s="384" t="s">
        <v>269</v>
      </c>
      <c r="C2121" s="389"/>
      <c r="D2121" s="389">
        <v>2.5</v>
      </c>
      <c r="E2121" s="384" t="s">
        <v>263</v>
      </c>
      <c r="F2121" s="389"/>
      <c r="G2121" s="389"/>
      <c r="T2121" s="384" t="str">
        <f>IFERROR(__xludf.DUMMYFUNCTION("""COMPUTED_VALUE"""),"Крестный отец (BLR)")</f>
        <v>Крестный отец (BLR)</v>
      </c>
      <c r="U2121" s="385"/>
      <c r="W2121" s="384" t="str">
        <f>IFERROR(__xludf.DUMMYFUNCTION("""COMPUTED_VALUE"""),"Helga")</f>
        <v>Helga</v>
      </c>
      <c r="X2121" s="385"/>
    </row>
    <row r="2122">
      <c r="A2122" s="384" t="s">
        <v>106</v>
      </c>
      <c r="B2122" s="384" t="s">
        <v>269</v>
      </c>
      <c r="C2122" s="389"/>
      <c r="D2122" s="389">
        <v>2.0</v>
      </c>
      <c r="E2122" s="384"/>
      <c r="F2122" s="389"/>
      <c r="G2122" s="389"/>
      <c r="T2122" s="384" t="str">
        <f>IFERROR(__xludf.DUMMYFUNCTION("""COMPUTED_VALUE"""),"Крот")</f>
        <v>Крот</v>
      </c>
      <c r="U2122" s="385"/>
      <c r="W2122" s="384" t="str">
        <f>IFERROR(__xludf.DUMMYFUNCTION("""COMPUTED_VALUE"""),"Infinity ")</f>
        <v>Infinity </v>
      </c>
      <c r="X2122" s="385"/>
    </row>
    <row r="2123">
      <c r="A2123" s="384" t="s">
        <v>131</v>
      </c>
      <c r="B2123" s="384" t="s">
        <v>269</v>
      </c>
      <c r="C2123" s="389">
        <v>2.5</v>
      </c>
      <c r="D2123" s="389">
        <v>4.75</v>
      </c>
      <c r="E2123" s="384" t="s">
        <v>260</v>
      </c>
      <c r="F2123" s="389"/>
      <c r="G2123" s="389"/>
      <c r="T2123" s="384" t="str">
        <f>IFERROR(__xludf.DUMMYFUNCTION("""COMPUTED_VALUE"""),"Левша")</f>
        <v>Левша</v>
      </c>
      <c r="U2123" s="385"/>
      <c r="W2123" s="384" t="str">
        <f>IFERROR(__xludf.DUMMYFUNCTION("""COMPUTED_VALUE"""),"Ketamin")</f>
        <v>Ketamin</v>
      </c>
      <c r="X2123" s="385"/>
    </row>
    <row r="2124">
      <c r="A2124" s="384" t="s">
        <v>153</v>
      </c>
      <c r="B2124" s="384" t="s">
        <v>261</v>
      </c>
      <c r="C2124" s="389"/>
      <c r="D2124" s="389">
        <v>2.5</v>
      </c>
      <c r="E2124" s="384" t="s">
        <v>11</v>
      </c>
      <c r="F2124" s="389"/>
      <c r="G2124" s="389">
        <v>0.5</v>
      </c>
      <c r="T2124" s="384" t="str">
        <f>IFERROR(__xludf.DUMMYFUNCTION("""COMPUTED_VALUE"""),"Лисичка")</f>
        <v>Лисичка</v>
      </c>
      <c r="U2124" s="385"/>
      <c r="W2124" s="384" t="str">
        <f>IFERROR(__xludf.DUMMYFUNCTION("""COMPUTED_VALUE"""),"Light")</f>
        <v>Light</v>
      </c>
      <c r="X2124" s="385"/>
    </row>
    <row r="2125">
      <c r="A2125" s="384" t="s">
        <v>98</v>
      </c>
      <c r="B2125" s="384" t="s">
        <v>261</v>
      </c>
      <c r="C2125" s="389"/>
      <c r="D2125" s="389">
        <v>2.75</v>
      </c>
      <c r="E2125" s="384" t="s">
        <v>263</v>
      </c>
      <c r="F2125" s="389"/>
      <c r="G2125" s="389"/>
      <c r="T2125" s="384" t="str">
        <f>IFERROR(__xludf.DUMMYFUNCTION("""COMPUTED_VALUE"""),"Маваши")</f>
        <v>Маваши</v>
      </c>
      <c r="U2125" s="385"/>
      <c r="W2125" s="384" t="str">
        <f>IFERROR(__xludf.DUMMYFUNCTION("""COMPUTED_VALUE"""),"Morti")</f>
        <v>Morti</v>
      </c>
      <c r="X2125" s="385"/>
    </row>
    <row r="2126">
      <c r="A2126" s="384" t="s">
        <v>96</v>
      </c>
      <c r="B2126" s="384" t="s">
        <v>265</v>
      </c>
      <c r="C2126" s="389">
        <v>2.5</v>
      </c>
      <c r="D2126" s="389">
        <v>3.5</v>
      </c>
      <c r="E2126" s="384"/>
      <c r="F2126" s="389"/>
      <c r="G2126" s="389"/>
      <c r="T2126" s="384" t="str">
        <f>IFERROR(__xludf.DUMMYFUNCTION("""COMPUTED_VALUE"""),"Манекен")</f>
        <v>Манекен</v>
      </c>
      <c r="U2126" s="385"/>
      <c r="W2126" s="384" t="str">
        <f>IFERROR(__xludf.DUMMYFUNCTION("""COMPUTED_VALUE"""),"MSR")</f>
        <v>MSR</v>
      </c>
      <c r="X2126" s="385"/>
    </row>
    <row r="2127">
      <c r="A2127" s="384" t="s">
        <v>108</v>
      </c>
      <c r="B2127" s="384" t="s">
        <v>269</v>
      </c>
      <c r="C2127" s="389">
        <v>2.5</v>
      </c>
      <c r="D2127" s="389">
        <v>3.0</v>
      </c>
      <c r="E2127" s="384"/>
      <c r="F2127" s="389"/>
      <c r="G2127" s="389"/>
      <c r="T2127" s="384" t="str">
        <f>IFERROR(__xludf.DUMMYFUNCTION("""COMPUTED_VALUE"""),"Ментик")</f>
        <v>Ментик</v>
      </c>
      <c r="U2127" s="385"/>
      <c r="W2127" s="384" t="str">
        <f>IFERROR(__xludf.DUMMYFUNCTION("""COMPUTED_VALUE"""),"NLIP")</f>
        <v>NLIP</v>
      </c>
      <c r="X2127" s="385"/>
    </row>
    <row r="2128">
      <c r="A2128" s="384" t="s">
        <v>138</v>
      </c>
      <c r="B2128" s="384" t="s">
        <v>271</v>
      </c>
      <c r="C2128" s="389"/>
      <c r="D2128" s="389">
        <v>3.0</v>
      </c>
      <c r="E2128" s="384"/>
      <c r="F2128" s="389"/>
      <c r="G2128" s="389"/>
      <c r="T2128" s="384" t="str">
        <f>IFERROR(__xludf.DUMMYFUNCTION("""COMPUTED_VALUE"""),"Мишель ")</f>
        <v>Мишель </v>
      </c>
      <c r="U2128" s="385"/>
      <c r="W2128" s="384" t="str">
        <f>IFERROR(__xludf.DUMMYFUNCTION("""COMPUTED_VALUE"""),"SCHOKK ")</f>
        <v>SCHOKK </v>
      </c>
      <c r="X2128" s="385"/>
    </row>
    <row r="2129">
      <c r="A2129" s="384" t="s">
        <v>102</v>
      </c>
      <c r="B2129" s="384" t="s">
        <v>261</v>
      </c>
      <c r="C2129" s="389"/>
      <c r="D2129" s="389">
        <v>2.75</v>
      </c>
      <c r="E2129" s="384" t="s">
        <v>263</v>
      </c>
      <c r="F2129" s="389"/>
      <c r="G2129" s="389"/>
      <c r="T2129" s="384" t="str">
        <f>IFERROR(__xludf.DUMMYFUNCTION("""COMPUTED_VALUE"""),"Наполеон")</f>
        <v>Наполеон</v>
      </c>
      <c r="U2129" s="385"/>
      <c r="W2129" s="384" t="str">
        <f>IFERROR(__xludf.DUMMYFUNCTION("""COMPUTED_VALUE"""),"SOVEST")</f>
        <v>SOVEST</v>
      </c>
      <c r="X2129" s="385"/>
    </row>
    <row r="2130">
      <c r="A2130" s="384" t="s">
        <v>97</v>
      </c>
      <c r="B2130" s="384" t="s">
        <v>261</v>
      </c>
      <c r="C2130" s="389"/>
      <c r="D2130" s="389">
        <v>1.5</v>
      </c>
      <c r="E2130" s="384" t="s">
        <v>263</v>
      </c>
      <c r="F2130" s="389"/>
      <c r="G2130" s="389"/>
      <c r="T2130" s="384" t="str">
        <f>IFERROR(__xludf.DUMMYFUNCTION("""COMPUTED_VALUE"""),"Панда из Руанды")</f>
        <v>Панда из Руанды</v>
      </c>
      <c r="U2130" s="385"/>
      <c r="W2130" s="384" t="str">
        <f>IFERROR(__xludf.DUMMYFUNCTION("""COMPUTED_VALUE"""),"Stacy")</f>
        <v>Stacy</v>
      </c>
      <c r="X2130" s="385"/>
    </row>
    <row r="2131">
      <c r="A2131" s="384" t="s">
        <v>129</v>
      </c>
      <c r="B2131" s="384" t="s">
        <v>261</v>
      </c>
      <c r="C2131" s="389"/>
      <c r="D2131" s="389">
        <v>2.0</v>
      </c>
      <c r="E2131" s="384"/>
      <c r="F2131" s="389"/>
      <c r="G2131" s="389"/>
      <c r="T2131" s="384" t="str">
        <f>IFERROR(__xludf.DUMMYFUNCTION("""COMPUTED_VALUE"""),"Правда ")</f>
        <v>Правда </v>
      </c>
      <c r="U2131" s="385"/>
      <c r="W2131" s="384" t="str">
        <f>IFERROR(__xludf.DUMMYFUNCTION("""COMPUTED_VALUE"""),"WhoIsWho")</f>
        <v>WhoIsWho</v>
      </c>
      <c r="X2131" s="385"/>
    </row>
    <row r="2132">
      <c r="A2132" s="384" t="s">
        <v>106</v>
      </c>
      <c r="B2132" s="384" t="s">
        <v>261</v>
      </c>
      <c r="C2132" s="389"/>
      <c r="D2132" s="389">
        <v>1.75</v>
      </c>
      <c r="E2132" s="384"/>
      <c r="F2132" s="389"/>
      <c r="G2132" s="389"/>
      <c r="T2132" s="384" t="str">
        <f>IFERROR(__xludf.DUMMYFUNCTION("""COMPUTED_VALUE"""),"РФ")</f>
        <v>РФ</v>
      </c>
      <c r="U2132" s="385"/>
      <c r="W2132" s="384" t="str">
        <f>IFERROR(__xludf.DUMMYFUNCTION("""COMPUTED_VALUE"""),"Young")</f>
        <v>Young</v>
      </c>
      <c r="X2132" s="385"/>
    </row>
    <row r="2133">
      <c r="A2133" s="384" t="s">
        <v>131</v>
      </c>
      <c r="B2133" s="384" t="s">
        <v>271</v>
      </c>
      <c r="C2133" s="389"/>
      <c r="D2133" s="389">
        <v>1.75</v>
      </c>
      <c r="E2133" s="384" t="s">
        <v>11</v>
      </c>
      <c r="F2133" s="389"/>
      <c r="G2133" s="389">
        <v>0.5</v>
      </c>
      <c r="T2133" s="384" t="str">
        <f>IFERROR(__xludf.DUMMYFUNCTION("""COMPUTED_VALUE"""),"Старый")</f>
        <v>Старый</v>
      </c>
      <c r="U2133" s="385"/>
      <c r="W2133" s="384" t="str">
        <f>IFERROR(__xludf.DUMMYFUNCTION("""COMPUTED_VALUE"""),"Авраам")</f>
        <v>Авраам</v>
      </c>
      <c r="X2133" s="385"/>
    </row>
    <row r="2134">
      <c r="A2134" s="384" t="s">
        <v>153</v>
      </c>
      <c r="B2134" s="384" t="s">
        <v>269</v>
      </c>
      <c r="C2134" s="389">
        <v>2.5</v>
      </c>
      <c r="D2134" s="389">
        <v>4.25</v>
      </c>
      <c r="E2134" s="384"/>
      <c r="F2134" s="389"/>
      <c r="G2134" s="389"/>
      <c r="T2134" s="384" t="str">
        <f>IFERROR(__xludf.DUMMYFUNCTION("""COMPUTED_VALUE"""),"СЭНСЭЙ")</f>
        <v>СЭНСЭЙ</v>
      </c>
      <c r="U2134" s="385"/>
      <c r="W2134" s="384" t="str">
        <f>IFERROR(__xludf.DUMMYFUNCTION("""COMPUTED_VALUE"""),"Андерсен")</f>
        <v>Андерсен</v>
      </c>
      <c r="X2134" s="385"/>
    </row>
    <row r="2135">
      <c r="A2135" s="384" t="s">
        <v>98</v>
      </c>
      <c r="B2135" s="384" t="s">
        <v>261</v>
      </c>
      <c r="C2135" s="389"/>
      <c r="D2135" s="389">
        <v>2.0</v>
      </c>
      <c r="E2135" s="384"/>
      <c r="F2135" s="389"/>
      <c r="G2135" s="389"/>
      <c r="T2135" s="384" t="str">
        <f>IFERROR(__xludf.DUMMYFUNCTION("""COMPUTED_VALUE"""),"Тихий закат")</f>
        <v>Тихий закат</v>
      </c>
      <c r="U2135" s="385"/>
      <c r="W2135" s="384" t="str">
        <f>IFERROR(__xludf.DUMMYFUNCTION("""COMPUTED_VALUE"""),"Астория")</f>
        <v>Астория</v>
      </c>
      <c r="X2135" s="385"/>
    </row>
    <row r="2136">
      <c r="A2136" s="384" t="s">
        <v>96</v>
      </c>
      <c r="B2136" s="384" t="s">
        <v>265</v>
      </c>
      <c r="C2136" s="389">
        <v>2.5</v>
      </c>
      <c r="D2136" s="389">
        <v>3.25</v>
      </c>
      <c r="E2136" s="384"/>
      <c r="F2136" s="389"/>
      <c r="G2136" s="389"/>
      <c r="T2136" s="384" t="str">
        <f>IFERROR(__xludf.DUMMYFUNCTION("""COMPUTED_VALUE"""),"Физик")</f>
        <v>Физик</v>
      </c>
      <c r="U2136" s="385"/>
      <c r="W2136" s="384" t="str">
        <f>IFERROR(__xludf.DUMMYFUNCTION("""COMPUTED_VALUE"""),"Аш")</f>
        <v>Аш</v>
      </c>
      <c r="X2136" s="385"/>
    </row>
    <row r="2137">
      <c r="A2137" s="384" t="s">
        <v>108</v>
      </c>
      <c r="B2137" s="384" t="s">
        <v>261</v>
      </c>
      <c r="C2137" s="389"/>
      <c r="D2137" s="389">
        <v>1.5</v>
      </c>
      <c r="E2137" s="384"/>
      <c r="F2137" s="389"/>
      <c r="G2137" s="389"/>
      <c r="T2137" s="384" t="str">
        <f>IFERROR(__xludf.DUMMYFUNCTION("""COMPUTED_VALUE"""),"Флэш")</f>
        <v>Флэш</v>
      </c>
      <c r="U2137" s="385"/>
      <c r="W2137" s="384" t="str">
        <f>IFERROR(__xludf.DUMMYFUNCTION("""COMPUTED_VALUE"""),"Бамблби")</f>
        <v>Бамблби</v>
      </c>
      <c r="X2137" s="385"/>
    </row>
    <row r="2138">
      <c r="A2138" s="384" t="s">
        <v>138</v>
      </c>
      <c r="B2138" s="384" t="s">
        <v>261</v>
      </c>
      <c r="C2138" s="389"/>
      <c r="D2138" s="389">
        <v>2.5</v>
      </c>
      <c r="E2138" s="384"/>
      <c r="F2138" s="389"/>
      <c r="G2138" s="389"/>
      <c r="T2138" s="384" t="str">
        <f>IFERROR(__xludf.DUMMYFUNCTION("""COMPUTED_VALUE"""),"Фокс")</f>
        <v>Фокс</v>
      </c>
      <c r="U2138" s="385"/>
      <c r="W2138" s="384" t="str">
        <f>IFERROR(__xludf.DUMMYFUNCTION("""COMPUTED_VALUE"""),"Волга")</f>
        <v>Волга</v>
      </c>
      <c r="X2138" s="385"/>
    </row>
    <row r="2139">
      <c r="A2139" s="384" t="s">
        <v>102</v>
      </c>
      <c r="B2139" s="384" t="s">
        <v>261</v>
      </c>
      <c r="C2139" s="389"/>
      <c r="D2139" s="389">
        <v>2.25</v>
      </c>
      <c r="E2139" s="384"/>
      <c r="F2139" s="389"/>
      <c r="G2139" s="389"/>
      <c r="T2139" s="384" t="str">
        <f>IFERROR(__xludf.DUMMYFUNCTION("""COMPUTED_VALUE"""),"Шпиц")</f>
        <v>Шпиц</v>
      </c>
      <c r="U2139" s="385"/>
      <c r="W2139" s="384" t="str">
        <f>IFERROR(__xludf.DUMMYFUNCTION("""COMPUTED_VALUE"""),"Градиент")</f>
        <v>Градиент</v>
      </c>
      <c r="X2139" s="385"/>
    </row>
    <row r="2140">
      <c r="A2140" s="384" t="s">
        <v>97</v>
      </c>
      <c r="B2140" s="384" t="s">
        <v>261</v>
      </c>
      <c r="C2140" s="389"/>
      <c r="D2140" s="389">
        <v>2.0</v>
      </c>
      <c r="E2140" s="384"/>
      <c r="F2140" s="389"/>
      <c r="G2140" s="389"/>
      <c r="T2140" s="384" t="str">
        <f>IFERROR(__xludf.DUMMYFUNCTION("""COMPUTED_VALUE"""),"Юрия")</f>
        <v>Юрия</v>
      </c>
      <c r="U2140" s="385"/>
      <c r="W2140" s="384" t="str">
        <f>IFERROR(__xludf.DUMMYFUNCTION("""COMPUTED_VALUE"""),"Зверюга")</f>
        <v>Зверюга</v>
      </c>
      <c r="X2140" s="385"/>
    </row>
    <row r="2141">
      <c r="A2141" s="384" t="s">
        <v>129</v>
      </c>
      <c r="B2141" s="384" t="s">
        <v>269</v>
      </c>
      <c r="C2141" s="389">
        <v>2.5</v>
      </c>
      <c r="D2141" s="389">
        <v>2.5</v>
      </c>
      <c r="E2141" s="384"/>
      <c r="F2141" s="389"/>
      <c r="G2141" s="389"/>
      <c r="T2141" s="384" t="str">
        <f>IFERROR(__xludf.DUMMYFUNCTION("""COMPUTED_VALUE"""),"A1 ")</f>
        <v>A1 </v>
      </c>
      <c r="U2141" s="385"/>
      <c r="W2141" s="384" t="str">
        <f>IFERROR(__xludf.DUMMYFUNCTION("""COMPUTED_VALUE"""),"Инсомнич")</f>
        <v>Инсомнич</v>
      </c>
      <c r="X2141" s="385"/>
    </row>
    <row r="2142">
      <c r="A2142" s="384" t="s">
        <v>106</v>
      </c>
      <c r="B2142" s="384" t="s">
        <v>261</v>
      </c>
      <c r="C2142" s="389"/>
      <c r="D2142" s="389">
        <v>2.0</v>
      </c>
      <c r="E2142" s="384"/>
      <c r="F2142" s="389"/>
      <c r="G2142" s="389"/>
      <c r="T2142" s="384" t="str">
        <f>IFERROR(__xludf.DUMMYFUNCTION("""COMPUTED_VALUE"""),"Alice ")</f>
        <v>Alice </v>
      </c>
      <c r="U2142" s="385"/>
      <c r="W2142" s="384" t="str">
        <f>IFERROR(__xludf.DUMMYFUNCTION("""COMPUTED_VALUE"""),"Красавчик")</f>
        <v>Красавчик</v>
      </c>
      <c r="X2142" s="385"/>
    </row>
    <row r="2143">
      <c r="A2143" s="384" t="s">
        <v>131</v>
      </c>
      <c r="B2143" s="384" t="s">
        <v>269</v>
      </c>
      <c r="C2143" s="389">
        <v>2.5</v>
      </c>
      <c r="D2143" s="389">
        <v>3.0</v>
      </c>
      <c r="E2143" s="384"/>
      <c r="F2143" s="389"/>
      <c r="G2143" s="389"/>
      <c r="T2143" s="384" t="str">
        <f>IFERROR(__xludf.DUMMYFUNCTION("""COMPUTED_VALUE"""),"Bublik")</f>
        <v>Bublik</v>
      </c>
      <c r="U2143" s="385"/>
      <c r="W2143" s="384" t="str">
        <f>IFERROR(__xludf.DUMMYFUNCTION("""COMPUTED_VALUE"""),"Крестный отец (BLR)")</f>
        <v>Крестный отец (BLR)</v>
      </c>
      <c r="X2143" s="385"/>
    </row>
    <row r="2144">
      <c r="A2144" s="384" t="s">
        <v>153</v>
      </c>
      <c r="B2144" s="384" t="s">
        <v>261</v>
      </c>
      <c r="C2144" s="389"/>
      <c r="D2144" s="389">
        <v>3.75</v>
      </c>
      <c r="E2144" s="384"/>
      <c r="F2144" s="389"/>
      <c r="G2144" s="389"/>
      <c r="T2144" s="384" t="str">
        <f>IFERROR(__xludf.DUMMYFUNCTION("""COMPUTED_VALUE"""),"BWDMoscow")</f>
        <v>BWDMoscow</v>
      </c>
      <c r="U2144" s="385"/>
      <c r="W2144" s="384" t="str">
        <f>IFERROR(__xludf.DUMMYFUNCTION("""COMPUTED_VALUE"""),"Левша")</f>
        <v>Левша</v>
      </c>
      <c r="X2144" s="385"/>
    </row>
    <row r="2145">
      <c r="A2145" s="384" t="s">
        <v>98</v>
      </c>
      <c r="B2145" s="384" t="s">
        <v>265</v>
      </c>
      <c r="C2145" s="389">
        <v>2.5</v>
      </c>
      <c r="D2145" s="389">
        <v>4.25</v>
      </c>
      <c r="E2145" s="384"/>
      <c r="F2145" s="389"/>
      <c r="G2145" s="389"/>
      <c r="T2145" s="384" t="str">
        <f>IFERROR(__xludf.DUMMYFUNCTION("""COMPUTED_VALUE"""),"Castor Troy ")</f>
        <v>Castor Troy </v>
      </c>
      <c r="U2145" s="385"/>
      <c r="W2145" s="384" t="str">
        <f>IFERROR(__xludf.DUMMYFUNCTION("""COMPUTED_VALUE"""),"Лисичка")</f>
        <v>Лисичка</v>
      </c>
      <c r="X2145" s="385"/>
    </row>
    <row r="2146">
      <c r="A2146" s="384" t="s">
        <v>96</v>
      </c>
      <c r="B2146" s="384" t="s">
        <v>261</v>
      </c>
      <c r="C2146" s="389"/>
      <c r="D2146" s="389">
        <v>1.25</v>
      </c>
      <c r="E2146" s="384"/>
      <c r="F2146" s="389"/>
      <c r="G2146" s="389"/>
      <c r="T2146" s="384" t="str">
        <f>IFERROR(__xludf.DUMMYFUNCTION("""COMPUTED_VALUE"""),"Cristo")</f>
        <v>Cristo</v>
      </c>
      <c r="U2146" s="385"/>
      <c r="W2146" s="384" t="str">
        <f>IFERROR(__xludf.DUMMYFUNCTION("""COMPUTED_VALUE"""),"Маваши")</f>
        <v>Маваши</v>
      </c>
      <c r="X2146" s="385"/>
    </row>
    <row r="2147">
      <c r="A2147" s="384" t="s">
        <v>108</v>
      </c>
      <c r="B2147" s="384" t="s">
        <v>261</v>
      </c>
      <c r="C2147" s="389"/>
      <c r="D2147" s="389">
        <v>3.25</v>
      </c>
      <c r="E2147" s="384"/>
      <c r="F2147" s="389"/>
      <c r="G2147" s="389"/>
      <c r="T2147" s="384" t="str">
        <f>IFERROR(__xludf.DUMMYFUNCTION("""COMPUTED_VALUE"""),"Curly")</f>
        <v>Curly</v>
      </c>
      <c r="U2147" s="385"/>
      <c r="W2147" s="384" t="str">
        <f>IFERROR(__xludf.DUMMYFUNCTION("""COMPUTED_VALUE"""),"Манекен")</f>
        <v>Манекен</v>
      </c>
      <c r="X2147" s="385"/>
    </row>
    <row r="2148">
      <c r="A2148" s="384" t="s">
        <v>138</v>
      </c>
      <c r="B2148" s="384" t="s">
        <v>271</v>
      </c>
      <c r="C2148" s="389"/>
      <c r="D2148" s="389">
        <v>2.5</v>
      </c>
      <c r="E2148" s="384"/>
      <c r="F2148" s="389"/>
      <c r="G2148" s="389"/>
      <c r="T2148" s="384" t="str">
        <f>IFERROR(__xludf.DUMMYFUNCTION("""COMPUTED_VALUE"""),"GALAY")</f>
        <v>GALAY</v>
      </c>
      <c r="U2148" s="385"/>
      <c r="W2148" s="384" t="str">
        <f>IFERROR(__xludf.DUMMYFUNCTION("""COMPUTED_VALUE"""),"Марго")</f>
        <v>Марго</v>
      </c>
      <c r="X2148" s="385"/>
    </row>
    <row r="2149">
      <c r="A2149" s="384" t="s">
        <v>102</v>
      </c>
      <c r="B2149" s="384" t="s">
        <v>261</v>
      </c>
      <c r="C2149" s="389"/>
      <c r="D2149" s="389">
        <v>1.75</v>
      </c>
      <c r="E2149" s="384" t="s">
        <v>11</v>
      </c>
      <c r="F2149" s="389"/>
      <c r="G2149" s="389">
        <v>0.5</v>
      </c>
      <c r="T2149" s="384" t="str">
        <f>IFERROR(__xludf.DUMMYFUNCTION("""COMPUTED_VALUE"""),"Helga")</f>
        <v>Helga</v>
      </c>
      <c r="U2149" s="385"/>
      <c r="W2149" s="384" t="str">
        <f>IFERROR(__xludf.DUMMYFUNCTION("""COMPUTED_VALUE"""),"Ментик")</f>
        <v>Ментик</v>
      </c>
      <c r="X2149" s="385"/>
    </row>
    <row r="2150">
      <c r="A2150" s="384" t="s">
        <v>97</v>
      </c>
      <c r="B2150" s="384" t="s">
        <v>261</v>
      </c>
      <c r="C2150" s="389"/>
      <c r="D2150" s="389">
        <v>2.5</v>
      </c>
      <c r="E2150" s="384"/>
      <c r="F2150" s="389"/>
      <c r="G2150" s="389"/>
      <c r="T2150" s="384" t="str">
        <f>IFERROR(__xludf.DUMMYFUNCTION("""COMPUTED_VALUE"""),"Infinity ")</f>
        <v>Infinity </v>
      </c>
      <c r="U2150" s="385"/>
      <c r="W2150" s="384" t="str">
        <f>IFERROR(__xludf.DUMMYFUNCTION("""COMPUTED_VALUE"""),"Мишель ")</f>
        <v>Мишель </v>
      </c>
      <c r="X2150" s="385"/>
    </row>
    <row r="2151">
      <c r="A2151" s="384" t="s">
        <v>129</v>
      </c>
      <c r="B2151" s="384" t="s">
        <v>261</v>
      </c>
      <c r="C2151" s="389"/>
      <c r="D2151" s="389">
        <v>2.5</v>
      </c>
      <c r="E2151" s="384"/>
      <c r="F2151" s="389"/>
      <c r="G2151" s="389"/>
      <c r="T2151" s="384" t="str">
        <f>IFERROR(__xludf.DUMMYFUNCTION("""COMPUTED_VALUE"""),"Ketamin")</f>
        <v>Ketamin</v>
      </c>
      <c r="U2151" s="385"/>
      <c r="W2151" s="384" t="str">
        <f>IFERROR(__xludf.DUMMYFUNCTION("""COMPUTED_VALUE"""),"Наполеон")</f>
        <v>Наполеон</v>
      </c>
      <c r="X2151" s="385"/>
    </row>
    <row r="2152">
      <c r="A2152" s="384" t="s">
        <v>106</v>
      </c>
      <c r="B2152" s="384" t="s">
        <v>269</v>
      </c>
      <c r="C2152" s="389">
        <v>2.5</v>
      </c>
      <c r="D2152" s="389">
        <v>3.75</v>
      </c>
      <c r="E2152" s="384"/>
      <c r="F2152" s="389"/>
      <c r="G2152" s="389"/>
      <c r="T2152" s="384" t="str">
        <f>IFERROR(__xludf.DUMMYFUNCTION("""COMPUTED_VALUE"""),"Light")</f>
        <v>Light</v>
      </c>
      <c r="U2152" s="385"/>
      <c r="W2152" s="384" t="str">
        <f>IFERROR(__xludf.DUMMYFUNCTION("""COMPUTED_VALUE"""),"Панда из Руанды")</f>
        <v>Панда из Руанды</v>
      </c>
      <c r="X2152" s="385"/>
    </row>
    <row r="2153">
      <c r="A2153" s="384" t="s">
        <v>131</v>
      </c>
      <c r="B2153" s="384" t="s">
        <v>271</v>
      </c>
      <c r="C2153" s="389">
        <v>2.5</v>
      </c>
      <c r="D2153" s="389">
        <v>2.5</v>
      </c>
      <c r="E2153" s="384"/>
      <c r="F2153" s="389"/>
      <c r="G2153" s="389"/>
      <c r="T2153" s="384" t="str">
        <f>IFERROR(__xludf.DUMMYFUNCTION("""COMPUTED_VALUE"""),"Morti")</f>
        <v>Morti</v>
      </c>
      <c r="U2153" s="385"/>
      <c r="W2153" s="384" t="str">
        <f>IFERROR(__xludf.DUMMYFUNCTION("""COMPUTED_VALUE"""),"Писатель ")</f>
        <v>Писатель </v>
      </c>
      <c r="X2153" s="385"/>
    </row>
    <row r="2154">
      <c r="A2154" s="384" t="s">
        <v>91</v>
      </c>
      <c r="B2154" s="384" t="s">
        <v>261</v>
      </c>
      <c r="C2154" s="389">
        <v>2.5</v>
      </c>
      <c r="D2154" s="389">
        <v>3.25</v>
      </c>
      <c r="E2154" s="384"/>
      <c r="F2154" s="389"/>
      <c r="G2154" s="389"/>
      <c r="T2154" s="384" t="str">
        <f>IFERROR(__xludf.DUMMYFUNCTION("""COMPUTED_VALUE"""),"MSR")</f>
        <v>MSR</v>
      </c>
      <c r="U2154" s="385"/>
      <c r="W2154" s="384" t="str">
        <f>IFERROR(__xludf.DUMMYFUNCTION("""COMPUTED_VALUE"""),"РФ")</f>
        <v>РФ</v>
      </c>
      <c r="X2154" s="385"/>
    </row>
    <row r="2155">
      <c r="A2155" s="384" t="s">
        <v>153</v>
      </c>
      <c r="B2155" s="384" t="s">
        <v>261</v>
      </c>
      <c r="C2155" s="389">
        <v>2.5</v>
      </c>
      <c r="D2155" s="389">
        <v>3.75</v>
      </c>
      <c r="E2155" s="384"/>
      <c r="F2155" s="389"/>
      <c r="G2155" s="389"/>
      <c r="T2155" s="384" t="str">
        <f>IFERROR(__xludf.DUMMYFUNCTION("""COMPUTED_VALUE"""),"NLIP")</f>
        <v>NLIP</v>
      </c>
      <c r="U2155" s="385"/>
      <c r="W2155" s="384" t="str">
        <f>IFERROR(__xludf.DUMMYFUNCTION("""COMPUTED_VALUE"""),"Старый")</f>
        <v>Старый</v>
      </c>
      <c r="X2155" s="385"/>
    </row>
    <row r="2156">
      <c r="A2156" s="384" t="s">
        <v>108</v>
      </c>
      <c r="B2156" s="384" t="s">
        <v>261</v>
      </c>
      <c r="C2156" s="389">
        <v>2.5</v>
      </c>
      <c r="D2156" s="389">
        <v>1.75</v>
      </c>
      <c r="E2156" s="384"/>
      <c r="F2156" s="389"/>
      <c r="G2156" s="389"/>
      <c r="T2156" s="384" t="str">
        <f>IFERROR(__xludf.DUMMYFUNCTION("""COMPUTED_VALUE"""),"Rocket woman ")</f>
        <v>Rocket woman </v>
      </c>
      <c r="U2156" s="385"/>
      <c r="W2156" s="384" t="str">
        <f>IFERROR(__xludf.DUMMYFUNCTION("""COMPUTED_VALUE"""),"СЭНСЭЙ")</f>
        <v>СЭНСЭЙ</v>
      </c>
      <c r="X2156" s="385"/>
    </row>
    <row r="2157">
      <c r="A2157" s="384" t="s">
        <v>124</v>
      </c>
      <c r="B2157" s="384" t="s">
        <v>261</v>
      </c>
      <c r="C2157" s="389">
        <v>2.5</v>
      </c>
      <c r="D2157" s="389">
        <v>4.25</v>
      </c>
      <c r="E2157" s="384" t="s">
        <v>260</v>
      </c>
      <c r="F2157" s="389"/>
      <c r="G2157" s="389"/>
      <c r="T2157" s="384" t="str">
        <f>IFERROR(__xludf.DUMMYFUNCTION("""COMPUTED_VALUE"""),"SCHOKK ")</f>
        <v>SCHOKK </v>
      </c>
      <c r="U2157" s="385"/>
      <c r="W2157" s="384" t="str">
        <f>IFERROR(__xludf.DUMMYFUNCTION("""COMPUTED_VALUE"""),"Coach")</f>
        <v>Coach</v>
      </c>
      <c r="X2157" s="385"/>
    </row>
    <row r="2158">
      <c r="A2158" s="384" t="s">
        <v>104</v>
      </c>
      <c r="B2158" s="384" t="s">
        <v>261</v>
      </c>
      <c r="C2158" s="389">
        <v>2.5</v>
      </c>
      <c r="D2158" s="389">
        <v>4.25</v>
      </c>
      <c r="E2158" s="384" t="s">
        <v>260</v>
      </c>
      <c r="F2158" s="389"/>
      <c r="G2158" s="389"/>
      <c r="T2158" s="384" t="str">
        <f>IFERROR(__xludf.DUMMYFUNCTION("""COMPUTED_VALUE"""),"SOVEST")</f>
        <v>SOVEST</v>
      </c>
      <c r="U2158" s="385"/>
      <c r="W2158" s="384" t="str">
        <f>IFERROR(__xludf.DUMMYFUNCTION("""COMPUTED_VALUE"""),"Тихий закат")</f>
        <v>Тихий закат</v>
      </c>
      <c r="X2158" s="385"/>
    </row>
    <row r="2159">
      <c r="A2159" s="384" t="s">
        <v>129</v>
      </c>
      <c r="B2159" s="384" t="s">
        <v>261</v>
      </c>
      <c r="C2159" s="389">
        <v>2.5</v>
      </c>
      <c r="D2159" s="389">
        <v>2.0</v>
      </c>
      <c r="E2159" s="384"/>
      <c r="F2159" s="389"/>
      <c r="G2159" s="389"/>
      <c r="T2159" s="384" t="str">
        <f>IFERROR(__xludf.DUMMYFUNCTION("""COMPUTED_VALUE"""),"Stacy")</f>
        <v>Stacy</v>
      </c>
      <c r="U2159" s="385"/>
      <c r="W2159" s="384" t="str">
        <f>IFERROR(__xludf.DUMMYFUNCTION("""COMPUTED_VALUE"""),"Физик")</f>
        <v>Физик</v>
      </c>
      <c r="X2159" s="385"/>
    </row>
    <row r="2160">
      <c r="A2160" s="384" t="s">
        <v>117</v>
      </c>
      <c r="B2160" s="384" t="s">
        <v>269</v>
      </c>
      <c r="C2160" s="389"/>
      <c r="D2160" s="389">
        <v>1.75</v>
      </c>
      <c r="E2160" s="384" t="s">
        <v>263</v>
      </c>
      <c r="F2160" s="389"/>
      <c r="G2160" s="389"/>
      <c r="T2160" s="384" t="str">
        <f>IFERROR(__xludf.DUMMYFUNCTION("""COMPUTED_VALUE"""),"WhoIsWho")</f>
        <v>WhoIsWho</v>
      </c>
      <c r="U2160" s="385"/>
      <c r="W2160" s="384" t="str">
        <f>IFERROR(__xludf.DUMMYFUNCTION("""COMPUTED_VALUE"""),"Флэш")</f>
        <v>Флэш</v>
      </c>
      <c r="X2160" s="385"/>
    </row>
    <row r="2161">
      <c r="A2161" s="384" t="s">
        <v>79</v>
      </c>
      <c r="B2161" s="384" t="s">
        <v>265</v>
      </c>
      <c r="C2161" s="389"/>
      <c r="D2161" s="389">
        <v>2.5</v>
      </c>
      <c r="E2161" s="384"/>
      <c r="F2161" s="389"/>
      <c r="G2161" s="389"/>
      <c r="T2161" s="384" t="str">
        <f>IFERROR(__xludf.DUMMYFUNCTION("""COMPUTED_VALUE"""),"Young")</f>
        <v>Young</v>
      </c>
      <c r="U2161" s="385"/>
      <c r="W2161" s="384" t="str">
        <f>IFERROR(__xludf.DUMMYFUNCTION("""COMPUTED_VALUE"""),"Фокс")</f>
        <v>Фокс</v>
      </c>
      <c r="X2161" s="385"/>
    </row>
    <row r="2162">
      <c r="A2162" s="384" t="s">
        <v>116</v>
      </c>
      <c r="B2162" s="384" t="s">
        <v>269</v>
      </c>
      <c r="C2162" s="389"/>
      <c r="D2162" s="389">
        <v>2.25</v>
      </c>
      <c r="E2162" s="384"/>
      <c r="F2162" s="389"/>
      <c r="G2162" s="389"/>
      <c r="T2162" s="384" t="str">
        <f>IFERROR(__xludf.DUMMYFUNCTION("QUERY('Турнирная таблица по Алфавиту'!C7:BG66,""select C,BD order by BD desc"")"),"Stacy")</f>
        <v>Stacy</v>
      </c>
      <c r="U2162" s="385">
        <f>IFERROR(__xludf.DUMMYFUNCTION("""COMPUTED_VALUE"""),23.0)</f>
        <v>23</v>
      </c>
      <c r="W2162" s="384" t="str">
        <f>IFERROR(__xludf.DUMMYFUNCTION("""COMPUTED_VALUE"""),"Шпиц")</f>
        <v>Шпиц</v>
      </c>
      <c r="X2162" s="385"/>
    </row>
    <row r="2163">
      <c r="A2163" s="384" t="s">
        <v>131</v>
      </c>
      <c r="B2163" s="384" t="s">
        <v>271</v>
      </c>
      <c r="C2163" s="389"/>
      <c r="D2163" s="389">
        <v>3.5</v>
      </c>
      <c r="E2163" s="384"/>
      <c r="F2163" s="389"/>
      <c r="G2163" s="389"/>
      <c r="T2163" s="384" t="str">
        <f>IFERROR(__xludf.DUMMYFUNCTION("""COMPUTED_VALUE"""),"SOVEST")</f>
        <v>SOVEST</v>
      </c>
      <c r="U2163" s="385">
        <f>IFERROR(__xludf.DUMMYFUNCTION("""COMPUTED_VALUE"""),21.25)</f>
        <v>21.25</v>
      </c>
      <c r="W2163" s="384" t="str">
        <f>IFERROR(__xludf.DUMMYFUNCTION("""COMPUTED_VALUE"""),"Юрия")</f>
        <v>Юрия</v>
      </c>
      <c r="X2163" s="385"/>
    </row>
    <row r="2164">
      <c r="A2164" s="384" t="s">
        <v>91</v>
      </c>
      <c r="B2164" s="384" t="s">
        <v>269</v>
      </c>
      <c r="C2164" s="389">
        <v>2.5</v>
      </c>
      <c r="D2164" s="389">
        <v>3.75</v>
      </c>
      <c r="E2164" s="384"/>
      <c r="F2164" s="389"/>
      <c r="G2164" s="389"/>
      <c r="T2164" s="384" t="str">
        <f>IFERROR(__xludf.DUMMYFUNCTION("""COMPUTED_VALUE"""),"Флэш")</f>
        <v>Флэш</v>
      </c>
      <c r="U2164" s="385">
        <f>IFERROR(__xludf.DUMMYFUNCTION("""COMPUTED_VALUE"""),20.5)</f>
        <v>20.5</v>
      </c>
      <c r="W2164" s="384" t="str">
        <f>IFERROR(__xludf.DUMMYFUNCTION("""COMPUTED_VALUE"""),"A1 ")</f>
        <v>A1 </v>
      </c>
      <c r="X2164" s="385"/>
    </row>
    <row r="2165">
      <c r="A2165" s="384" t="s">
        <v>153</v>
      </c>
      <c r="B2165" s="384" t="s">
        <v>261</v>
      </c>
      <c r="C2165" s="389"/>
      <c r="D2165" s="389">
        <v>4.0</v>
      </c>
      <c r="E2165" s="384"/>
      <c r="F2165" s="389"/>
      <c r="G2165" s="389"/>
      <c r="T2165" s="384" t="str">
        <f>IFERROR(__xludf.DUMMYFUNCTION("""COMPUTED_VALUE"""),"Cristo")</f>
        <v>Cristo</v>
      </c>
      <c r="U2165" s="385">
        <f>IFERROR(__xludf.DUMMYFUNCTION("""COMPUTED_VALUE"""),19.75)</f>
        <v>19.75</v>
      </c>
      <c r="W2165" s="384" t="str">
        <f>IFERROR(__xludf.DUMMYFUNCTION("""COMPUTED_VALUE"""),"Alice ")</f>
        <v>Alice </v>
      </c>
      <c r="X2165" s="385"/>
    </row>
    <row r="2166">
      <c r="A2166" s="384" t="s">
        <v>108</v>
      </c>
      <c r="B2166" s="384" t="s">
        <v>269</v>
      </c>
      <c r="C2166" s="389">
        <v>2.5</v>
      </c>
      <c r="D2166" s="389">
        <v>4.0</v>
      </c>
      <c r="E2166" s="384"/>
      <c r="F2166" s="389"/>
      <c r="G2166" s="389"/>
      <c r="T2166" s="384" t="str">
        <f>IFERROR(__xludf.DUMMYFUNCTION("""COMPUTED_VALUE"""),"Дровосек")</f>
        <v>Дровосек</v>
      </c>
      <c r="U2166" s="385">
        <f>IFERROR(__xludf.DUMMYFUNCTION("""COMPUTED_VALUE"""),19.0)</f>
        <v>19</v>
      </c>
      <c r="W2166" s="384" t="str">
        <f>IFERROR(__xludf.DUMMYFUNCTION("""COMPUTED_VALUE"""),"Bublik")</f>
        <v>Bublik</v>
      </c>
      <c r="X2166" s="385"/>
    </row>
    <row r="2167">
      <c r="A2167" s="384" t="s">
        <v>124</v>
      </c>
      <c r="B2167" s="384" t="s">
        <v>261</v>
      </c>
      <c r="C2167" s="389"/>
      <c r="D2167" s="389">
        <v>1.25</v>
      </c>
      <c r="E2167" s="384"/>
      <c r="F2167" s="389"/>
      <c r="G2167" s="389"/>
      <c r="T2167" s="384" t="str">
        <f>IFERROR(__xludf.DUMMYFUNCTION("""COMPUTED_VALUE"""),"Левша")</f>
        <v>Левша</v>
      </c>
      <c r="U2167" s="385">
        <f>IFERROR(__xludf.DUMMYFUNCTION("""COMPUTED_VALUE"""),18.75)</f>
        <v>18.75</v>
      </c>
      <c r="W2167" s="384" t="str">
        <f>IFERROR(__xludf.DUMMYFUNCTION("""COMPUTED_VALUE"""),"BWDMoscow")</f>
        <v>BWDMoscow</v>
      </c>
      <c r="X2167" s="385"/>
    </row>
    <row r="2168">
      <c r="A2168" s="384" t="s">
        <v>104</v>
      </c>
      <c r="B2168" s="384" t="s">
        <v>261</v>
      </c>
      <c r="C2168" s="389"/>
      <c r="D2168" s="389">
        <v>2.0</v>
      </c>
      <c r="E2168" s="384" t="s">
        <v>11</v>
      </c>
      <c r="F2168" s="389"/>
      <c r="G2168" s="389">
        <v>0.5</v>
      </c>
      <c r="T2168" s="384" t="str">
        <f>IFERROR(__xludf.DUMMYFUNCTION("""COMPUTED_VALUE"""),"Инсомнич")</f>
        <v>Инсомнич</v>
      </c>
      <c r="U2168" s="385">
        <f>IFERROR(__xludf.DUMMYFUNCTION("""COMPUTED_VALUE"""),18.0)</f>
        <v>18</v>
      </c>
      <c r="W2168" s="384" t="str">
        <f>IFERROR(__xludf.DUMMYFUNCTION("""COMPUTED_VALUE"""),"Cristo")</f>
        <v>Cristo</v>
      </c>
      <c r="X2168" s="385"/>
    </row>
    <row r="2169">
      <c r="A2169" s="384" t="s">
        <v>129</v>
      </c>
      <c r="B2169" s="384" t="s">
        <v>261</v>
      </c>
      <c r="C2169" s="389"/>
      <c r="D2169" s="389">
        <v>1.75</v>
      </c>
      <c r="E2169" s="384"/>
      <c r="F2169" s="389"/>
      <c r="G2169" s="389"/>
      <c r="T2169" s="384" t="str">
        <f>IFERROR(__xludf.DUMMYFUNCTION("""COMPUTED_VALUE"""),"Шоу Бой")</f>
        <v>Шоу Бой</v>
      </c>
      <c r="U2169" s="385">
        <f>IFERROR(__xludf.DUMMYFUNCTION("""COMPUTED_VALUE"""),17.25)</f>
        <v>17.25</v>
      </c>
      <c r="W2169" s="384" t="str">
        <f>IFERROR(__xludf.DUMMYFUNCTION("""COMPUTED_VALUE"""),"Curly")</f>
        <v>Curly</v>
      </c>
      <c r="X2169" s="385"/>
    </row>
    <row r="2170">
      <c r="A2170" s="384" t="s">
        <v>117</v>
      </c>
      <c r="B2170" s="384" t="s">
        <v>265</v>
      </c>
      <c r="C2170" s="389">
        <v>2.5</v>
      </c>
      <c r="D2170" s="389">
        <v>4.5</v>
      </c>
      <c r="E2170" s="384"/>
      <c r="F2170" s="389"/>
      <c r="G2170" s="389"/>
      <c r="T2170" s="384" t="str">
        <f>IFERROR(__xludf.DUMMYFUNCTION("""COMPUTED_VALUE"""),"Лисичка")</f>
        <v>Лисичка</v>
      </c>
      <c r="U2170" s="385">
        <f>IFERROR(__xludf.DUMMYFUNCTION("""COMPUTED_VALUE"""),14.25)</f>
        <v>14.25</v>
      </c>
      <c r="W2170" s="384" t="str">
        <f>IFERROR(__xludf.DUMMYFUNCTION("""COMPUTED_VALUE"""),"GALAY")</f>
        <v>GALAY</v>
      </c>
      <c r="X2170" s="385"/>
    </row>
    <row r="2171">
      <c r="A2171" s="384" t="s">
        <v>79</v>
      </c>
      <c r="B2171" s="384" t="s">
        <v>261</v>
      </c>
      <c r="C2171" s="389"/>
      <c r="D2171" s="389">
        <v>1.5</v>
      </c>
      <c r="E2171" s="384"/>
      <c r="F2171" s="389"/>
      <c r="G2171" s="389"/>
      <c r="T2171" s="384" t="str">
        <f>IFERROR(__xludf.DUMMYFUNCTION("""COMPUTED_VALUE"""),"Infinity ")</f>
        <v>Infinity </v>
      </c>
      <c r="U2171" s="385">
        <f>IFERROR(__xludf.DUMMYFUNCTION("""COMPUTED_VALUE"""),7.75)</f>
        <v>7.75</v>
      </c>
      <c r="W2171" s="384" t="str">
        <f>IFERROR(__xludf.DUMMYFUNCTION("""COMPUTED_VALUE"""),"Helga")</f>
        <v>Helga</v>
      </c>
      <c r="X2171" s="385"/>
    </row>
    <row r="2172">
      <c r="A2172" s="384" t="s">
        <v>116</v>
      </c>
      <c r="B2172" s="384" t="s">
        <v>261</v>
      </c>
      <c r="C2172" s="389"/>
      <c r="D2172" s="389">
        <v>1.0</v>
      </c>
      <c r="E2172" s="384"/>
      <c r="F2172" s="389"/>
      <c r="G2172" s="389"/>
      <c r="T2172" s="384" t="str">
        <f>IFERROR(__xludf.DUMMYFUNCTION("""COMPUTED_VALUE"""),"Авраам")</f>
        <v>Авраам</v>
      </c>
      <c r="U2172" s="385"/>
      <c r="W2172" s="384" t="str">
        <f>IFERROR(__xludf.DUMMYFUNCTION("""COMPUTED_VALUE"""),"Infinity ")</f>
        <v>Infinity </v>
      </c>
      <c r="X2172" s="385"/>
    </row>
    <row r="2173">
      <c r="A2173" s="384" t="s">
        <v>131</v>
      </c>
      <c r="B2173" s="384" t="s">
        <v>261</v>
      </c>
      <c r="C2173" s="389">
        <v>2.5</v>
      </c>
      <c r="D2173" s="389">
        <v>4.0</v>
      </c>
      <c r="E2173" s="384"/>
      <c r="F2173" s="389"/>
      <c r="G2173" s="389"/>
      <c r="T2173" s="384" t="str">
        <f>IFERROR(__xludf.DUMMYFUNCTION("""COMPUTED_VALUE"""),"Админ")</f>
        <v>Админ</v>
      </c>
      <c r="U2173" s="385"/>
      <c r="W2173" s="384" t="str">
        <f>IFERROR(__xludf.DUMMYFUNCTION("""COMPUTED_VALUE"""),"Ketamin")</f>
        <v>Ketamin</v>
      </c>
      <c r="X2173" s="385"/>
    </row>
    <row r="2174">
      <c r="A2174" s="384" t="s">
        <v>91</v>
      </c>
      <c r="B2174" s="384" t="s">
        <v>269</v>
      </c>
      <c r="C2174" s="389"/>
      <c r="D2174" s="389">
        <v>2.0</v>
      </c>
      <c r="E2174" s="384"/>
      <c r="F2174" s="389"/>
      <c r="G2174" s="389"/>
      <c r="T2174" s="384" t="str">
        <f>IFERROR(__xludf.DUMMYFUNCTION("""COMPUTED_VALUE"""),"Андерсен")</f>
        <v>Андерсен</v>
      </c>
      <c r="U2174" s="385"/>
      <c r="W2174" s="384" t="str">
        <f>IFERROR(__xludf.DUMMYFUNCTION("""COMPUTED_VALUE"""),"Light")</f>
        <v>Light</v>
      </c>
      <c r="X2174" s="385"/>
    </row>
    <row r="2175">
      <c r="A2175" s="384" t="s">
        <v>153</v>
      </c>
      <c r="B2175" s="384" t="s">
        <v>261</v>
      </c>
      <c r="C2175" s="389">
        <v>2.5</v>
      </c>
      <c r="D2175" s="389">
        <v>3.0</v>
      </c>
      <c r="E2175" s="384"/>
      <c r="F2175" s="389"/>
      <c r="G2175" s="389"/>
      <c r="T2175" s="384" t="str">
        <f>IFERROR(__xludf.DUMMYFUNCTION("""COMPUTED_VALUE"""),"Артик")</f>
        <v>Артик</v>
      </c>
      <c r="U2175" s="385"/>
      <c r="W2175" s="384" t="str">
        <f>IFERROR(__xludf.DUMMYFUNCTION("""COMPUTED_VALUE"""),"Morti")</f>
        <v>Morti</v>
      </c>
      <c r="X2175" s="385"/>
    </row>
    <row r="2176">
      <c r="A2176" s="384" t="s">
        <v>108</v>
      </c>
      <c r="B2176" s="384" t="s">
        <v>269</v>
      </c>
      <c r="C2176" s="389"/>
      <c r="D2176" s="389">
        <v>2.25</v>
      </c>
      <c r="E2176" s="384"/>
      <c r="F2176" s="389"/>
      <c r="G2176" s="389"/>
      <c r="T2176" s="384" t="str">
        <f>IFERROR(__xludf.DUMMYFUNCTION("""COMPUTED_VALUE"""),"Астория")</f>
        <v>Астория</v>
      </c>
      <c r="U2176" s="385"/>
      <c r="W2176" s="384" t="str">
        <f>IFERROR(__xludf.DUMMYFUNCTION("""COMPUTED_VALUE"""),"MSR")</f>
        <v>MSR</v>
      </c>
      <c r="X2176" s="385"/>
    </row>
    <row r="2177">
      <c r="A2177" s="384" t="s">
        <v>124</v>
      </c>
      <c r="B2177" s="384" t="s">
        <v>271</v>
      </c>
      <c r="C2177" s="389">
        <v>2.5</v>
      </c>
      <c r="D2177" s="389">
        <v>3.0</v>
      </c>
      <c r="E2177" s="384"/>
      <c r="F2177" s="389"/>
      <c r="G2177" s="389"/>
      <c r="T2177" s="384" t="str">
        <f>IFERROR(__xludf.DUMMYFUNCTION("""COMPUTED_VALUE"""),"Аш")</f>
        <v>Аш</v>
      </c>
      <c r="U2177" s="385"/>
      <c r="W2177" s="384" t="str">
        <f>IFERROR(__xludf.DUMMYFUNCTION("""COMPUTED_VALUE"""),"NLIP")</f>
        <v>NLIP</v>
      </c>
      <c r="X2177" s="385"/>
    </row>
    <row r="2178">
      <c r="A2178" s="384" t="s">
        <v>104</v>
      </c>
      <c r="B2178" s="384" t="s">
        <v>261</v>
      </c>
      <c r="C2178" s="389">
        <v>2.5</v>
      </c>
      <c r="D2178" s="389">
        <v>3.25</v>
      </c>
      <c r="E2178" s="384"/>
      <c r="F2178" s="389"/>
      <c r="G2178" s="389"/>
      <c r="T2178" s="384" t="str">
        <f>IFERROR(__xludf.DUMMYFUNCTION("""COMPUTED_VALUE"""),"Бамблби")</f>
        <v>Бамблби</v>
      </c>
      <c r="U2178" s="385"/>
      <c r="W2178" s="384" t="str">
        <f>IFERROR(__xludf.DUMMYFUNCTION("""COMPUTED_VALUE"""),"SCHOKK ")</f>
        <v>SCHOKK </v>
      </c>
      <c r="X2178" s="385"/>
    </row>
    <row r="2179">
      <c r="A2179" s="384" t="s">
        <v>129</v>
      </c>
      <c r="B2179" s="384" t="s">
        <v>261</v>
      </c>
      <c r="C2179" s="389">
        <v>2.5</v>
      </c>
      <c r="D2179" s="389">
        <v>4.75</v>
      </c>
      <c r="E2179" s="384"/>
      <c r="F2179" s="389"/>
      <c r="G2179" s="389"/>
      <c r="T2179" s="384" t="str">
        <f>IFERROR(__xludf.DUMMYFUNCTION("""COMPUTED_VALUE"""),"Волга")</f>
        <v>Волга</v>
      </c>
      <c r="U2179" s="385"/>
      <c r="W2179" s="384" t="str">
        <f>IFERROR(__xludf.DUMMYFUNCTION("""COMPUTED_VALUE"""),"SOVEST")</f>
        <v>SOVEST</v>
      </c>
      <c r="X2179" s="385"/>
    </row>
    <row r="2180">
      <c r="A2180" s="384" t="s">
        <v>117</v>
      </c>
      <c r="B2180" s="384" t="s">
        <v>261</v>
      </c>
      <c r="C2180" s="389">
        <v>2.5</v>
      </c>
      <c r="D2180" s="389">
        <v>2.25</v>
      </c>
      <c r="E2180" s="384"/>
      <c r="F2180" s="389"/>
      <c r="G2180" s="389"/>
      <c r="T2180" s="384" t="str">
        <f>IFERROR(__xludf.DUMMYFUNCTION("""COMPUTED_VALUE"""),"Градиент")</f>
        <v>Градиент</v>
      </c>
      <c r="U2180" s="385"/>
      <c r="W2180" s="384" t="str">
        <f>IFERROR(__xludf.DUMMYFUNCTION("""COMPUTED_VALUE"""),"Stacy")</f>
        <v>Stacy</v>
      </c>
      <c r="X2180" s="385"/>
    </row>
    <row r="2181">
      <c r="A2181" s="384" t="s">
        <v>79</v>
      </c>
      <c r="B2181" s="384" t="s">
        <v>261</v>
      </c>
      <c r="C2181" s="389">
        <v>2.5</v>
      </c>
      <c r="D2181" s="389">
        <v>2.75</v>
      </c>
      <c r="E2181" s="384" t="s">
        <v>11</v>
      </c>
      <c r="F2181" s="389">
        <v>0.5</v>
      </c>
      <c r="G2181" s="389">
        <v>0.5</v>
      </c>
      <c r="T2181" s="384" t="str">
        <f>IFERROR(__xludf.DUMMYFUNCTION("""COMPUTED_VALUE"""),"Зверюга")</f>
        <v>Зверюга</v>
      </c>
      <c r="U2181" s="385"/>
      <c r="W2181" s="384" t="str">
        <f>IFERROR(__xludf.DUMMYFUNCTION("""COMPUTED_VALUE"""),"WhoIsWho")</f>
        <v>WhoIsWho</v>
      </c>
      <c r="X2181" s="385"/>
    </row>
    <row r="2182">
      <c r="A2182" s="384" t="s">
        <v>116</v>
      </c>
      <c r="B2182" s="384" t="s">
        <v>265</v>
      </c>
      <c r="C2182" s="389"/>
      <c r="D2182" s="389">
        <v>1.5</v>
      </c>
      <c r="E2182" s="384"/>
      <c r="F2182" s="389"/>
      <c r="G2182" s="389"/>
      <c r="T2182" s="384" t="str">
        <f>IFERROR(__xludf.DUMMYFUNCTION("""COMPUTED_VALUE"""),"Красавчик")</f>
        <v>Красавчик</v>
      </c>
      <c r="U2182" s="385"/>
      <c r="W2182" s="384" t="str">
        <f>IFERROR(__xludf.DUMMYFUNCTION("""COMPUTED_VALUE"""),"Young")</f>
        <v>Young</v>
      </c>
      <c r="X2182" s="385"/>
    </row>
    <row r="2183">
      <c r="A2183" s="384" t="s">
        <v>131</v>
      </c>
      <c r="B2183" s="384" t="s">
        <v>271</v>
      </c>
      <c r="C2183" s="389"/>
      <c r="D2183" s="389">
        <v>2.0</v>
      </c>
      <c r="E2183" s="384"/>
      <c r="F2183" s="389"/>
      <c r="G2183" s="389"/>
      <c r="T2183" s="384" t="str">
        <f>IFERROR(__xludf.DUMMYFUNCTION("""COMPUTED_VALUE"""),"Крестный отец (BLR)")</f>
        <v>Крестный отец (BLR)</v>
      </c>
      <c r="U2183" s="385"/>
      <c r="W2183" s="384" t="str">
        <f>IFERROR(__xludf.DUMMYFUNCTION("""COMPUTED_VALUE"""),"Авраам")</f>
        <v>Авраам</v>
      </c>
      <c r="X2183" s="385"/>
    </row>
    <row r="2184">
      <c r="A2184" s="384" t="s">
        <v>91</v>
      </c>
      <c r="B2184" s="384" t="s">
        <v>269</v>
      </c>
      <c r="C2184" s="389">
        <v>2.5</v>
      </c>
      <c r="D2184" s="389">
        <v>2.0</v>
      </c>
      <c r="E2184" s="384"/>
      <c r="F2184" s="389"/>
      <c r="G2184" s="389"/>
      <c r="T2184" s="384" t="str">
        <f>IFERROR(__xludf.DUMMYFUNCTION("""COMPUTED_VALUE"""),"Крёстный Отец (RU)")</f>
        <v>Крёстный Отец (RU)</v>
      </c>
      <c r="U2184" s="385"/>
      <c r="W2184" s="384" t="str">
        <f>IFERROR(__xludf.DUMMYFUNCTION("""COMPUTED_VALUE"""),"Админ")</f>
        <v>Админ</v>
      </c>
      <c r="X2184" s="385"/>
    </row>
    <row r="2185">
      <c r="A2185" s="384" t="s">
        <v>153</v>
      </c>
      <c r="B2185" s="384" t="s">
        <v>261</v>
      </c>
      <c r="C2185" s="389"/>
      <c r="D2185" s="389">
        <v>2.5</v>
      </c>
      <c r="E2185" s="384" t="s">
        <v>11</v>
      </c>
      <c r="F2185" s="389"/>
      <c r="G2185" s="389">
        <v>0.5</v>
      </c>
      <c r="T2185" s="384" t="str">
        <f>IFERROR(__xludf.DUMMYFUNCTION("""COMPUTED_VALUE"""),"Крот")</f>
        <v>Крот</v>
      </c>
      <c r="U2185" s="385"/>
      <c r="W2185" s="384" t="str">
        <f>IFERROR(__xludf.DUMMYFUNCTION("""COMPUTED_VALUE"""),"Артик")</f>
        <v>Артик</v>
      </c>
      <c r="X2185" s="385"/>
    </row>
    <row r="2186">
      <c r="A2186" s="384" t="s">
        <v>108</v>
      </c>
      <c r="B2186" s="384" t="s">
        <v>261</v>
      </c>
      <c r="C2186" s="389"/>
      <c r="D2186" s="389">
        <v>2.0</v>
      </c>
      <c r="E2186" s="384"/>
      <c r="F2186" s="389"/>
      <c r="G2186" s="389"/>
      <c r="T2186" s="384" t="str">
        <f>IFERROR(__xludf.DUMMYFUNCTION("""COMPUTED_VALUE"""),"Маваши")</f>
        <v>Маваши</v>
      </c>
      <c r="U2186" s="385"/>
      <c r="W2186" s="384" t="str">
        <f>IFERROR(__xludf.DUMMYFUNCTION("""COMPUTED_VALUE"""),"Астория")</f>
        <v>Астория</v>
      </c>
      <c r="X2186" s="385"/>
    </row>
    <row r="2187">
      <c r="A2187" s="384" t="s">
        <v>124</v>
      </c>
      <c r="B2187" s="384" t="s">
        <v>261</v>
      </c>
      <c r="C2187" s="389"/>
      <c r="D2187" s="389">
        <v>1.75</v>
      </c>
      <c r="E2187" s="384"/>
      <c r="F2187" s="389"/>
      <c r="G2187" s="389"/>
      <c r="T2187" s="384" t="str">
        <f>IFERROR(__xludf.DUMMYFUNCTION("""COMPUTED_VALUE"""),"Манекен")</f>
        <v>Манекен</v>
      </c>
      <c r="U2187" s="385"/>
      <c r="W2187" s="384" t="str">
        <f>IFERROR(__xludf.DUMMYFUNCTION("""COMPUTED_VALUE"""),"Аш")</f>
        <v>Аш</v>
      </c>
      <c r="X2187" s="385"/>
    </row>
    <row r="2188">
      <c r="A2188" s="384" t="s">
        <v>104</v>
      </c>
      <c r="B2188" s="384" t="s">
        <v>261</v>
      </c>
      <c r="C2188" s="389"/>
      <c r="D2188" s="389">
        <v>2.0</v>
      </c>
      <c r="E2188" s="384" t="s">
        <v>263</v>
      </c>
      <c r="F2188" s="389"/>
      <c r="G2188" s="389"/>
      <c r="T2188" s="384" t="str">
        <f>IFERROR(__xludf.DUMMYFUNCTION("""COMPUTED_VALUE"""),"Марго")</f>
        <v>Марго</v>
      </c>
      <c r="U2188" s="385"/>
      <c r="W2188" s="384" t="str">
        <f>IFERROR(__xludf.DUMMYFUNCTION("""COMPUTED_VALUE"""),"Бамблби")</f>
        <v>Бамблби</v>
      </c>
      <c r="X2188" s="385"/>
    </row>
    <row r="2189">
      <c r="A2189" s="384" t="s">
        <v>129</v>
      </c>
      <c r="B2189" s="384" t="s">
        <v>261</v>
      </c>
      <c r="C2189" s="389"/>
      <c r="D2189" s="389">
        <v>3.75</v>
      </c>
      <c r="E2189" s="384" t="s">
        <v>263</v>
      </c>
      <c r="F2189" s="389"/>
      <c r="G2189" s="389"/>
      <c r="T2189" s="384" t="str">
        <f>IFERROR(__xludf.DUMMYFUNCTION("""COMPUTED_VALUE"""),"Ментик")</f>
        <v>Ментик</v>
      </c>
      <c r="U2189" s="385"/>
      <c r="W2189" s="384" t="str">
        <f>IFERROR(__xludf.DUMMYFUNCTION("""COMPUTED_VALUE"""),"Градиент")</f>
        <v>Градиент</v>
      </c>
      <c r="X2189" s="385"/>
    </row>
    <row r="2190">
      <c r="A2190" s="384" t="s">
        <v>117</v>
      </c>
      <c r="B2190" s="384" t="s">
        <v>261</v>
      </c>
      <c r="C2190" s="389"/>
      <c r="D2190" s="389">
        <v>2.25</v>
      </c>
      <c r="E2190" s="384"/>
      <c r="F2190" s="389"/>
      <c r="G2190" s="389"/>
      <c r="T2190" s="384" t="str">
        <f>IFERROR(__xludf.DUMMYFUNCTION("""COMPUTED_VALUE"""),"Мишель ")</f>
        <v>Мишель </v>
      </c>
      <c r="U2190" s="385"/>
      <c r="W2190" s="384" t="str">
        <f>IFERROR(__xludf.DUMMYFUNCTION("""COMPUTED_VALUE"""),"Зверюга")</f>
        <v>Зверюга</v>
      </c>
      <c r="X2190" s="385"/>
    </row>
    <row r="2191">
      <c r="A2191" s="384" t="s">
        <v>79</v>
      </c>
      <c r="B2191" s="384" t="s">
        <v>269</v>
      </c>
      <c r="C2191" s="389">
        <v>2.5</v>
      </c>
      <c r="D2191" s="389">
        <v>3.0</v>
      </c>
      <c r="E2191" s="384" t="s">
        <v>260</v>
      </c>
      <c r="F2191" s="389"/>
      <c r="G2191" s="389"/>
      <c r="T2191" s="384" t="str">
        <f>IFERROR(__xludf.DUMMYFUNCTION("""COMPUTED_VALUE"""),"Наполеон")</f>
        <v>Наполеон</v>
      </c>
      <c r="U2191" s="385"/>
      <c r="W2191" s="384" t="str">
        <f>IFERROR(__xludf.DUMMYFUNCTION("""COMPUTED_VALUE"""),"Инсомнич")</f>
        <v>Инсомнич</v>
      </c>
      <c r="X2191" s="385"/>
    </row>
    <row r="2192">
      <c r="A2192" s="384" t="s">
        <v>116</v>
      </c>
      <c r="B2192" s="384" t="s">
        <v>265</v>
      </c>
      <c r="C2192" s="389">
        <v>2.5</v>
      </c>
      <c r="D2192" s="389">
        <v>3.0</v>
      </c>
      <c r="E2192" s="384"/>
      <c r="F2192" s="389"/>
      <c r="G2192" s="389"/>
      <c r="T2192" s="384" t="str">
        <f>IFERROR(__xludf.DUMMYFUNCTION("""COMPUTED_VALUE"""),"Панда из Руанды")</f>
        <v>Панда из Руанды</v>
      </c>
      <c r="U2192" s="385"/>
      <c r="W2192" s="384" t="str">
        <f>IFERROR(__xludf.DUMMYFUNCTION("""COMPUTED_VALUE"""),"Красавчик")</f>
        <v>Красавчик</v>
      </c>
      <c r="X2192" s="385"/>
    </row>
    <row r="2193">
      <c r="A2193" s="384" t="s">
        <v>131</v>
      </c>
      <c r="B2193" s="384" t="s">
        <v>265</v>
      </c>
      <c r="C2193" s="389">
        <v>2.5</v>
      </c>
      <c r="D2193" s="389">
        <v>3.75</v>
      </c>
      <c r="E2193" s="384"/>
      <c r="F2193" s="389"/>
      <c r="G2193" s="389"/>
      <c r="T2193" s="384" t="str">
        <f>IFERROR(__xludf.DUMMYFUNCTION("""COMPUTED_VALUE"""),"Писатель ")</f>
        <v>Писатель </v>
      </c>
      <c r="U2193" s="385"/>
      <c r="W2193" s="384" t="str">
        <f>IFERROR(__xludf.DUMMYFUNCTION("""COMPUTED_VALUE"""),"Крестный отец (BLR)")</f>
        <v>Крестный отец (BLR)</v>
      </c>
      <c r="X2193" s="385"/>
    </row>
    <row r="2194">
      <c r="A2194" s="384" t="s">
        <v>91</v>
      </c>
      <c r="B2194" s="384" t="s">
        <v>261</v>
      </c>
      <c r="C2194" s="389"/>
      <c r="D2194" s="389">
        <v>3.75</v>
      </c>
      <c r="E2194" s="384"/>
      <c r="F2194" s="389"/>
      <c r="G2194" s="389"/>
      <c r="T2194" s="384" t="str">
        <f>IFERROR(__xludf.DUMMYFUNCTION("""COMPUTED_VALUE"""),"Правда ")</f>
        <v>Правда </v>
      </c>
      <c r="U2194" s="385"/>
      <c r="W2194" s="384" t="str">
        <f>IFERROR(__xludf.DUMMYFUNCTION("""COMPUTED_VALUE"""),"Крот")</f>
        <v>Крот</v>
      </c>
      <c r="X2194" s="385"/>
    </row>
    <row r="2195">
      <c r="A2195" s="384" t="s">
        <v>153</v>
      </c>
      <c r="B2195" s="384" t="s">
        <v>261</v>
      </c>
      <c r="C2195" s="389"/>
      <c r="D2195" s="389">
        <v>3.0</v>
      </c>
      <c r="E2195" s="384"/>
      <c r="F2195" s="389"/>
      <c r="G2195" s="389"/>
      <c r="T2195" s="384" t="str">
        <f>IFERROR(__xludf.DUMMYFUNCTION("""COMPUTED_VALUE"""),"Продюсер")</f>
        <v>Продюсер</v>
      </c>
      <c r="U2195" s="385"/>
      <c r="W2195" s="384" t="str">
        <f>IFERROR(__xludf.DUMMYFUNCTION("""COMPUTED_VALUE"""),"Левша")</f>
        <v>Левша</v>
      </c>
      <c r="X2195" s="385"/>
    </row>
    <row r="2196">
      <c r="A2196" s="384" t="s">
        <v>108</v>
      </c>
      <c r="B2196" s="384" t="s">
        <v>269</v>
      </c>
      <c r="C2196" s="389">
        <v>2.5</v>
      </c>
      <c r="D2196" s="389">
        <v>4.0</v>
      </c>
      <c r="E2196" s="384"/>
      <c r="F2196" s="389"/>
      <c r="G2196" s="389"/>
      <c r="T2196" s="384" t="str">
        <f>IFERROR(__xludf.DUMMYFUNCTION("""COMPUTED_VALUE"""),"РФ")</f>
        <v>РФ</v>
      </c>
      <c r="U2196" s="385"/>
      <c r="W2196" s="384" t="str">
        <f>IFERROR(__xludf.DUMMYFUNCTION("""COMPUTED_VALUE"""),"Лисичка")</f>
        <v>Лисичка</v>
      </c>
      <c r="X2196" s="385"/>
    </row>
    <row r="2197">
      <c r="A2197" s="384" t="s">
        <v>124</v>
      </c>
      <c r="B2197" s="384" t="s">
        <v>269</v>
      </c>
      <c r="C2197" s="389">
        <v>2.5</v>
      </c>
      <c r="D2197" s="389">
        <v>3.5</v>
      </c>
      <c r="E2197" s="384"/>
      <c r="F2197" s="389"/>
      <c r="G2197" s="389"/>
      <c r="T2197" s="384" t="str">
        <f>IFERROR(__xludf.DUMMYFUNCTION("""COMPUTED_VALUE"""),"Старый")</f>
        <v>Старый</v>
      </c>
      <c r="U2197" s="385"/>
      <c r="W2197" s="384" t="str">
        <f>IFERROR(__xludf.DUMMYFUNCTION("""COMPUTED_VALUE"""),"Маваши")</f>
        <v>Маваши</v>
      </c>
      <c r="X2197" s="385"/>
    </row>
    <row r="2198">
      <c r="A2198" s="384" t="s">
        <v>104</v>
      </c>
      <c r="B2198" s="384" t="s">
        <v>261</v>
      </c>
      <c r="C2198" s="389"/>
      <c r="D2198" s="389">
        <v>2.0</v>
      </c>
      <c r="E2198" s="384"/>
      <c r="F2198" s="389"/>
      <c r="G2198" s="389"/>
      <c r="T2198" s="384" t="str">
        <f>IFERROR(__xludf.DUMMYFUNCTION("""COMPUTED_VALUE"""),"СЭНСЭЙ")</f>
        <v>СЭНСЭЙ</v>
      </c>
      <c r="U2198" s="385"/>
      <c r="W2198" s="384" t="str">
        <f>IFERROR(__xludf.DUMMYFUNCTION("""COMPUTED_VALUE"""),"Манекен")</f>
        <v>Манекен</v>
      </c>
      <c r="X2198" s="385"/>
    </row>
    <row r="2199">
      <c r="A2199" s="384" t="s">
        <v>129</v>
      </c>
      <c r="B2199" s="384" t="s">
        <v>261</v>
      </c>
      <c r="C2199" s="389"/>
      <c r="D2199" s="389">
        <v>1.5</v>
      </c>
      <c r="E2199" s="384"/>
      <c r="F2199" s="389"/>
      <c r="G2199" s="389"/>
      <c r="T2199" s="384" t="str">
        <f>IFERROR(__xludf.DUMMYFUNCTION("""COMPUTED_VALUE"""),"Coach")</f>
        <v>Coach</v>
      </c>
      <c r="U2199" s="385"/>
      <c r="W2199" s="384" t="str">
        <f>IFERROR(__xludf.DUMMYFUNCTION("""COMPUTED_VALUE"""),"Марго")</f>
        <v>Марго</v>
      </c>
      <c r="X2199" s="385"/>
    </row>
    <row r="2200">
      <c r="A2200" s="384" t="s">
        <v>117</v>
      </c>
      <c r="B2200" s="384" t="s">
        <v>261</v>
      </c>
      <c r="C2200" s="389"/>
      <c r="D2200" s="389">
        <v>2.5</v>
      </c>
      <c r="E2200" s="384" t="s">
        <v>11</v>
      </c>
      <c r="F2200" s="389"/>
      <c r="G2200" s="389">
        <v>0.5</v>
      </c>
      <c r="T2200" s="384" t="str">
        <f>IFERROR(__xludf.DUMMYFUNCTION("""COMPUTED_VALUE"""),"Тихий закат")</f>
        <v>Тихий закат</v>
      </c>
      <c r="U2200" s="385"/>
      <c r="W2200" s="384" t="str">
        <f>IFERROR(__xludf.DUMMYFUNCTION("""COMPUTED_VALUE"""),"Ментик")</f>
        <v>Ментик</v>
      </c>
      <c r="X2200" s="385"/>
    </row>
    <row r="2201">
      <c r="A2201" s="384" t="s">
        <v>79</v>
      </c>
      <c r="B2201" s="384" t="s">
        <v>261</v>
      </c>
      <c r="C2201" s="389"/>
      <c r="D2201" s="389">
        <v>1.75</v>
      </c>
      <c r="E2201" s="384"/>
      <c r="F2201" s="389"/>
      <c r="G2201" s="389"/>
      <c r="T2201" s="384" t="str">
        <f>IFERROR(__xludf.DUMMYFUNCTION("""COMPUTED_VALUE"""),"Физик")</f>
        <v>Физик</v>
      </c>
      <c r="U2201" s="385"/>
      <c r="W2201" s="384" t="str">
        <f>IFERROR(__xludf.DUMMYFUNCTION("""COMPUTED_VALUE"""),"Мишель ")</f>
        <v>Мишель </v>
      </c>
      <c r="X2201" s="385"/>
    </row>
    <row r="2202">
      <c r="A2202" s="384" t="s">
        <v>116</v>
      </c>
      <c r="B2202" s="384" t="s">
        <v>271</v>
      </c>
      <c r="C2202" s="389"/>
      <c r="D2202" s="389">
        <v>2.75</v>
      </c>
      <c r="E2202" s="384"/>
      <c r="F2202" s="389"/>
      <c r="G2202" s="389"/>
      <c r="T2202" s="384" t="str">
        <f>IFERROR(__xludf.DUMMYFUNCTION("""COMPUTED_VALUE"""),"Фокс")</f>
        <v>Фокс</v>
      </c>
      <c r="U2202" s="385"/>
      <c r="W2202" s="384" t="str">
        <f>IFERROR(__xludf.DUMMYFUNCTION("""COMPUTED_VALUE"""),"Наполеон")</f>
        <v>Наполеон</v>
      </c>
      <c r="X2202" s="385"/>
    </row>
    <row r="2203">
      <c r="A2203" s="384" t="s">
        <v>113</v>
      </c>
      <c r="B2203" s="384" t="s">
        <v>269</v>
      </c>
      <c r="C2203" s="389">
        <v>2.5</v>
      </c>
      <c r="D2203" s="389">
        <v>4.5</v>
      </c>
      <c r="E2203" s="384" t="s">
        <v>260</v>
      </c>
      <c r="F2203" s="389"/>
      <c r="G2203" s="389"/>
      <c r="T2203" s="384" t="str">
        <f>IFERROR(__xludf.DUMMYFUNCTION("""COMPUTED_VALUE"""),"Шпиц")</f>
        <v>Шпиц</v>
      </c>
      <c r="U2203" s="385"/>
      <c r="W2203" s="384" t="str">
        <f>IFERROR(__xludf.DUMMYFUNCTION("""COMPUTED_VALUE"""),"Писатель ")</f>
        <v>Писатель </v>
      </c>
      <c r="X2203" s="385"/>
    </row>
    <row r="2204">
      <c r="A2204" s="384" t="s">
        <v>83</v>
      </c>
      <c r="B2204" s="384" t="s">
        <v>271</v>
      </c>
      <c r="C2204" s="389"/>
      <c r="D2204" s="389">
        <v>3.0</v>
      </c>
      <c r="E2204" s="384" t="s">
        <v>11</v>
      </c>
      <c r="F2204" s="389"/>
      <c r="G2204" s="389">
        <v>0.5</v>
      </c>
      <c r="T2204" s="384" t="str">
        <f>IFERROR(__xludf.DUMMYFUNCTION("""COMPUTED_VALUE"""),"Юрия")</f>
        <v>Юрия</v>
      </c>
      <c r="U2204" s="385"/>
      <c r="W2204" s="384" t="str">
        <f>IFERROR(__xludf.DUMMYFUNCTION("""COMPUTED_VALUE"""),"Правда ")</f>
        <v>Правда </v>
      </c>
      <c r="X2204" s="385"/>
    </row>
    <row r="2205">
      <c r="A2205" s="384" t="s">
        <v>108</v>
      </c>
      <c r="B2205" s="384" t="s">
        <v>269</v>
      </c>
      <c r="C2205" s="389">
        <v>2.5</v>
      </c>
      <c r="D2205" s="389">
        <v>2.5</v>
      </c>
      <c r="E2205" s="384"/>
      <c r="F2205" s="389"/>
      <c r="G2205" s="389"/>
      <c r="T2205" s="384" t="str">
        <f>IFERROR(__xludf.DUMMYFUNCTION("""COMPUTED_VALUE"""),"A1 ")</f>
        <v>A1 </v>
      </c>
      <c r="U2205" s="385"/>
      <c r="W2205" s="384" t="str">
        <f>IFERROR(__xludf.DUMMYFUNCTION("""COMPUTED_VALUE"""),"Продюсер")</f>
        <v>Продюсер</v>
      </c>
      <c r="X2205" s="385"/>
    </row>
    <row r="2206">
      <c r="A2206" s="384" t="s">
        <v>119</v>
      </c>
      <c r="B2206" s="384" t="s">
        <v>265</v>
      </c>
      <c r="C2206" s="389">
        <v>2.5</v>
      </c>
      <c r="D2206" s="389">
        <v>1.75</v>
      </c>
      <c r="E2206" s="384"/>
      <c r="F2206" s="389"/>
      <c r="G2206" s="389"/>
      <c r="T2206" s="384" t="str">
        <f>IFERROR(__xludf.DUMMYFUNCTION("""COMPUTED_VALUE"""),"Alice ")</f>
        <v>Alice </v>
      </c>
      <c r="U2206" s="385"/>
      <c r="W2206" s="384" t="str">
        <f>IFERROR(__xludf.DUMMYFUNCTION("""COMPUTED_VALUE"""),"РФ")</f>
        <v>РФ</v>
      </c>
      <c r="X2206" s="385"/>
    </row>
    <row r="2207">
      <c r="A2207" s="384" t="s">
        <v>120</v>
      </c>
      <c r="B2207" s="384" t="s">
        <v>261</v>
      </c>
      <c r="C2207" s="389"/>
      <c r="D2207" s="389">
        <v>3.5</v>
      </c>
      <c r="E2207" s="384"/>
      <c r="F2207" s="389"/>
      <c r="G2207" s="389"/>
      <c r="T2207" s="384" t="str">
        <f>IFERROR(__xludf.DUMMYFUNCTION("""COMPUTED_VALUE"""),"Bublik")</f>
        <v>Bublik</v>
      </c>
      <c r="U2207" s="385"/>
      <c r="W2207" s="384" t="str">
        <f>IFERROR(__xludf.DUMMYFUNCTION("""COMPUTED_VALUE"""),"Старый")</f>
        <v>Старый</v>
      </c>
      <c r="X2207" s="385"/>
    </row>
    <row r="2208">
      <c r="A2208" s="384" t="s">
        <v>137</v>
      </c>
      <c r="B2208" s="384" t="s">
        <v>261</v>
      </c>
      <c r="C2208" s="389"/>
      <c r="D2208" s="389">
        <v>3.5</v>
      </c>
      <c r="E2208" s="384" t="s">
        <v>263</v>
      </c>
      <c r="F2208" s="389"/>
      <c r="G2208" s="389"/>
      <c r="T2208" s="384" t="str">
        <f>IFERROR(__xludf.DUMMYFUNCTION("""COMPUTED_VALUE"""),"BWDMoscow")</f>
        <v>BWDMoscow</v>
      </c>
      <c r="U2208" s="385"/>
      <c r="W2208" s="384" t="str">
        <f>IFERROR(__xludf.DUMMYFUNCTION("""COMPUTED_VALUE"""),"СЭНСЭЙ")</f>
        <v>СЭНСЭЙ</v>
      </c>
      <c r="X2208" s="385"/>
    </row>
    <row r="2209">
      <c r="A2209" s="384" t="s">
        <v>96</v>
      </c>
      <c r="B2209" s="384" t="s">
        <v>261</v>
      </c>
      <c r="C2209" s="389"/>
      <c r="D2209" s="389">
        <v>2.0</v>
      </c>
      <c r="E2209" s="384"/>
      <c r="F2209" s="389"/>
      <c r="G2209" s="389"/>
      <c r="T2209" s="384" t="str">
        <f>IFERROR(__xludf.DUMMYFUNCTION("""COMPUTED_VALUE"""),"Castor Troy ")</f>
        <v>Castor Troy </v>
      </c>
      <c r="U2209" s="385"/>
      <c r="W2209" s="384" t="str">
        <f>IFERROR(__xludf.DUMMYFUNCTION("""COMPUTED_VALUE"""),"Coach")</f>
        <v>Coach</v>
      </c>
      <c r="X2209" s="385"/>
    </row>
    <row r="2210">
      <c r="A2210" s="384" t="s">
        <v>153</v>
      </c>
      <c r="B2210" s="384" t="s">
        <v>261</v>
      </c>
      <c r="C2210" s="389"/>
      <c r="D2210" s="389">
        <v>2.0</v>
      </c>
      <c r="E2210" s="384"/>
      <c r="F2210" s="389" t="s">
        <v>283</v>
      </c>
      <c r="G2210" s="389"/>
      <c r="T2210" s="384" t="str">
        <f>IFERROR(__xludf.DUMMYFUNCTION("""COMPUTED_VALUE"""),"Curly")</f>
        <v>Curly</v>
      </c>
      <c r="U2210" s="385"/>
      <c r="W2210" s="384" t="str">
        <f>IFERROR(__xludf.DUMMYFUNCTION("""COMPUTED_VALUE"""),"Тихий закат")</f>
        <v>Тихий закат</v>
      </c>
      <c r="X2210" s="385"/>
    </row>
    <row r="2211">
      <c r="A2211" s="384" t="s">
        <v>117</v>
      </c>
      <c r="B2211" s="384" t="s">
        <v>261</v>
      </c>
      <c r="C2211" s="389"/>
      <c r="D2211" s="389">
        <v>2.0</v>
      </c>
      <c r="E2211" s="384" t="s">
        <v>263</v>
      </c>
      <c r="F2211" s="389"/>
      <c r="G2211" s="389"/>
      <c r="T2211" s="384" t="str">
        <f>IFERROR(__xludf.DUMMYFUNCTION("""COMPUTED_VALUE"""),"GALAY")</f>
        <v>GALAY</v>
      </c>
      <c r="U2211" s="385"/>
      <c r="W2211" s="384" t="str">
        <f>IFERROR(__xludf.DUMMYFUNCTION("""COMPUTED_VALUE"""),"Физик")</f>
        <v>Физик</v>
      </c>
      <c r="X2211" s="385"/>
    </row>
    <row r="2212">
      <c r="A2212" s="384" t="s">
        <v>131</v>
      </c>
      <c r="B2212" s="384" t="s">
        <v>261</v>
      </c>
      <c r="C2212" s="389"/>
      <c r="D2212" s="389">
        <v>2.0</v>
      </c>
      <c r="E2212" s="384" t="s">
        <v>263</v>
      </c>
      <c r="F2212" s="389"/>
      <c r="G2212" s="389"/>
      <c r="T2212" s="384" t="str">
        <f>IFERROR(__xludf.DUMMYFUNCTION("""COMPUTED_VALUE"""),"Helga")</f>
        <v>Helga</v>
      </c>
      <c r="U2212" s="385"/>
      <c r="W2212" s="384" t="str">
        <f>IFERROR(__xludf.DUMMYFUNCTION("""COMPUTED_VALUE"""),"Флэш")</f>
        <v>Флэш</v>
      </c>
      <c r="X2212" s="385"/>
    </row>
    <row r="2213">
      <c r="A2213" s="384" t="s">
        <v>113</v>
      </c>
      <c r="B2213" s="384" t="s">
        <v>261</v>
      </c>
      <c r="C2213" s="389"/>
      <c r="D2213" s="389">
        <v>2.5</v>
      </c>
      <c r="E2213" s="384"/>
      <c r="F2213" s="389"/>
      <c r="G2213" s="389"/>
      <c r="T2213" s="384" t="str">
        <f>IFERROR(__xludf.DUMMYFUNCTION("""COMPUTED_VALUE"""),"Ketamin")</f>
        <v>Ketamin</v>
      </c>
      <c r="U2213" s="385"/>
      <c r="W2213" s="384" t="str">
        <f>IFERROR(__xludf.DUMMYFUNCTION("""COMPUTED_VALUE"""),"Фокс")</f>
        <v>Фокс</v>
      </c>
      <c r="X2213" s="385"/>
    </row>
    <row r="2214">
      <c r="A2214" s="384" t="s">
        <v>83</v>
      </c>
      <c r="B2214" s="384" t="s">
        <v>269</v>
      </c>
      <c r="C2214" s="389">
        <v>2.5</v>
      </c>
      <c r="D2214" s="389">
        <v>2.5</v>
      </c>
      <c r="E2214" s="384"/>
      <c r="F2214" s="389"/>
      <c r="G2214" s="389"/>
      <c r="T2214" s="384" t="str">
        <f>IFERROR(__xludf.DUMMYFUNCTION("""COMPUTED_VALUE"""),"Light")</f>
        <v>Light</v>
      </c>
      <c r="U2214" s="385"/>
      <c r="W2214" s="384" t="str">
        <f>IFERROR(__xludf.DUMMYFUNCTION("""COMPUTED_VALUE"""),"Шпиц")</f>
        <v>Шпиц</v>
      </c>
      <c r="X2214" s="385"/>
    </row>
    <row r="2215">
      <c r="A2215" s="384" t="s">
        <v>108</v>
      </c>
      <c r="B2215" s="384" t="s">
        <v>261</v>
      </c>
      <c r="C2215" s="389"/>
      <c r="D2215" s="389">
        <v>3.5</v>
      </c>
      <c r="E2215" s="384"/>
      <c r="F2215" s="389"/>
      <c r="G2215" s="389"/>
      <c r="T2215" s="384" t="str">
        <f>IFERROR(__xludf.DUMMYFUNCTION("""COMPUTED_VALUE"""),"Morti")</f>
        <v>Morti</v>
      </c>
      <c r="U2215" s="385"/>
      <c r="W2215" s="384" t="str">
        <f>IFERROR(__xludf.DUMMYFUNCTION("""COMPUTED_VALUE"""),"Юрия")</f>
        <v>Юрия</v>
      </c>
      <c r="X2215" s="385"/>
    </row>
    <row r="2216">
      <c r="A2216" s="384" t="s">
        <v>119</v>
      </c>
      <c r="B2216" s="384" t="s">
        <v>261</v>
      </c>
      <c r="C2216" s="389"/>
      <c r="D2216" s="389">
        <v>1.5</v>
      </c>
      <c r="E2216" s="384"/>
      <c r="F2216" s="389"/>
      <c r="G2216" s="389"/>
      <c r="T2216" s="384" t="str">
        <f>IFERROR(__xludf.DUMMYFUNCTION("""COMPUTED_VALUE"""),"MSR")</f>
        <v>MSR</v>
      </c>
      <c r="U2216" s="385"/>
      <c r="W2216" s="384" t="str">
        <f>IFERROR(__xludf.DUMMYFUNCTION("""COMPUTED_VALUE"""),"A1 ")</f>
        <v>A1 </v>
      </c>
      <c r="X2216" s="385"/>
    </row>
    <row r="2217">
      <c r="A2217" s="384" t="s">
        <v>120</v>
      </c>
      <c r="B2217" s="384" t="s">
        <v>269</v>
      </c>
      <c r="C2217" s="389">
        <v>2.5</v>
      </c>
      <c r="D2217" s="389">
        <v>3.0</v>
      </c>
      <c r="E2217" s="384"/>
      <c r="F2217" s="389"/>
      <c r="G2217" s="389"/>
      <c r="T2217" s="384" t="str">
        <f>IFERROR(__xludf.DUMMYFUNCTION("""COMPUTED_VALUE"""),"NLIP")</f>
        <v>NLIP</v>
      </c>
      <c r="U2217" s="385"/>
      <c r="W2217" s="384" t="str">
        <f>IFERROR(__xludf.DUMMYFUNCTION("""COMPUTED_VALUE"""),"Alice ")</f>
        <v>Alice </v>
      </c>
      <c r="X2217" s="385"/>
    </row>
    <row r="2218">
      <c r="A2218" s="384" t="s">
        <v>137</v>
      </c>
      <c r="B2218" s="384" t="s">
        <v>261</v>
      </c>
      <c r="C2218" s="389"/>
      <c r="D2218" s="389">
        <v>1.75</v>
      </c>
      <c r="E2218" s="384"/>
      <c r="F2218" s="389"/>
      <c r="G2218" s="389"/>
      <c r="T2218" s="384" t="str">
        <f>IFERROR(__xludf.DUMMYFUNCTION("""COMPUTED_VALUE"""),"Rocket woman ")</f>
        <v>Rocket woman </v>
      </c>
      <c r="U2218" s="385"/>
      <c r="W2218" s="384" t="str">
        <f>IFERROR(__xludf.DUMMYFUNCTION("""COMPUTED_VALUE"""),"BWDMoscow")</f>
        <v>BWDMoscow</v>
      </c>
      <c r="X2218" s="385"/>
    </row>
    <row r="2219">
      <c r="A2219" s="384" t="s">
        <v>96</v>
      </c>
      <c r="B2219" s="384" t="s">
        <v>261</v>
      </c>
      <c r="C2219" s="389"/>
      <c r="D2219" s="389">
        <v>1.75</v>
      </c>
      <c r="E2219" s="384"/>
      <c r="F2219" s="389"/>
      <c r="G2219" s="389"/>
      <c r="T2219" s="384" t="str">
        <f>IFERROR(__xludf.DUMMYFUNCTION("""COMPUTED_VALUE"""),"SCHOKK ")</f>
        <v>SCHOKK </v>
      </c>
      <c r="U2219" s="385"/>
      <c r="W2219" s="384" t="str">
        <f>IFERROR(__xludf.DUMMYFUNCTION("""COMPUTED_VALUE"""),"Castor Troy ")</f>
        <v>Castor Troy </v>
      </c>
      <c r="X2219" s="385"/>
    </row>
    <row r="2220">
      <c r="A2220" s="384" t="s">
        <v>153</v>
      </c>
      <c r="B2220" s="384" t="s">
        <v>261</v>
      </c>
      <c r="C2220" s="389"/>
      <c r="D2220" s="389">
        <v>3.0</v>
      </c>
      <c r="E2220" s="384" t="s">
        <v>11</v>
      </c>
      <c r="F2220" s="389">
        <v>0.5</v>
      </c>
      <c r="G2220" s="389">
        <v>0.5</v>
      </c>
      <c r="T2220" s="384" t="str">
        <f>IFERROR(__xludf.DUMMYFUNCTION("""COMPUTED_VALUE"""),"WhoIsWho")</f>
        <v>WhoIsWho</v>
      </c>
      <c r="U2220" s="385"/>
      <c r="W2220" s="384" t="str">
        <f>IFERROR(__xludf.DUMMYFUNCTION("""COMPUTED_VALUE"""),"Cristo")</f>
        <v>Cristo</v>
      </c>
      <c r="X2220" s="385"/>
    </row>
    <row r="2221">
      <c r="A2221" s="384" t="s">
        <v>117</v>
      </c>
      <c r="B2221" s="384" t="s">
        <v>265</v>
      </c>
      <c r="C2221" s="389">
        <v>2.5</v>
      </c>
      <c r="D2221" s="389">
        <v>3.5</v>
      </c>
      <c r="E2221" s="384"/>
      <c r="F2221" s="389"/>
      <c r="G2221" s="389"/>
      <c r="T2221" s="384" t="str">
        <f>IFERROR(__xludf.DUMMYFUNCTION("""COMPUTED_VALUE"""),"Young")</f>
        <v>Young</v>
      </c>
      <c r="U2221" s="385"/>
      <c r="W2221" s="384" t="str">
        <f>IFERROR(__xludf.DUMMYFUNCTION("""COMPUTED_VALUE"""),"Curly")</f>
        <v>Curly</v>
      </c>
      <c r="X2221" s="385"/>
    </row>
    <row r="2222">
      <c r="A2222" s="384" t="s">
        <v>131</v>
      </c>
      <c r="B2222" s="384" t="s">
        <v>271</v>
      </c>
      <c r="C2222" s="389"/>
      <c r="D2222" s="389">
        <v>2.25</v>
      </c>
      <c r="E2222" s="384"/>
      <c r="F2222" s="389"/>
      <c r="G2222" s="389"/>
      <c r="T2222" s="384" t="str">
        <f>IFERROR(__xludf.DUMMYFUNCTION("QUERY('Турнирная таблица по Алфавиту'!C7:BG66,""select C,BE order by BE desc"")"),"Young")</f>
        <v>Young</v>
      </c>
      <c r="U2222" s="385">
        <f>IFERROR(__xludf.DUMMYFUNCTION("""COMPUTED_VALUE"""),26.0)</f>
        <v>26</v>
      </c>
      <c r="W2222" s="384" t="str">
        <f>IFERROR(__xludf.DUMMYFUNCTION("""COMPUTED_VALUE"""),"GALAY")</f>
        <v>GALAY</v>
      </c>
      <c r="X2222" s="385"/>
    </row>
    <row r="2223">
      <c r="A2223" s="384" t="s">
        <v>113</v>
      </c>
      <c r="B2223" s="384" t="s">
        <v>261</v>
      </c>
      <c r="C2223" s="389">
        <v>2.5</v>
      </c>
      <c r="D2223" s="389">
        <v>4.0</v>
      </c>
      <c r="E2223" s="384"/>
      <c r="F2223" s="389"/>
      <c r="G2223" s="389"/>
      <c r="T2223" s="384" t="str">
        <f>IFERROR(__xludf.DUMMYFUNCTION("""COMPUTED_VALUE"""),"Шпиц")</f>
        <v>Шпиц</v>
      </c>
      <c r="U2223" s="385">
        <f>IFERROR(__xludf.DUMMYFUNCTION("""COMPUTED_VALUE"""),25.25)</f>
        <v>25.25</v>
      </c>
      <c r="W2223" s="384" t="str">
        <f>IFERROR(__xludf.DUMMYFUNCTION("""COMPUTED_VALUE"""),"Helga")</f>
        <v>Helga</v>
      </c>
      <c r="X2223" s="385"/>
    </row>
    <row r="2224">
      <c r="A2224" s="384" t="s">
        <v>83</v>
      </c>
      <c r="B2224" s="384" t="s">
        <v>265</v>
      </c>
      <c r="C2224" s="389"/>
      <c r="D2224" s="389">
        <v>2.25</v>
      </c>
      <c r="E2224" s="384"/>
      <c r="F2224" s="389"/>
      <c r="G2224" s="389"/>
      <c r="T2224" s="384" t="str">
        <f>IFERROR(__xludf.DUMMYFUNCTION("""COMPUTED_VALUE"""),"Rocket woman ")</f>
        <v>Rocket woman </v>
      </c>
      <c r="U2224" s="385">
        <f>IFERROR(__xludf.DUMMYFUNCTION("""COMPUTED_VALUE"""),25.0)</f>
        <v>25</v>
      </c>
      <c r="W2224" s="384" t="str">
        <f>IFERROR(__xludf.DUMMYFUNCTION("""COMPUTED_VALUE"""),"Ketamin")</f>
        <v>Ketamin</v>
      </c>
      <c r="X2224" s="385"/>
    </row>
    <row r="2225">
      <c r="A2225" s="384" t="s">
        <v>108</v>
      </c>
      <c r="B2225" s="384" t="s">
        <v>261</v>
      </c>
      <c r="C2225" s="389">
        <v>2.5</v>
      </c>
      <c r="D2225" s="389">
        <v>2.5</v>
      </c>
      <c r="E2225" s="384" t="s">
        <v>11</v>
      </c>
      <c r="F2225" s="389"/>
      <c r="G2225" s="389">
        <v>0.5</v>
      </c>
      <c r="T2225" s="384" t="str">
        <f>IFERROR(__xludf.DUMMYFUNCTION("""COMPUTED_VALUE"""),"Манекен")</f>
        <v>Манекен</v>
      </c>
      <c r="U2225" s="385">
        <f>IFERROR(__xludf.DUMMYFUNCTION("""COMPUTED_VALUE"""),22.25)</f>
        <v>22.25</v>
      </c>
      <c r="W2225" s="384" t="str">
        <f>IFERROR(__xludf.DUMMYFUNCTION("""COMPUTED_VALUE"""),"Light")</f>
        <v>Light</v>
      </c>
      <c r="X2225" s="385"/>
    </row>
    <row r="2226">
      <c r="A2226" s="384" t="s">
        <v>119</v>
      </c>
      <c r="B2226" s="384" t="s">
        <v>261</v>
      </c>
      <c r="C2226" s="389">
        <v>2.5</v>
      </c>
      <c r="D2226" s="389">
        <v>3.75</v>
      </c>
      <c r="E2226" s="384"/>
      <c r="F2226" s="389"/>
      <c r="G2226" s="389"/>
      <c r="T2226" s="384" t="str">
        <f>IFERROR(__xludf.DUMMYFUNCTION("""COMPUTED_VALUE"""),"Coach")</f>
        <v>Coach</v>
      </c>
      <c r="U2226" s="385">
        <f>IFERROR(__xludf.DUMMYFUNCTION("""COMPUTED_VALUE"""),20.5)</f>
        <v>20.5</v>
      </c>
      <c r="W2226" s="384" t="str">
        <f>IFERROR(__xludf.DUMMYFUNCTION("""COMPUTED_VALUE"""),"Morti")</f>
        <v>Morti</v>
      </c>
      <c r="X2226" s="385"/>
    </row>
    <row r="2227">
      <c r="A2227" s="384" t="s">
        <v>120</v>
      </c>
      <c r="B2227" s="384" t="s">
        <v>269</v>
      </c>
      <c r="C2227" s="389"/>
      <c r="D2227" s="389">
        <v>1.75</v>
      </c>
      <c r="E2227" s="384"/>
      <c r="F2227" s="389"/>
      <c r="G2227" s="389"/>
      <c r="T2227" s="384" t="str">
        <f>IFERROR(__xludf.DUMMYFUNCTION("""COMPUTED_VALUE"""),"NLIP")</f>
        <v>NLIP</v>
      </c>
      <c r="U2227" s="385">
        <f>IFERROR(__xludf.DUMMYFUNCTION("""COMPUTED_VALUE"""),19.75)</f>
        <v>19.75</v>
      </c>
      <c r="W2227" s="384" t="str">
        <f>IFERROR(__xludf.DUMMYFUNCTION("""COMPUTED_VALUE"""),"MSR")</f>
        <v>MSR</v>
      </c>
      <c r="X2227" s="385"/>
    </row>
    <row r="2228">
      <c r="A2228" s="384" t="s">
        <v>137</v>
      </c>
      <c r="B2228" s="384" t="s">
        <v>261</v>
      </c>
      <c r="C2228" s="389">
        <v>2.5</v>
      </c>
      <c r="D2228" s="389">
        <v>4.5</v>
      </c>
      <c r="E2228" s="384"/>
      <c r="F2228" s="389"/>
      <c r="G2228" s="389"/>
      <c r="T2228" s="384" t="str">
        <f>IFERROR(__xludf.DUMMYFUNCTION("""COMPUTED_VALUE"""),"СЭНСЭЙ")</f>
        <v>СЭНСЭЙ</v>
      </c>
      <c r="U2228" s="385">
        <f>IFERROR(__xludf.DUMMYFUNCTION("""COMPUTED_VALUE"""),18.0)</f>
        <v>18</v>
      </c>
      <c r="W2228" s="384" t="str">
        <f>IFERROR(__xludf.DUMMYFUNCTION("""COMPUTED_VALUE"""),"Rocket woman ")</f>
        <v>Rocket woman </v>
      </c>
      <c r="X2228" s="385"/>
    </row>
    <row r="2229">
      <c r="A2229" s="384" t="s">
        <v>96</v>
      </c>
      <c r="B2229" s="384" t="s">
        <v>261</v>
      </c>
      <c r="C2229" s="389">
        <v>2.5</v>
      </c>
      <c r="D2229" s="389">
        <v>2.75</v>
      </c>
      <c r="E2229" s="384"/>
      <c r="F2229" s="389"/>
      <c r="G2229" s="389"/>
      <c r="T2229" s="384" t="str">
        <f>IFERROR(__xludf.DUMMYFUNCTION("""COMPUTED_VALUE"""),"Аш")</f>
        <v>Аш</v>
      </c>
      <c r="U2229" s="385">
        <f>IFERROR(__xludf.DUMMYFUNCTION("""COMPUTED_VALUE"""),17.75)</f>
        <v>17.75</v>
      </c>
      <c r="W2229" s="384" t="str">
        <f>IFERROR(__xludf.DUMMYFUNCTION("""COMPUTED_VALUE"""),"SCHOKK ")</f>
        <v>SCHOKK </v>
      </c>
      <c r="X2229" s="385"/>
    </row>
    <row r="2230">
      <c r="A2230" s="384" t="s">
        <v>153</v>
      </c>
      <c r="B2230" s="384" t="s">
        <v>271</v>
      </c>
      <c r="C2230" s="389">
        <v>2.5</v>
      </c>
      <c r="D2230" s="389">
        <v>3.5</v>
      </c>
      <c r="E2230" s="384"/>
      <c r="F2230" s="389"/>
      <c r="G2230" s="389"/>
      <c r="T2230" s="384" t="str">
        <f>IFERROR(__xludf.DUMMYFUNCTION("""COMPUTED_VALUE"""),"Юрия")</f>
        <v>Юрия</v>
      </c>
      <c r="U2230" s="385">
        <f>IFERROR(__xludf.DUMMYFUNCTION("""COMPUTED_VALUE"""),17.0)</f>
        <v>17</v>
      </c>
      <c r="W2230" s="384" t="str">
        <f>IFERROR(__xludf.DUMMYFUNCTION("""COMPUTED_VALUE"""),"SOVEST")</f>
        <v>SOVEST</v>
      </c>
      <c r="X2230" s="385"/>
    </row>
    <row r="2231">
      <c r="A2231" s="384" t="s">
        <v>117</v>
      </c>
      <c r="B2231" s="384" t="s">
        <v>269</v>
      </c>
      <c r="C2231" s="389"/>
      <c r="D2231" s="389">
        <v>2.0</v>
      </c>
      <c r="E2231" s="384"/>
      <c r="F2231" s="389"/>
      <c r="G2231" s="389"/>
      <c r="T2231" s="384" t="str">
        <f>IFERROR(__xludf.DUMMYFUNCTION("""COMPUTED_VALUE"""),"Infinity ")</f>
        <v>Infinity </v>
      </c>
      <c r="U2231" s="385">
        <f>IFERROR(__xludf.DUMMYFUNCTION("""COMPUTED_VALUE"""),12.5)</f>
        <v>12.5</v>
      </c>
      <c r="W2231" s="384" t="str">
        <f>IFERROR(__xludf.DUMMYFUNCTION("""COMPUTED_VALUE"""),"Stacy")</f>
        <v>Stacy</v>
      </c>
      <c r="X2231" s="385"/>
    </row>
    <row r="2232">
      <c r="A2232" s="384" t="s">
        <v>131</v>
      </c>
      <c r="B2232" s="384" t="s">
        <v>261</v>
      </c>
      <c r="C2232" s="389">
        <v>2.5</v>
      </c>
      <c r="D2232" s="389">
        <v>3.0</v>
      </c>
      <c r="E2232" s="384"/>
      <c r="F2232" s="389"/>
      <c r="G2232" s="389"/>
      <c r="T2232" s="384" t="str">
        <f>IFERROR(__xludf.DUMMYFUNCTION("""COMPUTED_VALUE"""),"Авраам")</f>
        <v>Авраам</v>
      </c>
      <c r="U2232" s="385"/>
      <c r="W2232" s="384" t="str">
        <f>IFERROR(__xludf.DUMMYFUNCTION("""COMPUTED_VALUE"""),"WhoIsWho")</f>
        <v>WhoIsWho</v>
      </c>
      <c r="X2232" s="385"/>
    </row>
    <row r="2233">
      <c r="A2233" s="384" t="s">
        <v>113</v>
      </c>
      <c r="B2233" s="384" t="s">
        <v>271</v>
      </c>
      <c r="C2233" s="389"/>
      <c r="D2233" s="389">
        <v>2.75</v>
      </c>
      <c r="E2233" s="384" t="s">
        <v>11</v>
      </c>
      <c r="F2233" s="389"/>
      <c r="G2233" s="389">
        <v>0.5</v>
      </c>
      <c r="T2233" s="384" t="str">
        <f>IFERROR(__xludf.DUMMYFUNCTION("""COMPUTED_VALUE"""),"Админ")</f>
        <v>Админ</v>
      </c>
      <c r="U2233" s="385"/>
      <c r="W2233" s="384" t="str">
        <f>IFERROR(__xludf.DUMMYFUNCTION("""COMPUTED_VALUE"""),"Админ")</f>
        <v>Админ</v>
      </c>
      <c r="X2233" s="385"/>
    </row>
    <row r="2234">
      <c r="A2234" s="384" t="s">
        <v>83</v>
      </c>
      <c r="B2234" s="384" t="s">
        <v>269</v>
      </c>
      <c r="C2234" s="389">
        <v>2.5</v>
      </c>
      <c r="D2234" s="389">
        <v>3.0</v>
      </c>
      <c r="E2234" s="384"/>
      <c r="F2234" s="389"/>
      <c r="G2234" s="389"/>
      <c r="T2234" s="384" t="str">
        <f>IFERROR(__xludf.DUMMYFUNCTION("""COMPUTED_VALUE"""),"Андерсен")</f>
        <v>Андерсен</v>
      </c>
      <c r="U2234" s="385"/>
      <c r="W2234" s="384" t="str">
        <f>IFERROR(__xludf.DUMMYFUNCTION("""COMPUTED_VALUE"""),"Андерсен")</f>
        <v>Андерсен</v>
      </c>
      <c r="X2234" s="385"/>
    </row>
    <row r="2235">
      <c r="A2235" s="384" t="s">
        <v>108</v>
      </c>
      <c r="B2235" s="384" t="s">
        <v>261</v>
      </c>
      <c r="C2235" s="389"/>
      <c r="D2235" s="389">
        <v>1.5</v>
      </c>
      <c r="E2235" s="384"/>
      <c r="F2235" s="389"/>
      <c r="G2235" s="389"/>
      <c r="T2235" s="384" t="str">
        <f>IFERROR(__xludf.DUMMYFUNCTION("""COMPUTED_VALUE"""),"Артик")</f>
        <v>Артик</v>
      </c>
      <c r="U2235" s="385"/>
      <c r="W2235" s="384" t="str">
        <f>IFERROR(__xludf.DUMMYFUNCTION("""COMPUTED_VALUE"""),"Астория")</f>
        <v>Астория</v>
      </c>
      <c r="X2235" s="385"/>
    </row>
    <row r="2236">
      <c r="A2236" s="384" t="s">
        <v>119</v>
      </c>
      <c r="B2236" s="384" t="s">
        <v>269</v>
      </c>
      <c r="C2236" s="389">
        <v>2.5</v>
      </c>
      <c r="D2236" s="389">
        <v>3.25</v>
      </c>
      <c r="E2236" s="384"/>
      <c r="F2236" s="389"/>
      <c r="G2236" s="389"/>
      <c r="T2236" s="384" t="str">
        <f>IFERROR(__xludf.DUMMYFUNCTION("""COMPUTED_VALUE"""),"Астория")</f>
        <v>Астория</v>
      </c>
      <c r="U2236" s="385"/>
      <c r="W2236" s="384" t="str">
        <f>IFERROR(__xludf.DUMMYFUNCTION("""COMPUTED_VALUE"""),"Аш")</f>
        <v>Аш</v>
      </c>
      <c r="X2236" s="385"/>
    </row>
    <row r="2237">
      <c r="A2237" s="384" t="s">
        <v>120</v>
      </c>
      <c r="B2237" s="384" t="s">
        <v>265</v>
      </c>
      <c r="C2237" s="389">
        <v>2.5</v>
      </c>
      <c r="D2237" s="389">
        <v>3.75</v>
      </c>
      <c r="E2237" s="384"/>
      <c r="F2237" s="389"/>
      <c r="G2237" s="389"/>
      <c r="T2237" s="384" t="str">
        <f>IFERROR(__xludf.DUMMYFUNCTION("""COMPUTED_VALUE"""),"Бамблби")</f>
        <v>Бамблби</v>
      </c>
      <c r="U2237" s="385"/>
      <c r="W2237" s="384" t="str">
        <f>IFERROR(__xludf.DUMMYFUNCTION("""COMPUTED_VALUE"""),"Волга")</f>
        <v>Волга</v>
      </c>
      <c r="X2237" s="385"/>
    </row>
    <row r="2238">
      <c r="A2238" s="384" t="s">
        <v>137</v>
      </c>
      <c r="B2238" s="384" t="s">
        <v>261</v>
      </c>
      <c r="C2238" s="389"/>
      <c r="D2238" s="389">
        <v>2.75</v>
      </c>
      <c r="E2238" s="384"/>
      <c r="F2238" s="389"/>
      <c r="G2238" s="389"/>
      <c r="T2238" s="384" t="str">
        <f>IFERROR(__xludf.DUMMYFUNCTION("""COMPUTED_VALUE"""),"Волга")</f>
        <v>Волга</v>
      </c>
      <c r="U2238" s="385"/>
      <c r="W2238" s="384" t="str">
        <f>IFERROR(__xludf.DUMMYFUNCTION("""COMPUTED_VALUE"""),"Градиент")</f>
        <v>Градиент</v>
      </c>
      <c r="X2238" s="385"/>
    </row>
    <row r="2239">
      <c r="A2239" s="384" t="s">
        <v>96</v>
      </c>
      <c r="B2239" s="384" t="s">
        <v>261</v>
      </c>
      <c r="C2239" s="389"/>
      <c r="D2239" s="389">
        <v>2.0</v>
      </c>
      <c r="E2239" s="384"/>
      <c r="F2239" s="389"/>
      <c r="G2239" s="389"/>
      <c r="T2239" s="384" t="str">
        <f>IFERROR(__xludf.DUMMYFUNCTION("""COMPUTED_VALUE"""),"Градиент")</f>
        <v>Градиент</v>
      </c>
      <c r="U2239" s="385"/>
      <c r="W2239" s="384" t="str">
        <f>IFERROR(__xludf.DUMMYFUNCTION("""COMPUTED_VALUE"""),"Зверюга")</f>
        <v>Зверюга</v>
      </c>
      <c r="X2239" s="385"/>
    </row>
    <row r="2240">
      <c r="A2240" s="384" t="s">
        <v>153</v>
      </c>
      <c r="B2240" s="384" t="s">
        <v>261</v>
      </c>
      <c r="C2240" s="389"/>
      <c r="D2240" s="389">
        <v>1.5</v>
      </c>
      <c r="E2240" s="384"/>
      <c r="F2240" s="389"/>
      <c r="G2240" s="389"/>
      <c r="T2240" s="384" t="str">
        <f>IFERROR(__xludf.DUMMYFUNCTION("""COMPUTED_VALUE"""),"Дровосек")</f>
        <v>Дровосек</v>
      </c>
      <c r="U2240" s="385"/>
      <c r="W2240" s="384" t="str">
        <f>IFERROR(__xludf.DUMMYFUNCTION("""COMPUTED_VALUE"""),"Инсомнич")</f>
        <v>Инсомнич</v>
      </c>
      <c r="X2240" s="385"/>
    </row>
    <row r="2241">
      <c r="A2241" s="384" t="s">
        <v>117</v>
      </c>
      <c r="B2241" s="384" t="s">
        <v>261</v>
      </c>
      <c r="C2241" s="389"/>
      <c r="D2241" s="389">
        <v>2.5</v>
      </c>
      <c r="E2241" s="384"/>
      <c r="F2241" s="389"/>
      <c r="G2241" s="389"/>
      <c r="T2241" s="384" t="str">
        <f>IFERROR(__xludf.DUMMYFUNCTION("""COMPUTED_VALUE"""),"Зверюга")</f>
        <v>Зверюга</v>
      </c>
      <c r="U2241" s="385"/>
      <c r="W2241" s="384" t="str">
        <f>IFERROR(__xludf.DUMMYFUNCTION("""COMPUTED_VALUE"""),"Красавчик")</f>
        <v>Красавчик</v>
      </c>
      <c r="X2241" s="385"/>
    </row>
    <row r="2242">
      <c r="A2242" s="384" t="s">
        <v>131</v>
      </c>
      <c r="B2242" s="384" t="s">
        <v>261</v>
      </c>
      <c r="C2242" s="389"/>
      <c r="D2242" s="389">
        <v>3.0</v>
      </c>
      <c r="E2242" s="384"/>
      <c r="F2242" s="389"/>
      <c r="G2242" s="389"/>
      <c r="T2242" s="384" t="str">
        <f>IFERROR(__xludf.DUMMYFUNCTION("""COMPUTED_VALUE"""),"Инсомнич")</f>
        <v>Инсомнич</v>
      </c>
      <c r="U2242" s="385"/>
      <c r="W2242" s="384" t="str">
        <f>IFERROR(__xludf.DUMMYFUNCTION("""COMPUTED_VALUE"""),"Крестный отец (BLR)")</f>
        <v>Крестный отец (BLR)</v>
      </c>
      <c r="X2242" s="385"/>
    </row>
    <row r="2243">
      <c r="A2243" s="384" t="s">
        <v>113</v>
      </c>
      <c r="B2243" s="384" t="s">
        <v>261</v>
      </c>
      <c r="C2243" s="389"/>
      <c r="D2243" s="389">
        <v>2.25</v>
      </c>
      <c r="E2243" s="384"/>
      <c r="F2243" s="389"/>
      <c r="G2243" s="389"/>
      <c r="T2243" s="384" t="str">
        <f>IFERROR(__xludf.DUMMYFUNCTION("""COMPUTED_VALUE"""),"Красавчик")</f>
        <v>Красавчик</v>
      </c>
      <c r="U2243" s="385"/>
      <c r="W2243" s="384" t="str">
        <f>IFERROR(__xludf.DUMMYFUNCTION("""COMPUTED_VALUE"""),"Крот")</f>
        <v>Крот</v>
      </c>
      <c r="X2243" s="385"/>
    </row>
    <row r="2244">
      <c r="A2244" s="384" t="s">
        <v>83</v>
      </c>
      <c r="B2244" s="384" t="s">
        <v>269</v>
      </c>
      <c r="C2244" s="389">
        <v>2.5</v>
      </c>
      <c r="D2244" s="389">
        <v>2.5</v>
      </c>
      <c r="E2244" s="384"/>
      <c r="F2244" s="389"/>
      <c r="G2244" s="389"/>
      <c r="T2244" s="384" t="str">
        <f>IFERROR(__xludf.DUMMYFUNCTION("""COMPUTED_VALUE"""),"Крестный отец (BLR)")</f>
        <v>Крестный отец (BLR)</v>
      </c>
      <c r="U2244" s="385"/>
      <c r="W2244" s="384" t="str">
        <f>IFERROR(__xludf.DUMMYFUNCTION("""COMPUTED_VALUE"""),"Левша")</f>
        <v>Левша</v>
      </c>
      <c r="X2244" s="385"/>
    </row>
    <row r="2245">
      <c r="A2245" s="384" t="s">
        <v>108</v>
      </c>
      <c r="B2245" s="384" t="s">
        <v>265</v>
      </c>
      <c r="C2245" s="389">
        <v>2.5</v>
      </c>
      <c r="D2245" s="389">
        <v>3.25</v>
      </c>
      <c r="E2245" s="384"/>
      <c r="F2245" s="389"/>
      <c r="G2245" s="389"/>
      <c r="T2245" s="384" t="str">
        <f>IFERROR(__xludf.DUMMYFUNCTION("""COMPUTED_VALUE"""),"Крёстный Отец (RU)")</f>
        <v>Крёстный Отец (RU)</v>
      </c>
      <c r="U2245" s="385"/>
      <c r="W2245" s="384" t="str">
        <f>IFERROR(__xludf.DUMMYFUNCTION("""COMPUTED_VALUE"""),"Лисичка")</f>
        <v>Лисичка</v>
      </c>
      <c r="X2245" s="385"/>
    </row>
    <row r="2246">
      <c r="A2246" s="384" t="s">
        <v>119</v>
      </c>
      <c r="B2246" s="384" t="s">
        <v>271</v>
      </c>
      <c r="C2246" s="389"/>
      <c r="D2246" s="389">
        <v>2.5</v>
      </c>
      <c r="E2246" s="384"/>
      <c r="F2246" s="389"/>
      <c r="G2246" s="389"/>
      <c r="T2246" s="384" t="str">
        <f>IFERROR(__xludf.DUMMYFUNCTION("""COMPUTED_VALUE"""),"Крот")</f>
        <v>Крот</v>
      </c>
      <c r="U2246" s="385"/>
      <c r="W2246" s="384" t="str">
        <f>IFERROR(__xludf.DUMMYFUNCTION("""COMPUTED_VALUE"""),"Маваши")</f>
        <v>Маваши</v>
      </c>
      <c r="X2246" s="385"/>
    </row>
    <row r="2247">
      <c r="A2247" s="384" t="s">
        <v>120</v>
      </c>
      <c r="B2247" s="384" t="s">
        <v>261</v>
      </c>
      <c r="C2247" s="389"/>
      <c r="D2247" s="389">
        <v>2.5</v>
      </c>
      <c r="E2247" s="384" t="s">
        <v>11</v>
      </c>
      <c r="F2247" s="389"/>
      <c r="G2247" s="389">
        <v>0.5</v>
      </c>
      <c r="T2247" s="384" t="str">
        <f>IFERROR(__xludf.DUMMYFUNCTION("""COMPUTED_VALUE"""),"Левша")</f>
        <v>Левша</v>
      </c>
      <c r="U2247" s="385"/>
      <c r="W2247" s="384" t="str">
        <f>IFERROR(__xludf.DUMMYFUNCTION("""COMPUTED_VALUE"""),"Манекен")</f>
        <v>Манекен</v>
      </c>
      <c r="X2247" s="385"/>
    </row>
    <row r="2248">
      <c r="A2248" s="384" t="s">
        <v>137</v>
      </c>
      <c r="B2248" s="384" t="s">
        <v>261</v>
      </c>
      <c r="C2248" s="389"/>
      <c r="D2248" s="389">
        <v>3.0</v>
      </c>
      <c r="E2248" s="384"/>
      <c r="F2248" s="389"/>
      <c r="G2248" s="389"/>
      <c r="T2248" s="384" t="str">
        <f>IFERROR(__xludf.DUMMYFUNCTION("""COMPUTED_VALUE"""),"Лисичка")</f>
        <v>Лисичка</v>
      </c>
      <c r="U2248" s="385"/>
      <c r="W2248" s="384" t="str">
        <f>IFERROR(__xludf.DUMMYFUNCTION("""COMPUTED_VALUE"""),"Ментик")</f>
        <v>Ментик</v>
      </c>
      <c r="X2248" s="385"/>
    </row>
    <row r="2249">
      <c r="A2249" s="384" t="s">
        <v>96</v>
      </c>
      <c r="B2249" s="384" t="s">
        <v>269</v>
      </c>
      <c r="C2249" s="389">
        <v>2.5</v>
      </c>
      <c r="D2249" s="389">
        <v>3.75</v>
      </c>
      <c r="E2249" s="384"/>
      <c r="F2249" s="389"/>
      <c r="G2249" s="389"/>
      <c r="T2249" s="384" t="str">
        <f>IFERROR(__xludf.DUMMYFUNCTION("""COMPUTED_VALUE"""),"Маваши")</f>
        <v>Маваши</v>
      </c>
      <c r="U2249" s="385"/>
      <c r="W2249" s="384" t="str">
        <f>IFERROR(__xludf.DUMMYFUNCTION("""COMPUTED_VALUE"""),"Мишель ")</f>
        <v>Мишель </v>
      </c>
      <c r="X2249" s="385"/>
    </row>
    <row r="2250">
      <c r="A2250" s="384" t="s">
        <v>153</v>
      </c>
      <c r="B2250" s="384" t="s">
        <v>261</v>
      </c>
      <c r="C2250" s="389"/>
      <c r="D2250" s="389">
        <v>2.5</v>
      </c>
      <c r="E2250" s="384"/>
      <c r="F2250" s="389"/>
      <c r="G2250" s="389"/>
      <c r="T2250" s="384" t="str">
        <f>IFERROR(__xludf.DUMMYFUNCTION("""COMPUTED_VALUE"""),"Марго")</f>
        <v>Марго</v>
      </c>
      <c r="U2250" s="385"/>
      <c r="W2250" s="384" t="str">
        <f>IFERROR(__xludf.DUMMYFUNCTION("""COMPUTED_VALUE"""),"Наполеон")</f>
        <v>Наполеон</v>
      </c>
      <c r="X2250" s="385"/>
    </row>
    <row r="2251">
      <c r="A2251" s="384" t="s">
        <v>117</v>
      </c>
      <c r="B2251" s="384" t="s">
        <v>261</v>
      </c>
      <c r="C2251" s="389"/>
      <c r="D2251" s="389">
        <v>2.25</v>
      </c>
      <c r="E2251" s="384"/>
      <c r="F2251" s="389"/>
      <c r="G2251" s="389" t="s">
        <v>284</v>
      </c>
      <c r="T2251" s="384" t="str">
        <f>IFERROR(__xludf.DUMMYFUNCTION("""COMPUTED_VALUE"""),"Ментик")</f>
        <v>Ментик</v>
      </c>
      <c r="U2251" s="385"/>
      <c r="W2251" s="384" t="str">
        <f>IFERROR(__xludf.DUMMYFUNCTION("""COMPUTED_VALUE"""),"Панда из Руанды")</f>
        <v>Панда из Руанды</v>
      </c>
      <c r="X2251" s="385"/>
    </row>
    <row r="2252">
      <c r="A2252" s="384" t="s">
        <v>131</v>
      </c>
      <c r="B2252" s="384" t="s">
        <v>261</v>
      </c>
      <c r="C2252" s="389"/>
      <c r="D2252" s="389">
        <v>1.5</v>
      </c>
      <c r="E2252" s="384"/>
      <c r="F2252" s="389"/>
      <c r="G2252" s="389"/>
      <c r="T2252" s="384" t="str">
        <f>IFERROR(__xludf.DUMMYFUNCTION("""COMPUTED_VALUE"""),"Мишель ")</f>
        <v>Мишель </v>
      </c>
      <c r="U2252" s="385"/>
      <c r="W2252" s="384" t="str">
        <f>IFERROR(__xludf.DUMMYFUNCTION("""COMPUTED_VALUE"""),"Правда ")</f>
        <v>Правда </v>
      </c>
      <c r="X2252" s="385"/>
    </row>
    <row r="2253">
      <c r="A2253" s="384" t="s">
        <v>130</v>
      </c>
      <c r="B2253" s="384" t="s">
        <v>265</v>
      </c>
      <c r="C2253" s="389"/>
      <c r="D2253" s="389">
        <v>2.0</v>
      </c>
      <c r="E2253" s="384"/>
      <c r="F2253" s="389"/>
      <c r="G2253" s="389"/>
      <c r="T2253" s="384" t="str">
        <f>IFERROR(__xludf.DUMMYFUNCTION("""COMPUTED_VALUE"""),"Наполеон")</f>
        <v>Наполеон</v>
      </c>
      <c r="U2253" s="385"/>
      <c r="W2253" s="384" t="str">
        <f>IFERROR(__xludf.DUMMYFUNCTION("""COMPUTED_VALUE"""),"РФ")</f>
        <v>РФ</v>
      </c>
      <c r="X2253" s="385"/>
    </row>
    <row r="2254">
      <c r="A2254" s="384" t="s">
        <v>81</v>
      </c>
      <c r="B2254" s="384" t="s">
        <v>269</v>
      </c>
      <c r="C2254" s="389"/>
      <c r="D2254" s="389">
        <v>2.25</v>
      </c>
      <c r="E2254" s="384"/>
      <c r="F2254" s="389"/>
      <c r="G2254" s="389"/>
      <c r="T2254" s="384" t="str">
        <f>IFERROR(__xludf.DUMMYFUNCTION("""COMPUTED_VALUE"""),"Панда из Руанды")</f>
        <v>Панда из Руанды</v>
      </c>
      <c r="U2254" s="385"/>
      <c r="W2254" s="384" t="str">
        <f>IFERROR(__xludf.DUMMYFUNCTION("""COMPUTED_VALUE"""),"Старый")</f>
        <v>Старый</v>
      </c>
      <c r="X2254" s="385"/>
    </row>
    <row r="2255">
      <c r="A2255" s="384" t="s">
        <v>83</v>
      </c>
      <c r="B2255" s="384" t="s">
        <v>261</v>
      </c>
      <c r="C2255" s="389">
        <v>2.5</v>
      </c>
      <c r="D2255" s="389">
        <v>3.5</v>
      </c>
      <c r="E2255" s="384"/>
      <c r="F2255" s="389"/>
      <c r="G2255" s="389"/>
      <c r="T2255" s="384" t="str">
        <f>IFERROR(__xludf.DUMMYFUNCTION("""COMPUTED_VALUE"""),"Писатель ")</f>
        <v>Писатель </v>
      </c>
      <c r="U2255" s="385"/>
      <c r="W2255" s="384" t="str">
        <f>IFERROR(__xludf.DUMMYFUNCTION("""COMPUTED_VALUE"""),"СЭНСЭЙ")</f>
        <v>СЭНСЭЙ</v>
      </c>
      <c r="X2255" s="385"/>
    </row>
    <row r="2256">
      <c r="A2256" s="384" t="s">
        <v>108</v>
      </c>
      <c r="B2256" s="384" t="s">
        <v>261</v>
      </c>
      <c r="C2256" s="389">
        <v>2.5</v>
      </c>
      <c r="D2256" s="389">
        <v>1.5</v>
      </c>
      <c r="E2256" s="384" t="s">
        <v>11</v>
      </c>
      <c r="F2256" s="389"/>
      <c r="G2256" s="389">
        <v>0.5</v>
      </c>
      <c r="T2256" s="384" t="str">
        <f>IFERROR(__xludf.DUMMYFUNCTION("""COMPUTED_VALUE"""),"Правда ")</f>
        <v>Правда </v>
      </c>
      <c r="U2256" s="385"/>
      <c r="W2256" s="384" t="str">
        <f>IFERROR(__xludf.DUMMYFUNCTION("""COMPUTED_VALUE"""),"Тихий закат")</f>
        <v>Тихий закат</v>
      </c>
      <c r="X2256" s="385"/>
    </row>
    <row r="2257">
      <c r="A2257" s="384" t="s">
        <v>95</v>
      </c>
      <c r="B2257" s="384" t="s">
        <v>269</v>
      </c>
      <c r="C2257" s="389"/>
      <c r="D2257" s="389">
        <v>2.25</v>
      </c>
      <c r="E2257" s="384" t="s">
        <v>263</v>
      </c>
      <c r="F2257" s="389"/>
      <c r="G2257" s="389"/>
      <c r="T2257" s="384" t="str">
        <f>IFERROR(__xludf.DUMMYFUNCTION("""COMPUTED_VALUE"""),"Продюсер")</f>
        <v>Продюсер</v>
      </c>
      <c r="U2257" s="385"/>
      <c r="W2257" s="384" t="str">
        <f>IFERROR(__xludf.DUMMYFUNCTION("""COMPUTED_VALUE"""),"Физик")</f>
        <v>Физик</v>
      </c>
      <c r="X2257" s="385"/>
    </row>
    <row r="2258">
      <c r="A2258" s="384" t="s">
        <v>91</v>
      </c>
      <c r="B2258" s="384" t="s">
        <v>261</v>
      </c>
      <c r="C2258" s="389">
        <v>2.5</v>
      </c>
      <c r="D2258" s="389">
        <v>3.25</v>
      </c>
      <c r="E2258" s="384"/>
      <c r="F2258" s="389"/>
      <c r="G2258" s="389"/>
      <c r="T2258" s="384" t="str">
        <f>IFERROR(__xludf.DUMMYFUNCTION("""COMPUTED_VALUE"""),"РФ")</f>
        <v>РФ</v>
      </c>
      <c r="U2258" s="385"/>
      <c r="W2258" s="384" t="str">
        <f>IFERROR(__xludf.DUMMYFUNCTION("""COMPUTED_VALUE"""),"Флэш")</f>
        <v>Флэш</v>
      </c>
      <c r="X2258" s="385"/>
    </row>
    <row r="2259">
      <c r="A2259" s="384" t="s">
        <v>103</v>
      </c>
      <c r="B2259" s="384" t="s">
        <v>261</v>
      </c>
      <c r="C2259" s="389">
        <v>2.5</v>
      </c>
      <c r="D2259" s="389">
        <v>2.5</v>
      </c>
      <c r="E2259" s="384" t="s">
        <v>260</v>
      </c>
      <c r="F2259" s="389"/>
      <c r="G2259" s="389"/>
      <c r="T2259" s="384" t="str">
        <f>IFERROR(__xludf.DUMMYFUNCTION("""COMPUTED_VALUE"""),"Старый")</f>
        <v>Старый</v>
      </c>
      <c r="U2259" s="385"/>
      <c r="W2259" s="384" t="str">
        <f>IFERROR(__xludf.DUMMYFUNCTION("""COMPUTED_VALUE"""),"Фокс")</f>
        <v>Фокс</v>
      </c>
      <c r="X2259" s="385"/>
    </row>
    <row r="2260">
      <c r="A2260" s="384" t="s">
        <v>106</v>
      </c>
      <c r="B2260" s="384" t="s">
        <v>261</v>
      </c>
      <c r="C2260" s="389">
        <v>2.5</v>
      </c>
      <c r="D2260" s="389">
        <v>4.0</v>
      </c>
      <c r="E2260" s="384"/>
      <c r="F2260" s="389"/>
      <c r="G2260" s="389"/>
      <c r="T2260" s="384" t="str">
        <f>IFERROR(__xludf.DUMMYFUNCTION("""COMPUTED_VALUE"""),"Тихий закат")</f>
        <v>Тихий закат</v>
      </c>
      <c r="U2260" s="385"/>
      <c r="W2260" s="384" t="str">
        <f>IFERROR(__xludf.DUMMYFUNCTION("""COMPUTED_VALUE"""),"Шпиц")</f>
        <v>Шпиц</v>
      </c>
      <c r="X2260" s="385"/>
    </row>
    <row r="2261">
      <c r="A2261" s="384" t="s">
        <v>93</v>
      </c>
      <c r="B2261" s="384" t="s">
        <v>261</v>
      </c>
      <c r="C2261" s="389">
        <v>2.5</v>
      </c>
      <c r="D2261" s="389">
        <v>3.75</v>
      </c>
      <c r="E2261" s="384"/>
      <c r="F2261" s="389"/>
      <c r="G2261" s="389"/>
      <c r="T2261" s="384" t="str">
        <f>IFERROR(__xludf.DUMMYFUNCTION("""COMPUTED_VALUE"""),"Физик")</f>
        <v>Физик</v>
      </c>
      <c r="U2261" s="385"/>
      <c r="W2261" s="384" t="str">
        <f>IFERROR(__xludf.DUMMYFUNCTION("""COMPUTED_VALUE"""),"Юрия")</f>
        <v>Юрия</v>
      </c>
      <c r="X2261" s="385"/>
    </row>
    <row r="2262">
      <c r="A2262" s="384" t="s">
        <v>153</v>
      </c>
      <c r="B2262" s="384" t="s">
        <v>271</v>
      </c>
      <c r="C2262" s="389">
        <v>2.5</v>
      </c>
      <c r="D2262" s="389">
        <v>3.25</v>
      </c>
      <c r="E2262" s="384" t="s">
        <v>260</v>
      </c>
      <c r="F2262" s="389"/>
      <c r="G2262" s="389"/>
      <c r="T2262" s="384" t="str">
        <f>IFERROR(__xludf.DUMMYFUNCTION("""COMPUTED_VALUE"""),"Флэш")</f>
        <v>Флэш</v>
      </c>
      <c r="U2262" s="385"/>
      <c r="W2262" s="384" t="str">
        <f>IFERROR(__xludf.DUMMYFUNCTION("""COMPUTED_VALUE"""),"A1 ")</f>
        <v>A1 </v>
      </c>
      <c r="X2262" s="385"/>
    </row>
    <row r="2263">
      <c r="A2263" s="384" t="s">
        <v>130</v>
      </c>
      <c r="B2263" s="384" t="s">
        <v>265</v>
      </c>
      <c r="C2263" s="389"/>
      <c r="D2263" s="389">
        <v>2.75</v>
      </c>
      <c r="E2263" s="384"/>
      <c r="F2263" s="389"/>
      <c r="G2263" s="389"/>
      <c r="T2263" s="384" t="str">
        <f>IFERROR(__xludf.DUMMYFUNCTION("""COMPUTED_VALUE"""),"Фокс")</f>
        <v>Фокс</v>
      </c>
      <c r="U2263" s="385"/>
      <c r="W2263" s="384" t="str">
        <f>IFERROR(__xludf.DUMMYFUNCTION("""COMPUTED_VALUE"""),"Alice ")</f>
        <v>Alice </v>
      </c>
      <c r="X2263" s="385"/>
    </row>
    <row r="2264">
      <c r="A2264" s="384" t="s">
        <v>81</v>
      </c>
      <c r="B2264" s="384" t="s">
        <v>261</v>
      </c>
      <c r="C2264" s="389">
        <v>2.5</v>
      </c>
      <c r="D2264" s="389">
        <v>2.75</v>
      </c>
      <c r="E2264" s="384"/>
      <c r="F2264" s="389"/>
      <c r="G2264" s="389"/>
      <c r="T2264" s="384" t="str">
        <f>IFERROR(__xludf.DUMMYFUNCTION("""COMPUTED_VALUE"""),"Шоу Бой")</f>
        <v>Шоу Бой</v>
      </c>
      <c r="U2264" s="385"/>
      <c r="W2264" s="384" t="str">
        <f>IFERROR(__xludf.DUMMYFUNCTION("""COMPUTED_VALUE"""),"Bublik")</f>
        <v>Bublik</v>
      </c>
      <c r="X2264" s="385"/>
    </row>
    <row r="2265">
      <c r="A2265" s="384" t="s">
        <v>83</v>
      </c>
      <c r="B2265" s="384" t="s">
        <v>261</v>
      </c>
      <c r="C2265" s="389">
        <v>2.5</v>
      </c>
      <c r="D2265" s="389">
        <v>3.0</v>
      </c>
      <c r="E2265" s="384" t="s">
        <v>260</v>
      </c>
      <c r="F2265" s="389"/>
      <c r="G2265" s="389"/>
      <c r="T2265" s="384" t="str">
        <f>IFERROR(__xludf.DUMMYFUNCTION("""COMPUTED_VALUE"""),"A1 ")</f>
        <v>A1 </v>
      </c>
      <c r="U2265" s="385"/>
      <c r="W2265" s="384" t="str">
        <f>IFERROR(__xludf.DUMMYFUNCTION("""COMPUTED_VALUE"""),"BWDMoscow")</f>
        <v>BWDMoscow</v>
      </c>
      <c r="X2265" s="385"/>
    </row>
    <row r="2266">
      <c r="A2266" s="384" t="s">
        <v>108</v>
      </c>
      <c r="B2266" s="384" t="s">
        <v>261</v>
      </c>
      <c r="C2266" s="389">
        <v>2.5</v>
      </c>
      <c r="D2266" s="389">
        <v>4.5</v>
      </c>
      <c r="E2266" s="384" t="s">
        <v>260</v>
      </c>
      <c r="F2266" s="389"/>
      <c r="G2266" s="389"/>
      <c r="T2266" s="384" t="str">
        <f>IFERROR(__xludf.DUMMYFUNCTION("""COMPUTED_VALUE"""),"Alice ")</f>
        <v>Alice </v>
      </c>
      <c r="U2266" s="385"/>
      <c r="W2266" s="384" t="str">
        <f>IFERROR(__xludf.DUMMYFUNCTION("""COMPUTED_VALUE"""),"Castor Troy ")</f>
        <v>Castor Troy </v>
      </c>
      <c r="X2266" s="385"/>
    </row>
    <row r="2267">
      <c r="A2267" s="384" t="s">
        <v>95</v>
      </c>
      <c r="B2267" s="384" t="s">
        <v>269</v>
      </c>
      <c r="C2267" s="389"/>
      <c r="D2267" s="389">
        <v>2.0</v>
      </c>
      <c r="E2267" s="384"/>
      <c r="F2267" s="389"/>
      <c r="G2267" s="389"/>
      <c r="T2267" s="384" t="str">
        <f>IFERROR(__xludf.DUMMYFUNCTION("""COMPUTED_VALUE"""),"Bublik")</f>
        <v>Bublik</v>
      </c>
      <c r="U2267" s="385"/>
      <c r="W2267" s="384" t="str">
        <f>IFERROR(__xludf.DUMMYFUNCTION("""COMPUTED_VALUE"""),"Cristo")</f>
        <v>Cristo</v>
      </c>
      <c r="X2267" s="385"/>
    </row>
    <row r="2268">
      <c r="A2268" s="384" t="s">
        <v>91</v>
      </c>
      <c r="B2268" s="384" t="s">
        <v>261</v>
      </c>
      <c r="C2268" s="389">
        <v>2.5</v>
      </c>
      <c r="D2268" s="389">
        <v>1.75</v>
      </c>
      <c r="E2268" s="384"/>
      <c r="F2268" s="389"/>
      <c r="G2268" s="389"/>
      <c r="T2268" s="384" t="str">
        <f>IFERROR(__xludf.DUMMYFUNCTION("""COMPUTED_VALUE"""),"BWDMoscow")</f>
        <v>BWDMoscow</v>
      </c>
      <c r="U2268" s="385"/>
      <c r="W2268" s="384" t="str">
        <f>IFERROR(__xludf.DUMMYFUNCTION("""COMPUTED_VALUE"""),"Curly")</f>
        <v>Curly</v>
      </c>
      <c r="X2268" s="385"/>
    </row>
    <row r="2269">
      <c r="A2269" s="384" t="s">
        <v>103</v>
      </c>
      <c r="B2269" s="384" t="s">
        <v>261</v>
      </c>
      <c r="C2269" s="389">
        <v>2.5</v>
      </c>
      <c r="D2269" s="389">
        <v>1.75</v>
      </c>
      <c r="E2269" s="384"/>
      <c r="F2269" s="389"/>
      <c r="G2269" s="389"/>
      <c r="T2269" s="384" t="str">
        <f>IFERROR(__xludf.DUMMYFUNCTION("""COMPUTED_VALUE"""),"Castor Troy ")</f>
        <v>Castor Troy </v>
      </c>
      <c r="U2269" s="385"/>
      <c r="W2269" s="384" t="str">
        <f>IFERROR(__xludf.DUMMYFUNCTION("""COMPUTED_VALUE"""),"GALAY")</f>
        <v>GALAY</v>
      </c>
      <c r="X2269" s="385"/>
    </row>
    <row r="2270">
      <c r="A2270" s="384" t="s">
        <v>106</v>
      </c>
      <c r="B2270" s="384" t="s">
        <v>271</v>
      </c>
      <c r="C2270" s="389">
        <v>2.5</v>
      </c>
      <c r="D2270" s="389">
        <v>1.75</v>
      </c>
      <c r="E2270" s="384"/>
      <c r="F2270" s="389"/>
      <c r="G2270" s="389"/>
      <c r="T2270" s="384" t="str">
        <f>IFERROR(__xludf.DUMMYFUNCTION("""COMPUTED_VALUE"""),"Cristo")</f>
        <v>Cristo</v>
      </c>
      <c r="U2270" s="385"/>
      <c r="W2270" s="384" t="str">
        <f>IFERROR(__xludf.DUMMYFUNCTION("""COMPUTED_VALUE"""),"Helga")</f>
        <v>Helga</v>
      </c>
      <c r="X2270" s="385"/>
    </row>
    <row r="2271">
      <c r="A2271" s="384" t="s">
        <v>93</v>
      </c>
      <c r="B2271" s="384" t="s">
        <v>269</v>
      </c>
      <c r="C2271" s="389"/>
      <c r="D2271" s="389">
        <v>3.0</v>
      </c>
      <c r="E2271" s="384" t="s">
        <v>263</v>
      </c>
      <c r="F2271" s="389"/>
      <c r="G2271" s="389"/>
      <c r="T2271" s="384" t="str">
        <f>IFERROR(__xludf.DUMMYFUNCTION("""COMPUTED_VALUE"""),"Curly")</f>
        <v>Curly</v>
      </c>
      <c r="U2271" s="385"/>
      <c r="W2271" s="384" t="str">
        <f>IFERROR(__xludf.DUMMYFUNCTION("""COMPUTED_VALUE"""),"Infinity ")</f>
        <v>Infinity </v>
      </c>
      <c r="X2271" s="385"/>
    </row>
    <row r="2272">
      <c r="A2272" s="384" t="s">
        <v>153</v>
      </c>
      <c r="B2272" s="384" t="s">
        <v>261</v>
      </c>
      <c r="C2272" s="389">
        <v>2.5</v>
      </c>
      <c r="D2272" s="389">
        <v>1.75</v>
      </c>
      <c r="E2272" s="384" t="s">
        <v>11</v>
      </c>
      <c r="F2272" s="389"/>
      <c r="G2272" s="389">
        <v>0.5</v>
      </c>
      <c r="T2272" s="384" t="str">
        <f>IFERROR(__xludf.DUMMYFUNCTION("""COMPUTED_VALUE"""),"GALAY")</f>
        <v>GALAY</v>
      </c>
      <c r="U2272" s="385"/>
      <c r="W2272" s="384" t="str">
        <f>IFERROR(__xludf.DUMMYFUNCTION("""COMPUTED_VALUE"""),"Ketamin")</f>
        <v>Ketamin</v>
      </c>
      <c r="X2272" s="385"/>
    </row>
    <row r="2273">
      <c r="A2273" s="384" t="s">
        <v>130</v>
      </c>
      <c r="B2273" s="384" t="s">
        <v>261</v>
      </c>
      <c r="C2273" s="389"/>
      <c r="D2273" s="389">
        <v>2.25</v>
      </c>
      <c r="E2273" s="384"/>
      <c r="F2273" s="389"/>
      <c r="G2273" s="389"/>
      <c r="T2273" s="384" t="str">
        <f>IFERROR(__xludf.DUMMYFUNCTION("""COMPUTED_VALUE"""),"Helga")</f>
        <v>Helga</v>
      </c>
      <c r="U2273" s="385"/>
      <c r="W2273" s="384" t="str">
        <f>IFERROR(__xludf.DUMMYFUNCTION("""COMPUTED_VALUE"""),"Light")</f>
        <v>Light</v>
      </c>
      <c r="X2273" s="385"/>
    </row>
    <row r="2274">
      <c r="A2274" s="384" t="s">
        <v>81</v>
      </c>
      <c r="B2274" s="384" t="s">
        <v>265</v>
      </c>
      <c r="C2274" s="389">
        <v>2.5</v>
      </c>
      <c r="D2274" s="389">
        <v>3.5</v>
      </c>
      <c r="E2274" s="384"/>
      <c r="F2274" s="389"/>
      <c r="G2274" s="389"/>
      <c r="T2274" s="384" t="str">
        <f>IFERROR(__xludf.DUMMYFUNCTION("""COMPUTED_VALUE"""),"Ketamin")</f>
        <v>Ketamin</v>
      </c>
      <c r="U2274" s="385"/>
      <c r="W2274" s="384" t="str">
        <f>IFERROR(__xludf.DUMMYFUNCTION("""COMPUTED_VALUE"""),"Morti")</f>
        <v>Morti</v>
      </c>
      <c r="X2274" s="385"/>
    </row>
    <row r="2275">
      <c r="A2275" s="384" t="s">
        <v>83</v>
      </c>
      <c r="B2275" s="384" t="s">
        <v>271</v>
      </c>
      <c r="C2275" s="389"/>
      <c r="D2275" s="389">
        <v>2.0</v>
      </c>
      <c r="E2275" s="384"/>
      <c r="F2275" s="389"/>
      <c r="G2275" s="389"/>
      <c r="T2275" s="384" t="str">
        <f>IFERROR(__xludf.DUMMYFUNCTION("""COMPUTED_VALUE"""),"Light")</f>
        <v>Light</v>
      </c>
      <c r="U2275" s="385"/>
      <c r="W2275" s="384" t="str">
        <f>IFERROR(__xludf.DUMMYFUNCTION("""COMPUTED_VALUE"""),"MSR")</f>
        <v>MSR</v>
      </c>
      <c r="X2275" s="385"/>
    </row>
    <row r="2276">
      <c r="A2276" s="384" t="s">
        <v>108</v>
      </c>
      <c r="B2276" s="384" t="s">
        <v>261</v>
      </c>
      <c r="C2276" s="389"/>
      <c r="D2276" s="389">
        <v>2.0</v>
      </c>
      <c r="E2276" s="384"/>
      <c r="F2276" s="389"/>
      <c r="G2276" s="389"/>
      <c r="T2276" s="384" t="str">
        <f>IFERROR(__xludf.DUMMYFUNCTION("""COMPUTED_VALUE"""),"Morti")</f>
        <v>Morti</v>
      </c>
      <c r="U2276" s="385"/>
      <c r="W2276" s="384" t="str">
        <f>IFERROR(__xludf.DUMMYFUNCTION("""COMPUTED_VALUE"""),"NLIP")</f>
        <v>NLIP</v>
      </c>
      <c r="X2276" s="385"/>
    </row>
    <row r="2277">
      <c r="A2277" s="384" t="s">
        <v>95</v>
      </c>
      <c r="B2277" s="384" t="s">
        <v>261</v>
      </c>
      <c r="C2277" s="389"/>
      <c r="D2277" s="389">
        <v>1.0</v>
      </c>
      <c r="E2277" s="384"/>
      <c r="F2277" s="389"/>
      <c r="G2277" s="389"/>
      <c r="T2277" s="384" t="str">
        <f>IFERROR(__xludf.DUMMYFUNCTION("""COMPUTED_VALUE"""),"MSR")</f>
        <v>MSR</v>
      </c>
      <c r="U2277" s="385"/>
      <c r="W2277" s="384" t="str">
        <f>IFERROR(__xludf.DUMMYFUNCTION("""COMPUTED_VALUE"""),"Rocket woman ")</f>
        <v>Rocket woman </v>
      </c>
      <c r="X2277" s="385"/>
    </row>
    <row r="2278">
      <c r="A2278" s="384" t="s">
        <v>91</v>
      </c>
      <c r="B2278" s="384" t="s">
        <v>261</v>
      </c>
      <c r="C2278" s="389"/>
      <c r="D2278" s="389">
        <v>1.75</v>
      </c>
      <c r="E2278" s="384"/>
      <c r="F2278" s="389"/>
      <c r="G2278" s="389"/>
      <c r="T2278" s="384" t="str">
        <f>IFERROR(__xludf.DUMMYFUNCTION("""COMPUTED_VALUE"""),"SCHOKK ")</f>
        <v>SCHOKK </v>
      </c>
      <c r="U2278" s="385"/>
      <c r="W2278" s="384" t="str">
        <f>IFERROR(__xludf.DUMMYFUNCTION("""COMPUTED_VALUE"""),"SCHOKK ")</f>
        <v>SCHOKK </v>
      </c>
      <c r="X2278" s="385"/>
    </row>
    <row r="2279">
      <c r="A2279" s="384" t="s">
        <v>103</v>
      </c>
      <c r="B2279" s="384" t="s">
        <v>261</v>
      </c>
      <c r="C2279" s="389"/>
      <c r="D2279" s="389">
        <v>2.5</v>
      </c>
      <c r="E2279" s="384"/>
      <c r="F2279" s="389"/>
      <c r="G2279" s="389"/>
      <c r="T2279" s="384" t="str">
        <f>IFERROR(__xludf.DUMMYFUNCTION("""COMPUTED_VALUE"""),"SOVEST")</f>
        <v>SOVEST</v>
      </c>
      <c r="U2279" s="385"/>
      <c r="W2279" s="384" t="str">
        <f>IFERROR(__xludf.DUMMYFUNCTION("""COMPUTED_VALUE"""),"SOVEST")</f>
        <v>SOVEST</v>
      </c>
      <c r="X2279" s="385"/>
    </row>
    <row r="2280">
      <c r="A2280" s="384" t="s">
        <v>106</v>
      </c>
      <c r="B2280" s="384" t="s">
        <v>269</v>
      </c>
      <c r="C2280" s="389">
        <v>2.5</v>
      </c>
      <c r="D2280" s="389">
        <v>4.25</v>
      </c>
      <c r="E2280" s="384"/>
      <c r="F2280" s="389"/>
      <c r="G2280" s="389"/>
      <c r="T2280" s="384" t="str">
        <f>IFERROR(__xludf.DUMMYFUNCTION("""COMPUTED_VALUE"""),"Stacy")</f>
        <v>Stacy</v>
      </c>
      <c r="U2280" s="385"/>
      <c r="W2280" s="384" t="str">
        <f>IFERROR(__xludf.DUMMYFUNCTION("""COMPUTED_VALUE"""),"Stacy")</f>
        <v>Stacy</v>
      </c>
      <c r="X2280" s="385"/>
    </row>
    <row r="2281">
      <c r="A2281" s="384" t="s">
        <v>93</v>
      </c>
      <c r="B2281" s="384" t="s">
        <v>261</v>
      </c>
      <c r="C2281" s="389"/>
      <c r="D2281" s="389">
        <v>2.25</v>
      </c>
      <c r="E2281" s="384" t="s">
        <v>11</v>
      </c>
      <c r="F2281" s="389"/>
      <c r="G2281" s="389">
        <v>0.5</v>
      </c>
      <c r="T2281" s="384" t="str">
        <f>IFERROR(__xludf.DUMMYFUNCTION("""COMPUTED_VALUE"""),"WhoIsWho")</f>
        <v>WhoIsWho</v>
      </c>
      <c r="U2281" s="385"/>
      <c r="W2281" s="384" t="str">
        <f>IFERROR(__xludf.DUMMYFUNCTION("""COMPUTED_VALUE"""),"WhoIsWho")</f>
        <v>WhoIsWho</v>
      </c>
      <c r="X2281" s="385"/>
    </row>
    <row r="2282">
      <c r="A2282" s="384" t="s">
        <v>153</v>
      </c>
      <c r="B2282" s="384" t="s">
        <v>269</v>
      </c>
      <c r="C2282" s="389">
        <v>2.5</v>
      </c>
      <c r="D2282" s="389">
        <v>3.75</v>
      </c>
      <c r="E2282" s="384"/>
      <c r="F2282" s="389"/>
      <c r="G2282" s="389"/>
      <c r="T2282" s="384" t="str">
        <f>IFERROR(__xludf.DUMMYFUNCTION("QUERY('Турнирная таблица по Алфавиту'!C7:BG66,""select C,BF order by BF desc"")"),"Castor Troy ")</f>
        <v>Castor Troy </v>
      </c>
      <c r="U2282" s="385">
        <f>IFERROR(__xludf.DUMMYFUNCTION("""COMPUTED_VALUE"""),28.0)</f>
        <v>28</v>
      </c>
      <c r="W2282" s="384" t="str">
        <f>IFERROR(__xludf.DUMMYFUNCTION("""COMPUTED_VALUE"""),"Young")</f>
        <v>Young</v>
      </c>
      <c r="X2282" s="385"/>
    </row>
    <row r="2283">
      <c r="A2283" s="384" t="s">
        <v>130</v>
      </c>
      <c r="B2283" s="384" t="s">
        <v>261</v>
      </c>
      <c r="C2283" s="389">
        <v>2.5</v>
      </c>
      <c r="D2283" s="389">
        <v>3.75</v>
      </c>
      <c r="E2283" s="384"/>
      <c r="F2283" s="389"/>
      <c r="G2283" s="389"/>
      <c r="T2283" s="384" t="str">
        <f>IFERROR(__xludf.DUMMYFUNCTION("""COMPUTED_VALUE"""),"СЭНСЭЙ")</f>
        <v>СЭНСЭЙ</v>
      </c>
      <c r="U2283" s="385">
        <f>IFERROR(__xludf.DUMMYFUNCTION("""COMPUTED_VALUE"""),26.5)</f>
        <v>26.5</v>
      </c>
      <c r="W2283" s="384" t="str">
        <f>IFERROR(__xludf.DUMMYFUNCTION("""COMPUTED_VALUE"""),"Авраам")</f>
        <v>Авраам</v>
      </c>
      <c r="X2283" s="385"/>
    </row>
    <row r="2284">
      <c r="A2284" s="384" t="s">
        <v>81</v>
      </c>
      <c r="B2284" s="384" t="s">
        <v>269</v>
      </c>
      <c r="C2284" s="389"/>
      <c r="D2284" s="389">
        <v>2.0</v>
      </c>
      <c r="E2284" s="384"/>
      <c r="F2284" s="389"/>
      <c r="G2284" s="389"/>
      <c r="T2284" s="384" t="str">
        <f>IFERROR(__xludf.DUMMYFUNCTION("""COMPUTED_VALUE"""),"Писатель ")</f>
        <v>Писатель </v>
      </c>
      <c r="U2284" s="385">
        <f>IFERROR(__xludf.DUMMYFUNCTION("""COMPUTED_VALUE"""),25.5)</f>
        <v>25.5</v>
      </c>
      <c r="W2284" s="384" t="str">
        <f>IFERROR(__xludf.DUMMYFUNCTION("""COMPUTED_VALUE"""),"Админ")</f>
        <v>Админ</v>
      </c>
      <c r="X2284" s="385"/>
    </row>
    <row r="2285">
      <c r="A2285" s="384" t="s">
        <v>83</v>
      </c>
      <c r="B2285" s="384" t="s">
        <v>261</v>
      </c>
      <c r="C2285" s="389">
        <v>2.5</v>
      </c>
      <c r="D2285" s="389">
        <v>3.5</v>
      </c>
      <c r="E2285" s="384"/>
      <c r="F2285" s="389"/>
      <c r="G2285" s="389"/>
      <c r="T2285" s="384" t="str">
        <f>IFERROR(__xludf.DUMMYFUNCTION("""COMPUTED_VALUE"""),"Крестный отец (BLR)")</f>
        <v>Крестный отец (BLR)</v>
      </c>
      <c r="U2285" s="385">
        <f>IFERROR(__xludf.DUMMYFUNCTION("""COMPUTED_VALUE"""),25.25)</f>
        <v>25.25</v>
      </c>
      <c r="W2285" s="384" t="str">
        <f>IFERROR(__xludf.DUMMYFUNCTION("""COMPUTED_VALUE"""),"Андерсен")</f>
        <v>Андерсен</v>
      </c>
      <c r="X2285" s="385"/>
    </row>
    <row r="2286">
      <c r="A2286" s="384" t="s">
        <v>108</v>
      </c>
      <c r="B2286" s="384" t="s">
        <v>261</v>
      </c>
      <c r="C2286" s="389">
        <v>2.5</v>
      </c>
      <c r="D2286" s="389">
        <v>2.75</v>
      </c>
      <c r="E2286" s="384"/>
      <c r="F2286" s="389"/>
      <c r="G2286" s="389" t="s">
        <v>283</v>
      </c>
      <c r="T2286" s="384" t="str">
        <f>IFERROR(__xludf.DUMMYFUNCTION("""COMPUTED_VALUE"""),"Физик")</f>
        <v>Физик</v>
      </c>
      <c r="U2286" s="385">
        <f>IFERROR(__xludf.DUMMYFUNCTION("""COMPUTED_VALUE"""),21.75)</f>
        <v>21.75</v>
      </c>
      <c r="W2286" s="384" t="str">
        <f>IFERROR(__xludf.DUMMYFUNCTION("""COMPUTED_VALUE"""),"Артик")</f>
        <v>Артик</v>
      </c>
      <c r="X2286" s="385"/>
    </row>
    <row r="2287">
      <c r="A2287" s="384" t="s">
        <v>95</v>
      </c>
      <c r="B2287" s="384" t="s">
        <v>261</v>
      </c>
      <c r="C2287" s="389">
        <v>2.5</v>
      </c>
      <c r="D2287" s="389">
        <v>3.5</v>
      </c>
      <c r="E2287" s="384"/>
      <c r="F2287" s="389"/>
      <c r="G2287" s="389"/>
      <c r="T2287" s="384" t="str">
        <f>IFERROR(__xludf.DUMMYFUNCTION("""COMPUTED_VALUE"""),"WhoIsWho")</f>
        <v>WhoIsWho</v>
      </c>
      <c r="U2287" s="385">
        <f>IFERROR(__xludf.DUMMYFUNCTION("""COMPUTED_VALUE"""),20.0)</f>
        <v>20</v>
      </c>
      <c r="W2287" s="384" t="str">
        <f>IFERROR(__xludf.DUMMYFUNCTION("""COMPUTED_VALUE"""),"Астория")</f>
        <v>Астория</v>
      </c>
      <c r="X2287" s="385"/>
    </row>
    <row r="2288">
      <c r="A2288" s="384" t="s">
        <v>91</v>
      </c>
      <c r="B2288" s="384" t="s">
        <v>269</v>
      </c>
      <c r="C2288" s="389"/>
      <c r="D2288" s="389">
        <v>1.75</v>
      </c>
      <c r="E2288" s="384"/>
      <c r="F2288" s="389"/>
      <c r="G2288" s="389"/>
      <c r="T2288" s="384" t="str">
        <f>IFERROR(__xludf.DUMMYFUNCTION("""COMPUTED_VALUE"""),"Панда из Руанды")</f>
        <v>Панда из Руанды</v>
      </c>
      <c r="U2288" s="385">
        <f>IFERROR(__xludf.DUMMYFUNCTION("""COMPUTED_VALUE"""),19.0)</f>
        <v>19</v>
      </c>
      <c r="W2288" s="384" t="str">
        <f>IFERROR(__xludf.DUMMYFUNCTION("""COMPUTED_VALUE"""),"Аш")</f>
        <v>Аш</v>
      </c>
      <c r="X2288" s="385"/>
    </row>
    <row r="2289">
      <c r="A2289" s="384" t="s">
        <v>103</v>
      </c>
      <c r="B2289" s="384" t="s">
        <v>271</v>
      </c>
      <c r="C2289" s="389">
        <v>2.5</v>
      </c>
      <c r="D2289" s="389">
        <v>4.0</v>
      </c>
      <c r="E2289" s="384"/>
      <c r="F2289" s="389"/>
      <c r="G2289" s="389"/>
      <c r="T2289" s="384" t="str">
        <f>IFERROR(__xludf.DUMMYFUNCTION("""COMPUTED_VALUE"""),"Правда ")</f>
        <v>Правда </v>
      </c>
      <c r="U2289" s="385">
        <f>IFERROR(__xludf.DUMMYFUNCTION("""COMPUTED_VALUE"""),17.25)</f>
        <v>17.25</v>
      </c>
      <c r="W2289" s="384" t="str">
        <f>IFERROR(__xludf.DUMMYFUNCTION("""COMPUTED_VALUE"""),"Бамблби")</f>
        <v>Бамблби</v>
      </c>
      <c r="X2289" s="385"/>
    </row>
    <row r="2290">
      <c r="A2290" s="384" t="s">
        <v>106</v>
      </c>
      <c r="B2290" s="384" t="s">
        <v>261</v>
      </c>
      <c r="C2290" s="389">
        <v>2.5</v>
      </c>
      <c r="D2290" s="389">
        <v>2.25</v>
      </c>
      <c r="E2290" s="384" t="s">
        <v>11</v>
      </c>
      <c r="F2290" s="389"/>
      <c r="G2290" s="389">
        <v>0.5</v>
      </c>
      <c r="T2290" s="384" t="str">
        <f>IFERROR(__xludf.DUMMYFUNCTION("""COMPUTED_VALUE"""),"Юрия")</f>
        <v>Юрия</v>
      </c>
      <c r="U2290" s="385">
        <f>IFERROR(__xludf.DUMMYFUNCTION("""COMPUTED_VALUE"""),16.75)</f>
        <v>16.75</v>
      </c>
      <c r="W2290" s="384" t="str">
        <f>IFERROR(__xludf.DUMMYFUNCTION("""COMPUTED_VALUE"""),"Волга")</f>
        <v>Волга</v>
      </c>
      <c r="X2290" s="385"/>
    </row>
    <row r="2291">
      <c r="A2291" s="384" t="s">
        <v>93</v>
      </c>
      <c r="B2291" s="384" t="s">
        <v>261</v>
      </c>
      <c r="C2291" s="389">
        <v>2.5</v>
      </c>
      <c r="D2291" s="389">
        <v>4.5</v>
      </c>
      <c r="E2291" s="384"/>
      <c r="F2291" s="389"/>
      <c r="G2291" s="389"/>
      <c r="T2291" s="384" t="str">
        <f>IFERROR(__xludf.DUMMYFUNCTION("""COMPUTED_VALUE"""),"Аш")</f>
        <v>Аш</v>
      </c>
      <c r="U2291" s="385">
        <f>IFERROR(__xludf.DUMMYFUNCTION("""COMPUTED_VALUE"""),15.75)</f>
        <v>15.75</v>
      </c>
      <c r="W2291" s="384" t="str">
        <f>IFERROR(__xludf.DUMMYFUNCTION("""COMPUTED_VALUE"""),"Градиент")</f>
        <v>Градиент</v>
      </c>
      <c r="X2291" s="385"/>
    </row>
    <row r="2292">
      <c r="A2292" s="384" t="s">
        <v>153</v>
      </c>
      <c r="B2292" s="384" t="s">
        <v>265</v>
      </c>
      <c r="C2292" s="389"/>
      <c r="D2292" s="389">
        <v>2.0</v>
      </c>
      <c r="E2292" s="384"/>
      <c r="F2292" s="389"/>
      <c r="G2292" s="389"/>
      <c r="T2292" s="384" t="str">
        <f>IFERROR(__xludf.DUMMYFUNCTION("""COMPUTED_VALUE"""),"Авраам")</f>
        <v>Авраам</v>
      </c>
      <c r="U2292" s="385"/>
      <c r="W2292" s="384" t="str">
        <f>IFERROR(__xludf.DUMMYFUNCTION("""COMPUTED_VALUE"""),"Зверюга")</f>
        <v>Зверюга</v>
      </c>
      <c r="X2292" s="385"/>
    </row>
    <row r="2293">
      <c r="A2293" s="384" t="s">
        <v>130</v>
      </c>
      <c r="B2293" s="384" t="s">
        <v>269</v>
      </c>
      <c r="C2293" s="389"/>
      <c r="D2293" s="389">
        <v>2.5</v>
      </c>
      <c r="E2293" s="384" t="s">
        <v>263</v>
      </c>
      <c r="F2293" s="389"/>
      <c r="G2293" s="389"/>
      <c r="T2293" s="384" t="str">
        <f>IFERROR(__xludf.DUMMYFUNCTION("""COMPUTED_VALUE"""),"Админ")</f>
        <v>Админ</v>
      </c>
      <c r="U2293" s="385"/>
      <c r="W2293" s="384" t="str">
        <f>IFERROR(__xludf.DUMMYFUNCTION("""COMPUTED_VALUE"""),"Красавчик")</f>
        <v>Красавчик</v>
      </c>
      <c r="X2293" s="385"/>
    </row>
    <row r="2294">
      <c r="A2294" s="384" t="s">
        <v>81</v>
      </c>
      <c r="B2294" s="384" t="s">
        <v>261</v>
      </c>
      <c r="C2294" s="389">
        <v>2.5</v>
      </c>
      <c r="D2294" s="389">
        <v>3.25</v>
      </c>
      <c r="E2294" s="384"/>
      <c r="F2294" s="389"/>
      <c r="G2294" s="389"/>
      <c r="T2294" s="384" t="str">
        <f>IFERROR(__xludf.DUMMYFUNCTION("""COMPUTED_VALUE"""),"Андерсен")</f>
        <v>Андерсен</v>
      </c>
      <c r="U2294" s="385"/>
      <c r="W2294" s="384" t="str">
        <f>IFERROR(__xludf.DUMMYFUNCTION("""COMPUTED_VALUE"""),"Крестный отец (BLR)")</f>
        <v>Крестный отец (BLR)</v>
      </c>
      <c r="X2294" s="385"/>
    </row>
    <row r="2295">
      <c r="A2295" s="384" t="s">
        <v>83</v>
      </c>
      <c r="B2295" s="384" t="s">
        <v>261</v>
      </c>
      <c r="C2295" s="389">
        <v>2.5</v>
      </c>
      <c r="D2295" s="389">
        <v>3.0</v>
      </c>
      <c r="E2295" s="384" t="s">
        <v>260</v>
      </c>
      <c r="F2295" s="389"/>
      <c r="G2295" s="389"/>
      <c r="T2295" s="384" t="str">
        <f>IFERROR(__xludf.DUMMYFUNCTION("""COMPUTED_VALUE"""),"Артик")</f>
        <v>Артик</v>
      </c>
      <c r="U2295" s="385"/>
      <c r="W2295" s="384" t="str">
        <f>IFERROR(__xludf.DUMMYFUNCTION("""COMPUTED_VALUE"""),"Крёстный Отец (RU)")</f>
        <v>Крёстный Отец (RU)</v>
      </c>
      <c r="X2295" s="385"/>
    </row>
    <row r="2296">
      <c r="A2296" s="384" t="s">
        <v>108</v>
      </c>
      <c r="B2296" s="384" t="s">
        <v>265</v>
      </c>
      <c r="C2296" s="389"/>
      <c r="D2296" s="389">
        <v>1.75</v>
      </c>
      <c r="E2296" s="384"/>
      <c r="F2296" s="389"/>
      <c r="G2296" s="389"/>
      <c r="T2296" s="384" t="str">
        <f>IFERROR(__xludf.DUMMYFUNCTION("""COMPUTED_VALUE"""),"Астория")</f>
        <v>Астория</v>
      </c>
      <c r="U2296" s="385"/>
      <c r="W2296" s="384" t="str">
        <f>IFERROR(__xludf.DUMMYFUNCTION("""COMPUTED_VALUE"""),"Крот")</f>
        <v>Крот</v>
      </c>
      <c r="X2296" s="385"/>
    </row>
    <row r="2297">
      <c r="A2297" s="384" t="s">
        <v>95</v>
      </c>
      <c r="B2297" s="384" t="s">
        <v>261</v>
      </c>
      <c r="C2297" s="389">
        <v>2.5</v>
      </c>
      <c r="D2297" s="389">
        <v>3.0</v>
      </c>
      <c r="E2297" s="384" t="s">
        <v>260</v>
      </c>
      <c r="F2297" s="389"/>
      <c r="G2297" s="389"/>
      <c r="T2297" s="384" t="str">
        <f>IFERROR(__xludf.DUMMYFUNCTION("""COMPUTED_VALUE"""),"Бамблби")</f>
        <v>Бамблби</v>
      </c>
      <c r="U2297" s="385"/>
      <c r="W2297" s="384" t="str">
        <f>IFERROR(__xludf.DUMMYFUNCTION("""COMPUTED_VALUE"""),"Маваши")</f>
        <v>Маваши</v>
      </c>
      <c r="X2297" s="385"/>
    </row>
    <row r="2298">
      <c r="A2298" s="384" t="s">
        <v>91</v>
      </c>
      <c r="B2298" s="384" t="s">
        <v>269</v>
      </c>
      <c r="C2298" s="389"/>
      <c r="D2298" s="389">
        <v>1.5</v>
      </c>
      <c r="E2298" s="384"/>
      <c r="F2298" s="389"/>
      <c r="G2298" s="389"/>
      <c r="T2298" s="384" t="str">
        <f>IFERROR(__xludf.DUMMYFUNCTION("""COMPUTED_VALUE"""),"Волга")</f>
        <v>Волга</v>
      </c>
      <c r="U2298" s="385"/>
      <c r="W2298" s="384" t="str">
        <f>IFERROR(__xludf.DUMMYFUNCTION("""COMPUTED_VALUE"""),"Манекен")</f>
        <v>Манекен</v>
      </c>
      <c r="X2298" s="385"/>
    </row>
    <row r="2299">
      <c r="A2299" s="384" t="s">
        <v>103</v>
      </c>
      <c r="B2299" s="384" t="s">
        <v>261</v>
      </c>
      <c r="C2299" s="389">
        <v>2.5</v>
      </c>
      <c r="D2299" s="389">
        <v>3.5</v>
      </c>
      <c r="E2299" s="384"/>
      <c r="F2299" s="389"/>
      <c r="G2299" s="389"/>
      <c r="T2299" s="384" t="str">
        <f>IFERROR(__xludf.DUMMYFUNCTION("""COMPUTED_VALUE"""),"Градиент")</f>
        <v>Градиент</v>
      </c>
      <c r="U2299" s="385"/>
      <c r="W2299" s="384" t="str">
        <f>IFERROR(__xludf.DUMMYFUNCTION("""COMPUTED_VALUE"""),"Марго")</f>
        <v>Марго</v>
      </c>
      <c r="X2299" s="385"/>
    </row>
    <row r="2300">
      <c r="A2300" s="384" t="s">
        <v>106</v>
      </c>
      <c r="B2300" s="384" t="s">
        <v>261</v>
      </c>
      <c r="C2300" s="389">
        <v>2.5</v>
      </c>
      <c r="D2300" s="389">
        <v>3.25</v>
      </c>
      <c r="E2300" s="384"/>
      <c r="F2300" s="389"/>
      <c r="G2300" s="389"/>
      <c r="T2300" s="384" t="str">
        <f>IFERROR(__xludf.DUMMYFUNCTION("""COMPUTED_VALUE"""),"Дровосек")</f>
        <v>Дровосек</v>
      </c>
      <c r="U2300" s="385"/>
      <c r="W2300" s="384" t="str">
        <f>IFERROR(__xludf.DUMMYFUNCTION("""COMPUTED_VALUE"""),"Ментик")</f>
        <v>Ментик</v>
      </c>
      <c r="X2300" s="385"/>
    </row>
    <row r="2301">
      <c r="A2301" s="384" t="s">
        <v>93</v>
      </c>
      <c r="B2301" s="384" t="s">
        <v>271</v>
      </c>
      <c r="C2301" s="389">
        <v>2.5</v>
      </c>
      <c r="D2301" s="389">
        <v>3.75</v>
      </c>
      <c r="E2301" s="384"/>
      <c r="F2301" s="389"/>
      <c r="G2301" s="389"/>
      <c r="T2301" s="384" t="str">
        <f>IFERROR(__xludf.DUMMYFUNCTION("""COMPUTED_VALUE"""),"Зверюга")</f>
        <v>Зверюга</v>
      </c>
      <c r="U2301" s="385"/>
      <c r="W2301" s="384" t="str">
        <f>IFERROR(__xludf.DUMMYFUNCTION("""COMPUTED_VALUE"""),"Мишель ")</f>
        <v>Мишель </v>
      </c>
      <c r="X2301" s="385"/>
    </row>
    <row r="2302">
      <c r="A2302" s="384" t="s">
        <v>153</v>
      </c>
      <c r="B2302" s="384" t="s">
        <v>261</v>
      </c>
      <c r="C2302" s="389">
        <v>2.5</v>
      </c>
      <c r="D2302" s="389">
        <v>4.0</v>
      </c>
      <c r="E2302" s="384" t="s">
        <v>260</v>
      </c>
      <c r="F2302" s="389"/>
      <c r="G2302" s="389"/>
      <c r="T2302" s="384" t="str">
        <f>IFERROR(__xludf.DUMMYFUNCTION("""COMPUTED_VALUE"""),"Инсомнич")</f>
        <v>Инсомнич</v>
      </c>
      <c r="U2302" s="385"/>
      <c r="W2302" s="384" t="str">
        <f>IFERROR(__xludf.DUMMYFUNCTION("""COMPUTED_VALUE"""),"Наполеон")</f>
        <v>Наполеон</v>
      </c>
      <c r="X2302" s="385"/>
    </row>
    <row r="2303">
      <c r="A2303" s="384" t="s">
        <v>130</v>
      </c>
      <c r="B2303" s="384" t="s">
        <v>265</v>
      </c>
      <c r="C2303" s="389"/>
      <c r="D2303" s="389">
        <v>2.0</v>
      </c>
      <c r="E2303" s="384"/>
      <c r="F2303" s="389"/>
      <c r="G2303" s="389"/>
      <c r="T2303" s="384" t="str">
        <f>IFERROR(__xludf.DUMMYFUNCTION("""COMPUTED_VALUE"""),"Красавчик")</f>
        <v>Красавчик</v>
      </c>
      <c r="U2303" s="385"/>
      <c r="W2303" s="384" t="str">
        <f>IFERROR(__xludf.DUMMYFUNCTION("""COMPUTED_VALUE"""),"Панда из Руанды")</f>
        <v>Панда из Руанды</v>
      </c>
      <c r="X2303" s="385"/>
    </row>
    <row r="2304">
      <c r="A2304" s="384" t="s">
        <v>134</v>
      </c>
      <c r="B2304" s="384" t="s">
        <v>261</v>
      </c>
      <c r="C2304" s="389">
        <v>2.5</v>
      </c>
      <c r="D2304" s="389">
        <v>3.25</v>
      </c>
      <c r="E2304" s="384"/>
      <c r="F2304" s="389"/>
      <c r="G2304" s="389"/>
      <c r="T2304" s="384" t="str">
        <f>IFERROR(__xludf.DUMMYFUNCTION("""COMPUTED_VALUE"""),"Крёстный Отец (RU)")</f>
        <v>Крёстный Отец (RU)</v>
      </c>
      <c r="U2304" s="385"/>
      <c r="W2304" s="384" t="str">
        <f>IFERROR(__xludf.DUMMYFUNCTION("""COMPUTED_VALUE"""),"Писатель ")</f>
        <v>Писатель </v>
      </c>
      <c r="X2304" s="385"/>
    </row>
    <row r="2305">
      <c r="A2305" s="384" t="s">
        <v>123</v>
      </c>
      <c r="B2305" s="384" t="s">
        <v>271</v>
      </c>
      <c r="C2305" s="389">
        <v>2.5</v>
      </c>
      <c r="D2305" s="389">
        <v>2.5</v>
      </c>
      <c r="E2305" s="384"/>
      <c r="F2305" s="389"/>
      <c r="G2305" s="389"/>
      <c r="T2305" s="384" t="str">
        <f>IFERROR(__xludf.DUMMYFUNCTION("""COMPUTED_VALUE"""),"Крот")</f>
        <v>Крот</v>
      </c>
      <c r="U2305" s="385"/>
      <c r="W2305" s="384" t="str">
        <f>IFERROR(__xludf.DUMMYFUNCTION("""COMPUTED_VALUE"""),"Правда ")</f>
        <v>Правда </v>
      </c>
      <c r="X2305" s="385"/>
    </row>
    <row r="2306">
      <c r="A2306" s="384" t="s">
        <v>83</v>
      </c>
      <c r="B2306" s="384" t="s">
        <v>261</v>
      </c>
      <c r="C2306" s="389">
        <v>2.5</v>
      </c>
      <c r="D2306" s="389">
        <v>3.5</v>
      </c>
      <c r="E2306" s="384"/>
      <c r="F2306" s="389"/>
      <c r="G2306" s="389"/>
      <c r="T2306" s="384" t="str">
        <f>IFERROR(__xludf.DUMMYFUNCTION("""COMPUTED_VALUE"""),"Левша")</f>
        <v>Левша</v>
      </c>
      <c r="U2306" s="385"/>
      <c r="W2306" s="384" t="str">
        <f>IFERROR(__xludf.DUMMYFUNCTION("""COMPUTED_VALUE"""),"Продюсер")</f>
        <v>Продюсер</v>
      </c>
      <c r="X2306" s="385"/>
    </row>
    <row r="2307">
      <c r="A2307" s="384" t="s">
        <v>112</v>
      </c>
      <c r="B2307" s="384" t="s">
        <v>261</v>
      </c>
      <c r="C2307" s="389">
        <v>2.5</v>
      </c>
      <c r="D2307" s="389">
        <v>2.5</v>
      </c>
      <c r="E2307" s="384"/>
      <c r="F2307" s="389"/>
      <c r="G2307" s="389"/>
      <c r="T2307" s="384" t="str">
        <f>IFERROR(__xludf.DUMMYFUNCTION("""COMPUTED_VALUE"""),"Лисичка")</f>
        <v>Лисичка</v>
      </c>
      <c r="U2307" s="385"/>
      <c r="W2307" s="384" t="str">
        <f>IFERROR(__xludf.DUMMYFUNCTION("""COMPUTED_VALUE"""),"РФ")</f>
        <v>РФ</v>
      </c>
      <c r="X2307" s="385"/>
    </row>
    <row r="2308">
      <c r="A2308" s="384" t="s">
        <v>93</v>
      </c>
      <c r="B2308" s="384" t="s">
        <v>269</v>
      </c>
      <c r="C2308" s="389"/>
      <c r="D2308" s="389">
        <v>2.0</v>
      </c>
      <c r="E2308" s="384"/>
      <c r="F2308" s="389"/>
      <c r="G2308" s="389"/>
      <c r="T2308" s="384" t="str">
        <f>IFERROR(__xludf.DUMMYFUNCTION("""COMPUTED_VALUE"""),"Маваши")</f>
        <v>Маваши</v>
      </c>
      <c r="U2308" s="385"/>
      <c r="W2308" s="384" t="str">
        <f>IFERROR(__xludf.DUMMYFUNCTION("""COMPUTED_VALUE"""),"Старый")</f>
        <v>Старый</v>
      </c>
      <c r="X2308" s="385"/>
    </row>
    <row r="2309">
      <c r="A2309" s="384" t="s">
        <v>101</v>
      </c>
      <c r="B2309" s="384" t="s">
        <v>261</v>
      </c>
      <c r="C2309" s="389">
        <v>2.5</v>
      </c>
      <c r="D2309" s="389">
        <v>3.25</v>
      </c>
      <c r="E2309" s="384"/>
      <c r="F2309" s="389"/>
      <c r="G2309" s="389"/>
      <c r="T2309" s="384" t="str">
        <f>IFERROR(__xludf.DUMMYFUNCTION("""COMPUTED_VALUE"""),"Манекен")</f>
        <v>Манекен</v>
      </c>
      <c r="U2309" s="385"/>
      <c r="W2309" s="384" t="str">
        <f>IFERROR(__xludf.DUMMYFUNCTION("""COMPUTED_VALUE"""),"СЭНСЭЙ")</f>
        <v>СЭНСЭЙ</v>
      </c>
      <c r="X2309" s="385"/>
    </row>
    <row r="2310">
      <c r="A2310" s="384" t="s">
        <v>108</v>
      </c>
      <c r="B2310" s="384" t="s">
        <v>261</v>
      </c>
      <c r="C2310" s="389">
        <v>2.5</v>
      </c>
      <c r="D2310" s="389">
        <v>3.5</v>
      </c>
      <c r="E2310" s="384"/>
      <c r="F2310" s="389"/>
      <c r="G2310" s="389"/>
      <c r="T2310" s="384" t="str">
        <f>IFERROR(__xludf.DUMMYFUNCTION("""COMPUTED_VALUE"""),"Марго")</f>
        <v>Марго</v>
      </c>
      <c r="U2310" s="385"/>
      <c r="W2310" s="384" t="str">
        <f>IFERROR(__xludf.DUMMYFUNCTION("""COMPUTED_VALUE"""),"Coach")</f>
        <v>Coach</v>
      </c>
      <c r="X2310" s="385"/>
    </row>
    <row r="2311">
      <c r="A2311" s="384" t="s">
        <v>91</v>
      </c>
      <c r="B2311" s="384" t="s">
        <v>261</v>
      </c>
      <c r="C2311" s="389">
        <v>2.5</v>
      </c>
      <c r="D2311" s="389">
        <v>2.0</v>
      </c>
      <c r="E2311" s="384"/>
      <c r="F2311" s="389"/>
      <c r="G2311" s="389"/>
      <c r="T2311" s="384" t="str">
        <f>IFERROR(__xludf.DUMMYFUNCTION("""COMPUTED_VALUE"""),"Ментик")</f>
        <v>Ментик</v>
      </c>
      <c r="U2311" s="385"/>
      <c r="W2311" s="384" t="str">
        <f>IFERROR(__xludf.DUMMYFUNCTION("""COMPUTED_VALUE"""),"Тихий закат")</f>
        <v>Тихий закат</v>
      </c>
      <c r="X2311" s="385"/>
    </row>
    <row r="2312">
      <c r="A2312" s="384" t="s">
        <v>100</v>
      </c>
      <c r="B2312" s="384" t="s">
        <v>269</v>
      </c>
      <c r="C2312" s="389"/>
      <c r="D2312" s="389">
        <v>1.5</v>
      </c>
      <c r="E2312" s="384"/>
      <c r="F2312" s="389"/>
      <c r="G2312" s="389"/>
      <c r="T2312" s="384" t="str">
        <f>IFERROR(__xludf.DUMMYFUNCTION("""COMPUTED_VALUE"""),"Мишель ")</f>
        <v>Мишель </v>
      </c>
      <c r="U2312" s="385"/>
      <c r="W2312" s="384" t="str">
        <f>IFERROR(__xludf.DUMMYFUNCTION("""COMPUTED_VALUE"""),"Физик")</f>
        <v>Физик</v>
      </c>
      <c r="X2312" s="385"/>
    </row>
    <row r="2313">
      <c r="A2313" s="384" t="s">
        <v>130</v>
      </c>
      <c r="B2313" s="384" t="s">
        <v>261</v>
      </c>
      <c r="C2313" s="389"/>
      <c r="D2313" s="389">
        <v>2.0</v>
      </c>
      <c r="E2313" s="384"/>
      <c r="F2313" s="389"/>
      <c r="G2313" s="389"/>
      <c r="T2313" s="384" t="str">
        <f>IFERROR(__xludf.DUMMYFUNCTION("""COMPUTED_VALUE"""),"Наполеон")</f>
        <v>Наполеон</v>
      </c>
      <c r="U2313" s="385"/>
      <c r="W2313" s="384" t="str">
        <f>IFERROR(__xludf.DUMMYFUNCTION("""COMPUTED_VALUE"""),"Фокс")</f>
        <v>Фокс</v>
      </c>
      <c r="X2313" s="385"/>
    </row>
    <row r="2314">
      <c r="A2314" s="384" t="s">
        <v>134</v>
      </c>
      <c r="B2314" s="384" t="s">
        <v>269</v>
      </c>
      <c r="C2314" s="389">
        <v>2.5</v>
      </c>
      <c r="D2314" s="389">
        <v>2.75</v>
      </c>
      <c r="E2314" s="384"/>
      <c r="F2314" s="389"/>
      <c r="G2314" s="389"/>
      <c r="T2314" s="384" t="str">
        <f>IFERROR(__xludf.DUMMYFUNCTION("""COMPUTED_VALUE"""),"Продюсер")</f>
        <v>Продюсер</v>
      </c>
      <c r="U2314" s="385"/>
      <c r="W2314" s="384" t="str">
        <f>IFERROR(__xludf.DUMMYFUNCTION("""COMPUTED_VALUE"""),"Шпиц")</f>
        <v>Шпиц</v>
      </c>
      <c r="X2314" s="385"/>
    </row>
    <row r="2315">
      <c r="A2315" s="384" t="s">
        <v>123</v>
      </c>
      <c r="B2315" s="384" t="s">
        <v>261</v>
      </c>
      <c r="C2315" s="389"/>
      <c r="D2315" s="389">
        <v>2.25</v>
      </c>
      <c r="E2315" s="384"/>
      <c r="F2315" s="389"/>
      <c r="G2315" s="389"/>
      <c r="T2315" s="384" t="str">
        <f>IFERROR(__xludf.DUMMYFUNCTION("""COMPUTED_VALUE"""),"РФ")</f>
        <v>РФ</v>
      </c>
      <c r="U2315" s="385"/>
      <c r="W2315" s="384" t="str">
        <f>IFERROR(__xludf.DUMMYFUNCTION("""COMPUTED_VALUE"""),"Юрия")</f>
        <v>Юрия</v>
      </c>
      <c r="X2315" s="385"/>
    </row>
    <row r="2316">
      <c r="A2316" s="384" t="s">
        <v>83</v>
      </c>
      <c r="B2316" s="384" t="s">
        <v>265</v>
      </c>
      <c r="C2316" s="389">
        <v>2.5</v>
      </c>
      <c r="D2316" s="389">
        <v>3.5</v>
      </c>
      <c r="E2316" s="384"/>
      <c r="F2316" s="389"/>
      <c r="G2316" s="389"/>
      <c r="T2316" s="384" t="str">
        <f>IFERROR(__xludf.DUMMYFUNCTION("""COMPUTED_VALUE"""),"Старый")</f>
        <v>Старый</v>
      </c>
      <c r="U2316" s="385"/>
      <c r="W2316" s="384" t="str">
        <f>IFERROR(__xludf.DUMMYFUNCTION("""COMPUTED_VALUE"""),"A1 ")</f>
        <v>A1 </v>
      </c>
      <c r="X2316" s="385"/>
    </row>
    <row r="2317">
      <c r="A2317" s="384" t="s">
        <v>112</v>
      </c>
      <c r="B2317" s="384" t="s">
        <v>271</v>
      </c>
      <c r="C2317" s="389"/>
      <c r="D2317" s="389">
        <v>2.5</v>
      </c>
      <c r="E2317" s="384"/>
      <c r="F2317" s="389"/>
      <c r="G2317" s="389"/>
      <c r="T2317" s="384" t="str">
        <f>IFERROR(__xludf.DUMMYFUNCTION("""COMPUTED_VALUE"""),"Coach")</f>
        <v>Coach</v>
      </c>
      <c r="U2317" s="385"/>
      <c r="W2317" s="384" t="str">
        <f>IFERROR(__xludf.DUMMYFUNCTION("""COMPUTED_VALUE"""),"Alice ")</f>
        <v>Alice </v>
      </c>
      <c r="X2317" s="385"/>
    </row>
    <row r="2318">
      <c r="A2318" s="384" t="s">
        <v>93</v>
      </c>
      <c r="B2318" s="384" t="s">
        <v>261</v>
      </c>
      <c r="C2318" s="389"/>
      <c r="D2318" s="389">
        <v>1.5</v>
      </c>
      <c r="E2318" s="384" t="s">
        <v>11</v>
      </c>
      <c r="F2318" s="389"/>
      <c r="G2318" s="389">
        <v>0.5</v>
      </c>
      <c r="T2318" s="384" t="str">
        <f>IFERROR(__xludf.DUMMYFUNCTION("""COMPUTED_VALUE"""),"Тихий закат")</f>
        <v>Тихий закат</v>
      </c>
      <c r="U2318" s="385"/>
      <c r="W2318" s="384" t="str">
        <f>IFERROR(__xludf.DUMMYFUNCTION("""COMPUTED_VALUE"""),"Bublik")</f>
        <v>Bublik</v>
      </c>
      <c r="X2318" s="385"/>
    </row>
    <row r="2319">
      <c r="A2319" s="384" t="s">
        <v>101</v>
      </c>
      <c r="B2319" s="384" t="s">
        <v>261</v>
      </c>
      <c r="C2319" s="389"/>
      <c r="D2319" s="389">
        <v>2.0</v>
      </c>
      <c r="E2319" s="384"/>
      <c r="F2319" s="389"/>
      <c r="G2319" s="389"/>
      <c r="T2319" s="384" t="str">
        <f>IFERROR(__xludf.DUMMYFUNCTION("""COMPUTED_VALUE"""),"Флэш")</f>
        <v>Флэш</v>
      </c>
      <c r="U2319" s="385"/>
      <c r="W2319" s="384" t="str">
        <f>IFERROR(__xludf.DUMMYFUNCTION("""COMPUTED_VALUE"""),"BWDMoscow")</f>
        <v>BWDMoscow</v>
      </c>
      <c r="X2319" s="385"/>
    </row>
    <row r="2320">
      <c r="A2320" s="384" t="s">
        <v>108</v>
      </c>
      <c r="B2320" s="384" t="s">
        <v>269</v>
      </c>
      <c r="C2320" s="389">
        <v>2.5</v>
      </c>
      <c r="D2320" s="389">
        <v>5.0</v>
      </c>
      <c r="E2320" s="384"/>
      <c r="F2320" s="389"/>
      <c r="G2320" s="389"/>
      <c r="T2320" s="384" t="str">
        <f>IFERROR(__xludf.DUMMYFUNCTION("""COMPUTED_VALUE"""),"Фокс")</f>
        <v>Фокс</v>
      </c>
      <c r="U2320" s="385"/>
      <c r="W2320" s="384" t="str">
        <f>IFERROR(__xludf.DUMMYFUNCTION("""COMPUTED_VALUE"""),"Castor Troy ")</f>
        <v>Castor Troy </v>
      </c>
      <c r="X2320" s="385"/>
    </row>
    <row r="2321">
      <c r="A2321" s="384" t="s">
        <v>91</v>
      </c>
      <c r="B2321" s="384" t="s">
        <v>261</v>
      </c>
      <c r="C2321" s="389"/>
      <c r="D2321" s="389">
        <v>1.75</v>
      </c>
      <c r="E2321" s="384"/>
      <c r="F2321" s="389"/>
      <c r="G2321" s="389"/>
      <c r="T2321" s="384" t="str">
        <f>IFERROR(__xludf.DUMMYFUNCTION("""COMPUTED_VALUE"""),"Шоу Бой")</f>
        <v>Шоу Бой</v>
      </c>
      <c r="U2321" s="385"/>
      <c r="W2321" s="384" t="str">
        <f>IFERROR(__xludf.DUMMYFUNCTION("""COMPUTED_VALUE"""),"Curly")</f>
        <v>Curly</v>
      </c>
      <c r="X2321" s="385"/>
    </row>
    <row r="2322">
      <c r="A2322" s="384" t="s">
        <v>100</v>
      </c>
      <c r="B2322" s="384" t="s">
        <v>261</v>
      </c>
      <c r="C2322" s="389"/>
      <c r="D2322" s="389">
        <v>2.0</v>
      </c>
      <c r="E2322" s="384"/>
      <c r="F2322" s="389"/>
      <c r="G2322" s="389"/>
      <c r="T2322" s="384" t="str">
        <f>IFERROR(__xludf.DUMMYFUNCTION("""COMPUTED_VALUE"""),"Шпиц")</f>
        <v>Шпиц</v>
      </c>
      <c r="U2322" s="385"/>
      <c r="W2322" s="384" t="str">
        <f>IFERROR(__xludf.DUMMYFUNCTION("""COMPUTED_VALUE"""),"GALAY")</f>
        <v>GALAY</v>
      </c>
      <c r="X2322" s="385"/>
    </row>
    <row r="2323">
      <c r="A2323" s="384" t="s">
        <v>130</v>
      </c>
      <c r="B2323" s="384" t="s">
        <v>261</v>
      </c>
      <c r="C2323" s="389"/>
      <c r="D2323" s="389">
        <v>1.5</v>
      </c>
      <c r="E2323" s="384"/>
      <c r="F2323" s="389"/>
      <c r="G2323" s="389"/>
      <c r="T2323" s="384" t="str">
        <f>IFERROR(__xludf.DUMMYFUNCTION("""COMPUTED_VALUE"""),"A1 ")</f>
        <v>A1 </v>
      </c>
      <c r="U2323" s="385"/>
      <c r="W2323" s="384" t="str">
        <f>IFERROR(__xludf.DUMMYFUNCTION("""COMPUTED_VALUE"""),"Helga")</f>
        <v>Helga</v>
      </c>
      <c r="X2323" s="385"/>
    </row>
    <row r="2324">
      <c r="A2324" s="384" t="s">
        <v>134</v>
      </c>
      <c r="B2324" s="384" t="s">
        <v>261</v>
      </c>
      <c r="C2324" s="389"/>
      <c r="D2324" s="389">
        <v>2.0</v>
      </c>
      <c r="E2324" s="384" t="s">
        <v>11</v>
      </c>
      <c r="F2324" s="389"/>
      <c r="G2324" s="389">
        <v>0.5</v>
      </c>
      <c r="T2324" s="384" t="str">
        <f>IFERROR(__xludf.DUMMYFUNCTION("""COMPUTED_VALUE"""),"Alice ")</f>
        <v>Alice </v>
      </c>
      <c r="U2324" s="385"/>
      <c r="W2324" s="384" t="str">
        <f>IFERROR(__xludf.DUMMYFUNCTION("""COMPUTED_VALUE"""),"Ketamin")</f>
        <v>Ketamin</v>
      </c>
      <c r="X2324" s="385"/>
    </row>
    <row r="2325">
      <c r="A2325" s="384" t="s">
        <v>123</v>
      </c>
      <c r="B2325" s="384" t="s">
        <v>261</v>
      </c>
      <c r="C2325" s="389"/>
      <c r="D2325" s="389">
        <v>2.5</v>
      </c>
      <c r="E2325" s="384"/>
      <c r="F2325" s="389"/>
      <c r="G2325" s="389"/>
      <c r="T2325" s="384" t="str">
        <f>IFERROR(__xludf.DUMMYFUNCTION("""COMPUTED_VALUE"""),"Bublik")</f>
        <v>Bublik</v>
      </c>
      <c r="U2325" s="385"/>
      <c r="W2325" s="384" t="str">
        <f>IFERROR(__xludf.DUMMYFUNCTION("""COMPUTED_VALUE"""),"Light")</f>
        <v>Light</v>
      </c>
      <c r="X2325" s="385"/>
    </row>
    <row r="2326">
      <c r="A2326" s="384" t="s">
        <v>83</v>
      </c>
      <c r="B2326" s="384" t="s">
        <v>261</v>
      </c>
      <c r="C2326" s="389"/>
      <c r="D2326" s="389">
        <v>2.5</v>
      </c>
      <c r="E2326" s="384"/>
      <c r="F2326" s="389"/>
      <c r="G2326" s="389"/>
      <c r="T2326" s="384" t="str">
        <f>IFERROR(__xludf.DUMMYFUNCTION("""COMPUTED_VALUE"""),"BWDMoscow")</f>
        <v>BWDMoscow</v>
      </c>
      <c r="U2326" s="385"/>
      <c r="W2326" s="384" t="str">
        <f>IFERROR(__xludf.DUMMYFUNCTION("""COMPUTED_VALUE"""),"Morti")</f>
        <v>Morti</v>
      </c>
      <c r="X2326" s="385"/>
    </row>
    <row r="2327">
      <c r="A2327" s="384" t="s">
        <v>112</v>
      </c>
      <c r="B2327" s="384" t="s">
        <v>269</v>
      </c>
      <c r="C2327" s="389">
        <v>2.5</v>
      </c>
      <c r="D2327" s="389">
        <v>3.75</v>
      </c>
      <c r="E2327" s="384"/>
      <c r="F2327" s="389"/>
      <c r="G2327" s="389"/>
      <c r="T2327" s="384" t="str">
        <f>IFERROR(__xludf.DUMMYFUNCTION("""COMPUTED_VALUE"""),"Cristo")</f>
        <v>Cristo</v>
      </c>
      <c r="U2327" s="385"/>
      <c r="W2327" s="384" t="str">
        <f>IFERROR(__xludf.DUMMYFUNCTION("""COMPUTED_VALUE"""),"MSR")</f>
        <v>MSR</v>
      </c>
      <c r="X2327" s="385"/>
    </row>
    <row r="2328">
      <c r="A2328" s="384" t="s">
        <v>93</v>
      </c>
      <c r="B2328" s="384" t="s">
        <v>271</v>
      </c>
      <c r="C2328" s="389"/>
      <c r="D2328" s="389">
        <v>2.75</v>
      </c>
      <c r="E2328" s="384"/>
      <c r="F2328" s="389"/>
      <c r="G2328" s="389"/>
      <c r="T2328" s="384" t="str">
        <f>IFERROR(__xludf.DUMMYFUNCTION("""COMPUTED_VALUE"""),"Curly")</f>
        <v>Curly</v>
      </c>
      <c r="U2328" s="385"/>
      <c r="W2328" s="384" t="str">
        <f>IFERROR(__xludf.DUMMYFUNCTION("""COMPUTED_VALUE"""),"NLIP")</f>
        <v>NLIP</v>
      </c>
      <c r="X2328" s="385"/>
    </row>
    <row r="2329">
      <c r="A2329" s="384" t="s">
        <v>101</v>
      </c>
      <c r="B2329" s="384" t="s">
        <v>261</v>
      </c>
      <c r="C2329" s="389"/>
      <c r="D2329" s="389">
        <v>2.0</v>
      </c>
      <c r="E2329" s="384"/>
      <c r="F2329" s="389"/>
      <c r="G2329" s="389"/>
      <c r="T2329" s="384" t="str">
        <f>IFERROR(__xludf.DUMMYFUNCTION("""COMPUTED_VALUE"""),"GALAY")</f>
        <v>GALAY</v>
      </c>
      <c r="U2329" s="385"/>
      <c r="W2329" s="384" t="str">
        <f>IFERROR(__xludf.DUMMYFUNCTION("""COMPUTED_VALUE"""),"Rocket woman ")</f>
        <v>Rocket woman </v>
      </c>
      <c r="X2329" s="385"/>
    </row>
    <row r="2330">
      <c r="A2330" s="384" t="s">
        <v>108</v>
      </c>
      <c r="B2330" s="384" t="s">
        <v>269</v>
      </c>
      <c r="C2330" s="389">
        <v>2.5</v>
      </c>
      <c r="D2330" s="389">
        <v>3.75</v>
      </c>
      <c r="E2330" s="384"/>
      <c r="F2330" s="389"/>
      <c r="G2330" s="389"/>
      <c r="T2330" s="384" t="str">
        <f>IFERROR(__xludf.DUMMYFUNCTION("""COMPUTED_VALUE"""),"Helga")</f>
        <v>Helga</v>
      </c>
      <c r="U2330" s="385"/>
      <c r="W2330" s="384" t="str">
        <f>IFERROR(__xludf.DUMMYFUNCTION("""COMPUTED_VALUE"""),"SCHOKK ")</f>
        <v>SCHOKK </v>
      </c>
      <c r="X2330" s="385"/>
    </row>
    <row r="2331">
      <c r="A2331" s="384" t="s">
        <v>91</v>
      </c>
      <c r="B2331" s="384" t="s">
        <v>261</v>
      </c>
      <c r="C2331" s="389"/>
      <c r="D2331" s="389">
        <v>3.0</v>
      </c>
      <c r="E2331" s="384"/>
      <c r="F2331" s="389"/>
      <c r="G2331" s="389"/>
      <c r="T2331" s="384" t="str">
        <f>IFERROR(__xludf.DUMMYFUNCTION("""COMPUTED_VALUE"""),"Infinity ")</f>
        <v>Infinity </v>
      </c>
      <c r="U2331" s="385"/>
      <c r="W2331" s="384" t="str">
        <f>IFERROR(__xludf.DUMMYFUNCTION("""COMPUTED_VALUE"""),"WhoIsWho")</f>
        <v>WhoIsWho</v>
      </c>
      <c r="X2331" s="385"/>
    </row>
    <row r="2332">
      <c r="A2332" s="384" t="s">
        <v>100</v>
      </c>
      <c r="B2332" s="384" t="s">
        <v>265</v>
      </c>
      <c r="C2332" s="389">
        <v>2.5</v>
      </c>
      <c r="D2332" s="389">
        <v>4.0</v>
      </c>
      <c r="E2332" s="384"/>
      <c r="F2332" s="389"/>
      <c r="G2332" s="389"/>
      <c r="T2332" s="384" t="str">
        <f>IFERROR(__xludf.DUMMYFUNCTION("""COMPUTED_VALUE"""),"Ketamin")</f>
        <v>Ketamin</v>
      </c>
      <c r="U2332" s="385"/>
      <c r="W2332" s="384" t="str">
        <f>IFERROR(__xludf.DUMMYFUNCTION("""COMPUTED_VALUE"""),"Young")</f>
        <v>Young</v>
      </c>
      <c r="X2332" s="385"/>
    </row>
    <row r="2333">
      <c r="A2333" s="384" t="s">
        <v>130</v>
      </c>
      <c r="B2333" s="384" t="s">
        <v>269</v>
      </c>
      <c r="C2333" s="389"/>
      <c r="D2333" s="389">
        <v>1.75</v>
      </c>
      <c r="E2333" s="384"/>
      <c r="F2333" s="389"/>
      <c r="G2333" s="389"/>
      <c r="T2333" s="384" t="str">
        <f>IFERROR(__xludf.DUMMYFUNCTION("""COMPUTED_VALUE"""),"Light")</f>
        <v>Light</v>
      </c>
      <c r="U2333" s="385"/>
      <c r="W2333" s="384" t="str">
        <f>IFERROR(__xludf.DUMMYFUNCTION("""COMPUTED_VALUE"""),"Авраам")</f>
        <v>Авраам</v>
      </c>
      <c r="X2333" s="385"/>
    </row>
    <row r="2334">
      <c r="A2334" s="384" t="s">
        <v>134</v>
      </c>
      <c r="B2334" s="384" t="s">
        <v>261</v>
      </c>
      <c r="C2334" s="389">
        <v>2.5</v>
      </c>
      <c r="D2334" s="389">
        <v>2.0</v>
      </c>
      <c r="E2334" s="384"/>
      <c r="F2334" s="389"/>
      <c r="G2334" s="389"/>
      <c r="T2334" s="384" t="str">
        <f>IFERROR(__xludf.DUMMYFUNCTION("""COMPUTED_VALUE"""),"Morti")</f>
        <v>Morti</v>
      </c>
      <c r="U2334" s="385"/>
      <c r="W2334" s="384" t="str">
        <f>IFERROR(__xludf.DUMMYFUNCTION("""COMPUTED_VALUE"""),"Админ")</f>
        <v>Админ</v>
      </c>
      <c r="X2334" s="385"/>
    </row>
    <row r="2335">
      <c r="A2335" s="384" t="s">
        <v>123</v>
      </c>
      <c r="B2335" s="384" t="s">
        <v>261</v>
      </c>
      <c r="C2335" s="389">
        <v>2.5</v>
      </c>
      <c r="D2335" s="389">
        <v>2.25</v>
      </c>
      <c r="E2335" s="384" t="s">
        <v>11</v>
      </c>
      <c r="F2335" s="389"/>
      <c r="G2335" s="389">
        <v>0.5</v>
      </c>
      <c r="T2335" s="384" t="str">
        <f>IFERROR(__xludf.DUMMYFUNCTION("""COMPUTED_VALUE"""),"MSR")</f>
        <v>MSR</v>
      </c>
      <c r="U2335" s="385"/>
      <c r="W2335" s="384" t="str">
        <f>IFERROR(__xludf.DUMMYFUNCTION("""COMPUTED_VALUE"""),"Андерсен")</f>
        <v>Андерсен</v>
      </c>
      <c r="X2335" s="385"/>
    </row>
    <row r="2336">
      <c r="A2336" s="384" t="s">
        <v>83</v>
      </c>
      <c r="B2336" s="384" t="s">
        <v>269</v>
      </c>
      <c r="C2336" s="389"/>
      <c r="D2336" s="389">
        <v>3.25</v>
      </c>
      <c r="E2336" s="384" t="s">
        <v>263</v>
      </c>
      <c r="F2336" s="389"/>
      <c r="G2336" s="389"/>
      <c r="T2336" s="384" t="str">
        <f>IFERROR(__xludf.DUMMYFUNCTION("""COMPUTED_VALUE"""),"NLIP")</f>
        <v>NLIP</v>
      </c>
      <c r="U2336" s="385"/>
      <c r="W2336" s="384" t="str">
        <f>IFERROR(__xludf.DUMMYFUNCTION("""COMPUTED_VALUE"""),"Артик")</f>
        <v>Артик</v>
      </c>
      <c r="X2336" s="385"/>
    </row>
    <row r="2337">
      <c r="A2337" s="384" t="s">
        <v>112</v>
      </c>
      <c r="B2337" s="384" t="s">
        <v>271</v>
      </c>
      <c r="C2337" s="389">
        <v>2.5</v>
      </c>
      <c r="D2337" s="389">
        <v>3.75</v>
      </c>
      <c r="E2337" s="384"/>
      <c r="F2337" s="389"/>
      <c r="G2337" s="389"/>
      <c r="T2337" s="384" t="str">
        <f>IFERROR(__xludf.DUMMYFUNCTION("""COMPUTED_VALUE"""),"Rocket woman ")</f>
        <v>Rocket woman </v>
      </c>
      <c r="U2337" s="385"/>
      <c r="W2337" s="384" t="str">
        <f>IFERROR(__xludf.DUMMYFUNCTION("""COMPUTED_VALUE"""),"Астория")</f>
        <v>Астория</v>
      </c>
      <c r="X2337" s="385"/>
    </row>
    <row r="2338">
      <c r="A2338" s="384" t="s">
        <v>93</v>
      </c>
      <c r="B2338" s="384" t="s">
        <v>261</v>
      </c>
      <c r="C2338" s="389">
        <v>2.5</v>
      </c>
      <c r="D2338" s="389">
        <v>2.0</v>
      </c>
      <c r="E2338" s="384"/>
      <c r="F2338" s="389"/>
      <c r="G2338" s="389"/>
      <c r="T2338" s="384" t="str">
        <f>IFERROR(__xludf.DUMMYFUNCTION("""COMPUTED_VALUE"""),"SCHOKK ")</f>
        <v>SCHOKK </v>
      </c>
      <c r="U2338" s="385"/>
      <c r="W2338" s="384" t="str">
        <f>IFERROR(__xludf.DUMMYFUNCTION("""COMPUTED_VALUE"""),"Бамблби")</f>
        <v>Бамблби</v>
      </c>
      <c r="X2338" s="385"/>
    </row>
    <row r="2339">
      <c r="A2339" s="384" t="s">
        <v>101</v>
      </c>
      <c r="B2339" s="384" t="s">
        <v>261</v>
      </c>
      <c r="C2339" s="389">
        <v>2.5</v>
      </c>
      <c r="D2339" s="389">
        <v>3.75</v>
      </c>
      <c r="E2339" s="384"/>
      <c r="F2339" s="389"/>
      <c r="G2339" s="389"/>
      <c r="T2339" s="384" t="str">
        <f>IFERROR(__xludf.DUMMYFUNCTION("""COMPUTED_VALUE"""),"SOVEST")</f>
        <v>SOVEST</v>
      </c>
      <c r="U2339" s="385"/>
      <c r="W2339" s="384" t="str">
        <f>IFERROR(__xludf.DUMMYFUNCTION("""COMPUTED_VALUE"""),"Волга")</f>
        <v>Волга</v>
      </c>
      <c r="X2339" s="385"/>
    </row>
    <row r="2340">
      <c r="A2340" s="384" t="s">
        <v>108</v>
      </c>
      <c r="B2340" s="384" t="s">
        <v>265</v>
      </c>
      <c r="C2340" s="389"/>
      <c r="D2340" s="389">
        <v>1.75</v>
      </c>
      <c r="E2340" s="384"/>
      <c r="F2340" s="389"/>
      <c r="G2340" s="389"/>
      <c r="T2340" s="384" t="str">
        <f>IFERROR(__xludf.DUMMYFUNCTION("""COMPUTED_VALUE"""),"Stacy")</f>
        <v>Stacy</v>
      </c>
      <c r="U2340" s="385"/>
      <c r="W2340" s="384" t="str">
        <f>IFERROR(__xludf.DUMMYFUNCTION("""COMPUTED_VALUE"""),"Градиент")</f>
        <v>Градиент</v>
      </c>
      <c r="X2340" s="385"/>
    </row>
    <row r="2341">
      <c r="A2341" s="384" t="s">
        <v>91</v>
      </c>
      <c r="B2341" s="384" t="s">
        <v>261</v>
      </c>
      <c r="C2341" s="389">
        <v>2.5</v>
      </c>
      <c r="D2341" s="389">
        <v>4.75</v>
      </c>
      <c r="E2341" s="384" t="s">
        <v>260</v>
      </c>
      <c r="F2341" s="389"/>
      <c r="G2341" s="389"/>
      <c r="T2341" s="384" t="str">
        <f>IFERROR(__xludf.DUMMYFUNCTION("""COMPUTED_VALUE"""),"Young")</f>
        <v>Young</v>
      </c>
      <c r="U2341" s="385"/>
      <c r="W2341" s="384" t="str">
        <f>IFERROR(__xludf.DUMMYFUNCTION("""COMPUTED_VALUE"""),"Дровосек")</f>
        <v>Дровосек</v>
      </c>
      <c r="X2341" s="385"/>
    </row>
    <row r="2342">
      <c r="A2342" s="384" t="s">
        <v>100</v>
      </c>
      <c r="B2342" s="384" t="s">
        <v>261</v>
      </c>
      <c r="C2342" s="389">
        <v>2.5</v>
      </c>
      <c r="D2342" s="389">
        <v>3.0</v>
      </c>
      <c r="E2342" s="384" t="s">
        <v>260</v>
      </c>
      <c r="F2342" s="389"/>
      <c r="G2342" s="389"/>
      <c r="T2342" s="384" t="str">
        <f>IFERROR(__xludf.DUMMYFUNCTION("QUERY('Турнирная таблица по Алфавиту'!C7:BG66,""select C,BG order by BG desc"")"),"Артик")</f>
        <v>Артик</v>
      </c>
      <c r="U2342" s="385">
        <f>IFERROR(__xludf.DUMMYFUNCTION("""COMPUTED_VALUE"""),28.0)</f>
        <v>28</v>
      </c>
      <c r="W2342" s="384" t="str">
        <f>IFERROR(__xludf.DUMMYFUNCTION("""COMPUTED_VALUE"""),"Зверюга")</f>
        <v>Зверюга</v>
      </c>
      <c r="X2342" s="385"/>
    </row>
    <row r="2343">
      <c r="A2343" s="384" t="s">
        <v>130</v>
      </c>
      <c r="B2343" s="384" t="s">
        <v>261</v>
      </c>
      <c r="C2343" s="389"/>
      <c r="D2343" s="389">
        <v>3.5</v>
      </c>
      <c r="E2343" s="384"/>
      <c r="F2343" s="389"/>
      <c r="G2343" s="389"/>
      <c r="T2343" s="384" t="str">
        <f>IFERROR(__xludf.DUMMYFUNCTION("""COMPUTED_VALUE"""),"Наполеон")</f>
        <v>Наполеон</v>
      </c>
      <c r="U2343" s="385">
        <f>IFERROR(__xludf.DUMMYFUNCTION("""COMPUTED_VALUE"""),24.75)</f>
        <v>24.75</v>
      </c>
      <c r="W2343" s="384" t="str">
        <f>IFERROR(__xludf.DUMMYFUNCTION("""COMPUTED_VALUE"""),"Инсомнич")</f>
        <v>Инсомнич</v>
      </c>
      <c r="X2343" s="385"/>
    </row>
    <row r="2344">
      <c r="A2344" s="384" t="s">
        <v>134</v>
      </c>
      <c r="B2344" s="384" t="s">
        <v>269</v>
      </c>
      <c r="C2344" s="389">
        <v>2.5</v>
      </c>
      <c r="D2344" s="389">
        <v>3.5</v>
      </c>
      <c r="E2344" s="384" t="s">
        <v>260</v>
      </c>
      <c r="F2344" s="389"/>
      <c r="G2344" s="389"/>
      <c r="T2344" s="384" t="str">
        <f>IFERROR(__xludf.DUMMYFUNCTION("""COMPUTED_VALUE"""),"NLIP")</f>
        <v>NLIP</v>
      </c>
      <c r="U2344" s="385">
        <f>IFERROR(__xludf.DUMMYFUNCTION("""COMPUTED_VALUE"""),22.75)</f>
        <v>22.75</v>
      </c>
      <c r="W2344" s="384" t="str">
        <f>IFERROR(__xludf.DUMMYFUNCTION("""COMPUTED_VALUE"""),"Красавчик")</f>
        <v>Красавчик</v>
      </c>
      <c r="X2344" s="385"/>
    </row>
    <row r="2345">
      <c r="A2345" s="384" t="s">
        <v>123</v>
      </c>
      <c r="B2345" s="384" t="s">
        <v>261</v>
      </c>
      <c r="C2345" s="389"/>
      <c r="D2345" s="389">
        <v>2.0</v>
      </c>
      <c r="E2345" s="384" t="s">
        <v>263</v>
      </c>
      <c r="F2345" s="389"/>
      <c r="G2345" s="389"/>
      <c r="T2345" s="384" t="str">
        <f>IFERROR(__xludf.DUMMYFUNCTION("""COMPUTED_VALUE"""),"Cristo")</f>
        <v>Cristo</v>
      </c>
      <c r="U2345" s="385">
        <f>IFERROR(__xludf.DUMMYFUNCTION("""COMPUTED_VALUE"""),22.5)</f>
        <v>22.5</v>
      </c>
      <c r="W2345" s="384" t="str">
        <f>IFERROR(__xludf.DUMMYFUNCTION("""COMPUTED_VALUE"""),"Крестный отец (BLR)")</f>
        <v>Крестный отец (BLR)</v>
      </c>
      <c r="X2345" s="385"/>
    </row>
    <row r="2346">
      <c r="A2346" s="384" t="s">
        <v>83</v>
      </c>
      <c r="B2346" s="384" t="s">
        <v>261</v>
      </c>
      <c r="C2346" s="389"/>
      <c r="D2346" s="389">
        <v>1.5</v>
      </c>
      <c r="E2346" s="384" t="s">
        <v>263</v>
      </c>
      <c r="F2346" s="389"/>
      <c r="G2346" s="389"/>
      <c r="T2346" s="384" t="str">
        <f>IFERROR(__xludf.DUMMYFUNCTION("""COMPUTED_VALUE"""),"Авраам")</f>
        <v>Авраам</v>
      </c>
      <c r="U2346" s="385">
        <f>IFERROR(__xludf.DUMMYFUNCTION("""COMPUTED_VALUE"""),20.5)</f>
        <v>20.5</v>
      </c>
      <c r="W2346" s="384" t="str">
        <f>IFERROR(__xludf.DUMMYFUNCTION("""COMPUTED_VALUE"""),"Крёстный Отец (RU)")</f>
        <v>Крёстный Отец (RU)</v>
      </c>
      <c r="X2346" s="385"/>
    </row>
    <row r="2347">
      <c r="A2347" s="384" t="s">
        <v>112</v>
      </c>
      <c r="B2347" s="384" t="s">
        <v>261</v>
      </c>
      <c r="C2347" s="389"/>
      <c r="D2347" s="389">
        <v>2.25</v>
      </c>
      <c r="E2347" s="384" t="s">
        <v>11</v>
      </c>
      <c r="F2347" s="389"/>
      <c r="G2347" s="389">
        <v>0.5</v>
      </c>
      <c r="T2347" s="384" t="str">
        <f>IFERROR(__xludf.DUMMYFUNCTION("""COMPUTED_VALUE"""),"Stacy")</f>
        <v>Stacy</v>
      </c>
      <c r="U2347" s="385">
        <f>IFERROR(__xludf.DUMMYFUNCTION("""COMPUTED_VALUE"""),18.25)</f>
        <v>18.25</v>
      </c>
      <c r="W2347" s="384" t="str">
        <f>IFERROR(__xludf.DUMMYFUNCTION("""COMPUTED_VALUE"""),"Крот")</f>
        <v>Крот</v>
      </c>
      <c r="X2347" s="385"/>
    </row>
    <row r="2348">
      <c r="A2348" s="384" t="s">
        <v>93</v>
      </c>
      <c r="B2348" s="384" t="s">
        <v>261</v>
      </c>
      <c r="C2348" s="389"/>
      <c r="D2348" s="389">
        <v>3.5</v>
      </c>
      <c r="E2348" s="384"/>
      <c r="F2348" s="389"/>
      <c r="G2348" s="389"/>
      <c r="T2348" s="384" t="str">
        <f>IFERROR(__xludf.DUMMYFUNCTION("""COMPUTED_VALUE"""),"Castor Troy ")</f>
        <v>Castor Troy </v>
      </c>
      <c r="U2348" s="385">
        <f>IFERROR(__xludf.DUMMYFUNCTION("""COMPUTED_VALUE"""),17.75)</f>
        <v>17.75</v>
      </c>
      <c r="W2348" s="384" t="str">
        <f>IFERROR(__xludf.DUMMYFUNCTION("""COMPUTED_VALUE"""),"Левша")</f>
        <v>Левша</v>
      </c>
      <c r="X2348" s="385"/>
    </row>
    <row r="2349">
      <c r="A2349" s="384" t="s">
        <v>101</v>
      </c>
      <c r="B2349" s="384" t="s">
        <v>271</v>
      </c>
      <c r="C2349" s="389"/>
      <c r="D2349" s="389">
        <v>2.5</v>
      </c>
      <c r="E2349" s="384"/>
      <c r="F2349" s="389"/>
      <c r="G2349" s="389"/>
      <c r="T2349" s="384" t="str">
        <f>IFERROR(__xludf.DUMMYFUNCTION("""COMPUTED_VALUE"""),"СЭНСЭЙ")</f>
        <v>СЭНСЭЙ</v>
      </c>
      <c r="U2349" s="385">
        <f>IFERROR(__xludf.DUMMYFUNCTION("""COMPUTED_VALUE"""),15.25)</f>
        <v>15.25</v>
      </c>
      <c r="W2349" s="384" t="str">
        <f>IFERROR(__xludf.DUMMYFUNCTION("""COMPUTED_VALUE"""),"Лисичка")</f>
        <v>Лисичка</v>
      </c>
      <c r="X2349" s="385"/>
    </row>
    <row r="2350">
      <c r="A2350" s="384" t="s">
        <v>108</v>
      </c>
      <c r="B2350" s="384" t="s">
        <v>261</v>
      </c>
      <c r="C2350" s="389"/>
      <c r="D2350" s="389">
        <v>2.0</v>
      </c>
      <c r="E2350" s="384" t="s">
        <v>263</v>
      </c>
      <c r="F2350" s="389"/>
      <c r="G2350" s="389"/>
      <c r="T2350" s="384" t="str">
        <f>IFERROR(__xludf.DUMMYFUNCTION("""COMPUTED_VALUE"""),"Аш")</f>
        <v>Аш</v>
      </c>
      <c r="U2350" s="385">
        <f>IFERROR(__xludf.DUMMYFUNCTION("""COMPUTED_VALUE"""),13.75)</f>
        <v>13.75</v>
      </c>
      <c r="W2350" s="384" t="str">
        <f>IFERROR(__xludf.DUMMYFUNCTION("""COMPUTED_VALUE"""),"Маваши")</f>
        <v>Маваши</v>
      </c>
      <c r="X2350" s="385"/>
    </row>
    <row r="2351">
      <c r="A2351" s="384" t="s">
        <v>91</v>
      </c>
      <c r="B2351" s="384" t="s">
        <v>265</v>
      </c>
      <c r="C2351" s="389">
        <v>2.5</v>
      </c>
      <c r="D2351" s="389">
        <v>2.0</v>
      </c>
      <c r="E2351" s="384"/>
      <c r="F2351" s="389"/>
      <c r="G2351" s="389"/>
      <c r="T2351" s="384" t="str">
        <f>IFERROR(__xludf.DUMMYFUNCTION("""COMPUTED_VALUE"""),"Бамблби")</f>
        <v>Бамблби</v>
      </c>
      <c r="U2351" s="385">
        <f>IFERROR(__xludf.DUMMYFUNCTION("""COMPUTED_VALUE"""),13.75)</f>
        <v>13.75</v>
      </c>
      <c r="W2351" s="384" t="str">
        <f>IFERROR(__xludf.DUMMYFUNCTION("""COMPUTED_VALUE"""),"Марго")</f>
        <v>Марго</v>
      </c>
      <c r="X2351" s="385"/>
    </row>
    <row r="2352">
      <c r="A2352" s="384" t="s">
        <v>100</v>
      </c>
      <c r="B2352" s="384" t="s">
        <v>269</v>
      </c>
      <c r="C2352" s="389">
        <v>2.5</v>
      </c>
      <c r="D2352" s="389">
        <v>3.0</v>
      </c>
      <c r="E2352" s="384"/>
      <c r="F2352" s="389"/>
      <c r="G2352" s="389"/>
      <c r="T2352" s="384" t="str">
        <f>IFERROR(__xludf.DUMMYFUNCTION("""COMPUTED_VALUE"""),"Админ")</f>
        <v>Админ</v>
      </c>
      <c r="U2352" s="385"/>
      <c r="W2352" s="384" t="str">
        <f>IFERROR(__xludf.DUMMYFUNCTION("""COMPUTED_VALUE"""),"Ментик")</f>
        <v>Ментик</v>
      </c>
      <c r="X2352" s="385"/>
    </row>
    <row r="2353">
      <c r="A2353" s="384" t="s">
        <v>97</v>
      </c>
      <c r="B2353" s="384" t="s">
        <v>261</v>
      </c>
      <c r="C2353" s="389">
        <v>2.5</v>
      </c>
      <c r="D2353" s="389">
        <v>2.75</v>
      </c>
      <c r="E2353" s="384" t="s">
        <v>260</v>
      </c>
      <c r="F2353" s="389"/>
      <c r="G2353" s="389"/>
      <c r="T2353" s="384" t="str">
        <f>IFERROR(__xludf.DUMMYFUNCTION("""COMPUTED_VALUE"""),"Андерсен")</f>
        <v>Андерсен</v>
      </c>
      <c r="U2353" s="385"/>
      <c r="W2353" s="384" t="str">
        <f>IFERROR(__xludf.DUMMYFUNCTION("""COMPUTED_VALUE"""),"Мишель ")</f>
        <v>Мишель </v>
      </c>
      <c r="X2353" s="385"/>
    </row>
    <row r="2354">
      <c r="A2354" s="384" t="s">
        <v>135</v>
      </c>
      <c r="B2354" s="384" t="s">
        <v>261</v>
      </c>
      <c r="C2354" s="389">
        <v>2.5</v>
      </c>
      <c r="D2354" s="389">
        <v>2.5</v>
      </c>
      <c r="E2354" s="384"/>
      <c r="F2354" s="389"/>
      <c r="G2354" s="389"/>
      <c r="T2354" s="384" t="str">
        <f>IFERROR(__xludf.DUMMYFUNCTION("""COMPUTED_VALUE"""),"Астория")</f>
        <v>Астория</v>
      </c>
      <c r="U2354" s="385"/>
      <c r="W2354" s="384" t="str">
        <f>IFERROR(__xludf.DUMMYFUNCTION("""COMPUTED_VALUE"""),"Наполеон")</f>
        <v>Наполеон</v>
      </c>
      <c r="X2354" s="385"/>
    </row>
    <row r="2355">
      <c r="A2355" s="384" t="s">
        <v>86</v>
      </c>
      <c r="B2355" s="384" t="s">
        <v>261</v>
      </c>
      <c r="C2355" s="389">
        <v>2.5</v>
      </c>
      <c r="D2355" s="389">
        <v>2.75</v>
      </c>
      <c r="E2355" s="384"/>
      <c r="F2355" s="389"/>
      <c r="G2355" s="389"/>
      <c r="T2355" s="384" t="str">
        <f>IFERROR(__xludf.DUMMYFUNCTION("""COMPUTED_VALUE"""),"Волга")</f>
        <v>Волга</v>
      </c>
      <c r="U2355" s="385"/>
      <c r="W2355" s="384" t="str">
        <f>IFERROR(__xludf.DUMMYFUNCTION("""COMPUTED_VALUE"""),"Панда из Руанды")</f>
        <v>Панда из Руанды</v>
      </c>
      <c r="X2355" s="385"/>
    </row>
    <row r="2356">
      <c r="A2356" s="384" t="s">
        <v>107</v>
      </c>
      <c r="B2356" s="384" t="s">
        <v>261</v>
      </c>
      <c r="C2356" s="389">
        <v>2.5</v>
      </c>
      <c r="D2356" s="389">
        <v>2.25</v>
      </c>
      <c r="E2356" s="384" t="s">
        <v>11</v>
      </c>
      <c r="F2356" s="389"/>
      <c r="G2356" s="389">
        <v>0.5</v>
      </c>
      <c r="T2356" s="384" t="str">
        <f>IFERROR(__xludf.DUMMYFUNCTION("""COMPUTED_VALUE"""),"Градиент")</f>
        <v>Градиент</v>
      </c>
      <c r="U2356" s="385"/>
      <c r="W2356" s="384" t="str">
        <f>IFERROR(__xludf.DUMMYFUNCTION("""COMPUTED_VALUE"""),"Писатель ")</f>
        <v>Писатель </v>
      </c>
      <c r="X2356" s="385"/>
    </row>
    <row r="2357">
      <c r="A2357" s="384" t="s">
        <v>94</v>
      </c>
      <c r="B2357" s="384" t="s">
        <v>271</v>
      </c>
      <c r="C2357" s="389">
        <v>2.5</v>
      </c>
      <c r="D2357" s="389">
        <v>3.25</v>
      </c>
      <c r="E2357" s="384"/>
      <c r="F2357" s="389"/>
      <c r="G2357" s="389"/>
      <c r="T2357" s="384" t="str">
        <f>IFERROR(__xludf.DUMMYFUNCTION("""COMPUTED_VALUE"""),"Дровосек")</f>
        <v>Дровосек</v>
      </c>
      <c r="U2357" s="385"/>
      <c r="W2357" s="384" t="str">
        <f>IFERROR(__xludf.DUMMYFUNCTION("""COMPUTED_VALUE"""),"Правда ")</f>
        <v>Правда </v>
      </c>
      <c r="X2357" s="385"/>
    </row>
    <row r="2358">
      <c r="A2358" s="384" t="s">
        <v>110</v>
      </c>
      <c r="B2358" s="384" t="s">
        <v>261</v>
      </c>
      <c r="C2358" s="389">
        <v>2.5</v>
      </c>
      <c r="D2358" s="389">
        <v>3.5</v>
      </c>
      <c r="E2358" s="384" t="s">
        <v>260</v>
      </c>
      <c r="F2358" s="389"/>
      <c r="G2358" s="389"/>
      <c r="T2358" s="384" t="str">
        <f>IFERROR(__xludf.DUMMYFUNCTION("""COMPUTED_VALUE"""),"Зверюга")</f>
        <v>Зверюга</v>
      </c>
      <c r="U2358" s="385"/>
      <c r="W2358" s="384" t="str">
        <f>IFERROR(__xludf.DUMMYFUNCTION("""COMPUTED_VALUE"""),"Продюсер")</f>
        <v>Продюсер</v>
      </c>
      <c r="X2358" s="385"/>
    </row>
    <row r="2359">
      <c r="A2359" s="384" t="s">
        <v>93</v>
      </c>
      <c r="B2359" s="384" t="s">
        <v>265</v>
      </c>
      <c r="C2359" s="389"/>
      <c r="D2359" s="389">
        <v>2.5</v>
      </c>
      <c r="E2359" s="384"/>
      <c r="F2359" s="389"/>
      <c r="G2359" s="389"/>
      <c r="T2359" s="384" t="str">
        <f>IFERROR(__xludf.DUMMYFUNCTION("""COMPUTED_VALUE"""),"Инсомнич")</f>
        <v>Инсомнич</v>
      </c>
      <c r="U2359" s="385"/>
      <c r="W2359" s="384" t="str">
        <f>IFERROR(__xludf.DUMMYFUNCTION("""COMPUTED_VALUE"""),"РФ")</f>
        <v>РФ</v>
      </c>
      <c r="X2359" s="385"/>
    </row>
    <row r="2360">
      <c r="A2360" s="384" t="s">
        <v>81</v>
      </c>
      <c r="B2360" s="384" t="s">
        <v>269</v>
      </c>
      <c r="C2360" s="389"/>
      <c r="D2360" s="389">
        <v>2.0</v>
      </c>
      <c r="E2360" s="384" t="s">
        <v>263</v>
      </c>
      <c r="F2360" s="389"/>
      <c r="G2360" s="389"/>
      <c r="T2360" s="384" t="str">
        <f>IFERROR(__xludf.DUMMYFUNCTION("""COMPUTED_VALUE"""),"Красавчик")</f>
        <v>Красавчик</v>
      </c>
      <c r="U2360" s="385"/>
      <c r="W2360" s="384" t="str">
        <f>IFERROR(__xludf.DUMMYFUNCTION("""COMPUTED_VALUE"""),"Старый")</f>
        <v>Старый</v>
      </c>
      <c r="X2360" s="385"/>
    </row>
    <row r="2361">
      <c r="A2361" s="384" t="s">
        <v>98</v>
      </c>
      <c r="B2361" s="384" t="s">
        <v>261</v>
      </c>
      <c r="C2361" s="389">
        <v>2.5</v>
      </c>
      <c r="D2361" s="389">
        <v>3.25</v>
      </c>
      <c r="E2361" s="384"/>
      <c r="F2361" s="389"/>
      <c r="G2361" s="389"/>
      <c r="T2361" s="384" t="str">
        <f>IFERROR(__xludf.DUMMYFUNCTION("""COMPUTED_VALUE"""),"Крестный отец (BLR)")</f>
        <v>Крестный отец (BLR)</v>
      </c>
      <c r="U2361" s="385"/>
      <c r="W2361" s="384" t="str">
        <f>IFERROR(__xludf.DUMMYFUNCTION("""COMPUTED_VALUE"""),"Тихий закат")</f>
        <v>Тихий закат</v>
      </c>
      <c r="X2361" s="385"/>
    </row>
    <row r="2362">
      <c r="A2362" s="384" t="s">
        <v>100</v>
      </c>
      <c r="B2362" s="384" t="s">
        <v>269</v>
      </c>
      <c r="C2362" s="389"/>
      <c r="D2362" s="389">
        <v>2.5</v>
      </c>
      <c r="E2362" s="384"/>
      <c r="F2362" s="389"/>
      <c r="G2362" s="389"/>
      <c r="T2362" s="384" t="str">
        <f>IFERROR(__xludf.DUMMYFUNCTION("""COMPUTED_VALUE"""),"Крёстный Отец (RU)")</f>
        <v>Крёстный Отец (RU)</v>
      </c>
      <c r="U2362" s="385"/>
      <c r="W2362" s="384" t="str">
        <f>IFERROR(__xludf.DUMMYFUNCTION("""COMPUTED_VALUE"""),"Физик")</f>
        <v>Физик</v>
      </c>
      <c r="X2362" s="385"/>
    </row>
    <row r="2363">
      <c r="A2363" s="384" t="s">
        <v>97</v>
      </c>
      <c r="B2363" s="384" t="s">
        <v>261</v>
      </c>
      <c r="C2363" s="389"/>
      <c r="D2363" s="389">
        <v>1.75</v>
      </c>
      <c r="E2363" s="384"/>
      <c r="F2363" s="389"/>
      <c r="G2363" s="389"/>
      <c r="T2363" s="384" t="str">
        <f>IFERROR(__xludf.DUMMYFUNCTION("""COMPUTED_VALUE"""),"Крот")</f>
        <v>Крот</v>
      </c>
      <c r="U2363" s="385"/>
      <c r="W2363" s="384" t="str">
        <f>IFERROR(__xludf.DUMMYFUNCTION("""COMPUTED_VALUE"""),"Флэш")</f>
        <v>Флэш</v>
      </c>
      <c r="X2363" s="385"/>
    </row>
    <row r="2364">
      <c r="A2364" s="384" t="s">
        <v>135</v>
      </c>
      <c r="B2364" s="384" t="s">
        <v>269</v>
      </c>
      <c r="C2364" s="389">
        <v>2.5</v>
      </c>
      <c r="D2364" s="389">
        <v>2.5</v>
      </c>
      <c r="E2364" s="384"/>
      <c r="F2364" s="389"/>
      <c r="G2364" s="389"/>
      <c r="T2364" s="384" t="str">
        <f>IFERROR(__xludf.DUMMYFUNCTION("""COMPUTED_VALUE"""),"Левша")</f>
        <v>Левша</v>
      </c>
      <c r="U2364" s="385"/>
      <c r="W2364" s="384" t="str">
        <f>IFERROR(__xludf.DUMMYFUNCTION("""COMPUTED_VALUE"""),"Фокс")</f>
        <v>Фокс</v>
      </c>
      <c r="X2364" s="385"/>
    </row>
    <row r="2365">
      <c r="A2365" s="384" t="s">
        <v>86</v>
      </c>
      <c r="B2365" s="384" t="s">
        <v>271</v>
      </c>
      <c r="C2365" s="389"/>
      <c r="D2365" s="389">
        <v>2.75</v>
      </c>
      <c r="E2365" s="384" t="s">
        <v>11</v>
      </c>
      <c r="F2365" s="389"/>
      <c r="G2365" s="389">
        <v>0.5</v>
      </c>
      <c r="T2365" s="384" t="str">
        <f>IFERROR(__xludf.DUMMYFUNCTION("""COMPUTED_VALUE"""),"Лисичка")</f>
        <v>Лисичка</v>
      </c>
      <c r="U2365" s="385"/>
      <c r="W2365" s="384" t="str">
        <f>IFERROR(__xludf.DUMMYFUNCTION("""COMPUTED_VALUE"""),"Шоу Бой")</f>
        <v>Шоу Бой</v>
      </c>
      <c r="X2365" s="385"/>
    </row>
    <row r="2366">
      <c r="A2366" s="384" t="s">
        <v>107</v>
      </c>
      <c r="B2366" s="384" t="s">
        <v>261</v>
      </c>
      <c r="C2366" s="389"/>
      <c r="D2366" s="389">
        <v>3.25</v>
      </c>
      <c r="E2366" s="384"/>
      <c r="F2366" s="389"/>
      <c r="G2366" s="389"/>
      <c r="T2366" s="384" t="str">
        <f>IFERROR(__xludf.DUMMYFUNCTION("""COMPUTED_VALUE"""),"Маваши")</f>
        <v>Маваши</v>
      </c>
      <c r="U2366" s="385"/>
      <c r="W2366" s="384" t="str">
        <f>IFERROR(__xludf.DUMMYFUNCTION("""COMPUTED_VALUE"""),"A1 ")</f>
        <v>A1 </v>
      </c>
      <c r="X2366" s="385"/>
    </row>
    <row r="2367">
      <c r="A2367" s="384" t="s">
        <v>94</v>
      </c>
      <c r="B2367" s="384" t="s">
        <v>261</v>
      </c>
      <c r="C2367" s="389"/>
      <c r="D2367" s="389">
        <v>1.75</v>
      </c>
      <c r="E2367" s="384"/>
      <c r="F2367" s="389"/>
      <c r="G2367" s="389"/>
      <c r="T2367" s="384" t="str">
        <f>IFERROR(__xludf.DUMMYFUNCTION("""COMPUTED_VALUE"""),"Манекен")</f>
        <v>Манекен</v>
      </c>
      <c r="U2367" s="385"/>
      <c r="W2367" s="384" t="str">
        <f>IFERROR(__xludf.DUMMYFUNCTION("""COMPUTED_VALUE"""),"Alice ")</f>
        <v>Alice </v>
      </c>
      <c r="X2367" s="385"/>
    </row>
    <row r="2368">
      <c r="A2368" s="384" t="s">
        <v>110</v>
      </c>
      <c r="B2368" s="384" t="s">
        <v>261</v>
      </c>
      <c r="C2368" s="389"/>
      <c r="D2368" s="389">
        <v>2.5</v>
      </c>
      <c r="E2368" s="384"/>
      <c r="F2368" s="389"/>
      <c r="G2368" s="389"/>
      <c r="T2368" s="384" t="str">
        <f>IFERROR(__xludf.DUMMYFUNCTION("""COMPUTED_VALUE"""),"Марго")</f>
        <v>Марго</v>
      </c>
      <c r="U2368" s="385"/>
      <c r="W2368" s="384" t="str">
        <f>IFERROR(__xludf.DUMMYFUNCTION("""COMPUTED_VALUE"""),"Bublik")</f>
        <v>Bublik</v>
      </c>
      <c r="X2368" s="385"/>
    </row>
    <row r="2369">
      <c r="A2369" s="384" t="s">
        <v>93</v>
      </c>
      <c r="B2369" s="384" t="s">
        <v>269</v>
      </c>
      <c r="C2369" s="389">
        <v>2.5</v>
      </c>
      <c r="D2369" s="389">
        <v>3.75</v>
      </c>
      <c r="E2369" s="384"/>
      <c r="F2369" s="389"/>
      <c r="G2369" s="389"/>
      <c r="T2369" s="384" t="str">
        <f>IFERROR(__xludf.DUMMYFUNCTION("""COMPUTED_VALUE"""),"Ментик")</f>
        <v>Ментик</v>
      </c>
      <c r="U2369" s="385"/>
      <c r="W2369" s="384" t="str">
        <f>IFERROR(__xludf.DUMMYFUNCTION("""COMPUTED_VALUE"""),"BWDMoscow")</f>
        <v>BWDMoscow</v>
      </c>
      <c r="X2369" s="385"/>
    </row>
    <row r="2370">
      <c r="A2370" s="384" t="s">
        <v>81</v>
      </c>
      <c r="B2370" s="384" t="s">
        <v>261</v>
      </c>
      <c r="C2370" s="389"/>
      <c r="D2370" s="389">
        <v>1.75</v>
      </c>
      <c r="E2370" s="384"/>
      <c r="F2370" s="389"/>
      <c r="G2370" s="389"/>
      <c r="T2370" s="384" t="str">
        <f>IFERROR(__xludf.DUMMYFUNCTION("""COMPUTED_VALUE"""),"Мишель ")</f>
        <v>Мишель </v>
      </c>
      <c r="U2370" s="385"/>
      <c r="W2370" s="384" t="str">
        <f>IFERROR(__xludf.DUMMYFUNCTION("""COMPUTED_VALUE"""),"Castor Troy ")</f>
        <v>Castor Troy </v>
      </c>
      <c r="X2370" s="385"/>
    </row>
    <row r="2371">
      <c r="A2371" s="384" t="s">
        <v>98</v>
      </c>
      <c r="B2371" s="384" t="s">
        <v>261</v>
      </c>
      <c r="C2371" s="389"/>
      <c r="D2371" s="389">
        <v>1.75</v>
      </c>
      <c r="E2371" s="384"/>
      <c r="F2371" s="389"/>
      <c r="G2371" s="389"/>
      <c r="T2371" s="384" t="str">
        <f>IFERROR(__xludf.DUMMYFUNCTION("""COMPUTED_VALUE"""),"Панда из Руанды")</f>
        <v>Панда из Руанды</v>
      </c>
      <c r="U2371" s="385"/>
      <c r="W2371" s="384" t="str">
        <f>IFERROR(__xludf.DUMMYFUNCTION("""COMPUTED_VALUE"""),"Cristo")</f>
        <v>Cristo</v>
      </c>
      <c r="X2371" s="385"/>
    </row>
    <row r="2372">
      <c r="A2372" s="384" t="s">
        <v>100</v>
      </c>
      <c r="B2372" s="384" t="s">
        <v>265</v>
      </c>
      <c r="C2372" s="389">
        <v>2.5</v>
      </c>
      <c r="D2372" s="389">
        <v>4.5</v>
      </c>
      <c r="E2372" s="384"/>
      <c r="F2372" s="389"/>
      <c r="G2372" s="389"/>
      <c r="T2372" s="384" t="str">
        <f>IFERROR(__xludf.DUMMYFUNCTION("""COMPUTED_VALUE"""),"Писатель ")</f>
        <v>Писатель </v>
      </c>
      <c r="U2372" s="385"/>
      <c r="W2372" s="384" t="str">
        <f>IFERROR(__xludf.DUMMYFUNCTION("""COMPUTED_VALUE"""),"Curly")</f>
        <v>Curly</v>
      </c>
      <c r="X2372" s="385"/>
    </row>
    <row r="2373">
      <c r="A2373" s="384" t="s">
        <v>97</v>
      </c>
      <c r="B2373" s="384" t="s">
        <v>271</v>
      </c>
      <c r="C2373" s="389">
        <v>2.5</v>
      </c>
      <c r="D2373" s="389">
        <v>4.0</v>
      </c>
      <c r="E2373" s="384"/>
      <c r="F2373" s="389"/>
      <c r="G2373" s="389"/>
      <c r="T2373" s="384" t="str">
        <f>IFERROR(__xludf.DUMMYFUNCTION("""COMPUTED_VALUE"""),"Правда ")</f>
        <v>Правда </v>
      </c>
      <c r="U2373" s="385"/>
      <c r="W2373" s="384" t="str">
        <f>IFERROR(__xludf.DUMMYFUNCTION("""COMPUTED_VALUE"""),"GALAY")</f>
        <v>GALAY</v>
      </c>
      <c r="X2373" s="385"/>
    </row>
    <row r="2374">
      <c r="A2374" s="384" t="s">
        <v>135</v>
      </c>
      <c r="B2374" s="384" t="s">
        <v>261</v>
      </c>
      <c r="C2374" s="389">
        <v>2.5</v>
      </c>
      <c r="D2374" s="389">
        <v>3.0</v>
      </c>
      <c r="E2374" s="384" t="s">
        <v>260</v>
      </c>
      <c r="F2374" s="389"/>
      <c r="G2374" s="389"/>
      <c r="T2374" s="384" t="str">
        <f>IFERROR(__xludf.DUMMYFUNCTION("""COMPUTED_VALUE"""),"Продюсер")</f>
        <v>Продюсер</v>
      </c>
      <c r="U2374" s="385"/>
      <c r="W2374" s="384" t="str">
        <f>IFERROR(__xludf.DUMMYFUNCTION("""COMPUTED_VALUE"""),"Helga")</f>
        <v>Helga</v>
      </c>
      <c r="X2374" s="385"/>
    </row>
    <row r="2375">
      <c r="A2375" s="384" t="s">
        <v>86</v>
      </c>
      <c r="B2375" s="384" t="s">
        <v>269</v>
      </c>
      <c r="C2375" s="389"/>
      <c r="D2375" s="389">
        <v>2.75</v>
      </c>
      <c r="E2375" s="384"/>
      <c r="F2375" s="389"/>
      <c r="G2375" s="389"/>
      <c r="T2375" s="384" t="str">
        <f>IFERROR(__xludf.DUMMYFUNCTION("""COMPUTED_VALUE"""),"РФ")</f>
        <v>РФ</v>
      </c>
      <c r="U2375" s="385"/>
      <c r="W2375" s="384" t="str">
        <f>IFERROR(__xludf.DUMMYFUNCTION("""COMPUTED_VALUE"""),"Ketamin")</f>
        <v>Ketamin</v>
      </c>
      <c r="X2375" s="385"/>
    </row>
    <row r="2376">
      <c r="A2376" s="384" t="s">
        <v>107</v>
      </c>
      <c r="B2376" s="384" t="s">
        <v>269</v>
      </c>
      <c r="C2376" s="389"/>
      <c r="D2376" s="389">
        <v>2.25</v>
      </c>
      <c r="E2376" s="384" t="s">
        <v>263</v>
      </c>
      <c r="F2376" s="389"/>
      <c r="G2376" s="389"/>
      <c r="T2376" s="384" t="str">
        <f>IFERROR(__xludf.DUMMYFUNCTION("""COMPUTED_VALUE"""),"Старый")</f>
        <v>Старый</v>
      </c>
      <c r="U2376" s="385"/>
      <c r="W2376" s="384" t="str">
        <f>IFERROR(__xludf.DUMMYFUNCTION("""COMPUTED_VALUE"""),"Light")</f>
        <v>Light</v>
      </c>
      <c r="X2376" s="385"/>
    </row>
    <row r="2377">
      <c r="A2377" s="384" t="s">
        <v>94</v>
      </c>
      <c r="B2377" s="384" t="s">
        <v>261</v>
      </c>
      <c r="C2377" s="389">
        <v>2.5</v>
      </c>
      <c r="D2377" s="389">
        <v>3.0</v>
      </c>
      <c r="E2377" s="384" t="s">
        <v>260</v>
      </c>
      <c r="F2377" s="389"/>
      <c r="G2377" s="389"/>
      <c r="T2377" s="384" t="str">
        <f>IFERROR(__xludf.DUMMYFUNCTION("""COMPUTED_VALUE"""),"Coach")</f>
        <v>Coach</v>
      </c>
      <c r="U2377" s="385"/>
      <c r="W2377" s="384" t="str">
        <f>IFERROR(__xludf.DUMMYFUNCTION("""COMPUTED_VALUE"""),"Morti")</f>
        <v>Morti</v>
      </c>
      <c r="X2377" s="385"/>
    </row>
    <row r="2378">
      <c r="A2378" s="384" t="s">
        <v>110</v>
      </c>
      <c r="B2378" s="384" t="s">
        <v>261</v>
      </c>
      <c r="C2378" s="389">
        <v>2.5</v>
      </c>
      <c r="D2378" s="389">
        <v>4.5</v>
      </c>
      <c r="E2378" s="384"/>
      <c r="F2378" s="389"/>
      <c r="G2378" s="389"/>
      <c r="T2378" s="384" t="str">
        <f>IFERROR(__xludf.DUMMYFUNCTION("""COMPUTED_VALUE"""),"Тихий закат")</f>
        <v>Тихий закат</v>
      </c>
      <c r="U2378" s="385"/>
      <c r="W2378" s="384" t="str">
        <f>IFERROR(__xludf.DUMMYFUNCTION("""COMPUTED_VALUE"""),"MSR")</f>
        <v>MSR</v>
      </c>
      <c r="X2378" s="385"/>
    </row>
    <row r="2379">
      <c r="A2379" s="384" t="s">
        <v>93</v>
      </c>
      <c r="B2379" s="384" t="s">
        <v>265</v>
      </c>
      <c r="C2379" s="389"/>
      <c r="D2379" s="389">
        <v>2.5</v>
      </c>
      <c r="E2379" s="384"/>
      <c r="F2379" s="389"/>
      <c r="G2379" s="389"/>
      <c r="T2379" s="384" t="str">
        <f>IFERROR(__xludf.DUMMYFUNCTION("""COMPUTED_VALUE"""),"Физик")</f>
        <v>Физик</v>
      </c>
      <c r="U2379" s="385"/>
      <c r="W2379" s="384" t="str">
        <f>IFERROR(__xludf.DUMMYFUNCTION("""COMPUTED_VALUE"""),"SCHOKK ")</f>
        <v>SCHOKK </v>
      </c>
      <c r="X2379" s="385"/>
    </row>
    <row r="2380">
      <c r="A2380" s="384" t="s">
        <v>81</v>
      </c>
      <c r="B2380" s="384" t="s">
        <v>261</v>
      </c>
      <c r="C2380" s="389">
        <v>2.5</v>
      </c>
      <c r="D2380" s="389">
        <v>2.75</v>
      </c>
      <c r="E2380" s="384"/>
      <c r="F2380" s="389"/>
      <c r="G2380" s="389"/>
      <c r="T2380" s="384" t="str">
        <f>IFERROR(__xludf.DUMMYFUNCTION("""COMPUTED_VALUE"""),"Флэш")</f>
        <v>Флэш</v>
      </c>
      <c r="U2380" s="385"/>
      <c r="W2380" s="384" t="str">
        <f>IFERROR(__xludf.DUMMYFUNCTION("""COMPUTED_VALUE"""),"SOVEST")</f>
        <v>SOVEST</v>
      </c>
      <c r="X2380" s="385"/>
    </row>
    <row r="2381">
      <c r="A2381" s="384" t="s">
        <v>98</v>
      </c>
      <c r="B2381" s="384" t="s">
        <v>261</v>
      </c>
      <c r="C2381" s="389">
        <v>2.5</v>
      </c>
      <c r="D2381" s="389">
        <v>4.0</v>
      </c>
      <c r="E2381" s="384"/>
      <c r="F2381" s="389"/>
      <c r="G2381" s="389"/>
      <c r="T2381" s="384" t="str">
        <f>IFERROR(__xludf.DUMMYFUNCTION("""COMPUTED_VALUE"""),"Фокс")</f>
        <v>Фокс</v>
      </c>
      <c r="U2381" s="385"/>
      <c r="W2381" s="384" t="str">
        <f>IFERROR(__xludf.DUMMYFUNCTION("""COMPUTED_VALUE"""),"Stacy")</f>
        <v>Stacy</v>
      </c>
      <c r="X2381" s="385"/>
    </row>
    <row r="2382">
      <c r="A2382" s="384" t="s">
        <v>100</v>
      </c>
      <c r="B2382" s="384" t="s">
        <v>261</v>
      </c>
      <c r="C2382" s="389">
        <v>2.5</v>
      </c>
      <c r="D2382" s="389">
        <v>2.75</v>
      </c>
      <c r="E2382" s="384" t="s">
        <v>11</v>
      </c>
      <c r="F2382" s="389"/>
      <c r="G2382" s="389">
        <v>0.5</v>
      </c>
      <c r="T2382" s="384" t="str">
        <f>IFERROR(__xludf.DUMMYFUNCTION("""COMPUTED_VALUE"""),"Шоу Бой")</f>
        <v>Шоу Бой</v>
      </c>
      <c r="U2382" s="385"/>
      <c r="W2382" s="384" t="str">
        <f>IFERROR(__xludf.DUMMYFUNCTION("""COMPUTED_VALUE"""),"WhoIsWho")</f>
        <v>WhoIsWho</v>
      </c>
      <c r="X2382" s="385"/>
    </row>
    <row r="2383">
      <c r="A2383" s="384" t="s">
        <v>97</v>
      </c>
      <c r="B2383" s="384" t="s">
        <v>261</v>
      </c>
      <c r="C2383" s="389">
        <v>2.5</v>
      </c>
      <c r="D2383" s="389">
        <v>2.0</v>
      </c>
      <c r="E2383" s="384"/>
      <c r="F2383" s="389"/>
      <c r="G2383" s="389"/>
      <c r="T2383" s="384" t="str">
        <f>IFERROR(__xludf.DUMMYFUNCTION("""COMPUTED_VALUE"""),"Шпиц")</f>
        <v>Шпиц</v>
      </c>
      <c r="U2383" s="385"/>
      <c r="W2383" s="384" t="str">
        <f>IFERROR(__xludf.DUMMYFUNCTION("""COMPUTED_VALUE"""),"Авраам")</f>
        <v>Авраам</v>
      </c>
      <c r="X2383" s="385"/>
    </row>
    <row r="2384">
      <c r="A2384" s="384" t="s">
        <v>135</v>
      </c>
      <c r="B2384" s="384" t="s">
        <v>271</v>
      </c>
      <c r="C2384" s="389">
        <v>2.5</v>
      </c>
      <c r="D2384" s="389">
        <v>2.75</v>
      </c>
      <c r="E2384" s="384"/>
      <c r="F2384" s="389"/>
      <c r="G2384" s="389"/>
      <c r="T2384" s="384" t="str">
        <f>IFERROR(__xludf.DUMMYFUNCTION("""COMPUTED_VALUE"""),"Юрия")</f>
        <v>Юрия</v>
      </c>
      <c r="U2384" s="385"/>
      <c r="W2384" s="384" t="str">
        <f>IFERROR(__xludf.DUMMYFUNCTION("""COMPUTED_VALUE"""),"Админ")</f>
        <v>Админ</v>
      </c>
      <c r="X2384" s="385"/>
    </row>
    <row r="2385">
      <c r="A2385" s="384" t="s">
        <v>86</v>
      </c>
      <c r="B2385" s="384" t="s">
        <v>261</v>
      </c>
      <c r="C2385" s="389">
        <v>2.5</v>
      </c>
      <c r="D2385" s="389">
        <v>3.5</v>
      </c>
      <c r="E2385" s="384" t="s">
        <v>260</v>
      </c>
      <c r="F2385" s="389"/>
      <c r="G2385" s="389"/>
      <c r="T2385" s="384" t="str">
        <f>IFERROR(__xludf.DUMMYFUNCTION("""COMPUTED_VALUE"""),"A1 ")</f>
        <v>A1 </v>
      </c>
      <c r="U2385" s="385"/>
      <c r="W2385" s="384" t="str">
        <f>IFERROR(__xludf.DUMMYFUNCTION("""COMPUTED_VALUE"""),"Андерсен")</f>
        <v>Андерсен</v>
      </c>
      <c r="X2385" s="385"/>
    </row>
    <row r="2386">
      <c r="A2386" s="384" t="s">
        <v>107</v>
      </c>
      <c r="B2386" s="384" t="s">
        <v>261</v>
      </c>
      <c r="C2386" s="389">
        <v>2.5</v>
      </c>
      <c r="D2386" s="389">
        <v>3.0</v>
      </c>
      <c r="E2386" s="384" t="s">
        <v>260</v>
      </c>
      <c r="F2386" s="389"/>
      <c r="G2386" s="389"/>
      <c r="T2386" s="384" t="str">
        <f>IFERROR(__xludf.DUMMYFUNCTION("""COMPUTED_VALUE"""),"Alice ")</f>
        <v>Alice </v>
      </c>
      <c r="U2386" s="385"/>
      <c r="W2386" s="384" t="str">
        <f>IFERROR(__xludf.DUMMYFUNCTION("""COMPUTED_VALUE"""),"Артик")</f>
        <v>Артик</v>
      </c>
      <c r="X2386" s="385"/>
    </row>
    <row r="2387">
      <c r="A2387" s="384" t="s">
        <v>94</v>
      </c>
      <c r="B2387" s="384" t="s">
        <v>265</v>
      </c>
      <c r="C2387" s="389"/>
      <c r="D2387" s="389">
        <v>2.25</v>
      </c>
      <c r="E2387" s="384"/>
      <c r="F2387" s="389"/>
      <c r="G2387" s="389"/>
      <c r="T2387" s="384" t="str">
        <f>IFERROR(__xludf.DUMMYFUNCTION("""COMPUTED_VALUE"""),"Bublik")</f>
        <v>Bublik</v>
      </c>
      <c r="U2387" s="385"/>
      <c r="W2387" s="384" t="str">
        <f>IFERROR(__xludf.DUMMYFUNCTION("""COMPUTED_VALUE"""),"Астория")</f>
        <v>Астория</v>
      </c>
      <c r="X2387" s="385"/>
    </row>
    <row r="2388">
      <c r="A2388" s="384" t="s">
        <v>110</v>
      </c>
      <c r="B2388" s="384" t="s">
        <v>261</v>
      </c>
      <c r="C2388" s="389">
        <v>2.5</v>
      </c>
      <c r="D2388" s="389">
        <v>2.75</v>
      </c>
      <c r="E2388" s="384"/>
      <c r="F2388" s="389"/>
      <c r="G2388" s="389"/>
      <c r="T2388" s="384" t="str">
        <f>IFERROR(__xludf.DUMMYFUNCTION("""COMPUTED_VALUE"""),"BWDMoscow")</f>
        <v>BWDMoscow</v>
      </c>
      <c r="U2388" s="385"/>
      <c r="W2388" s="384" t="str">
        <f>IFERROR(__xludf.DUMMYFUNCTION("""COMPUTED_VALUE"""),"Бамблби")</f>
        <v>Бамблби</v>
      </c>
      <c r="X2388" s="385"/>
    </row>
    <row r="2389">
      <c r="A2389" s="384" t="s">
        <v>93</v>
      </c>
      <c r="B2389" s="384" t="s">
        <v>261</v>
      </c>
      <c r="C2389" s="389">
        <v>2.5</v>
      </c>
      <c r="D2389" s="389">
        <v>2.75</v>
      </c>
      <c r="E2389" s="384" t="s">
        <v>11</v>
      </c>
      <c r="F2389" s="389">
        <v>0.5</v>
      </c>
      <c r="G2389" s="389">
        <v>0.5</v>
      </c>
      <c r="T2389" s="384" t="str">
        <f>IFERROR(__xludf.DUMMYFUNCTION("""COMPUTED_VALUE"""),"Curly")</f>
        <v>Curly</v>
      </c>
      <c r="U2389" s="385"/>
      <c r="W2389" s="384" t="str">
        <f>IFERROR(__xludf.DUMMYFUNCTION("""COMPUTED_VALUE"""),"Волга")</f>
        <v>Волга</v>
      </c>
      <c r="X2389" s="385"/>
    </row>
    <row r="2390">
      <c r="A2390" s="384" t="s">
        <v>81</v>
      </c>
      <c r="B2390" s="384" t="s">
        <v>269</v>
      </c>
      <c r="C2390" s="389"/>
      <c r="D2390" s="389">
        <v>2.25</v>
      </c>
      <c r="E2390" s="384"/>
      <c r="F2390" s="389"/>
      <c r="G2390" s="389"/>
      <c r="T2390" s="384" t="str">
        <f>IFERROR(__xludf.DUMMYFUNCTION("""COMPUTED_VALUE"""),"GALAY")</f>
        <v>GALAY</v>
      </c>
      <c r="U2390" s="385"/>
      <c r="W2390" s="384" t="str">
        <f>IFERROR(__xludf.DUMMYFUNCTION("""COMPUTED_VALUE"""),"Градиент")</f>
        <v>Градиент</v>
      </c>
      <c r="X2390" s="385"/>
    </row>
    <row r="2391">
      <c r="A2391" s="384" t="s">
        <v>98</v>
      </c>
      <c r="B2391" s="384" t="s">
        <v>269</v>
      </c>
      <c r="C2391" s="389"/>
      <c r="D2391" s="389">
        <v>2.75</v>
      </c>
      <c r="E2391" s="384" t="s">
        <v>263</v>
      </c>
      <c r="F2391" s="389"/>
      <c r="G2391" s="389"/>
      <c r="T2391" s="384" t="str">
        <f>IFERROR(__xludf.DUMMYFUNCTION("""COMPUTED_VALUE"""),"Helga")</f>
        <v>Helga</v>
      </c>
      <c r="U2391" s="385"/>
      <c r="W2391" s="384" t="str">
        <f>IFERROR(__xludf.DUMMYFUNCTION("""COMPUTED_VALUE"""),"Дровосек")</f>
        <v>Дровосек</v>
      </c>
      <c r="X2391" s="385"/>
    </row>
    <row r="2392">
      <c r="A2392" s="384" t="s">
        <v>100</v>
      </c>
      <c r="B2392" s="384" t="s">
        <v>261</v>
      </c>
      <c r="C2392" s="389">
        <v>2.5</v>
      </c>
      <c r="D2392" s="389">
        <v>3.75</v>
      </c>
      <c r="E2392" s="384"/>
      <c r="F2392" s="389"/>
      <c r="G2392" s="389"/>
      <c r="T2392" s="384" t="str">
        <f>IFERROR(__xludf.DUMMYFUNCTION("""COMPUTED_VALUE"""),"Infinity ")</f>
        <v>Infinity </v>
      </c>
      <c r="U2392" s="385"/>
      <c r="W2392" s="384" t="str">
        <f>IFERROR(__xludf.DUMMYFUNCTION("""COMPUTED_VALUE"""),"Зверюга")</f>
        <v>Зверюга</v>
      </c>
      <c r="X2392" s="385"/>
    </row>
    <row r="2393">
      <c r="A2393" s="384" t="s">
        <v>97</v>
      </c>
      <c r="B2393" s="384" t="s">
        <v>261</v>
      </c>
      <c r="C2393" s="389">
        <v>2.5</v>
      </c>
      <c r="D2393" s="389">
        <v>1.75</v>
      </c>
      <c r="E2393" s="384"/>
      <c r="F2393" s="389"/>
      <c r="G2393" s="389"/>
      <c r="T2393" s="384" t="str">
        <f>IFERROR(__xludf.DUMMYFUNCTION("""COMPUTED_VALUE"""),"Ketamin")</f>
        <v>Ketamin</v>
      </c>
      <c r="U2393" s="385"/>
      <c r="W2393" s="384" t="str">
        <f>IFERROR(__xludf.DUMMYFUNCTION("""COMPUTED_VALUE"""),"Инсомнич")</f>
        <v>Инсомнич</v>
      </c>
      <c r="X2393" s="385"/>
    </row>
    <row r="2394">
      <c r="A2394" s="384" t="s">
        <v>135</v>
      </c>
      <c r="B2394" s="384" t="s">
        <v>269</v>
      </c>
      <c r="C2394" s="389"/>
      <c r="D2394" s="389">
        <v>2.5</v>
      </c>
      <c r="E2394" s="384"/>
      <c r="F2394" s="389"/>
      <c r="G2394" s="389"/>
      <c r="T2394" s="384" t="str">
        <f>IFERROR(__xludf.DUMMYFUNCTION("""COMPUTED_VALUE"""),"Light")</f>
        <v>Light</v>
      </c>
      <c r="U2394" s="385"/>
      <c r="W2394" s="384" t="str">
        <f>IFERROR(__xludf.DUMMYFUNCTION("""COMPUTED_VALUE"""),"Красавчик")</f>
        <v>Красавчик</v>
      </c>
      <c r="X2394" s="385"/>
    </row>
    <row r="2395">
      <c r="A2395" s="384" t="s">
        <v>86</v>
      </c>
      <c r="B2395" s="384" t="s">
        <v>269</v>
      </c>
      <c r="C2395" s="389"/>
      <c r="D2395" s="389">
        <v>2.5</v>
      </c>
      <c r="E2395" s="384"/>
      <c r="F2395" s="389"/>
      <c r="G2395" s="389"/>
      <c r="T2395" s="384" t="str">
        <f>IFERROR(__xludf.DUMMYFUNCTION("""COMPUTED_VALUE"""),"Morti")</f>
        <v>Morti</v>
      </c>
      <c r="U2395" s="385"/>
      <c r="W2395" s="384" t="str">
        <f>IFERROR(__xludf.DUMMYFUNCTION("""COMPUTED_VALUE"""),"Крёстный Отец (RU)")</f>
        <v>Крёстный Отец (RU)</v>
      </c>
      <c r="X2395" s="385"/>
    </row>
    <row r="2396">
      <c r="A2396" s="384" t="s">
        <v>107</v>
      </c>
      <c r="B2396" s="384" t="s">
        <v>261</v>
      </c>
      <c r="C2396" s="389">
        <v>2.5</v>
      </c>
      <c r="D2396" s="389">
        <v>2.75</v>
      </c>
      <c r="E2396" s="384" t="s">
        <v>11</v>
      </c>
      <c r="F2396" s="389"/>
      <c r="G2396" s="389">
        <v>1.0</v>
      </c>
      <c r="T2396" s="384" t="str">
        <f>IFERROR(__xludf.DUMMYFUNCTION("""COMPUTED_VALUE"""),"MSR")</f>
        <v>MSR</v>
      </c>
      <c r="U2396" s="385"/>
      <c r="W2396" s="384" t="str">
        <f>IFERROR(__xludf.DUMMYFUNCTION("""COMPUTED_VALUE"""),"Крот")</f>
        <v>Крот</v>
      </c>
      <c r="X2396" s="385"/>
    </row>
    <row r="2397">
      <c r="A2397" s="384" t="s">
        <v>94</v>
      </c>
      <c r="B2397" s="384" t="s">
        <v>261</v>
      </c>
      <c r="C2397" s="389">
        <v>2.5</v>
      </c>
      <c r="D2397" s="389">
        <v>2.5</v>
      </c>
      <c r="E2397" s="384"/>
      <c r="F2397" s="389"/>
      <c r="G2397" s="389"/>
      <c r="T2397" s="384" t="str">
        <f>IFERROR(__xludf.DUMMYFUNCTION("""COMPUTED_VALUE"""),"Rocket woman ")</f>
        <v>Rocket woman </v>
      </c>
      <c r="U2397" s="385"/>
      <c r="W2397" s="384" t="str">
        <f>IFERROR(__xludf.DUMMYFUNCTION("""COMPUTED_VALUE"""),"Левша")</f>
        <v>Левша</v>
      </c>
      <c r="X2397" s="385"/>
    </row>
    <row r="2398">
      <c r="A2398" s="384" t="s">
        <v>110</v>
      </c>
      <c r="B2398" s="384" t="s">
        <v>261</v>
      </c>
      <c r="C2398" s="389">
        <v>2.5</v>
      </c>
      <c r="D2398" s="389">
        <v>2.0</v>
      </c>
      <c r="E2398" s="384"/>
      <c r="F2398" s="389"/>
      <c r="G2398" s="389"/>
      <c r="T2398" s="384" t="str">
        <f>IFERROR(__xludf.DUMMYFUNCTION("""COMPUTED_VALUE"""),"SCHOKK ")</f>
        <v>SCHOKK </v>
      </c>
      <c r="U2398" s="385"/>
      <c r="W2398" s="384" t="str">
        <f>IFERROR(__xludf.DUMMYFUNCTION("""COMPUTED_VALUE"""),"Лисичка")</f>
        <v>Лисичка</v>
      </c>
      <c r="X2398" s="385"/>
    </row>
    <row r="2399">
      <c r="A2399" s="384" t="s">
        <v>93</v>
      </c>
      <c r="B2399" s="384" t="s">
        <v>261</v>
      </c>
      <c r="C2399" s="389">
        <v>2.5</v>
      </c>
      <c r="D2399" s="389">
        <v>4.25</v>
      </c>
      <c r="E2399" s="384"/>
      <c r="F2399" s="389"/>
      <c r="G2399" s="389"/>
      <c r="T2399" s="384" t="str">
        <f>IFERROR(__xludf.DUMMYFUNCTION("""COMPUTED_VALUE"""),"SOVEST")</f>
        <v>SOVEST</v>
      </c>
      <c r="U2399" s="385"/>
      <c r="W2399" s="384" t="str">
        <f>IFERROR(__xludf.DUMMYFUNCTION("""COMPUTED_VALUE"""),"Маваши")</f>
        <v>Маваши</v>
      </c>
      <c r="X2399" s="385"/>
    </row>
    <row r="2400">
      <c r="A2400" s="384" t="s">
        <v>81</v>
      </c>
      <c r="B2400" s="384" t="s">
        <v>265</v>
      </c>
      <c r="C2400" s="389"/>
      <c r="D2400" s="389">
        <v>2.0</v>
      </c>
      <c r="E2400" s="384"/>
      <c r="F2400" s="389"/>
      <c r="G2400" s="389"/>
      <c r="T2400" s="384" t="str">
        <f>IFERROR(__xludf.DUMMYFUNCTION("""COMPUTED_VALUE"""),"WhoIsWho")</f>
        <v>WhoIsWho</v>
      </c>
      <c r="U2400" s="385"/>
      <c r="W2400" s="384" t="str">
        <f>IFERROR(__xludf.DUMMYFUNCTION("""COMPUTED_VALUE"""),"Манекен")</f>
        <v>Манекен</v>
      </c>
      <c r="X2400" s="385"/>
    </row>
    <row r="2401">
      <c r="A2401" s="384" t="s">
        <v>98</v>
      </c>
      <c r="B2401" s="384" t="s">
        <v>271</v>
      </c>
      <c r="C2401" s="389">
        <v>2.5</v>
      </c>
      <c r="D2401" s="389">
        <v>2.5</v>
      </c>
      <c r="E2401" s="384"/>
      <c r="F2401" s="389"/>
      <c r="G2401" s="389"/>
      <c r="T2401" s="384" t="str">
        <f>IFERROR(__xludf.DUMMYFUNCTION("""COMPUTED_VALUE"""),"Young")</f>
        <v>Young</v>
      </c>
      <c r="U2401" s="385"/>
      <c r="W2401" s="384" t="str">
        <f>IFERROR(__xludf.DUMMYFUNCTION("""COMPUTED_VALUE"""),"Марго")</f>
        <v>Марго</v>
      </c>
      <c r="X2401" s="385"/>
    </row>
    <row r="2402">
      <c r="A2402" s="384" t="s">
        <v>100</v>
      </c>
      <c r="B2402" s="384" t="s">
        <v>261</v>
      </c>
      <c r="C2402" s="389">
        <v>2.5</v>
      </c>
      <c r="D2402" s="389">
        <v>4.0</v>
      </c>
      <c r="E2402" s="384"/>
      <c r="F2402" s="389"/>
      <c r="G2402" s="389"/>
      <c r="T2402" s="384" t="str">
        <f>IFERROR(__xludf.DUMMYFUNCTION("QUERY('Турнирная таблица по Алфавиту'!C7:BI66,""select C,BH order by BH desc"")"),"СЭНСЭЙ")</f>
        <v>СЭНСЭЙ</v>
      </c>
      <c r="U2402" s="385">
        <f>IFERROR(__xludf.DUMMYFUNCTION("""COMPUTED_VALUE"""),29.0)</f>
        <v>29</v>
      </c>
      <c r="W2402" s="384" t="str">
        <f>IFERROR(__xludf.DUMMYFUNCTION("""COMPUTED_VALUE"""),"Ментик")</f>
        <v>Ментик</v>
      </c>
      <c r="X2402" s="385"/>
    </row>
    <row r="2403">
      <c r="A2403" s="384" t="s">
        <v>100</v>
      </c>
      <c r="B2403" s="384" t="s">
        <v>261</v>
      </c>
      <c r="C2403" s="389">
        <v>2.5</v>
      </c>
      <c r="D2403" s="389">
        <v>4.25</v>
      </c>
      <c r="E2403" s="384"/>
      <c r="F2403" s="389"/>
      <c r="G2403" s="389"/>
      <c r="T2403" s="384" t="str">
        <f>IFERROR(__xludf.DUMMYFUNCTION("""COMPUTED_VALUE"""),"Левша")</f>
        <v>Левша</v>
      </c>
      <c r="U2403" s="385">
        <f>IFERROR(__xludf.DUMMYFUNCTION("""COMPUTED_VALUE"""),28.25)</f>
        <v>28.25</v>
      </c>
      <c r="W2403" s="384" t="str">
        <f>IFERROR(__xludf.DUMMYFUNCTION("""COMPUTED_VALUE"""),"Мишель ")</f>
        <v>Мишель </v>
      </c>
      <c r="X2403" s="385"/>
    </row>
    <row r="2404">
      <c r="A2404" s="384" t="s">
        <v>128</v>
      </c>
      <c r="B2404" s="384" t="s">
        <v>261</v>
      </c>
      <c r="C2404" s="389">
        <v>2.5</v>
      </c>
      <c r="D2404" s="389">
        <v>1.75</v>
      </c>
      <c r="E2404" s="384"/>
      <c r="F2404" s="389"/>
      <c r="G2404" s="389"/>
      <c r="T2404" s="384" t="str">
        <f>IFERROR(__xludf.DUMMYFUNCTION("""COMPUTED_VALUE"""),"Флэш")</f>
        <v>Флэш</v>
      </c>
      <c r="U2404" s="385">
        <f>IFERROR(__xludf.DUMMYFUNCTION("""COMPUTED_VALUE"""),24.25)</f>
        <v>24.25</v>
      </c>
      <c r="W2404" s="384" t="str">
        <f>IFERROR(__xludf.DUMMYFUNCTION("""COMPUTED_VALUE"""),"Наполеон")</f>
        <v>Наполеон</v>
      </c>
      <c r="X2404" s="385"/>
    </row>
    <row r="2405">
      <c r="A2405" s="384" t="s">
        <v>126</v>
      </c>
      <c r="B2405" s="384" t="s">
        <v>261</v>
      </c>
      <c r="C2405" s="389">
        <v>2.5</v>
      </c>
      <c r="D2405" s="389">
        <v>2.5</v>
      </c>
      <c r="E2405" s="384" t="s">
        <v>260</v>
      </c>
      <c r="F2405" s="389"/>
      <c r="G2405" s="389"/>
      <c r="T2405" s="384" t="str">
        <f>IFERROR(__xludf.DUMMYFUNCTION("""COMPUTED_VALUE"""),"Аш")</f>
        <v>Аш</v>
      </c>
      <c r="U2405" s="385">
        <f>IFERROR(__xludf.DUMMYFUNCTION("""COMPUTED_VALUE"""),21.75)</f>
        <v>21.75</v>
      </c>
      <c r="W2405" s="384" t="str">
        <f>IFERROR(__xludf.DUMMYFUNCTION("""COMPUTED_VALUE"""),"Продюсер")</f>
        <v>Продюсер</v>
      </c>
      <c r="X2405" s="385"/>
    </row>
    <row r="2406">
      <c r="A2406" s="384" t="s">
        <v>93</v>
      </c>
      <c r="B2406" s="384" t="s">
        <v>269</v>
      </c>
      <c r="C2406" s="389"/>
      <c r="D2406" s="389">
        <v>2.5</v>
      </c>
      <c r="E2406" s="384" t="s">
        <v>263</v>
      </c>
      <c r="F2406" s="389"/>
      <c r="G2406" s="389"/>
      <c r="T2406" s="384" t="str">
        <f>IFERROR(__xludf.DUMMYFUNCTION("""COMPUTED_VALUE"""),"Физик")</f>
        <v>Физик</v>
      </c>
      <c r="U2406" s="385">
        <f>IFERROR(__xludf.DUMMYFUNCTION("""COMPUTED_VALUE"""),21.5)</f>
        <v>21.5</v>
      </c>
      <c r="W2406" s="384" t="str">
        <f>IFERROR(__xludf.DUMMYFUNCTION("""COMPUTED_VALUE"""),"РФ")</f>
        <v>РФ</v>
      </c>
      <c r="X2406" s="385"/>
    </row>
    <row r="2407">
      <c r="A2407" s="384" t="s">
        <v>135</v>
      </c>
      <c r="B2407" s="384" t="s">
        <v>271</v>
      </c>
      <c r="C2407" s="389">
        <v>2.5</v>
      </c>
      <c r="D2407" s="389">
        <v>3.25</v>
      </c>
      <c r="E2407" s="384"/>
      <c r="F2407" s="389"/>
      <c r="G2407" s="389"/>
      <c r="T2407" s="384" t="str">
        <f>IFERROR(__xludf.DUMMYFUNCTION("""COMPUTED_VALUE"""),"Rocket woman ")</f>
        <v>Rocket woman </v>
      </c>
      <c r="U2407" s="385">
        <f>IFERROR(__xludf.DUMMYFUNCTION("""COMPUTED_VALUE"""),21.5)</f>
        <v>21.5</v>
      </c>
      <c r="W2407" s="384" t="str">
        <f>IFERROR(__xludf.DUMMYFUNCTION("""COMPUTED_VALUE"""),"Старый")</f>
        <v>Старый</v>
      </c>
      <c r="X2407" s="385"/>
    </row>
    <row r="2408">
      <c r="A2408" s="384" t="s">
        <v>99</v>
      </c>
      <c r="B2408" s="384" t="s">
        <v>261</v>
      </c>
      <c r="C2408" s="389">
        <v>2.5</v>
      </c>
      <c r="D2408" s="389">
        <v>4.0</v>
      </c>
      <c r="E2408" s="384" t="s">
        <v>260</v>
      </c>
      <c r="F2408" s="389"/>
      <c r="G2408" s="389"/>
      <c r="T2408" s="384" t="str">
        <f>IFERROR(__xludf.DUMMYFUNCTION("""COMPUTED_VALUE"""),"Bublik")</f>
        <v>Bublik</v>
      </c>
      <c r="U2408" s="385">
        <f>IFERROR(__xludf.DUMMYFUNCTION("""COMPUTED_VALUE"""),21.0)</f>
        <v>21</v>
      </c>
      <c r="W2408" s="384" t="str">
        <f>IFERROR(__xludf.DUMMYFUNCTION("""COMPUTED_VALUE"""),"Coach")</f>
        <v>Coach</v>
      </c>
      <c r="X2408" s="385"/>
    </row>
    <row r="2409">
      <c r="A2409" s="384" t="s">
        <v>91</v>
      </c>
      <c r="B2409" s="384" t="s">
        <v>261</v>
      </c>
      <c r="C2409" s="389">
        <v>2.5</v>
      </c>
      <c r="D2409" s="389">
        <v>2.75</v>
      </c>
      <c r="E2409" s="384"/>
      <c r="F2409" s="389"/>
      <c r="G2409" s="389"/>
      <c r="T2409" s="384" t="str">
        <f>IFERROR(__xludf.DUMMYFUNCTION("""COMPUTED_VALUE"""),"Alice ")</f>
        <v>Alice </v>
      </c>
      <c r="U2409" s="385">
        <f>IFERROR(__xludf.DUMMYFUNCTION("""COMPUTED_VALUE"""),19.75)</f>
        <v>19.75</v>
      </c>
      <c r="W2409" s="384" t="str">
        <f>IFERROR(__xludf.DUMMYFUNCTION("""COMPUTED_VALUE"""),"Тихий закат")</f>
        <v>Тихий закат</v>
      </c>
      <c r="X2409" s="385"/>
    </row>
    <row r="2410">
      <c r="A2410" s="384" t="s">
        <v>107</v>
      </c>
      <c r="B2410" s="384" t="s">
        <v>261</v>
      </c>
      <c r="C2410" s="389">
        <v>2.5</v>
      </c>
      <c r="D2410" s="389">
        <v>3.0</v>
      </c>
      <c r="E2410" s="384" t="s">
        <v>11</v>
      </c>
      <c r="F2410" s="389"/>
      <c r="G2410" s="389">
        <v>0.5</v>
      </c>
      <c r="T2410" s="384" t="str">
        <f>IFERROR(__xludf.DUMMYFUNCTION("""COMPUTED_VALUE"""),"SCHOKK ")</f>
        <v>SCHOKK </v>
      </c>
      <c r="U2410" s="385">
        <f>IFERROR(__xludf.DUMMYFUNCTION("""COMPUTED_VALUE"""),15.75)</f>
        <v>15.75</v>
      </c>
      <c r="W2410" s="384" t="str">
        <f>IFERROR(__xludf.DUMMYFUNCTION("""COMPUTED_VALUE"""),"Флэш")</f>
        <v>Флэш</v>
      </c>
      <c r="X2410" s="385"/>
    </row>
    <row r="2411">
      <c r="A2411" s="384" t="s">
        <v>129</v>
      </c>
      <c r="B2411" s="384" t="s">
        <v>269</v>
      </c>
      <c r="C2411" s="389"/>
      <c r="D2411" s="389">
        <v>2.0</v>
      </c>
      <c r="E2411" s="384"/>
      <c r="F2411" s="389"/>
      <c r="G2411" s="389"/>
      <c r="T2411" s="384" t="str">
        <f>IFERROR(__xludf.DUMMYFUNCTION("""COMPUTED_VALUE"""),"Helga")</f>
        <v>Helga</v>
      </c>
      <c r="U2411" s="385">
        <f>IFERROR(__xludf.DUMMYFUNCTION("""COMPUTED_VALUE"""),15.25)</f>
        <v>15.25</v>
      </c>
      <c r="W2411" s="384" t="str">
        <f>IFERROR(__xludf.DUMMYFUNCTION("""COMPUTED_VALUE"""),"Фокс")</f>
        <v>Фокс</v>
      </c>
      <c r="X2411" s="385"/>
    </row>
    <row r="2412">
      <c r="A2412" s="384" t="s">
        <v>82</v>
      </c>
      <c r="B2412" s="384" t="s">
        <v>265</v>
      </c>
      <c r="C2412" s="389"/>
      <c r="D2412" s="389">
        <v>3.0</v>
      </c>
      <c r="E2412" s="384"/>
      <c r="F2412" s="389"/>
      <c r="G2412" s="389"/>
      <c r="T2412" s="384" t="str">
        <f>IFERROR(__xludf.DUMMYFUNCTION("""COMPUTED_VALUE"""),"Авраам")</f>
        <v>Авраам</v>
      </c>
      <c r="U2412" s="385"/>
      <c r="W2412" s="384" t="str">
        <f>IFERROR(__xludf.DUMMYFUNCTION("""COMPUTED_VALUE"""),"Шоу Бой")</f>
        <v>Шоу Бой</v>
      </c>
      <c r="X2412" s="385"/>
    </row>
    <row r="2413">
      <c r="A2413" s="384" t="s">
        <v>100</v>
      </c>
      <c r="B2413" s="384" t="s">
        <v>261</v>
      </c>
      <c r="C2413" s="389"/>
      <c r="D2413" s="389">
        <v>2.0</v>
      </c>
      <c r="E2413" s="384"/>
      <c r="F2413" s="389"/>
      <c r="G2413" s="389"/>
      <c r="T2413" s="384" t="str">
        <f>IFERROR(__xludf.DUMMYFUNCTION("""COMPUTED_VALUE"""),"Админ")</f>
        <v>Админ</v>
      </c>
      <c r="U2413" s="385"/>
      <c r="W2413" s="384" t="str">
        <f>IFERROR(__xludf.DUMMYFUNCTION("""COMPUTED_VALUE"""),"Шпиц")</f>
        <v>Шпиц</v>
      </c>
      <c r="X2413" s="385"/>
    </row>
    <row r="2414">
      <c r="A2414" s="384" t="s">
        <v>128</v>
      </c>
      <c r="B2414" s="384" t="s">
        <v>265</v>
      </c>
      <c r="C2414" s="389">
        <v>2.5</v>
      </c>
      <c r="D2414" s="389">
        <v>2.75</v>
      </c>
      <c r="E2414" s="384"/>
      <c r="F2414" s="389"/>
      <c r="G2414" s="389"/>
      <c r="T2414" s="384" t="str">
        <f>IFERROR(__xludf.DUMMYFUNCTION("""COMPUTED_VALUE"""),"Андерсен")</f>
        <v>Андерсен</v>
      </c>
      <c r="U2414" s="385"/>
      <c r="W2414" s="384" t="str">
        <f>IFERROR(__xludf.DUMMYFUNCTION("""COMPUTED_VALUE"""),"A1 ")</f>
        <v>A1 </v>
      </c>
      <c r="X2414" s="385"/>
    </row>
    <row r="2415">
      <c r="A2415" s="384" t="s">
        <v>126</v>
      </c>
      <c r="B2415" s="384" t="s">
        <v>261</v>
      </c>
      <c r="C2415" s="389"/>
      <c r="D2415" s="389">
        <v>1.75</v>
      </c>
      <c r="E2415" s="384"/>
      <c r="F2415" s="389"/>
      <c r="G2415" s="389"/>
      <c r="T2415" s="384" t="str">
        <f>IFERROR(__xludf.DUMMYFUNCTION("""COMPUTED_VALUE"""),"Артик")</f>
        <v>Артик</v>
      </c>
      <c r="U2415" s="385"/>
      <c r="W2415" s="384" t="str">
        <f>IFERROR(__xludf.DUMMYFUNCTION("""COMPUTED_VALUE"""),"Alice ")</f>
        <v>Alice </v>
      </c>
      <c r="X2415" s="385"/>
    </row>
    <row r="2416">
      <c r="A2416" s="384" t="s">
        <v>93</v>
      </c>
      <c r="B2416" s="384" t="s">
        <v>261</v>
      </c>
      <c r="C2416" s="389"/>
      <c r="D2416" s="389">
        <v>2.0</v>
      </c>
      <c r="E2416" s="384"/>
      <c r="F2416" s="389"/>
      <c r="G2416" s="389"/>
      <c r="T2416" s="384" t="str">
        <f>IFERROR(__xludf.DUMMYFUNCTION("""COMPUTED_VALUE"""),"Астория")</f>
        <v>Астория</v>
      </c>
      <c r="U2416" s="385"/>
      <c r="W2416" s="384" t="str">
        <f>IFERROR(__xludf.DUMMYFUNCTION("""COMPUTED_VALUE"""),"Bublik")</f>
        <v>Bublik</v>
      </c>
      <c r="X2416" s="385"/>
    </row>
    <row r="2417">
      <c r="A2417" s="384" t="s">
        <v>135</v>
      </c>
      <c r="B2417" s="384" t="s">
        <v>271</v>
      </c>
      <c r="C2417" s="389"/>
      <c r="D2417" s="389">
        <v>2.25</v>
      </c>
      <c r="E2417" s="384"/>
      <c r="F2417" s="389"/>
      <c r="G2417" s="389"/>
      <c r="T2417" s="384" t="str">
        <f>IFERROR(__xludf.DUMMYFUNCTION("""COMPUTED_VALUE"""),"Бамблби")</f>
        <v>Бамблби</v>
      </c>
      <c r="U2417" s="385"/>
      <c r="W2417" s="384" t="str">
        <f>IFERROR(__xludf.DUMMYFUNCTION("""COMPUTED_VALUE"""),"BWDMoscow")</f>
        <v>BWDMoscow</v>
      </c>
      <c r="X2417" s="385"/>
    </row>
    <row r="2418">
      <c r="A2418" s="384" t="s">
        <v>99</v>
      </c>
      <c r="B2418" s="384" t="s">
        <v>261</v>
      </c>
      <c r="C2418" s="389"/>
      <c r="D2418" s="389">
        <v>2.5</v>
      </c>
      <c r="E2418" s="384"/>
      <c r="F2418" s="389"/>
      <c r="G2418" s="389"/>
      <c r="T2418" s="384" t="str">
        <f>IFERROR(__xludf.DUMMYFUNCTION("""COMPUTED_VALUE"""),"Волга")</f>
        <v>Волга</v>
      </c>
      <c r="U2418" s="385"/>
      <c r="W2418" s="384" t="str">
        <f>IFERROR(__xludf.DUMMYFUNCTION("""COMPUTED_VALUE"""),"Cristo")</f>
        <v>Cristo</v>
      </c>
      <c r="X2418" s="385"/>
    </row>
    <row r="2419">
      <c r="A2419" s="384" t="s">
        <v>91</v>
      </c>
      <c r="B2419" s="384" t="s">
        <v>269</v>
      </c>
      <c r="C2419" s="389">
        <v>2.5</v>
      </c>
      <c r="D2419" s="389">
        <v>3.5</v>
      </c>
      <c r="E2419" s="384"/>
      <c r="F2419" s="389"/>
      <c r="G2419" s="389"/>
      <c r="T2419" s="384" t="str">
        <f>IFERROR(__xludf.DUMMYFUNCTION("""COMPUTED_VALUE"""),"Градиент")</f>
        <v>Градиент</v>
      </c>
      <c r="U2419" s="385"/>
      <c r="W2419" s="384" t="str">
        <f>IFERROR(__xludf.DUMMYFUNCTION("""COMPUTED_VALUE"""),"Curly")</f>
        <v>Curly</v>
      </c>
      <c r="X2419" s="385"/>
    </row>
    <row r="2420">
      <c r="A2420" s="384" t="s">
        <v>107</v>
      </c>
      <c r="B2420" s="384" t="s">
        <v>269</v>
      </c>
      <c r="C2420" s="389">
        <v>2.5</v>
      </c>
      <c r="D2420" s="389">
        <v>4.0</v>
      </c>
      <c r="E2420" s="384"/>
      <c r="F2420" s="389"/>
      <c r="G2420" s="389"/>
      <c r="T2420" s="384" t="str">
        <f>IFERROR(__xludf.DUMMYFUNCTION("""COMPUTED_VALUE"""),"Дровосек")</f>
        <v>Дровосек</v>
      </c>
      <c r="U2420" s="385"/>
      <c r="W2420" s="384" t="str">
        <f>IFERROR(__xludf.DUMMYFUNCTION("""COMPUTED_VALUE"""),"GALAY")</f>
        <v>GALAY</v>
      </c>
      <c r="X2420" s="385"/>
    </row>
    <row r="2421">
      <c r="A2421" s="384" t="s">
        <v>129</v>
      </c>
      <c r="B2421" s="384" t="s">
        <v>261</v>
      </c>
      <c r="C2421" s="389"/>
      <c r="D2421" s="389">
        <v>1.25</v>
      </c>
      <c r="E2421" s="384"/>
      <c r="F2421" s="389"/>
      <c r="G2421" s="389"/>
      <c r="T2421" s="384" t="str">
        <f>IFERROR(__xludf.DUMMYFUNCTION("""COMPUTED_VALUE"""),"Зверюга")</f>
        <v>Зверюга</v>
      </c>
      <c r="U2421" s="385"/>
      <c r="W2421" s="384" t="str">
        <f>IFERROR(__xludf.DUMMYFUNCTION("""COMPUTED_VALUE"""),"Helga")</f>
        <v>Helga</v>
      </c>
      <c r="X2421" s="385"/>
    </row>
    <row r="2422">
      <c r="A2422" s="384" t="s">
        <v>82</v>
      </c>
      <c r="B2422" s="384" t="s">
        <v>261</v>
      </c>
      <c r="C2422" s="389"/>
      <c r="D2422" s="389">
        <v>2.25</v>
      </c>
      <c r="E2422" s="384" t="s">
        <v>11</v>
      </c>
      <c r="F2422" s="389"/>
      <c r="G2422" s="389">
        <v>0.5</v>
      </c>
      <c r="T2422" s="384" t="str">
        <f>IFERROR(__xludf.DUMMYFUNCTION("""COMPUTED_VALUE"""),"Инсомнич")</f>
        <v>Инсомнич</v>
      </c>
      <c r="U2422" s="385"/>
      <c r="W2422" s="384" t="str">
        <f>IFERROR(__xludf.DUMMYFUNCTION("""COMPUTED_VALUE"""),"Infinity ")</f>
        <v>Infinity </v>
      </c>
      <c r="X2422" s="385"/>
    </row>
    <row r="2423">
      <c r="A2423" s="384" t="s">
        <v>100</v>
      </c>
      <c r="B2423" s="384" t="s">
        <v>261</v>
      </c>
      <c r="C2423" s="389"/>
      <c r="D2423" s="389">
        <v>1.5</v>
      </c>
      <c r="E2423" s="384"/>
      <c r="F2423" s="389"/>
      <c r="G2423" s="389"/>
      <c r="T2423" s="384" t="str">
        <f>IFERROR(__xludf.DUMMYFUNCTION("""COMPUTED_VALUE"""),"Красавчик")</f>
        <v>Красавчик</v>
      </c>
      <c r="U2423" s="385"/>
      <c r="W2423" s="384" t="str">
        <f>IFERROR(__xludf.DUMMYFUNCTION("""COMPUTED_VALUE"""),"Ketamin")</f>
        <v>Ketamin</v>
      </c>
      <c r="X2423" s="385"/>
    </row>
    <row r="2424">
      <c r="A2424" s="384" t="s">
        <v>128</v>
      </c>
      <c r="B2424" s="384" t="s">
        <v>261</v>
      </c>
      <c r="C2424" s="389"/>
      <c r="D2424" s="389">
        <v>3.0</v>
      </c>
      <c r="E2424" s="384"/>
      <c r="F2424" s="389"/>
      <c r="G2424" s="389"/>
      <c r="T2424" s="384" t="str">
        <f>IFERROR(__xludf.DUMMYFUNCTION("""COMPUTED_VALUE"""),"Крестный отец (BLR)")</f>
        <v>Крестный отец (BLR)</v>
      </c>
      <c r="U2424" s="385"/>
      <c r="W2424" s="384" t="str">
        <f>IFERROR(__xludf.DUMMYFUNCTION("""COMPUTED_VALUE"""),"Light")</f>
        <v>Light</v>
      </c>
      <c r="X2424" s="385"/>
    </row>
    <row r="2425">
      <c r="A2425" s="384" t="s">
        <v>126</v>
      </c>
      <c r="B2425" s="384" t="s">
        <v>269</v>
      </c>
      <c r="C2425" s="389">
        <v>2.5</v>
      </c>
      <c r="D2425" s="389">
        <v>3.0</v>
      </c>
      <c r="E2425" s="384"/>
      <c r="F2425" s="389"/>
      <c r="G2425" s="389"/>
      <c r="T2425" s="384" t="str">
        <f>IFERROR(__xludf.DUMMYFUNCTION("""COMPUTED_VALUE"""),"Крёстный Отец (RU)")</f>
        <v>Крёстный Отец (RU)</v>
      </c>
      <c r="U2425" s="385"/>
      <c r="W2425" s="384" t="str">
        <f>IFERROR(__xludf.DUMMYFUNCTION("""COMPUTED_VALUE"""),"Morti")</f>
        <v>Morti</v>
      </c>
      <c r="X2425" s="385"/>
    </row>
    <row r="2426">
      <c r="A2426" s="384" t="s">
        <v>93</v>
      </c>
      <c r="B2426" s="384" t="s">
        <v>265</v>
      </c>
      <c r="C2426" s="389">
        <v>2.5</v>
      </c>
      <c r="D2426" s="389">
        <v>4.25</v>
      </c>
      <c r="E2426" s="384"/>
      <c r="F2426" s="389"/>
      <c r="G2426" s="389"/>
      <c r="T2426" s="384" t="str">
        <f>IFERROR(__xludf.DUMMYFUNCTION("""COMPUTED_VALUE"""),"Крот")</f>
        <v>Крот</v>
      </c>
      <c r="U2426" s="385"/>
      <c r="W2426" s="384" t="str">
        <f>IFERROR(__xludf.DUMMYFUNCTION("""COMPUTED_VALUE"""),"MSR")</f>
        <v>MSR</v>
      </c>
      <c r="X2426" s="385"/>
    </row>
    <row r="2427">
      <c r="A2427" s="384" t="s">
        <v>135</v>
      </c>
      <c r="B2427" s="384" t="s">
        <v>271</v>
      </c>
      <c r="C2427" s="389"/>
      <c r="D2427" s="389">
        <v>2.0</v>
      </c>
      <c r="E2427" s="384"/>
      <c r="F2427" s="389"/>
      <c r="G2427" s="389"/>
      <c r="T2427" s="384" t="str">
        <f>IFERROR(__xludf.DUMMYFUNCTION("""COMPUTED_VALUE"""),"Лисичка")</f>
        <v>Лисичка</v>
      </c>
      <c r="U2427" s="385"/>
      <c r="W2427" s="384" t="str">
        <f>IFERROR(__xludf.DUMMYFUNCTION("""COMPUTED_VALUE"""),"NLIP")</f>
        <v>NLIP</v>
      </c>
      <c r="X2427" s="385"/>
    </row>
    <row r="2428">
      <c r="A2428" s="384" t="s">
        <v>99</v>
      </c>
      <c r="B2428" s="384" t="s">
        <v>261</v>
      </c>
      <c r="C2428" s="389"/>
      <c r="D2428" s="389">
        <v>2.0</v>
      </c>
      <c r="E2428" s="384"/>
      <c r="F2428" s="389"/>
      <c r="G2428" s="389"/>
      <c r="T2428" s="384" t="str">
        <f>IFERROR(__xludf.DUMMYFUNCTION("""COMPUTED_VALUE"""),"Маваши")</f>
        <v>Маваши</v>
      </c>
      <c r="U2428" s="385"/>
      <c r="W2428" s="384" t="str">
        <f>IFERROR(__xludf.DUMMYFUNCTION("""COMPUTED_VALUE"""),"Rocket woman ")</f>
        <v>Rocket woman </v>
      </c>
      <c r="X2428" s="385"/>
    </row>
    <row r="2429">
      <c r="A2429" s="384" t="s">
        <v>91</v>
      </c>
      <c r="B2429" s="384" t="s">
        <v>261</v>
      </c>
      <c r="C2429" s="389"/>
      <c r="D2429" s="389">
        <v>2.25</v>
      </c>
      <c r="E2429" s="384"/>
      <c r="F2429" s="389"/>
      <c r="G2429" s="389"/>
      <c r="T2429" s="384" t="str">
        <f>IFERROR(__xludf.DUMMYFUNCTION("""COMPUTED_VALUE"""),"Манекен")</f>
        <v>Манекен</v>
      </c>
      <c r="U2429" s="385"/>
      <c r="W2429" s="384" t="str">
        <f>IFERROR(__xludf.DUMMYFUNCTION("""COMPUTED_VALUE"""),"SCHOKK ")</f>
        <v>SCHOKK </v>
      </c>
      <c r="X2429" s="385"/>
    </row>
    <row r="2430">
      <c r="A2430" s="384" t="s">
        <v>107</v>
      </c>
      <c r="B2430" s="384" t="s">
        <v>269</v>
      </c>
      <c r="C2430" s="389">
        <v>2.5</v>
      </c>
      <c r="D2430" s="389">
        <v>4.5</v>
      </c>
      <c r="E2430" s="384" t="s">
        <v>11</v>
      </c>
      <c r="F2430" s="389"/>
      <c r="G2430" s="389"/>
      <c r="T2430" s="384" t="str">
        <f>IFERROR(__xludf.DUMMYFUNCTION("""COMPUTED_VALUE"""),"Марго")</f>
        <v>Марго</v>
      </c>
      <c r="U2430" s="385"/>
      <c r="W2430" s="384" t="str">
        <f>IFERROR(__xludf.DUMMYFUNCTION("""COMPUTED_VALUE"""),"SOVEST")</f>
        <v>SOVEST</v>
      </c>
      <c r="X2430" s="385"/>
    </row>
    <row r="2431">
      <c r="A2431" s="384" t="s">
        <v>129</v>
      </c>
      <c r="B2431" s="384" t="s">
        <v>261</v>
      </c>
      <c r="C2431" s="389"/>
      <c r="D2431" s="389">
        <v>1.25</v>
      </c>
      <c r="E2431" s="384"/>
      <c r="F2431" s="389"/>
      <c r="G2431" s="389"/>
      <c r="T2431" s="384" t="str">
        <f>IFERROR(__xludf.DUMMYFUNCTION("""COMPUTED_VALUE"""),"Ментик")</f>
        <v>Ментик</v>
      </c>
      <c r="U2431" s="385"/>
      <c r="W2431" s="384" t="str">
        <f>IFERROR(__xludf.DUMMYFUNCTION("""COMPUTED_VALUE"""),"Stacy")</f>
        <v>Stacy</v>
      </c>
      <c r="X2431" s="385"/>
    </row>
    <row r="2432">
      <c r="A2432" s="384" t="s">
        <v>82</v>
      </c>
      <c r="B2432" s="384" t="s">
        <v>261</v>
      </c>
      <c r="C2432" s="389"/>
      <c r="D2432" s="389">
        <v>1.5</v>
      </c>
      <c r="E2432" s="384"/>
      <c r="F2432" s="389"/>
      <c r="G2432" s="389"/>
      <c r="T2432" s="384" t="str">
        <f>IFERROR(__xludf.DUMMYFUNCTION("""COMPUTED_VALUE"""),"Мишель ")</f>
        <v>Мишель </v>
      </c>
      <c r="U2432" s="385"/>
      <c r="W2432" s="384" t="str">
        <f>IFERROR(__xludf.DUMMYFUNCTION("""COMPUTED_VALUE"""),"Young")</f>
        <v>Young</v>
      </c>
      <c r="X2432" s="385"/>
    </row>
    <row r="2433">
      <c r="A2433" s="384" t="s">
        <v>100</v>
      </c>
      <c r="B2433" s="384" t="s">
        <v>269</v>
      </c>
      <c r="C2433" s="389">
        <v>2.5</v>
      </c>
      <c r="D2433" s="389">
        <v>3.0</v>
      </c>
      <c r="E2433" s="384"/>
      <c r="F2433" s="389"/>
      <c r="G2433" s="389"/>
      <c r="T2433" s="384" t="str">
        <f>IFERROR(__xludf.DUMMYFUNCTION("""COMPUTED_VALUE"""),"Наполеон")</f>
        <v>Наполеон</v>
      </c>
      <c r="U2433" s="385"/>
      <c r="W2433" s="384" t="str">
        <f>IFERROR(__xludf.DUMMYFUNCTION("""COMPUTED_VALUE"""),"Админ")</f>
        <v>Админ</v>
      </c>
      <c r="X2433" s="385"/>
    </row>
    <row r="2434">
      <c r="A2434" s="384" t="s">
        <v>128</v>
      </c>
      <c r="B2434" s="384" t="s">
        <v>261</v>
      </c>
      <c r="C2434" s="389"/>
      <c r="D2434" s="389">
        <v>1.75</v>
      </c>
      <c r="E2434" s="384"/>
      <c r="F2434" s="389"/>
      <c r="G2434" s="389"/>
      <c r="T2434" s="384" t="str">
        <f>IFERROR(__xludf.DUMMYFUNCTION("""COMPUTED_VALUE"""),"Панда из Руанды")</f>
        <v>Панда из Руанды</v>
      </c>
      <c r="U2434" s="385"/>
      <c r="W2434" s="384" t="str">
        <f>IFERROR(__xludf.DUMMYFUNCTION("""COMPUTED_VALUE"""),"Андерсен")</f>
        <v>Андерсен</v>
      </c>
      <c r="X2434" s="385"/>
    </row>
    <row r="2435">
      <c r="A2435" s="384" t="s">
        <v>126</v>
      </c>
      <c r="B2435" s="384" t="s">
        <v>261</v>
      </c>
      <c r="C2435" s="389"/>
      <c r="D2435" s="389">
        <v>1.75</v>
      </c>
      <c r="E2435" s="384"/>
      <c r="F2435" s="389"/>
      <c r="G2435" s="389"/>
      <c r="T2435" s="384" t="str">
        <f>IFERROR(__xludf.DUMMYFUNCTION("""COMPUTED_VALUE"""),"Писатель ")</f>
        <v>Писатель </v>
      </c>
      <c r="U2435" s="385"/>
      <c r="W2435" s="384" t="str">
        <f>IFERROR(__xludf.DUMMYFUNCTION("""COMPUTED_VALUE"""),"Астория")</f>
        <v>Астория</v>
      </c>
      <c r="X2435" s="385"/>
    </row>
    <row r="2436">
      <c r="A2436" s="384" t="s">
        <v>93</v>
      </c>
      <c r="B2436" s="384" t="s">
        <v>269</v>
      </c>
      <c r="C2436" s="389">
        <v>2.5</v>
      </c>
      <c r="D2436" s="389">
        <v>3.5</v>
      </c>
      <c r="E2436" s="384"/>
      <c r="F2436" s="389"/>
      <c r="G2436" s="389"/>
      <c r="T2436" s="384" t="str">
        <f>IFERROR(__xludf.DUMMYFUNCTION("""COMPUTED_VALUE"""),"Правда ")</f>
        <v>Правда </v>
      </c>
      <c r="U2436" s="385"/>
      <c r="W2436" s="384" t="str">
        <f>IFERROR(__xludf.DUMMYFUNCTION("""COMPUTED_VALUE"""),"Волга")</f>
        <v>Волга</v>
      </c>
      <c r="X2436" s="385"/>
    </row>
    <row r="2437">
      <c r="A2437" s="384" t="s">
        <v>135</v>
      </c>
      <c r="B2437" s="384" t="s">
        <v>265</v>
      </c>
      <c r="C2437" s="389">
        <v>2.5</v>
      </c>
      <c r="D2437" s="389">
        <v>4.0</v>
      </c>
      <c r="E2437" s="384"/>
      <c r="F2437" s="389"/>
      <c r="G2437" s="389"/>
      <c r="T2437" s="384" t="str">
        <f>IFERROR(__xludf.DUMMYFUNCTION("""COMPUTED_VALUE"""),"Продюсер")</f>
        <v>Продюсер</v>
      </c>
      <c r="U2437" s="385"/>
      <c r="W2437" s="384" t="str">
        <f>IFERROR(__xludf.DUMMYFUNCTION("""COMPUTED_VALUE"""),"Градиент")</f>
        <v>Градиент</v>
      </c>
      <c r="X2437" s="385"/>
    </row>
    <row r="2438">
      <c r="A2438" s="384" t="s">
        <v>99</v>
      </c>
      <c r="B2438" s="384" t="s">
        <v>261</v>
      </c>
      <c r="C2438" s="389"/>
      <c r="D2438" s="389">
        <v>1.25</v>
      </c>
      <c r="E2438" s="384"/>
      <c r="F2438" s="389"/>
      <c r="G2438" s="389"/>
      <c r="T2438" s="384" t="str">
        <f>IFERROR(__xludf.DUMMYFUNCTION("""COMPUTED_VALUE"""),"РФ")</f>
        <v>РФ</v>
      </c>
      <c r="U2438" s="385"/>
      <c r="W2438" s="384" t="str">
        <f>IFERROR(__xludf.DUMMYFUNCTION("""COMPUTED_VALUE"""),"Дровосек")</f>
        <v>Дровосек</v>
      </c>
      <c r="X2438" s="385"/>
    </row>
    <row r="2439">
      <c r="A2439" s="384" t="s">
        <v>91</v>
      </c>
      <c r="B2439" s="384" t="s">
        <v>261</v>
      </c>
      <c r="C2439" s="389"/>
      <c r="D2439" s="389">
        <v>3.0</v>
      </c>
      <c r="E2439" s="384"/>
      <c r="F2439" s="389"/>
      <c r="G2439" s="389"/>
      <c r="T2439" s="384" t="str">
        <f>IFERROR(__xludf.DUMMYFUNCTION("""COMPUTED_VALUE"""),"Старый")</f>
        <v>Старый</v>
      </c>
      <c r="U2439" s="385"/>
      <c r="W2439" s="384" t="str">
        <f>IFERROR(__xludf.DUMMYFUNCTION("""COMPUTED_VALUE"""),"Зверюга")</f>
        <v>Зверюга</v>
      </c>
      <c r="X2439" s="385"/>
    </row>
    <row r="2440">
      <c r="A2440" s="384" t="s">
        <v>107</v>
      </c>
      <c r="B2440" s="384" t="s">
        <v>261</v>
      </c>
      <c r="C2440" s="389"/>
      <c r="D2440" s="389">
        <v>2.0</v>
      </c>
      <c r="E2440" s="384"/>
      <c r="F2440" s="389"/>
      <c r="G2440" s="389"/>
      <c r="T2440" s="384" t="str">
        <f>IFERROR(__xludf.DUMMYFUNCTION("""COMPUTED_VALUE"""),"Coach")</f>
        <v>Coach</v>
      </c>
      <c r="U2440" s="385"/>
      <c r="W2440" s="384" t="str">
        <f>IFERROR(__xludf.DUMMYFUNCTION("""COMPUTED_VALUE"""),"Инсомнич")</f>
        <v>Инсомнич</v>
      </c>
      <c r="X2440" s="385"/>
    </row>
    <row r="2441">
      <c r="A2441" s="384" t="s">
        <v>129</v>
      </c>
      <c r="B2441" s="384" t="s">
        <v>271</v>
      </c>
      <c r="C2441" s="389"/>
      <c r="D2441" s="389">
        <v>2.25</v>
      </c>
      <c r="E2441" s="384" t="s">
        <v>11</v>
      </c>
      <c r="F2441" s="389"/>
      <c r="G2441" s="389">
        <v>0.5</v>
      </c>
      <c r="T2441" s="384" t="str">
        <f>IFERROR(__xludf.DUMMYFUNCTION("""COMPUTED_VALUE"""),"Тихий закат")</f>
        <v>Тихий закат</v>
      </c>
      <c r="U2441" s="385"/>
      <c r="W2441" s="384" t="str">
        <f>IFERROR(__xludf.DUMMYFUNCTION("""COMPUTED_VALUE"""),"Красавчик")</f>
        <v>Красавчик</v>
      </c>
      <c r="X2441" s="385"/>
    </row>
    <row r="2442">
      <c r="A2442" s="384" t="s">
        <v>82</v>
      </c>
      <c r="B2442" s="384" t="s">
        <v>261</v>
      </c>
      <c r="C2442" s="389"/>
      <c r="D2442" s="389">
        <v>2.25</v>
      </c>
      <c r="E2442" s="384"/>
      <c r="F2442" s="389"/>
      <c r="G2442" s="389"/>
      <c r="T2442" s="384" t="str">
        <f>IFERROR(__xludf.DUMMYFUNCTION("""COMPUTED_VALUE"""),"Фокс")</f>
        <v>Фокс</v>
      </c>
      <c r="U2442" s="385"/>
      <c r="W2442" s="384" t="str">
        <f>IFERROR(__xludf.DUMMYFUNCTION("""COMPUTED_VALUE"""),"Крестный отец (BLR)")</f>
        <v>Крестный отец (BLR)</v>
      </c>
      <c r="X2442" s="385"/>
    </row>
    <row r="2443">
      <c r="A2443" s="384" t="s">
        <v>100</v>
      </c>
      <c r="B2443" s="384" t="s">
        <v>265</v>
      </c>
      <c r="C2443" s="389">
        <v>2.5</v>
      </c>
      <c r="D2443" s="389">
        <v>2.5</v>
      </c>
      <c r="E2443" s="384"/>
      <c r="F2443" s="389"/>
      <c r="G2443" s="389"/>
      <c r="T2443" s="384" t="str">
        <f>IFERROR(__xludf.DUMMYFUNCTION("""COMPUTED_VALUE"""),"Шоу Бой")</f>
        <v>Шоу Бой</v>
      </c>
      <c r="U2443" s="385"/>
      <c r="W2443" s="384" t="str">
        <f>IFERROR(__xludf.DUMMYFUNCTION("""COMPUTED_VALUE"""),"Крёстный Отец (RU)")</f>
        <v>Крёстный Отец (RU)</v>
      </c>
      <c r="X2443" s="385"/>
    </row>
    <row r="2444">
      <c r="A2444" s="384" t="s">
        <v>128</v>
      </c>
      <c r="B2444" s="384" t="s">
        <v>261</v>
      </c>
      <c r="C2444" s="389"/>
      <c r="D2444" s="389">
        <v>1.75</v>
      </c>
      <c r="E2444" s="384" t="s">
        <v>263</v>
      </c>
      <c r="F2444" s="389"/>
      <c r="G2444" s="389"/>
      <c r="T2444" s="384" t="str">
        <f>IFERROR(__xludf.DUMMYFUNCTION("""COMPUTED_VALUE"""),"Шпиц")</f>
        <v>Шпиц</v>
      </c>
      <c r="U2444" s="385"/>
      <c r="W2444" s="384" t="str">
        <f>IFERROR(__xludf.DUMMYFUNCTION("""COMPUTED_VALUE"""),"Крот")</f>
        <v>Крот</v>
      </c>
      <c r="X2444" s="385"/>
    </row>
    <row r="2445">
      <c r="A2445" s="384" t="s">
        <v>126</v>
      </c>
      <c r="B2445" s="384" t="s">
        <v>261</v>
      </c>
      <c r="C2445" s="389"/>
      <c r="D2445" s="389">
        <v>2.5</v>
      </c>
      <c r="E2445" s="384" t="s">
        <v>263</v>
      </c>
      <c r="F2445" s="389"/>
      <c r="G2445" s="389"/>
      <c r="T2445" s="384" t="str">
        <f>IFERROR(__xludf.DUMMYFUNCTION("""COMPUTED_VALUE"""),"Юрия")</f>
        <v>Юрия</v>
      </c>
      <c r="U2445" s="385"/>
      <c r="W2445" s="384" t="str">
        <f>IFERROR(__xludf.DUMMYFUNCTION("""COMPUTED_VALUE"""),"Левша")</f>
        <v>Левша</v>
      </c>
      <c r="X2445" s="385"/>
    </row>
    <row r="2446">
      <c r="A2446" s="384" t="s">
        <v>93</v>
      </c>
      <c r="B2446" s="384" t="s">
        <v>261</v>
      </c>
      <c r="C2446" s="389"/>
      <c r="D2446" s="389">
        <v>3.5</v>
      </c>
      <c r="E2446" s="384" t="s">
        <v>11</v>
      </c>
      <c r="F2446" s="389">
        <v>0.5</v>
      </c>
      <c r="G2446" s="389">
        <v>0.5</v>
      </c>
      <c r="T2446" s="384" t="str">
        <f>IFERROR(__xludf.DUMMYFUNCTION("""COMPUTED_VALUE"""),"A1 ")</f>
        <v>A1 </v>
      </c>
      <c r="U2446" s="385"/>
      <c r="W2446" s="384" t="str">
        <f>IFERROR(__xludf.DUMMYFUNCTION("""COMPUTED_VALUE"""),"Лисичка")</f>
        <v>Лисичка</v>
      </c>
      <c r="X2446" s="385"/>
    </row>
    <row r="2447">
      <c r="A2447" s="384" t="s">
        <v>135</v>
      </c>
      <c r="B2447" s="384" t="s">
        <v>269</v>
      </c>
      <c r="C2447" s="389">
        <v>2.5</v>
      </c>
      <c r="D2447" s="389">
        <v>2.5</v>
      </c>
      <c r="E2447" s="384"/>
      <c r="F2447" s="389"/>
      <c r="G2447" s="389"/>
      <c r="T2447" s="384" t="str">
        <f>IFERROR(__xludf.DUMMYFUNCTION("""COMPUTED_VALUE"""),"BWDMoscow")</f>
        <v>BWDMoscow</v>
      </c>
      <c r="U2447" s="385"/>
      <c r="W2447" s="384" t="str">
        <f>IFERROR(__xludf.DUMMYFUNCTION("""COMPUTED_VALUE"""),"Маваши")</f>
        <v>Маваши</v>
      </c>
      <c r="X2447" s="385"/>
    </row>
    <row r="2448">
      <c r="A2448" s="384" t="s">
        <v>99</v>
      </c>
      <c r="B2448" s="384" t="s">
        <v>261</v>
      </c>
      <c r="C2448" s="389"/>
      <c r="D2448" s="389">
        <v>4.0</v>
      </c>
      <c r="E2448" s="384"/>
      <c r="F2448" s="389"/>
      <c r="G2448" s="389"/>
      <c r="T2448" s="384" t="str">
        <f>IFERROR(__xludf.DUMMYFUNCTION("""COMPUTED_VALUE"""),"Castor Troy ")</f>
        <v>Castor Troy </v>
      </c>
      <c r="U2448" s="385"/>
      <c r="W2448" s="384" t="str">
        <f>IFERROR(__xludf.DUMMYFUNCTION("""COMPUTED_VALUE"""),"Манекен")</f>
        <v>Манекен</v>
      </c>
      <c r="X2448" s="385"/>
    </row>
    <row r="2449">
      <c r="A2449" s="384" t="s">
        <v>91</v>
      </c>
      <c r="B2449" s="384" t="s">
        <v>261</v>
      </c>
      <c r="C2449" s="389"/>
      <c r="D2449" s="389">
        <v>1.5</v>
      </c>
      <c r="E2449" s="384" t="s">
        <v>263</v>
      </c>
      <c r="F2449" s="389"/>
      <c r="G2449" s="389"/>
      <c r="T2449" s="384" t="str">
        <f>IFERROR(__xludf.DUMMYFUNCTION("""COMPUTED_VALUE"""),"Cristo")</f>
        <v>Cristo</v>
      </c>
      <c r="U2449" s="385"/>
      <c r="W2449" s="384" t="str">
        <f>IFERROR(__xludf.DUMMYFUNCTION("""COMPUTED_VALUE"""),"Марго")</f>
        <v>Марго</v>
      </c>
      <c r="X2449" s="385"/>
    </row>
    <row r="2450">
      <c r="A2450" s="384" t="s">
        <v>107</v>
      </c>
      <c r="B2450" s="384" t="s">
        <v>271</v>
      </c>
      <c r="C2450" s="389"/>
      <c r="D2450" s="389">
        <v>2.25</v>
      </c>
      <c r="E2450" s="384"/>
      <c r="F2450" s="389"/>
      <c r="G2450" s="389"/>
      <c r="T2450" s="384" t="str">
        <f>IFERROR(__xludf.DUMMYFUNCTION("""COMPUTED_VALUE"""),"Curly")</f>
        <v>Curly</v>
      </c>
      <c r="U2450" s="385"/>
      <c r="W2450" s="384" t="str">
        <f>IFERROR(__xludf.DUMMYFUNCTION("""COMPUTED_VALUE"""),"Ментик")</f>
        <v>Ментик</v>
      </c>
      <c r="X2450" s="385"/>
    </row>
    <row r="2451">
      <c r="A2451" s="384" t="s">
        <v>129</v>
      </c>
      <c r="B2451" s="384" t="s">
        <v>261</v>
      </c>
      <c r="C2451" s="389"/>
      <c r="D2451" s="389">
        <v>2.75</v>
      </c>
      <c r="E2451" s="384"/>
      <c r="F2451" s="389"/>
      <c r="G2451" s="389"/>
      <c r="T2451" s="384" t="str">
        <f>IFERROR(__xludf.DUMMYFUNCTION("""COMPUTED_VALUE"""),"GALAY")</f>
        <v>GALAY</v>
      </c>
      <c r="U2451" s="385"/>
      <c r="W2451" s="384" t="str">
        <f>IFERROR(__xludf.DUMMYFUNCTION("""COMPUTED_VALUE"""),"Мишель ")</f>
        <v>Мишель </v>
      </c>
      <c r="X2451" s="385"/>
    </row>
    <row r="2452">
      <c r="A2452" s="384" t="s">
        <v>82</v>
      </c>
      <c r="B2452" s="384" t="s">
        <v>269</v>
      </c>
      <c r="C2452" s="389">
        <v>2.5</v>
      </c>
      <c r="D2452" s="389">
        <v>4.0</v>
      </c>
      <c r="E2452" s="384" t="s">
        <v>260</v>
      </c>
      <c r="F2452" s="389"/>
      <c r="G2452" s="389"/>
      <c r="T2452" s="384" t="str">
        <f>IFERROR(__xludf.DUMMYFUNCTION("""COMPUTED_VALUE"""),"Infinity ")</f>
        <v>Infinity </v>
      </c>
      <c r="U2452" s="385"/>
      <c r="W2452" s="384" t="str">
        <f>IFERROR(__xludf.DUMMYFUNCTION("""COMPUTED_VALUE"""),"Панда из Руанды")</f>
        <v>Панда из Руанды</v>
      </c>
      <c r="X2452" s="385"/>
    </row>
    <row r="2453">
      <c r="A2453" s="384" t="s">
        <v>107</v>
      </c>
      <c r="B2453" s="384" t="s">
        <v>261</v>
      </c>
      <c r="C2453" s="389"/>
      <c r="D2453" s="389">
        <v>1.75</v>
      </c>
      <c r="E2453" s="384"/>
      <c r="F2453" s="389"/>
      <c r="G2453" s="389"/>
      <c r="T2453" s="384" t="str">
        <f>IFERROR(__xludf.DUMMYFUNCTION("""COMPUTED_VALUE"""),"Ketamin")</f>
        <v>Ketamin</v>
      </c>
      <c r="U2453" s="385"/>
      <c r="W2453" s="384" t="str">
        <f>IFERROR(__xludf.DUMMYFUNCTION("""COMPUTED_VALUE"""),"Писатель ")</f>
        <v>Писатель </v>
      </c>
      <c r="X2453" s="385"/>
    </row>
    <row r="2454">
      <c r="A2454" s="384" t="s">
        <v>105</v>
      </c>
      <c r="B2454" s="384" t="s">
        <v>269</v>
      </c>
      <c r="C2454" s="389">
        <v>2.5</v>
      </c>
      <c r="D2454" s="389">
        <v>3.5</v>
      </c>
      <c r="E2454" s="384"/>
      <c r="F2454" s="389"/>
      <c r="G2454" s="389"/>
      <c r="T2454" s="384" t="str">
        <f>IFERROR(__xludf.DUMMYFUNCTION("""COMPUTED_VALUE"""),"Light")</f>
        <v>Light</v>
      </c>
      <c r="U2454" s="385"/>
      <c r="W2454" s="384" t="str">
        <f>IFERROR(__xludf.DUMMYFUNCTION("""COMPUTED_VALUE"""),"Правда ")</f>
        <v>Правда </v>
      </c>
      <c r="X2454" s="385"/>
    </row>
    <row r="2455">
      <c r="A2455" s="384" t="s">
        <v>120</v>
      </c>
      <c r="B2455" s="384" t="s">
        <v>261</v>
      </c>
      <c r="C2455" s="389"/>
      <c r="D2455" s="389">
        <v>1.5</v>
      </c>
      <c r="E2455" s="384"/>
      <c r="F2455" s="389"/>
      <c r="G2455" s="389"/>
      <c r="T2455" s="384" t="str">
        <f>IFERROR(__xludf.DUMMYFUNCTION("""COMPUTED_VALUE"""),"Morti")</f>
        <v>Morti</v>
      </c>
      <c r="U2455" s="385"/>
      <c r="W2455" s="384" t="str">
        <f>IFERROR(__xludf.DUMMYFUNCTION("""COMPUTED_VALUE"""),"Продюсер")</f>
        <v>Продюсер</v>
      </c>
      <c r="X2455" s="385"/>
    </row>
    <row r="2456">
      <c r="A2456" s="384" t="s">
        <v>135</v>
      </c>
      <c r="B2456" s="384" t="s">
        <v>261</v>
      </c>
      <c r="C2456" s="389"/>
      <c r="D2456" s="389">
        <v>1.75</v>
      </c>
      <c r="E2456" s="384"/>
      <c r="F2456" s="389"/>
      <c r="G2456" s="389"/>
      <c r="T2456" s="384" t="str">
        <f>IFERROR(__xludf.DUMMYFUNCTION("""COMPUTED_VALUE"""),"MSR")</f>
        <v>MSR</v>
      </c>
      <c r="U2456" s="385"/>
      <c r="W2456" s="384" t="str">
        <f>IFERROR(__xludf.DUMMYFUNCTION("""COMPUTED_VALUE"""),"РФ")</f>
        <v>РФ</v>
      </c>
      <c r="X2456" s="385"/>
    </row>
    <row r="2457">
      <c r="A2457" s="384" t="s">
        <v>97</v>
      </c>
      <c r="B2457" s="384" t="s">
        <v>269</v>
      </c>
      <c r="C2457" s="389">
        <v>2.5</v>
      </c>
      <c r="D2457" s="389">
        <v>3.0</v>
      </c>
      <c r="E2457" s="384"/>
      <c r="F2457" s="389"/>
      <c r="G2457" s="389"/>
      <c r="T2457" s="384" t="str">
        <f>IFERROR(__xludf.DUMMYFUNCTION("""COMPUTED_VALUE"""),"NLIP")</f>
        <v>NLIP</v>
      </c>
      <c r="U2457" s="385"/>
      <c r="W2457" s="384" t="str">
        <f>IFERROR(__xludf.DUMMYFUNCTION("""COMPUTED_VALUE"""),"Старый")</f>
        <v>Старый</v>
      </c>
      <c r="X2457" s="385"/>
    </row>
    <row r="2458">
      <c r="A2458" s="384" t="s">
        <v>100</v>
      </c>
      <c r="B2458" s="384" t="s">
        <v>271</v>
      </c>
      <c r="C2458" s="389"/>
      <c r="D2458" s="389">
        <v>1.5</v>
      </c>
      <c r="E2458" s="384"/>
      <c r="F2458" s="389"/>
      <c r="G2458" s="389"/>
      <c r="T2458" s="384" t="str">
        <f>IFERROR(__xludf.DUMMYFUNCTION("""COMPUTED_VALUE"""),"SOVEST")</f>
        <v>SOVEST</v>
      </c>
      <c r="U2458" s="385"/>
      <c r="W2458" s="384" t="str">
        <f>IFERROR(__xludf.DUMMYFUNCTION("""COMPUTED_VALUE"""),"Coach")</f>
        <v>Coach</v>
      </c>
      <c r="X2458" s="385"/>
    </row>
    <row r="2459">
      <c r="A2459" s="384" t="s">
        <v>90</v>
      </c>
      <c r="B2459" s="384" t="s">
        <v>261</v>
      </c>
      <c r="C2459" s="389"/>
      <c r="D2459" s="389">
        <v>2.0</v>
      </c>
      <c r="E2459" s="384"/>
      <c r="F2459" s="389"/>
      <c r="G2459" s="389"/>
      <c r="T2459" s="384" t="str">
        <f>IFERROR(__xludf.DUMMYFUNCTION("""COMPUTED_VALUE"""),"Stacy")</f>
        <v>Stacy</v>
      </c>
      <c r="U2459" s="385"/>
      <c r="W2459" s="384" t="str">
        <f>IFERROR(__xludf.DUMMYFUNCTION("""COMPUTED_VALUE"""),"Тихий закат")</f>
        <v>Тихий закат</v>
      </c>
      <c r="X2459" s="385"/>
    </row>
    <row r="2460">
      <c r="A2460" s="384" t="s">
        <v>137</v>
      </c>
      <c r="B2460" s="384" t="s">
        <v>261</v>
      </c>
      <c r="C2460" s="389"/>
      <c r="D2460" s="389">
        <v>2.0</v>
      </c>
      <c r="E2460" s="384"/>
      <c r="F2460" s="389"/>
      <c r="G2460" s="389"/>
      <c r="T2460" s="384" t="str">
        <f>IFERROR(__xludf.DUMMYFUNCTION("""COMPUTED_VALUE"""),"WhoIsWho")</f>
        <v>WhoIsWho</v>
      </c>
      <c r="U2460" s="385"/>
      <c r="W2460" s="384" t="str">
        <f>IFERROR(__xludf.DUMMYFUNCTION("""COMPUTED_VALUE"""),"Физик")</f>
        <v>Физик</v>
      </c>
      <c r="X2460" s="385"/>
    </row>
    <row r="2461">
      <c r="A2461" s="384" t="s">
        <v>93</v>
      </c>
      <c r="B2461" s="384" t="s">
        <v>261</v>
      </c>
      <c r="C2461" s="389"/>
      <c r="D2461" s="389">
        <v>1.75</v>
      </c>
      <c r="E2461" s="384"/>
      <c r="F2461" s="389"/>
      <c r="G2461" s="389"/>
      <c r="T2461" s="384" t="str">
        <f>IFERROR(__xludf.DUMMYFUNCTION("""COMPUTED_VALUE"""),"Young")</f>
        <v>Young</v>
      </c>
      <c r="U2461" s="385"/>
      <c r="W2461" s="384" t="str">
        <f>IFERROR(__xludf.DUMMYFUNCTION("""COMPUTED_VALUE"""),"Флэш")</f>
        <v>Флэш</v>
      </c>
      <c r="X2461" s="385"/>
    </row>
    <row r="2462">
      <c r="A2462" s="384" t="s">
        <v>134</v>
      </c>
      <c r="B2462" s="384" t="s">
        <v>265</v>
      </c>
      <c r="C2462" s="389">
        <v>2.5</v>
      </c>
      <c r="D2462" s="389">
        <v>3.0</v>
      </c>
      <c r="E2462" s="384"/>
      <c r="F2462" s="389"/>
      <c r="G2462" s="389"/>
      <c r="T2462" s="384" t="str">
        <f>IFERROR(__xludf.DUMMYFUNCTION("QUERY('Турнирная таблица по Алфавиту'!C7:BI66,""select C,BI order by BI desc"")"),"Физик")</f>
        <v>Физик</v>
      </c>
      <c r="U2462" s="385">
        <f>IFERROR(__xludf.DUMMYFUNCTION("""COMPUTED_VALUE"""),26.5)</f>
        <v>26.5</v>
      </c>
      <c r="W2462" s="384" t="str">
        <f>IFERROR(__xludf.DUMMYFUNCTION("""COMPUTED_VALUE"""),"Фокс")</f>
        <v>Фокс</v>
      </c>
      <c r="X2462" s="385"/>
    </row>
    <row r="2463">
      <c r="A2463" s="384" t="s">
        <v>107</v>
      </c>
      <c r="B2463" s="384" t="s">
        <v>261</v>
      </c>
      <c r="C2463" s="389">
        <v>2.5</v>
      </c>
      <c r="D2463" s="389">
        <v>3.25</v>
      </c>
      <c r="E2463" s="384" t="s">
        <v>11</v>
      </c>
      <c r="F2463" s="389"/>
      <c r="G2463" s="389">
        <v>0.5</v>
      </c>
      <c r="T2463" s="384" t="str">
        <f>IFERROR(__xludf.DUMMYFUNCTION("""COMPUTED_VALUE"""),"Alice ")</f>
        <v>Alice </v>
      </c>
      <c r="U2463" s="385">
        <f>IFERROR(__xludf.DUMMYFUNCTION("""COMPUTED_VALUE"""),26.5)</f>
        <v>26.5</v>
      </c>
      <c r="W2463" s="384" t="str">
        <f>IFERROR(__xludf.DUMMYFUNCTION("""COMPUTED_VALUE"""),"Шоу Бой")</f>
        <v>Шоу Бой</v>
      </c>
      <c r="X2463" s="385"/>
    </row>
    <row r="2464">
      <c r="A2464" s="384" t="s">
        <v>105</v>
      </c>
      <c r="B2464" s="384" t="s">
        <v>261</v>
      </c>
      <c r="C2464" s="389">
        <v>2.5</v>
      </c>
      <c r="D2464" s="389">
        <v>3.75</v>
      </c>
      <c r="E2464" s="384"/>
      <c r="F2464" s="389"/>
      <c r="G2464" s="389"/>
      <c r="T2464" s="384" t="str">
        <f>IFERROR(__xludf.DUMMYFUNCTION("""COMPUTED_VALUE"""),"MSR")</f>
        <v>MSR</v>
      </c>
      <c r="U2464" s="385">
        <f>IFERROR(__xludf.DUMMYFUNCTION("""COMPUTED_VALUE"""),24.0)</f>
        <v>24</v>
      </c>
      <c r="W2464" s="384" t="str">
        <f>IFERROR(__xludf.DUMMYFUNCTION("""COMPUTED_VALUE"""),"Шпиц")</f>
        <v>Шпиц</v>
      </c>
      <c r="X2464" s="385"/>
    </row>
    <row r="2465">
      <c r="A2465" s="384" t="s">
        <v>120</v>
      </c>
      <c r="B2465" s="384" t="s">
        <v>265</v>
      </c>
      <c r="C2465" s="389"/>
      <c r="D2465" s="389">
        <v>2.5</v>
      </c>
      <c r="E2465" s="384"/>
      <c r="F2465" s="389"/>
      <c r="G2465" s="389"/>
      <c r="T2465" s="384" t="str">
        <f>IFERROR(__xludf.DUMMYFUNCTION("""COMPUTED_VALUE"""),"NLIP")</f>
        <v>NLIP</v>
      </c>
      <c r="U2465" s="385">
        <f>IFERROR(__xludf.DUMMYFUNCTION("""COMPUTED_VALUE"""),20.25)</f>
        <v>20.25</v>
      </c>
      <c r="W2465" s="384" t="str">
        <f>IFERROR(__xludf.DUMMYFUNCTION("""COMPUTED_VALUE"""),"Юрия")</f>
        <v>Юрия</v>
      </c>
      <c r="X2465" s="385"/>
    </row>
    <row r="2466">
      <c r="A2466" s="384" t="s">
        <v>135</v>
      </c>
      <c r="B2466" s="384" t="s">
        <v>261</v>
      </c>
      <c r="C2466" s="389">
        <v>2.5</v>
      </c>
      <c r="D2466" s="389">
        <v>2.75</v>
      </c>
      <c r="E2466" s="384"/>
      <c r="F2466" s="389"/>
      <c r="G2466" s="389"/>
      <c r="T2466" s="384" t="str">
        <f>IFERROR(__xludf.DUMMYFUNCTION("""COMPUTED_VALUE"""),"Тихий закат")</f>
        <v>Тихий закат</v>
      </c>
      <c r="U2466" s="385">
        <f>IFERROR(__xludf.DUMMYFUNCTION("""COMPUTED_VALUE"""),20.0)</f>
        <v>20</v>
      </c>
      <c r="W2466" s="384" t="str">
        <f>IFERROR(__xludf.DUMMYFUNCTION("""COMPUTED_VALUE"""),"A1 ")</f>
        <v>A1 </v>
      </c>
      <c r="X2466" s="385"/>
    </row>
    <row r="2467">
      <c r="A2467" s="384" t="s">
        <v>97</v>
      </c>
      <c r="B2467" s="384" t="s">
        <v>271</v>
      </c>
      <c r="C2467" s="389">
        <v>2.5</v>
      </c>
      <c r="D2467" s="389">
        <v>3.5</v>
      </c>
      <c r="E2467" s="384"/>
      <c r="F2467" s="389"/>
      <c r="G2467" s="389"/>
      <c r="T2467" s="384" t="str">
        <f>IFERROR(__xludf.DUMMYFUNCTION("""COMPUTED_VALUE"""),"Волга")</f>
        <v>Волга</v>
      </c>
      <c r="U2467" s="385">
        <f>IFERROR(__xludf.DUMMYFUNCTION("""COMPUTED_VALUE"""),19.75)</f>
        <v>19.75</v>
      </c>
      <c r="W2467" s="384" t="str">
        <f>IFERROR(__xludf.DUMMYFUNCTION("""COMPUTED_VALUE"""),"Alice ")</f>
        <v>Alice </v>
      </c>
      <c r="X2467" s="385"/>
    </row>
    <row r="2468">
      <c r="A2468" s="384" t="s">
        <v>100</v>
      </c>
      <c r="B2468" s="384" t="s">
        <v>269</v>
      </c>
      <c r="C2468" s="389"/>
      <c r="D2468" s="389">
        <v>2.5</v>
      </c>
      <c r="E2468" s="384"/>
      <c r="F2468" s="389"/>
      <c r="G2468" s="389"/>
      <c r="T2468" s="384" t="str">
        <f>IFERROR(__xludf.DUMMYFUNCTION("""COMPUTED_VALUE"""),"Bublik")</f>
        <v>Bublik</v>
      </c>
      <c r="U2468" s="385">
        <f>IFERROR(__xludf.DUMMYFUNCTION("""COMPUTED_VALUE"""),18.5)</f>
        <v>18.5</v>
      </c>
      <c r="W2468" s="384" t="str">
        <f>IFERROR(__xludf.DUMMYFUNCTION("""COMPUTED_VALUE"""),"Bublik")</f>
        <v>Bublik</v>
      </c>
      <c r="X2468" s="385"/>
    </row>
    <row r="2469">
      <c r="A2469" s="384" t="s">
        <v>90</v>
      </c>
      <c r="B2469" s="384" t="s">
        <v>261</v>
      </c>
      <c r="C2469" s="389">
        <v>2.5</v>
      </c>
      <c r="D2469" s="389">
        <v>3.5</v>
      </c>
      <c r="E2469" s="384"/>
      <c r="F2469" s="389"/>
      <c r="G2469" s="389"/>
      <c r="T2469" s="384" t="str">
        <f>IFERROR(__xludf.DUMMYFUNCTION("""COMPUTED_VALUE"""),"Мишель ")</f>
        <v>Мишель </v>
      </c>
      <c r="U2469" s="385">
        <f>IFERROR(__xludf.DUMMYFUNCTION("""COMPUTED_VALUE"""),17.5)</f>
        <v>17.5</v>
      </c>
      <c r="W2469" s="384" t="str">
        <f>IFERROR(__xludf.DUMMYFUNCTION("""COMPUTED_VALUE"""),"BWDMoscow")</f>
        <v>BWDMoscow</v>
      </c>
      <c r="X2469" s="385"/>
    </row>
    <row r="2470">
      <c r="A2470" s="384" t="s">
        <v>137</v>
      </c>
      <c r="B2470" s="384" t="s">
        <v>261</v>
      </c>
      <c r="C2470" s="389">
        <v>2.5</v>
      </c>
      <c r="D2470" s="389">
        <v>2.25</v>
      </c>
      <c r="E2470" s="384"/>
      <c r="F2470" s="389" t="s">
        <v>283</v>
      </c>
      <c r="G2470" s="389"/>
      <c r="T2470" s="384" t="str">
        <f>IFERROR(__xludf.DUMMYFUNCTION("""COMPUTED_VALUE"""),"Писатель ")</f>
        <v>Писатель </v>
      </c>
      <c r="U2470" s="385">
        <f>IFERROR(__xludf.DUMMYFUNCTION("""COMPUTED_VALUE"""),17.25)</f>
        <v>17.25</v>
      </c>
      <c r="W2470" s="384" t="str">
        <f>IFERROR(__xludf.DUMMYFUNCTION("""COMPUTED_VALUE"""),"Curly")</f>
        <v>Curly</v>
      </c>
      <c r="X2470" s="385"/>
    </row>
    <row r="2471">
      <c r="A2471" s="384" t="s">
        <v>93</v>
      </c>
      <c r="B2471" s="384" t="s">
        <v>261</v>
      </c>
      <c r="C2471" s="389">
        <v>2.5</v>
      </c>
      <c r="D2471" s="389">
        <v>3.75</v>
      </c>
      <c r="E2471" s="384"/>
      <c r="F2471" s="389"/>
      <c r="G2471" s="389"/>
      <c r="T2471" s="384" t="str">
        <f>IFERROR(__xludf.DUMMYFUNCTION("""COMPUTED_VALUE"""),"Ketamin")</f>
        <v>Ketamin</v>
      </c>
      <c r="U2471" s="385">
        <f>IFERROR(__xludf.DUMMYFUNCTION("""COMPUTED_VALUE"""),16.0)</f>
        <v>16</v>
      </c>
      <c r="W2471" s="384" t="str">
        <f>IFERROR(__xludf.DUMMYFUNCTION("""COMPUTED_VALUE"""),"GALAY")</f>
        <v>GALAY</v>
      </c>
      <c r="X2471" s="385"/>
    </row>
    <row r="2472">
      <c r="A2472" s="384" t="s">
        <v>134</v>
      </c>
      <c r="B2472" s="384" t="s">
        <v>269</v>
      </c>
      <c r="C2472" s="389"/>
      <c r="D2472" s="389">
        <v>1.0</v>
      </c>
      <c r="E2472" s="384"/>
      <c r="F2472" s="389"/>
      <c r="G2472" s="389"/>
      <c r="T2472" s="384" t="str">
        <f>IFERROR(__xludf.DUMMYFUNCTION("""COMPUTED_VALUE"""),"Авраам")</f>
        <v>Авраам</v>
      </c>
      <c r="U2472" s="385"/>
      <c r="W2472" s="384" t="str">
        <f>IFERROR(__xludf.DUMMYFUNCTION("""COMPUTED_VALUE"""),"Helga")</f>
        <v>Helga</v>
      </c>
      <c r="X2472" s="385"/>
    </row>
    <row r="2473">
      <c r="A2473" s="384" t="s">
        <v>107</v>
      </c>
      <c r="B2473" s="384" t="s">
        <v>261</v>
      </c>
      <c r="C2473" s="389"/>
      <c r="D2473" s="389">
        <v>3.75</v>
      </c>
      <c r="E2473" s="384"/>
      <c r="F2473" s="389"/>
      <c r="G2473" s="389"/>
      <c r="T2473" s="384" t="str">
        <f>IFERROR(__xludf.DUMMYFUNCTION("""COMPUTED_VALUE"""),"Админ")</f>
        <v>Админ</v>
      </c>
      <c r="U2473" s="385"/>
      <c r="W2473" s="384" t="str">
        <f>IFERROR(__xludf.DUMMYFUNCTION("""COMPUTED_VALUE"""),"Infinity ")</f>
        <v>Infinity </v>
      </c>
      <c r="X2473" s="385"/>
    </row>
    <row r="2474">
      <c r="A2474" s="384" t="s">
        <v>105</v>
      </c>
      <c r="B2474" s="384" t="s">
        <v>261</v>
      </c>
      <c r="C2474" s="389"/>
      <c r="D2474" s="389">
        <v>1.75</v>
      </c>
      <c r="E2474" s="384"/>
      <c r="F2474" s="389"/>
      <c r="G2474" s="389"/>
      <c r="T2474" s="384" t="str">
        <f>IFERROR(__xludf.DUMMYFUNCTION("""COMPUTED_VALUE"""),"Андерсен")</f>
        <v>Андерсен</v>
      </c>
      <c r="U2474" s="385"/>
      <c r="W2474" s="384" t="str">
        <f>IFERROR(__xludf.DUMMYFUNCTION("""COMPUTED_VALUE"""),"Ketamin")</f>
        <v>Ketamin</v>
      </c>
      <c r="X2474" s="385"/>
    </row>
    <row r="2475">
      <c r="A2475" s="384" t="s">
        <v>120</v>
      </c>
      <c r="B2475" s="384" t="s">
        <v>261</v>
      </c>
      <c r="C2475" s="389"/>
      <c r="D2475" s="389">
        <v>1.75</v>
      </c>
      <c r="E2475" s="384"/>
      <c r="F2475" s="389"/>
      <c r="G2475" s="389"/>
      <c r="T2475" s="384" t="str">
        <f>IFERROR(__xludf.DUMMYFUNCTION("""COMPUTED_VALUE"""),"Артик")</f>
        <v>Артик</v>
      </c>
      <c r="U2475" s="385"/>
      <c r="W2475" s="384" t="str">
        <f>IFERROR(__xludf.DUMMYFUNCTION("""COMPUTED_VALUE"""),"Light")</f>
        <v>Light</v>
      </c>
      <c r="X2475" s="385"/>
    </row>
    <row r="2476">
      <c r="A2476" s="384" t="s">
        <v>135</v>
      </c>
      <c r="B2476" s="384" t="s">
        <v>269</v>
      </c>
      <c r="C2476" s="389">
        <v>2.5</v>
      </c>
      <c r="D2476" s="389">
        <v>3.75</v>
      </c>
      <c r="E2476" s="384"/>
      <c r="F2476" s="389"/>
      <c r="G2476" s="389"/>
      <c r="T2476" s="384" t="str">
        <f>IFERROR(__xludf.DUMMYFUNCTION("""COMPUTED_VALUE"""),"Астория")</f>
        <v>Астория</v>
      </c>
      <c r="U2476" s="385"/>
      <c r="W2476" s="384" t="str">
        <f>IFERROR(__xludf.DUMMYFUNCTION("""COMPUTED_VALUE"""),"Morti")</f>
        <v>Morti</v>
      </c>
      <c r="X2476" s="385"/>
    </row>
    <row r="2477">
      <c r="A2477" s="384" t="s">
        <v>97</v>
      </c>
      <c r="B2477" s="384" t="s">
        <v>269</v>
      </c>
      <c r="C2477" s="389">
        <v>2.5</v>
      </c>
      <c r="D2477" s="389">
        <v>3.25</v>
      </c>
      <c r="E2477" s="384"/>
      <c r="F2477" s="389"/>
      <c r="G2477" s="389"/>
      <c r="T2477" s="384" t="str">
        <f>IFERROR(__xludf.DUMMYFUNCTION("""COMPUTED_VALUE"""),"Аш")</f>
        <v>Аш</v>
      </c>
      <c r="U2477" s="385"/>
      <c r="W2477" s="384" t="str">
        <f>IFERROR(__xludf.DUMMYFUNCTION("""COMPUTED_VALUE"""),"MSR")</f>
        <v>MSR</v>
      </c>
      <c r="X2477" s="385"/>
    </row>
    <row r="2478">
      <c r="A2478" s="384" t="s">
        <v>100</v>
      </c>
      <c r="B2478" s="384" t="s">
        <v>261</v>
      </c>
      <c r="C2478" s="389"/>
      <c r="D2478" s="389">
        <v>3.25</v>
      </c>
      <c r="E2478" s="384"/>
      <c r="F2478" s="389" t="s">
        <v>285</v>
      </c>
      <c r="G2478" s="389"/>
      <c r="T2478" s="384" t="str">
        <f>IFERROR(__xludf.DUMMYFUNCTION("""COMPUTED_VALUE"""),"Бамблби")</f>
        <v>Бамблби</v>
      </c>
      <c r="U2478" s="385"/>
      <c r="W2478" s="384" t="str">
        <f>IFERROR(__xludf.DUMMYFUNCTION("""COMPUTED_VALUE"""),"Rocket woman ")</f>
        <v>Rocket woman </v>
      </c>
      <c r="X2478" s="385"/>
    </row>
    <row r="2479">
      <c r="A2479" s="384" t="s">
        <v>90</v>
      </c>
      <c r="B2479" s="384" t="s">
        <v>261</v>
      </c>
      <c r="C2479" s="389"/>
      <c r="D2479" s="389">
        <v>1.5</v>
      </c>
      <c r="E2479" s="384"/>
      <c r="F2479" s="389"/>
      <c r="G2479" s="389"/>
      <c r="T2479" s="384" t="str">
        <f>IFERROR(__xludf.DUMMYFUNCTION("""COMPUTED_VALUE"""),"Градиент")</f>
        <v>Градиент</v>
      </c>
      <c r="U2479" s="385"/>
      <c r="W2479" s="384" t="str">
        <f>IFERROR(__xludf.DUMMYFUNCTION("""COMPUTED_VALUE"""),"SCHOKK ")</f>
        <v>SCHOKK </v>
      </c>
      <c r="X2479" s="385"/>
    </row>
    <row r="2480">
      <c r="A2480" s="384" t="s">
        <v>137</v>
      </c>
      <c r="B2480" s="384" t="s">
        <v>261</v>
      </c>
      <c r="C2480" s="389"/>
      <c r="D2480" s="389">
        <v>2.5</v>
      </c>
      <c r="E2480" s="384"/>
      <c r="F2480" s="389"/>
      <c r="G2480" s="389"/>
      <c r="T2480" s="384" t="str">
        <f>IFERROR(__xludf.DUMMYFUNCTION("""COMPUTED_VALUE"""),"Дровосек")</f>
        <v>Дровосек</v>
      </c>
      <c r="U2480" s="385"/>
      <c r="W2480" s="384" t="str">
        <f>IFERROR(__xludf.DUMMYFUNCTION("""COMPUTED_VALUE"""),"SOVEST")</f>
        <v>SOVEST</v>
      </c>
      <c r="X2480" s="385"/>
    </row>
    <row r="2481">
      <c r="A2481" s="384" t="s">
        <v>93</v>
      </c>
      <c r="B2481" s="384" t="s">
        <v>271</v>
      </c>
      <c r="C2481" s="389"/>
      <c r="D2481" s="389">
        <v>2.5</v>
      </c>
      <c r="E2481" s="384" t="s">
        <v>11</v>
      </c>
      <c r="F2481" s="389"/>
      <c r="G2481" s="389">
        <v>0.5</v>
      </c>
      <c r="T2481" s="384" t="str">
        <f>IFERROR(__xludf.DUMMYFUNCTION("""COMPUTED_VALUE"""),"Зверюга")</f>
        <v>Зверюга</v>
      </c>
      <c r="U2481" s="385"/>
      <c r="W2481" s="384" t="str">
        <f>IFERROR(__xludf.DUMMYFUNCTION("""COMPUTED_VALUE"""),"WhoIsWho")</f>
        <v>WhoIsWho</v>
      </c>
      <c r="X2481" s="385"/>
    </row>
    <row r="2482">
      <c r="A2482" s="384" t="s">
        <v>134</v>
      </c>
      <c r="B2482" s="384" t="s">
        <v>265</v>
      </c>
      <c r="C2482" s="389">
        <v>2.5</v>
      </c>
      <c r="D2482" s="389">
        <v>3.75</v>
      </c>
      <c r="E2482" s="384"/>
      <c r="F2482" s="389"/>
      <c r="G2482" s="389"/>
      <c r="T2482" s="384" t="str">
        <f>IFERROR(__xludf.DUMMYFUNCTION("""COMPUTED_VALUE"""),"Инсомнич")</f>
        <v>Инсомнич</v>
      </c>
      <c r="U2482" s="385"/>
      <c r="W2482" s="384" t="str">
        <f>IFERROR(__xludf.DUMMYFUNCTION("""COMPUTED_VALUE"""),"Young")</f>
        <v>Young</v>
      </c>
      <c r="X2482" s="385"/>
    </row>
    <row r="2483">
      <c r="A2483" s="384" t="s">
        <v>107</v>
      </c>
      <c r="B2483" s="384" t="s">
        <v>261</v>
      </c>
      <c r="C2483" s="389"/>
      <c r="D2483" s="389">
        <v>1.0</v>
      </c>
      <c r="E2483" s="384"/>
      <c r="F2483" s="389"/>
      <c r="G2483" s="389"/>
      <c r="T2483" s="384" t="str">
        <f>IFERROR(__xludf.DUMMYFUNCTION("""COMPUTED_VALUE"""),"Красавчик")</f>
        <v>Красавчик</v>
      </c>
      <c r="U2483" s="385"/>
      <c r="W2483" s="384" t="str">
        <f>IFERROR(__xludf.DUMMYFUNCTION("""COMPUTED_VALUE"""),"Авраам")</f>
        <v>Авраам</v>
      </c>
      <c r="X2483" s="385"/>
    </row>
    <row r="2484">
      <c r="A2484" s="384" t="s">
        <v>105</v>
      </c>
      <c r="B2484" s="384" t="s">
        <v>261</v>
      </c>
      <c r="C2484" s="389"/>
      <c r="D2484" s="389">
        <v>1.5</v>
      </c>
      <c r="E2484" s="384"/>
      <c r="F2484" s="389"/>
      <c r="G2484" s="389"/>
      <c r="T2484" s="384" t="str">
        <f>IFERROR(__xludf.DUMMYFUNCTION("""COMPUTED_VALUE"""),"Крестный отец (BLR)")</f>
        <v>Крестный отец (BLR)</v>
      </c>
      <c r="U2484" s="385"/>
      <c r="W2484" s="384" t="str">
        <f>IFERROR(__xludf.DUMMYFUNCTION("""COMPUTED_VALUE"""),"Админ")</f>
        <v>Админ</v>
      </c>
      <c r="X2484" s="385"/>
    </row>
    <row r="2485">
      <c r="A2485" s="384" t="s">
        <v>120</v>
      </c>
      <c r="B2485" s="384" t="s">
        <v>261</v>
      </c>
      <c r="C2485" s="389"/>
      <c r="D2485" s="389">
        <v>2.0</v>
      </c>
      <c r="E2485" s="384"/>
      <c r="F2485" s="389"/>
      <c r="G2485" s="389"/>
      <c r="T2485" s="384" t="str">
        <f>IFERROR(__xludf.DUMMYFUNCTION("""COMPUTED_VALUE"""),"Крёстный Отец (RU)")</f>
        <v>Крёстный Отец (RU)</v>
      </c>
      <c r="U2485" s="385"/>
      <c r="W2485" s="384" t="str">
        <f>IFERROR(__xludf.DUMMYFUNCTION("""COMPUTED_VALUE"""),"Андерсен")</f>
        <v>Андерсен</v>
      </c>
      <c r="X2485" s="385"/>
    </row>
    <row r="2486">
      <c r="A2486" s="384" t="s">
        <v>135</v>
      </c>
      <c r="B2486" s="384" t="s">
        <v>261</v>
      </c>
      <c r="C2486" s="389"/>
      <c r="D2486" s="389">
        <v>2.0</v>
      </c>
      <c r="E2486" s="384"/>
      <c r="F2486" s="389"/>
      <c r="G2486" s="389"/>
      <c r="T2486" s="384" t="str">
        <f>IFERROR(__xludf.DUMMYFUNCTION("""COMPUTED_VALUE"""),"Крот")</f>
        <v>Крот</v>
      </c>
      <c r="U2486" s="385"/>
      <c r="W2486" s="384" t="str">
        <f>IFERROR(__xludf.DUMMYFUNCTION("""COMPUTED_VALUE"""),"Артик")</f>
        <v>Артик</v>
      </c>
      <c r="X2486" s="385"/>
    </row>
    <row r="2487">
      <c r="A2487" s="384" t="s">
        <v>97</v>
      </c>
      <c r="B2487" s="384" t="s">
        <v>269</v>
      </c>
      <c r="C2487" s="389">
        <v>2.5</v>
      </c>
      <c r="D2487" s="389">
        <v>3.25</v>
      </c>
      <c r="E2487" s="384"/>
      <c r="F2487" s="389"/>
      <c r="G2487" s="389"/>
      <c r="T2487" s="384" t="str">
        <f>IFERROR(__xludf.DUMMYFUNCTION("""COMPUTED_VALUE"""),"Левша")</f>
        <v>Левша</v>
      </c>
      <c r="U2487" s="385"/>
      <c r="W2487" s="384" t="str">
        <f>IFERROR(__xludf.DUMMYFUNCTION("""COMPUTED_VALUE"""),"Астория")</f>
        <v>Астория</v>
      </c>
      <c r="X2487" s="385"/>
    </row>
    <row r="2488">
      <c r="A2488" s="384" t="s">
        <v>100</v>
      </c>
      <c r="B2488" s="384" t="s">
        <v>269</v>
      </c>
      <c r="C2488" s="389">
        <v>2.5</v>
      </c>
      <c r="D2488" s="389">
        <v>3.75</v>
      </c>
      <c r="E2488" s="384"/>
      <c r="F2488" s="389"/>
      <c r="G2488" s="389"/>
      <c r="T2488" s="384" t="str">
        <f>IFERROR(__xludf.DUMMYFUNCTION("""COMPUTED_VALUE"""),"Лисичка")</f>
        <v>Лисичка</v>
      </c>
      <c r="U2488" s="385"/>
      <c r="W2488" s="384" t="str">
        <f>IFERROR(__xludf.DUMMYFUNCTION("""COMPUTED_VALUE"""),"Бамблби")</f>
        <v>Бамблби</v>
      </c>
      <c r="X2488" s="385"/>
    </row>
    <row r="2489">
      <c r="A2489" s="384" t="s">
        <v>90</v>
      </c>
      <c r="B2489" s="384" t="s">
        <v>261</v>
      </c>
      <c r="C2489" s="389"/>
      <c r="D2489" s="389">
        <v>2.0</v>
      </c>
      <c r="E2489" s="384"/>
      <c r="F2489" s="389"/>
      <c r="G2489" s="389">
        <v>0.5</v>
      </c>
      <c r="T2489" s="384" t="str">
        <f>IFERROR(__xludf.DUMMYFUNCTION("""COMPUTED_VALUE"""),"Маваши")</f>
        <v>Маваши</v>
      </c>
      <c r="U2489" s="385"/>
      <c r="W2489" s="384" t="str">
        <f>IFERROR(__xludf.DUMMYFUNCTION("""COMPUTED_VALUE"""),"Волга")</f>
        <v>Волга</v>
      </c>
      <c r="X2489" s="385"/>
    </row>
    <row r="2490">
      <c r="A2490" s="384" t="s">
        <v>137</v>
      </c>
      <c r="B2490" s="384" t="s">
        <v>261</v>
      </c>
      <c r="C2490" s="389"/>
      <c r="D2490" s="389">
        <v>2.0</v>
      </c>
      <c r="E2490" s="384"/>
      <c r="F2490" s="389"/>
      <c r="G2490" s="389"/>
      <c r="T2490" s="384" t="str">
        <f>IFERROR(__xludf.DUMMYFUNCTION("""COMPUTED_VALUE"""),"Манекен")</f>
        <v>Манекен</v>
      </c>
      <c r="U2490" s="385"/>
      <c r="W2490" s="384" t="str">
        <f>IFERROR(__xludf.DUMMYFUNCTION("""COMPUTED_VALUE"""),"Градиент")</f>
        <v>Градиент</v>
      </c>
      <c r="X2490" s="385"/>
    </row>
    <row r="2491">
      <c r="A2491" s="384" t="s">
        <v>93</v>
      </c>
      <c r="B2491" s="384" t="s">
        <v>265</v>
      </c>
      <c r="C2491" s="389">
        <v>2.5</v>
      </c>
      <c r="D2491" s="389">
        <v>4.5</v>
      </c>
      <c r="E2491" s="384"/>
      <c r="F2491" s="389"/>
      <c r="G2491" s="389"/>
      <c r="T2491" s="384" t="str">
        <f>IFERROR(__xludf.DUMMYFUNCTION("""COMPUTED_VALUE"""),"Марго")</f>
        <v>Марго</v>
      </c>
      <c r="U2491" s="385"/>
      <c r="W2491" s="384" t="str">
        <f>IFERROR(__xludf.DUMMYFUNCTION("""COMPUTED_VALUE"""),"Дровосек")</f>
        <v>Дровосек</v>
      </c>
      <c r="X2491" s="385"/>
    </row>
    <row r="2492">
      <c r="A2492" s="384" t="s">
        <v>134</v>
      </c>
      <c r="B2492" s="384" t="s">
        <v>271</v>
      </c>
      <c r="C2492" s="389"/>
      <c r="D2492" s="389">
        <v>1.75</v>
      </c>
      <c r="E2492" s="384"/>
      <c r="F2492" s="389"/>
      <c r="G2492" s="389"/>
      <c r="T2492" s="384" t="str">
        <f>IFERROR(__xludf.DUMMYFUNCTION("""COMPUTED_VALUE"""),"Ментик")</f>
        <v>Ментик</v>
      </c>
      <c r="U2492" s="385"/>
      <c r="W2492" s="384" t="str">
        <f>IFERROR(__xludf.DUMMYFUNCTION("""COMPUTED_VALUE"""),"Зверюга")</f>
        <v>Зверюга</v>
      </c>
      <c r="X2492" s="385"/>
    </row>
    <row r="2493">
      <c r="A2493" s="384" t="s">
        <v>107</v>
      </c>
      <c r="B2493" s="384" t="s">
        <v>265</v>
      </c>
      <c r="C2493" s="389"/>
      <c r="D2493" s="389">
        <v>2.25</v>
      </c>
      <c r="E2493" s="384"/>
      <c r="F2493" s="389"/>
      <c r="G2493" s="389"/>
      <c r="T2493" s="384" t="str">
        <f>IFERROR(__xludf.DUMMYFUNCTION("""COMPUTED_VALUE"""),"Наполеон")</f>
        <v>Наполеон</v>
      </c>
      <c r="U2493" s="385"/>
      <c r="W2493" s="384" t="str">
        <f>IFERROR(__xludf.DUMMYFUNCTION("""COMPUTED_VALUE"""),"Инсомнич")</f>
        <v>Инсомнич</v>
      </c>
      <c r="X2493" s="385"/>
    </row>
    <row r="2494">
      <c r="A2494" s="384" t="s">
        <v>105</v>
      </c>
      <c r="B2494" s="384" t="s">
        <v>261</v>
      </c>
      <c r="C2494" s="389">
        <v>2.5</v>
      </c>
      <c r="D2494" s="389">
        <v>2.5</v>
      </c>
      <c r="E2494" s="384" t="s">
        <v>11</v>
      </c>
      <c r="F2494" s="389"/>
      <c r="G2494" s="389">
        <v>0.5</v>
      </c>
      <c r="T2494" s="384" t="str">
        <f>IFERROR(__xludf.DUMMYFUNCTION("""COMPUTED_VALUE"""),"Панда из Руанды")</f>
        <v>Панда из Руанды</v>
      </c>
      <c r="U2494" s="385"/>
      <c r="W2494" s="384" t="str">
        <f>IFERROR(__xludf.DUMMYFUNCTION("""COMPUTED_VALUE"""),"Красавчик")</f>
        <v>Красавчик</v>
      </c>
      <c r="X2494" s="385"/>
    </row>
    <row r="2495">
      <c r="A2495" s="384" t="s">
        <v>120</v>
      </c>
      <c r="B2495" s="384" t="s">
        <v>261</v>
      </c>
      <c r="C2495" s="389">
        <v>2.5</v>
      </c>
      <c r="D2495" s="389">
        <v>3.5</v>
      </c>
      <c r="E2495" s="384"/>
      <c r="F2495" s="389"/>
      <c r="G2495" s="389"/>
      <c r="T2495" s="384" t="str">
        <f>IFERROR(__xludf.DUMMYFUNCTION("""COMPUTED_VALUE"""),"Правда ")</f>
        <v>Правда </v>
      </c>
      <c r="U2495" s="385"/>
      <c r="W2495" s="384" t="str">
        <f>IFERROR(__xludf.DUMMYFUNCTION("""COMPUTED_VALUE"""),"Крестный отец (BLR)")</f>
        <v>Крестный отец (BLR)</v>
      </c>
      <c r="X2495" s="385"/>
    </row>
    <row r="2496">
      <c r="A2496" s="384" t="s">
        <v>135</v>
      </c>
      <c r="B2496" s="384" t="s">
        <v>269</v>
      </c>
      <c r="C2496" s="389"/>
      <c r="D2496" s="389">
        <v>2.25</v>
      </c>
      <c r="E2496" s="384"/>
      <c r="F2496" s="389"/>
      <c r="G2496" s="389"/>
      <c r="T2496" s="384" t="str">
        <f>IFERROR(__xludf.DUMMYFUNCTION("""COMPUTED_VALUE"""),"Продюсер")</f>
        <v>Продюсер</v>
      </c>
      <c r="U2496" s="385"/>
      <c r="W2496" s="384" t="str">
        <f>IFERROR(__xludf.DUMMYFUNCTION("""COMPUTED_VALUE"""),"Крёстный Отец (RU)")</f>
        <v>Крёстный Отец (RU)</v>
      </c>
      <c r="X2496" s="385"/>
    </row>
    <row r="2497">
      <c r="A2497" s="384" t="s">
        <v>97</v>
      </c>
      <c r="B2497" s="384" t="s">
        <v>261</v>
      </c>
      <c r="C2497" s="389">
        <v>2.5</v>
      </c>
      <c r="D2497" s="389">
        <v>4.0</v>
      </c>
      <c r="E2497" s="384"/>
      <c r="F2497" s="389"/>
      <c r="G2497" s="389"/>
      <c r="T2497" s="384" t="str">
        <f>IFERROR(__xludf.DUMMYFUNCTION("""COMPUTED_VALUE"""),"РФ")</f>
        <v>РФ</v>
      </c>
      <c r="U2497" s="385"/>
      <c r="W2497" s="384" t="str">
        <f>IFERROR(__xludf.DUMMYFUNCTION("""COMPUTED_VALUE"""),"Крот")</f>
        <v>Крот</v>
      </c>
      <c r="X2497" s="385"/>
    </row>
    <row r="2498">
      <c r="A2498" s="384" t="s">
        <v>100</v>
      </c>
      <c r="B2498" s="384" t="s">
        <v>261</v>
      </c>
      <c r="C2498" s="389">
        <v>2.5</v>
      </c>
      <c r="D2498" s="389">
        <v>4.0</v>
      </c>
      <c r="E2498" s="384"/>
      <c r="F2498" s="389"/>
      <c r="G2498" s="389"/>
      <c r="T2498" s="384" t="str">
        <f>IFERROR(__xludf.DUMMYFUNCTION("""COMPUTED_VALUE"""),"Старый")</f>
        <v>Старый</v>
      </c>
      <c r="U2498" s="385"/>
      <c r="W2498" s="384" t="str">
        <f>IFERROR(__xludf.DUMMYFUNCTION("""COMPUTED_VALUE"""),"Лисичка")</f>
        <v>Лисичка</v>
      </c>
      <c r="X2498" s="385"/>
    </row>
    <row r="2499">
      <c r="A2499" s="384" t="s">
        <v>90</v>
      </c>
      <c r="B2499" s="384" t="s">
        <v>261</v>
      </c>
      <c r="C2499" s="389">
        <v>2.5</v>
      </c>
      <c r="D2499" s="389">
        <v>4.25</v>
      </c>
      <c r="E2499" s="384"/>
      <c r="F2499" s="389"/>
      <c r="G2499" s="389"/>
      <c r="T2499" s="384" t="str">
        <f>IFERROR(__xludf.DUMMYFUNCTION("""COMPUTED_VALUE"""),"СЭНСЭЙ")</f>
        <v>СЭНСЭЙ</v>
      </c>
      <c r="U2499" s="385"/>
      <c r="W2499" s="384" t="str">
        <f>IFERROR(__xludf.DUMMYFUNCTION("""COMPUTED_VALUE"""),"Маваши")</f>
        <v>Маваши</v>
      </c>
      <c r="X2499" s="385"/>
    </row>
    <row r="2500">
      <c r="A2500" s="384" t="s">
        <v>137</v>
      </c>
      <c r="B2500" s="384" t="s">
        <v>261</v>
      </c>
      <c r="C2500" s="389">
        <v>2.5</v>
      </c>
      <c r="D2500" s="389">
        <v>3.75</v>
      </c>
      <c r="E2500" s="384"/>
      <c r="F2500" s="389"/>
      <c r="G2500" s="389"/>
      <c r="T2500" s="384" t="str">
        <f>IFERROR(__xludf.DUMMYFUNCTION("""COMPUTED_VALUE"""),"Coach")</f>
        <v>Coach</v>
      </c>
      <c r="U2500" s="385"/>
      <c r="W2500" s="384" t="str">
        <f>IFERROR(__xludf.DUMMYFUNCTION("""COMPUTED_VALUE"""),"Манекен")</f>
        <v>Манекен</v>
      </c>
      <c r="X2500" s="385"/>
    </row>
    <row r="2501">
      <c r="A2501" s="384" t="s">
        <v>93</v>
      </c>
      <c r="B2501" s="384" t="s">
        <v>269</v>
      </c>
      <c r="C2501" s="389"/>
      <c r="D2501" s="389">
        <v>2.25</v>
      </c>
      <c r="E2501" s="384"/>
      <c r="F2501" s="389"/>
      <c r="G2501" s="389"/>
      <c r="T2501" s="384" t="str">
        <f>IFERROR(__xludf.DUMMYFUNCTION("""COMPUTED_VALUE"""),"Флэш")</f>
        <v>Флэш</v>
      </c>
      <c r="U2501" s="385"/>
      <c r="W2501" s="384" t="str">
        <f>IFERROR(__xludf.DUMMYFUNCTION("""COMPUTED_VALUE"""),"Марго")</f>
        <v>Марго</v>
      </c>
      <c r="X2501" s="385"/>
    </row>
    <row r="2502">
      <c r="A2502" s="384" t="s">
        <v>134</v>
      </c>
      <c r="B2502" s="384" t="s">
        <v>271</v>
      </c>
      <c r="C2502" s="389">
        <v>2.5</v>
      </c>
      <c r="D2502" s="389">
        <v>2.25</v>
      </c>
      <c r="E2502" s="384"/>
      <c r="F2502" s="389"/>
      <c r="G2502" s="389"/>
      <c r="T2502" s="384" t="str">
        <f>IFERROR(__xludf.DUMMYFUNCTION("""COMPUTED_VALUE"""),"Фокс")</f>
        <v>Фокс</v>
      </c>
      <c r="U2502" s="385"/>
      <c r="W2502" s="384" t="str">
        <f>IFERROR(__xludf.DUMMYFUNCTION("""COMPUTED_VALUE"""),"Ментик")</f>
        <v>Ментик</v>
      </c>
      <c r="X2502" s="385"/>
    </row>
    <row r="2503">
      <c r="A2503" s="384" t="s">
        <v>79</v>
      </c>
      <c r="B2503" s="384" t="s">
        <v>261</v>
      </c>
      <c r="C2503" s="389">
        <v>2.5</v>
      </c>
      <c r="D2503" s="389">
        <v>3.0</v>
      </c>
      <c r="E2503" s="384"/>
      <c r="F2503" s="389"/>
      <c r="G2503" s="389"/>
      <c r="T2503" s="384" t="str">
        <f>IFERROR(__xludf.DUMMYFUNCTION("""COMPUTED_VALUE"""),"Шоу Бой")</f>
        <v>Шоу Бой</v>
      </c>
      <c r="U2503" s="385"/>
      <c r="W2503" s="384" t="str">
        <f>IFERROR(__xludf.DUMMYFUNCTION("""COMPUTED_VALUE"""),"Мишель ")</f>
        <v>Мишель </v>
      </c>
      <c r="X2503" s="385"/>
    </row>
    <row r="2504">
      <c r="A2504" s="384" t="s">
        <v>132</v>
      </c>
      <c r="B2504" s="384" t="s">
        <v>271</v>
      </c>
      <c r="C2504" s="389">
        <v>2.5</v>
      </c>
      <c r="D2504" s="389">
        <v>4.25</v>
      </c>
      <c r="E2504" s="384" t="s">
        <v>260</v>
      </c>
      <c r="F2504" s="389"/>
      <c r="G2504" s="389"/>
      <c r="T2504" s="384" t="str">
        <f>IFERROR(__xludf.DUMMYFUNCTION("""COMPUTED_VALUE"""),"Шпиц")</f>
        <v>Шпиц</v>
      </c>
      <c r="U2504" s="385"/>
      <c r="W2504" s="384" t="str">
        <f>IFERROR(__xludf.DUMMYFUNCTION("""COMPUTED_VALUE"""),"Наполеон")</f>
        <v>Наполеон</v>
      </c>
      <c r="X2504" s="385"/>
    </row>
    <row r="2505">
      <c r="A2505" s="384" t="s">
        <v>93</v>
      </c>
      <c r="B2505" s="384" t="s">
        <v>261</v>
      </c>
      <c r="C2505" s="389">
        <v>2.5</v>
      </c>
      <c r="D2505" s="389">
        <v>4.25</v>
      </c>
      <c r="E2505" s="384"/>
      <c r="F2505" s="389"/>
      <c r="G2505" s="389"/>
      <c r="T2505" s="384" t="str">
        <f>IFERROR(__xludf.DUMMYFUNCTION("""COMPUTED_VALUE"""),"Юрия")</f>
        <v>Юрия</v>
      </c>
      <c r="U2505" s="385"/>
      <c r="W2505" s="384" t="str">
        <f>IFERROR(__xludf.DUMMYFUNCTION("""COMPUTED_VALUE"""),"Панда из Руанды")</f>
        <v>Панда из Руанды</v>
      </c>
      <c r="X2505" s="385"/>
    </row>
    <row r="2506">
      <c r="A2506" s="384" t="s">
        <v>90</v>
      </c>
      <c r="B2506" s="384" t="s">
        <v>261</v>
      </c>
      <c r="C2506" s="389">
        <v>2.5</v>
      </c>
      <c r="D2506" s="389">
        <v>3.25</v>
      </c>
      <c r="E2506" s="384" t="s">
        <v>11</v>
      </c>
      <c r="F2506" s="389">
        <v>0.5</v>
      </c>
      <c r="G2506" s="389">
        <v>0.5</v>
      </c>
      <c r="T2506" s="384" t="str">
        <f>IFERROR(__xludf.DUMMYFUNCTION("""COMPUTED_VALUE"""),"A1 ")</f>
        <v>A1 </v>
      </c>
      <c r="U2506" s="385"/>
      <c r="W2506" s="384" t="str">
        <f>IFERROR(__xludf.DUMMYFUNCTION("""COMPUTED_VALUE"""),"Писатель ")</f>
        <v>Писатель </v>
      </c>
      <c r="X2506" s="385"/>
    </row>
    <row r="2507">
      <c r="A2507" s="384" t="s">
        <v>107</v>
      </c>
      <c r="B2507" s="384" t="s">
        <v>269</v>
      </c>
      <c r="C2507" s="389"/>
      <c r="D2507" s="389">
        <v>2.5</v>
      </c>
      <c r="E2507" s="384" t="s">
        <v>263</v>
      </c>
      <c r="F2507" s="389"/>
      <c r="G2507" s="389"/>
      <c r="T2507" s="384" t="str">
        <f>IFERROR(__xludf.DUMMYFUNCTION("""COMPUTED_VALUE"""),"BWDMoscow")</f>
        <v>BWDMoscow</v>
      </c>
      <c r="U2507" s="385"/>
      <c r="W2507" s="384" t="str">
        <f>IFERROR(__xludf.DUMMYFUNCTION("""COMPUTED_VALUE"""),"Правда ")</f>
        <v>Правда </v>
      </c>
      <c r="X2507" s="385"/>
    </row>
    <row r="2508">
      <c r="A2508" s="384" t="s">
        <v>136</v>
      </c>
      <c r="B2508" s="384" t="s">
        <v>261</v>
      </c>
      <c r="C2508" s="389">
        <v>2.5</v>
      </c>
      <c r="D2508" s="389">
        <v>3.5</v>
      </c>
      <c r="E2508" s="384"/>
      <c r="F2508" s="389"/>
      <c r="G2508" s="389"/>
      <c r="T2508" s="384" t="str">
        <f>IFERROR(__xludf.DUMMYFUNCTION("""COMPUTED_VALUE"""),"Castor Troy ")</f>
        <v>Castor Troy </v>
      </c>
      <c r="U2508" s="385"/>
      <c r="W2508" s="384" t="str">
        <f>IFERROR(__xludf.DUMMYFUNCTION("""COMPUTED_VALUE"""),"Продюсер")</f>
        <v>Продюсер</v>
      </c>
      <c r="X2508" s="385"/>
    </row>
    <row r="2509">
      <c r="A2509" s="384" t="s">
        <v>100</v>
      </c>
      <c r="B2509" s="384" t="s">
        <v>269</v>
      </c>
      <c r="C2509" s="389"/>
      <c r="D2509" s="389">
        <v>2.0</v>
      </c>
      <c r="E2509" s="384"/>
      <c r="F2509" s="389"/>
      <c r="G2509" s="389"/>
      <c r="T2509" s="384" t="str">
        <f>IFERROR(__xludf.DUMMYFUNCTION("""COMPUTED_VALUE"""),"Cristo")</f>
        <v>Cristo</v>
      </c>
      <c r="U2509" s="385"/>
      <c r="W2509" s="384" t="str">
        <f>IFERROR(__xludf.DUMMYFUNCTION("""COMPUTED_VALUE"""),"РФ")</f>
        <v>РФ</v>
      </c>
      <c r="X2509" s="385"/>
    </row>
    <row r="2510">
      <c r="A2510" s="384" t="s">
        <v>122</v>
      </c>
      <c r="B2510" s="384" t="s">
        <v>261</v>
      </c>
      <c r="C2510" s="389">
        <v>2.5</v>
      </c>
      <c r="D2510" s="389">
        <v>3.75</v>
      </c>
      <c r="E2510" s="384"/>
      <c r="F2510" s="389"/>
      <c r="G2510" s="389"/>
      <c r="T2510" s="384" t="str">
        <f>IFERROR(__xludf.DUMMYFUNCTION("""COMPUTED_VALUE"""),"Curly")</f>
        <v>Curly</v>
      </c>
      <c r="U2510" s="385"/>
      <c r="W2510" s="384" t="str">
        <f>IFERROR(__xludf.DUMMYFUNCTION("""COMPUTED_VALUE"""),"Старый")</f>
        <v>Старый</v>
      </c>
      <c r="X2510" s="385"/>
    </row>
    <row r="2511">
      <c r="A2511" s="384" t="s">
        <v>103</v>
      </c>
      <c r="B2511" s="384" t="s">
        <v>261</v>
      </c>
      <c r="C2511" s="389">
        <v>2.5</v>
      </c>
      <c r="D2511" s="389">
        <v>3.0</v>
      </c>
      <c r="E2511" s="384" t="s">
        <v>260</v>
      </c>
      <c r="F2511" s="389"/>
      <c r="G2511" s="389"/>
      <c r="T2511" s="384" t="str">
        <f>IFERROR(__xludf.DUMMYFUNCTION("""COMPUTED_VALUE"""),"GALAY")</f>
        <v>GALAY</v>
      </c>
      <c r="U2511" s="385"/>
      <c r="W2511" s="384" t="str">
        <f>IFERROR(__xludf.DUMMYFUNCTION("""COMPUTED_VALUE"""),"Coach")</f>
        <v>Coach</v>
      </c>
      <c r="X2511" s="385"/>
    </row>
    <row r="2512">
      <c r="A2512" s="384" t="s">
        <v>98</v>
      </c>
      <c r="B2512" s="384" t="s">
        <v>265</v>
      </c>
      <c r="C2512" s="389"/>
      <c r="D2512" s="389">
        <v>1.25</v>
      </c>
      <c r="E2512" s="384"/>
      <c r="F2512" s="389"/>
      <c r="G2512" s="389"/>
      <c r="T2512" s="384" t="str">
        <f>IFERROR(__xludf.DUMMYFUNCTION("""COMPUTED_VALUE"""),"Helga")</f>
        <v>Helga</v>
      </c>
      <c r="U2512" s="385"/>
      <c r="W2512" s="384" t="str">
        <f>IFERROR(__xludf.DUMMYFUNCTION("""COMPUTED_VALUE"""),"Тихий закат")</f>
        <v>Тихий закат</v>
      </c>
      <c r="X2512" s="385"/>
    </row>
    <row r="2513">
      <c r="A2513" s="384" t="s">
        <v>79</v>
      </c>
      <c r="B2513" s="384" t="s">
        <v>261</v>
      </c>
      <c r="C2513" s="389"/>
      <c r="D2513" s="389">
        <v>1.5</v>
      </c>
      <c r="E2513" s="384"/>
      <c r="F2513" s="389"/>
      <c r="G2513" s="389"/>
      <c r="T2513" s="384" t="str">
        <f>IFERROR(__xludf.DUMMYFUNCTION("""COMPUTED_VALUE"""),"Infinity ")</f>
        <v>Infinity </v>
      </c>
      <c r="U2513" s="385"/>
      <c r="W2513" s="384" t="str">
        <f>IFERROR(__xludf.DUMMYFUNCTION("""COMPUTED_VALUE"""),"Фокс")</f>
        <v>Фокс</v>
      </c>
      <c r="X2513" s="385"/>
    </row>
    <row r="2514">
      <c r="A2514" s="384" t="s">
        <v>132</v>
      </c>
      <c r="B2514" s="384" t="s">
        <v>261</v>
      </c>
      <c r="C2514" s="389"/>
      <c r="D2514" s="389">
        <v>2.5</v>
      </c>
      <c r="E2514" s="384" t="s">
        <v>11</v>
      </c>
      <c r="F2514" s="389"/>
      <c r="G2514" s="389">
        <v>0.5</v>
      </c>
      <c r="T2514" s="384" t="str">
        <f>IFERROR(__xludf.DUMMYFUNCTION("""COMPUTED_VALUE"""),"Light")</f>
        <v>Light</v>
      </c>
      <c r="U2514" s="385"/>
      <c r="W2514" s="384" t="str">
        <f>IFERROR(__xludf.DUMMYFUNCTION("""COMPUTED_VALUE"""),"Шоу Бой")</f>
        <v>Шоу Бой</v>
      </c>
      <c r="X2514" s="385"/>
    </row>
    <row r="2515">
      <c r="A2515" s="384" t="s">
        <v>93</v>
      </c>
      <c r="B2515" s="384" t="s">
        <v>261</v>
      </c>
      <c r="C2515" s="389"/>
      <c r="D2515" s="389">
        <v>3.5</v>
      </c>
      <c r="E2515" s="384"/>
      <c r="F2515" s="389"/>
      <c r="G2515" s="389"/>
      <c r="T2515" s="384" t="str">
        <f>IFERROR(__xludf.DUMMYFUNCTION("""COMPUTED_VALUE"""),"Morti")</f>
        <v>Morti</v>
      </c>
      <c r="U2515" s="385"/>
      <c r="W2515" s="384" t="str">
        <f>IFERROR(__xludf.DUMMYFUNCTION("""COMPUTED_VALUE"""),"Шпиц")</f>
        <v>Шпиц</v>
      </c>
      <c r="X2515" s="385"/>
    </row>
    <row r="2516">
      <c r="A2516" s="384" t="s">
        <v>90</v>
      </c>
      <c r="B2516" s="384" t="s">
        <v>265</v>
      </c>
      <c r="C2516" s="389">
        <v>2.5</v>
      </c>
      <c r="D2516" s="389">
        <v>2.0</v>
      </c>
      <c r="E2516" s="384"/>
      <c r="F2516" s="389"/>
      <c r="G2516" s="389"/>
      <c r="T2516" s="384" t="str">
        <f>IFERROR(__xludf.DUMMYFUNCTION("""COMPUTED_VALUE"""),"Rocket woman ")</f>
        <v>Rocket woman </v>
      </c>
      <c r="U2516" s="385"/>
      <c r="W2516" s="384" t="str">
        <f>IFERROR(__xludf.DUMMYFUNCTION("""COMPUTED_VALUE"""),"Юрия")</f>
        <v>Юрия</v>
      </c>
      <c r="X2516" s="385"/>
    </row>
    <row r="2517">
      <c r="A2517" s="384" t="s">
        <v>107</v>
      </c>
      <c r="B2517" s="384" t="s">
        <v>271</v>
      </c>
      <c r="C2517" s="389"/>
      <c r="D2517" s="389">
        <v>3.0</v>
      </c>
      <c r="E2517" s="384"/>
      <c r="F2517" s="389"/>
      <c r="G2517" s="389"/>
      <c r="T2517" s="384" t="str">
        <f>IFERROR(__xludf.DUMMYFUNCTION("""COMPUTED_VALUE"""),"SCHOKK ")</f>
        <v>SCHOKK </v>
      </c>
      <c r="U2517" s="385"/>
      <c r="W2517" s="384" t="str">
        <f>IFERROR(__xludf.DUMMYFUNCTION("""COMPUTED_VALUE"""),"A1 ")</f>
        <v>A1 </v>
      </c>
      <c r="X2517" s="385"/>
    </row>
    <row r="2518">
      <c r="A2518" s="384" t="s">
        <v>136</v>
      </c>
      <c r="B2518" s="384" t="s">
        <v>269</v>
      </c>
      <c r="C2518" s="389">
        <v>2.5</v>
      </c>
      <c r="D2518" s="389">
        <v>4.5</v>
      </c>
      <c r="E2518" s="384"/>
      <c r="F2518" s="389"/>
      <c r="G2518" s="389"/>
      <c r="T2518" s="384" t="str">
        <f>IFERROR(__xludf.DUMMYFUNCTION("""COMPUTED_VALUE"""),"SOVEST")</f>
        <v>SOVEST</v>
      </c>
      <c r="U2518" s="385"/>
      <c r="W2518" s="384" t="str">
        <f>IFERROR(__xludf.DUMMYFUNCTION("""COMPUTED_VALUE"""),"BWDMoscow")</f>
        <v>BWDMoscow</v>
      </c>
      <c r="X2518" s="385"/>
    </row>
    <row r="2519">
      <c r="A2519" s="384" t="s">
        <v>100</v>
      </c>
      <c r="B2519" s="384" t="s">
        <v>261</v>
      </c>
      <c r="C2519" s="389"/>
      <c r="D2519" s="389">
        <v>3.25</v>
      </c>
      <c r="E2519" s="384"/>
      <c r="F2519" s="389"/>
      <c r="G2519" s="389"/>
      <c r="T2519" s="384" t="str">
        <f>IFERROR(__xludf.DUMMYFUNCTION("""COMPUTED_VALUE"""),"Stacy")</f>
        <v>Stacy</v>
      </c>
      <c r="U2519" s="385"/>
      <c r="W2519" s="384" t="str">
        <f>IFERROR(__xludf.DUMMYFUNCTION("""COMPUTED_VALUE"""),"Castor Troy ")</f>
        <v>Castor Troy </v>
      </c>
      <c r="X2519" s="385"/>
    </row>
    <row r="2520">
      <c r="A2520" s="384" t="s">
        <v>122</v>
      </c>
      <c r="B2520" s="384" t="s">
        <v>269</v>
      </c>
      <c r="C2520" s="389">
        <v>2.5</v>
      </c>
      <c r="D2520" s="389">
        <v>3.25</v>
      </c>
      <c r="E2520" s="384"/>
      <c r="F2520" s="389"/>
      <c r="G2520" s="389"/>
      <c r="T2520" s="384" t="str">
        <f>IFERROR(__xludf.DUMMYFUNCTION("""COMPUTED_VALUE"""),"WhoIsWho")</f>
        <v>WhoIsWho</v>
      </c>
      <c r="U2520" s="385"/>
      <c r="W2520" s="384" t="str">
        <f>IFERROR(__xludf.DUMMYFUNCTION("""COMPUTED_VALUE"""),"Cristo")</f>
        <v>Cristo</v>
      </c>
      <c r="X2520" s="385"/>
    </row>
    <row r="2521">
      <c r="A2521" s="384" t="s">
        <v>103</v>
      </c>
      <c r="B2521" s="384" t="s">
        <v>261</v>
      </c>
      <c r="C2521" s="389"/>
      <c r="D2521" s="389">
        <v>3.5</v>
      </c>
      <c r="E2521" s="384"/>
      <c r="F2521" s="389"/>
      <c r="G2521" s="389"/>
      <c r="T2521" s="384" t="str">
        <f>IFERROR(__xludf.DUMMYFUNCTION("""COMPUTED_VALUE"""),"Young")</f>
        <v>Young</v>
      </c>
      <c r="U2521" s="385"/>
      <c r="W2521" s="384" t="str">
        <f>IFERROR(__xludf.DUMMYFUNCTION("""COMPUTED_VALUE"""),"Curly")</f>
        <v>Curly</v>
      </c>
      <c r="X2521" s="385"/>
    </row>
    <row r="2522">
      <c r="A2522" s="384" t="s">
        <v>98</v>
      </c>
      <c r="B2522" s="384" t="s">
        <v>261</v>
      </c>
      <c r="C2522" s="389"/>
      <c r="D2522" s="389">
        <v>2.75</v>
      </c>
      <c r="E2522" s="384"/>
      <c r="F2522" s="389"/>
      <c r="G2522" s="389"/>
      <c r="T2522" s="384" t="str">
        <f>IFERROR(__xludf.DUMMYFUNCTION("QUERY('Турнирная таблица по Алфавиту'!C7:BK66,""select C,BJ order by BJ desc"")"),"MSR")</f>
        <v>MSR</v>
      </c>
      <c r="U2522" s="385">
        <f>IFERROR(__xludf.DUMMYFUNCTION("""COMPUTED_VALUE"""),28.0)</f>
        <v>28</v>
      </c>
      <c r="W2522" s="384" t="str">
        <f>IFERROR(__xludf.DUMMYFUNCTION("""COMPUTED_VALUE"""),"GALAY")</f>
        <v>GALAY</v>
      </c>
      <c r="X2522" s="385"/>
    </row>
    <row r="2523">
      <c r="A2523" s="384" t="s">
        <v>79</v>
      </c>
      <c r="B2523" s="384" t="s">
        <v>261</v>
      </c>
      <c r="C2523" s="389"/>
      <c r="D2523" s="389">
        <v>3.25</v>
      </c>
      <c r="E2523" s="384"/>
      <c r="F2523" s="389"/>
      <c r="G2523" s="389"/>
      <c r="T2523" s="384" t="str">
        <f>IFERROR(__xludf.DUMMYFUNCTION("""COMPUTED_VALUE"""),"Тихий закат")</f>
        <v>Тихий закат</v>
      </c>
      <c r="U2523" s="385">
        <f>IFERROR(__xludf.DUMMYFUNCTION("""COMPUTED_VALUE"""),22.25)</f>
        <v>22.25</v>
      </c>
      <c r="W2523" s="384" t="str">
        <f>IFERROR(__xludf.DUMMYFUNCTION("""COMPUTED_VALUE"""),"Infinity ")</f>
        <v>Infinity </v>
      </c>
      <c r="X2523" s="385"/>
    </row>
    <row r="2524">
      <c r="A2524" s="384" t="s">
        <v>132</v>
      </c>
      <c r="B2524" s="384" t="s">
        <v>261</v>
      </c>
      <c r="C2524" s="389"/>
      <c r="D2524" s="389">
        <v>1.5</v>
      </c>
      <c r="E2524" s="384"/>
      <c r="F2524" s="389"/>
      <c r="G2524" s="389"/>
      <c r="T2524" s="384" t="str">
        <f>IFERROR(__xludf.DUMMYFUNCTION("""COMPUTED_VALUE"""),"Манекен")</f>
        <v>Манекен</v>
      </c>
      <c r="U2524" s="385">
        <f>IFERROR(__xludf.DUMMYFUNCTION("""COMPUTED_VALUE"""),21.75)</f>
        <v>21.75</v>
      </c>
      <c r="W2524" s="384" t="str">
        <f>IFERROR(__xludf.DUMMYFUNCTION("""COMPUTED_VALUE"""),"Ketamin")</f>
        <v>Ketamin</v>
      </c>
      <c r="X2524" s="385"/>
    </row>
    <row r="2525">
      <c r="A2525" s="384" t="s">
        <v>93</v>
      </c>
      <c r="B2525" s="384" t="s">
        <v>265</v>
      </c>
      <c r="C2525" s="389">
        <v>2.5</v>
      </c>
      <c r="D2525" s="389">
        <v>4.0</v>
      </c>
      <c r="E2525" s="384"/>
      <c r="F2525" s="389"/>
      <c r="G2525" s="389"/>
      <c r="T2525" s="384" t="str">
        <f>IFERROR(__xludf.DUMMYFUNCTION("""COMPUTED_VALUE"""),"Лисичка")</f>
        <v>Лисичка</v>
      </c>
      <c r="U2525" s="385">
        <f>IFERROR(__xludf.DUMMYFUNCTION("""COMPUTED_VALUE"""),21.25)</f>
        <v>21.25</v>
      </c>
      <c r="W2525" s="384" t="str">
        <f>IFERROR(__xludf.DUMMYFUNCTION("""COMPUTED_VALUE"""),"Light")</f>
        <v>Light</v>
      </c>
      <c r="X2525" s="385"/>
    </row>
    <row r="2526">
      <c r="A2526" s="384" t="s">
        <v>90</v>
      </c>
      <c r="B2526" s="384" t="s">
        <v>269</v>
      </c>
      <c r="C2526" s="389">
        <v>2.5</v>
      </c>
      <c r="D2526" s="389">
        <v>4.25</v>
      </c>
      <c r="E2526" s="384"/>
      <c r="F2526" s="389"/>
      <c r="G2526" s="389"/>
      <c r="T2526" s="384" t="str">
        <f>IFERROR(__xludf.DUMMYFUNCTION("""COMPUTED_VALUE"""),"Старый")</f>
        <v>Старый</v>
      </c>
      <c r="U2526" s="385">
        <f>IFERROR(__xludf.DUMMYFUNCTION("""COMPUTED_VALUE"""),21.25)</f>
        <v>21.25</v>
      </c>
      <c r="W2526" s="384" t="str">
        <f>IFERROR(__xludf.DUMMYFUNCTION("""COMPUTED_VALUE"""),"Morti")</f>
        <v>Morti</v>
      </c>
      <c r="X2526" s="385"/>
    </row>
    <row r="2527">
      <c r="A2527" s="384" t="s">
        <v>107</v>
      </c>
      <c r="B2527" s="384" t="s">
        <v>261</v>
      </c>
      <c r="C2527" s="389"/>
      <c r="D2527" s="389">
        <v>2.75</v>
      </c>
      <c r="E2527" s="384" t="s">
        <v>11</v>
      </c>
      <c r="F2527" s="389">
        <v>0.5</v>
      </c>
      <c r="G2527" s="389">
        <v>0.5</v>
      </c>
      <c r="T2527" s="384" t="str">
        <f>IFERROR(__xludf.DUMMYFUNCTION("""COMPUTED_VALUE"""),"Young")</f>
        <v>Young</v>
      </c>
      <c r="U2527" s="385">
        <f>IFERROR(__xludf.DUMMYFUNCTION("""COMPUTED_VALUE"""),19.0)</f>
        <v>19</v>
      </c>
      <c r="W2527" s="384" t="str">
        <f>IFERROR(__xludf.DUMMYFUNCTION("""COMPUTED_VALUE"""),"MSR")</f>
        <v>MSR</v>
      </c>
      <c r="X2527" s="385"/>
    </row>
    <row r="2528">
      <c r="A2528" s="384" t="s">
        <v>136</v>
      </c>
      <c r="B2528" s="384" t="s">
        <v>261</v>
      </c>
      <c r="C2528" s="389"/>
      <c r="D2528" s="389">
        <v>2.25</v>
      </c>
      <c r="E2528" s="384"/>
      <c r="F2528" s="389"/>
      <c r="G2528" s="389"/>
      <c r="T2528" s="384" t="str">
        <f>IFERROR(__xludf.DUMMYFUNCTION("""COMPUTED_VALUE"""),"Наполеон")</f>
        <v>Наполеон</v>
      </c>
      <c r="U2528" s="385">
        <f>IFERROR(__xludf.DUMMYFUNCTION("""COMPUTED_VALUE"""),16.5)</f>
        <v>16.5</v>
      </c>
      <c r="W2528" s="384" t="str">
        <f>IFERROR(__xludf.DUMMYFUNCTION("""COMPUTED_VALUE"""),"NLIP")</f>
        <v>NLIP</v>
      </c>
      <c r="X2528" s="385"/>
    </row>
    <row r="2529">
      <c r="A2529" s="384" t="s">
        <v>100</v>
      </c>
      <c r="B2529" s="384" t="s">
        <v>271</v>
      </c>
      <c r="C2529" s="389"/>
      <c r="D2529" s="389">
        <v>2.0</v>
      </c>
      <c r="E2529" s="384"/>
      <c r="F2529" s="389"/>
      <c r="G2529" s="389"/>
      <c r="T2529" s="384" t="str">
        <f>IFERROR(__xludf.DUMMYFUNCTION("""COMPUTED_VALUE"""),"Маваши")</f>
        <v>Маваши</v>
      </c>
      <c r="U2529" s="385">
        <f>IFERROR(__xludf.DUMMYFUNCTION("""COMPUTED_VALUE"""),15.0)</f>
        <v>15</v>
      </c>
      <c r="W2529" s="384" t="str">
        <f>IFERROR(__xludf.DUMMYFUNCTION("""COMPUTED_VALUE"""),"SOVEST")</f>
        <v>SOVEST</v>
      </c>
      <c r="X2529" s="385"/>
    </row>
    <row r="2530">
      <c r="A2530" s="384" t="s">
        <v>122</v>
      </c>
      <c r="B2530" s="384" t="s">
        <v>261</v>
      </c>
      <c r="C2530" s="389"/>
      <c r="D2530" s="389">
        <v>2.5</v>
      </c>
      <c r="E2530" s="384"/>
      <c r="F2530" s="389"/>
      <c r="G2530" s="389"/>
      <c r="T2530" s="384" t="str">
        <f>IFERROR(__xludf.DUMMYFUNCTION("""COMPUTED_VALUE"""),"Продюсер")</f>
        <v>Продюсер</v>
      </c>
      <c r="U2530" s="385">
        <f>IFERROR(__xludf.DUMMYFUNCTION("""COMPUTED_VALUE"""),13.75)</f>
        <v>13.75</v>
      </c>
      <c r="W2530" s="384" t="str">
        <f>IFERROR(__xludf.DUMMYFUNCTION("""COMPUTED_VALUE"""),"Stacy")</f>
        <v>Stacy</v>
      </c>
      <c r="X2530" s="385"/>
    </row>
    <row r="2531">
      <c r="A2531" s="384" t="s">
        <v>103</v>
      </c>
      <c r="B2531" s="384" t="s">
        <v>269</v>
      </c>
      <c r="C2531" s="389">
        <v>2.5</v>
      </c>
      <c r="D2531" s="389">
        <v>3.25</v>
      </c>
      <c r="E2531" s="384"/>
      <c r="F2531" s="389"/>
      <c r="G2531" s="389"/>
      <c r="T2531" s="384" t="str">
        <f>IFERROR(__xludf.DUMMYFUNCTION("""COMPUTED_VALUE"""),"Light")</f>
        <v>Light</v>
      </c>
      <c r="U2531" s="385">
        <f>IFERROR(__xludf.DUMMYFUNCTION("""COMPUTED_VALUE"""),13.75)</f>
        <v>13.75</v>
      </c>
      <c r="W2531" s="384" t="str">
        <f>IFERROR(__xludf.DUMMYFUNCTION("""COMPUTED_VALUE"""),"WhoIsWho")</f>
        <v>WhoIsWho</v>
      </c>
      <c r="X2531" s="385"/>
    </row>
    <row r="2532">
      <c r="A2532" s="384" t="s">
        <v>98</v>
      </c>
      <c r="B2532" s="384" t="s">
        <v>261</v>
      </c>
      <c r="C2532" s="389"/>
      <c r="D2532" s="389">
        <v>1.75</v>
      </c>
      <c r="E2532" s="384"/>
      <c r="F2532" s="389"/>
      <c r="G2532" s="389"/>
      <c r="T2532" s="384" t="str">
        <f>IFERROR(__xludf.DUMMYFUNCTION("""COMPUTED_VALUE"""),"Авраам")</f>
        <v>Авраам</v>
      </c>
      <c r="U2532" s="385"/>
      <c r="W2532" s="384" t="str">
        <f>IFERROR(__xludf.DUMMYFUNCTION("""COMPUTED_VALUE"""),"Young")</f>
        <v>Young</v>
      </c>
      <c r="X2532" s="385"/>
    </row>
    <row r="2533">
      <c r="A2533" s="384" t="s">
        <v>79</v>
      </c>
      <c r="B2533" s="384" t="s">
        <v>261</v>
      </c>
      <c r="C2533" s="389"/>
      <c r="D2533" s="389">
        <v>0.5</v>
      </c>
      <c r="E2533" s="384"/>
      <c r="F2533" s="389"/>
      <c r="G2533" s="389"/>
      <c r="T2533" s="384" t="str">
        <f>IFERROR(__xludf.DUMMYFUNCTION("""COMPUTED_VALUE"""),"Админ")</f>
        <v>Админ</v>
      </c>
      <c r="U2533" s="385"/>
      <c r="W2533" s="384" t="str">
        <f>IFERROR(__xludf.DUMMYFUNCTION("""COMPUTED_VALUE"""),"Авраам")</f>
        <v>Авраам</v>
      </c>
      <c r="X2533" s="385"/>
    </row>
    <row r="2534">
      <c r="A2534" s="384" t="s">
        <v>132</v>
      </c>
      <c r="B2534" s="384" t="s">
        <v>271</v>
      </c>
      <c r="C2534" s="389"/>
      <c r="D2534" s="389">
        <v>2.5</v>
      </c>
      <c r="E2534" s="384"/>
      <c r="F2534" s="389"/>
      <c r="G2534" s="389"/>
      <c r="T2534" s="384" t="str">
        <f>IFERROR(__xludf.DUMMYFUNCTION("""COMPUTED_VALUE"""),"Андерсен")</f>
        <v>Андерсен</v>
      </c>
      <c r="U2534" s="385"/>
      <c r="W2534" s="384" t="str">
        <f>IFERROR(__xludf.DUMMYFUNCTION("""COMPUTED_VALUE"""),"Админ")</f>
        <v>Админ</v>
      </c>
      <c r="X2534" s="385"/>
    </row>
    <row r="2535">
      <c r="A2535" s="384" t="s">
        <v>93</v>
      </c>
      <c r="B2535" s="384" t="s">
        <v>269</v>
      </c>
      <c r="C2535" s="389">
        <v>2.5</v>
      </c>
      <c r="D2535" s="389">
        <v>3.5</v>
      </c>
      <c r="E2535" s="384"/>
      <c r="F2535" s="389"/>
      <c r="G2535" s="389"/>
      <c r="T2535" s="384" t="str">
        <f>IFERROR(__xludf.DUMMYFUNCTION("""COMPUTED_VALUE"""),"Артик")</f>
        <v>Артик</v>
      </c>
      <c r="U2535" s="385"/>
      <c r="W2535" s="384" t="str">
        <f>IFERROR(__xludf.DUMMYFUNCTION("""COMPUTED_VALUE"""),"Андерсен")</f>
        <v>Андерсен</v>
      </c>
      <c r="X2535" s="385"/>
    </row>
    <row r="2536">
      <c r="A2536" s="384" t="s">
        <v>90</v>
      </c>
      <c r="B2536" s="384" t="s">
        <v>261</v>
      </c>
      <c r="C2536" s="389"/>
      <c r="D2536" s="389">
        <v>1.75</v>
      </c>
      <c r="E2536" s="384"/>
      <c r="F2536" s="389"/>
      <c r="G2536" s="389"/>
      <c r="T2536" s="384" t="str">
        <f>IFERROR(__xludf.DUMMYFUNCTION("""COMPUTED_VALUE"""),"Астория")</f>
        <v>Астория</v>
      </c>
      <c r="U2536" s="385"/>
      <c r="W2536" s="384" t="str">
        <f>IFERROR(__xludf.DUMMYFUNCTION("""COMPUTED_VALUE"""),"Артик")</f>
        <v>Артик</v>
      </c>
      <c r="X2536" s="385"/>
    </row>
    <row r="2537">
      <c r="A2537" s="384" t="s">
        <v>107</v>
      </c>
      <c r="B2537" s="384" t="s">
        <v>269</v>
      </c>
      <c r="C2537" s="389">
        <v>2.5</v>
      </c>
      <c r="D2537" s="389">
        <v>3.75</v>
      </c>
      <c r="E2537" s="384"/>
      <c r="F2537" s="389"/>
      <c r="G2537" s="389"/>
      <c r="T2537" s="384" t="str">
        <f>IFERROR(__xludf.DUMMYFUNCTION("""COMPUTED_VALUE"""),"Аш")</f>
        <v>Аш</v>
      </c>
      <c r="U2537" s="385"/>
      <c r="W2537" s="384" t="str">
        <f>IFERROR(__xludf.DUMMYFUNCTION("""COMPUTED_VALUE"""),"Астория")</f>
        <v>Астория</v>
      </c>
      <c r="X2537" s="385"/>
    </row>
    <row r="2538">
      <c r="A2538" s="384" t="s">
        <v>136</v>
      </c>
      <c r="B2538" s="384" t="s">
        <v>261</v>
      </c>
      <c r="C2538" s="389"/>
      <c r="D2538" s="389">
        <v>2.25</v>
      </c>
      <c r="E2538" s="384" t="s">
        <v>11</v>
      </c>
      <c r="F2538" s="389"/>
      <c r="G2538" s="389">
        <v>0.5</v>
      </c>
      <c r="T2538" s="384" t="str">
        <f>IFERROR(__xludf.DUMMYFUNCTION("""COMPUTED_VALUE"""),"Бамблби")</f>
        <v>Бамблби</v>
      </c>
      <c r="U2538" s="385"/>
      <c r="W2538" s="384" t="str">
        <f>IFERROR(__xludf.DUMMYFUNCTION("""COMPUTED_VALUE"""),"Аш")</f>
        <v>Аш</v>
      </c>
      <c r="X2538" s="385"/>
    </row>
    <row r="2539">
      <c r="A2539" s="384" t="s">
        <v>100</v>
      </c>
      <c r="B2539" s="384" t="s">
        <v>265</v>
      </c>
      <c r="C2539" s="389">
        <v>2.5</v>
      </c>
      <c r="D2539" s="389">
        <v>4.0</v>
      </c>
      <c r="E2539" s="384"/>
      <c r="F2539" s="389"/>
      <c r="G2539" s="389"/>
      <c r="T2539" s="384" t="str">
        <f>IFERROR(__xludf.DUMMYFUNCTION("""COMPUTED_VALUE"""),"Волга")</f>
        <v>Волга</v>
      </c>
      <c r="U2539" s="385"/>
      <c r="W2539" s="384" t="str">
        <f>IFERROR(__xludf.DUMMYFUNCTION("""COMPUTED_VALUE"""),"Бамблби")</f>
        <v>Бамблби</v>
      </c>
      <c r="X2539" s="385"/>
    </row>
    <row r="2540">
      <c r="A2540" s="384" t="s">
        <v>122</v>
      </c>
      <c r="B2540" s="384" t="s">
        <v>261</v>
      </c>
      <c r="C2540" s="389"/>
      <c r="D2540" s="389">
        <v>3.0</v>
      </c>
      <c r="E2540" s="384"/>
      <c r="F2540" s="389"/>
      <c r="G2540" s="389"/>
      <c r="T2540" s="384" t="str">
        <f>IFERROR(__xludf.DUMMYFUNCTION("""COMPUTED_VALUE"""),"Градиент")</f>
        <v>Градиент</v>
      </c>
      <c r="U2540" s="385"/>
      <c r="W2540" s="384" t="str">
        <f>IFERROR(__xludf.DUMMYFUNCTION("""COMPUTED_VALUE"""),"Градиент")</f>
        <v>Градиент</v>
      </c>
      <c r="X2540" s="385"/>
    </row>
    <row r="2541">
      <c r="A2541" s="384" t="s">
        <v>103</v>
      </c>
      <c r="B2541" s="384" t="s">
        <v>261</v>
      </c>
      <c r="C2541" s="389"/>
      <c r="D2541" s="389">
        <v>1.25</v>
      </c>
      <c r="E2541" s="384"/>
      <c r="F2541" s="389"/>
      <c r="G2541" s="389"/>
      <c r="T2541" s="384" t="str">
        <f>IFERROR(__xludf.DUMMYFUNCTION("""COMPUTED_VALUE"""),"Дровосек")</f>
        <v>Дровосек</v>
      </c>
      <c r="U2541" s="385"/>
      <c r="W2541" s="384" t="str">
        <f>IFERROR(__xludf.DUMMYFUNCTION("""COMPUTED_VALUE"""),"Дровосек")</f>
        <v>Дровосек</v>
      </c>
      <c r="X2541" s="385"/>
    </row>
    <row r="2542">
      <c r="A2542" s="384" t="s">
        <v>98</v>
      </c>
      <c r="B2542" s="384" t="s">
        <v>261</v>
      </c>
      <c r="C2542" s="389"/>
      <c r="D2542" s="389">
        <v>2.0</v>
      </c>
      <c r="E2542" s="384"/>
      <c r="F2542" s="389"/>
      <c r="G2542" s="389"/>
      <c r="T2542" s="384" t="str">
        <f>IFERROR(__xludf.DUMMYFUNCTION("""COMPUTED_VALUE"""),"Зверюга")</f>
        <v>Зверюга</v>
      </c>
      <c r="U2542" s="385"/>
      <c r="W2542" s="384" t="str">
        <f>IFERROR(__xludf.DUMMYFUNCTION("""COMPUTED_VALUE"""),"Зверюга")</f>
        <v>Зверюга</v>
      </c>
      <c r="X2542" s="385"/>
    </row>
    <row r="2543">
      <c r="A2543" s="384" t="s">
        <v>79</v>
      </c>
      <c r="B2543" s="384" t="s">
        <v>261</v>
      </c>
      <c r="C2543" s="389">
        <v>2.5</v>
      </c>
      <c r="D2543" s="389">
        <v>3.25</v>
      </c>
      <c r="E2543" s="384"/>
      <c r="F2543" s="389"/>
      <c r="G2543" s="389"/>
      <c r="T2543" s="384" t="str">
        <f>IFERROR(__xludf.DUMMYFUNCTION("""COMPUTED_VALUE"""),"Инсомнич")</f>
        <v>Инсомнич</v>
      </c>
      <c r="U2543" s="385"/>
      <c r="W2543" s="384" t="str">
        <f>IFERROR(__xludf.DUMMYFUNCTION("""COMPUTED_VALUE"""),"Инсомнич")</f>
        <v>Инсомнич</v>
      </c>
      <c r="X2543" s="385"/>
    </row>
    <row r="2544">
      <c r="A2544" s="384" t="s">
        <v>132</v>
      </c>
      <c r="B2544" s="384" t="s">
        <v>269</v>
      </c>
      <c r="C2544" s="389"/>
      <c r="D2544" s="389">
        <v>3.0</v>
      </c>
      <c r="E2544" s="384"/>
      <c r="F2544" s="389"/>
      <c r="G2544" s="389"/>
      <c r="T2544" s="384" t="str">
        <f>IFERROR(__xludf.DUMMYFUNCTION("""COMPUTED_VALUE"""),"Красавчик")</f>
        <v>Красавчик</v>
      </c>
      <c r="U2544" s="385"/>
      <c r="W2544" s="384" t="str">
        <f>IFERROR(__xludf.DUMMYFUNCTION("""COMPUTED_VALUE"""),"Красавчик")</f>
        <v>Красавчик</v>
      </c>
      <c r="X2544" s="385"/>
    </row>
    <row r="2545">
      <c r="A2545" s="384" t="s">
        <v>93</v>
      </c>
      <c r="B2545" s="384" t="s">
        <v>271</v>
      </c>
      <c r="C2545" s="389">
        <v>2.5</v>
      </c>
      <c r="D2545" s="389">
        <v>3.25</v>
      </c>
      <c r="E2545" s="384" t="s">
        <v>11</v>
      </c>
      <c r="F2545" s="389">
        <v>0.5</v>
      </c>
      <c r="G2545" s="389">
        <v>0.5</v>
      </c>
      <c r="T2545" s="384" t="str">
        <f>IFERROR(__xludf.DUMMYFUNCTION("""COMPUTED_VALUE"""),"Крестный отец (BLR)")</f>
        <v>Крестный отец (BLR)</v>
      </c>
      <c r="U2545" s="385"/>
      <c r="W2545" s="384" t="str">
        <f>IFERROR(__xludf.DUMMYFUNCTION("""COMPUTED_VALUE"""),"Крестный отец (BLR)")</f>
        <v>Крестный отец (BLR)</v>
      </c>
      <c r="X2545" s="385"/>
    </row>
    <row r="2546">
      <c r="A2546" s="384" t="s">
        <v>90</v>
      </c>
      <c r="B2546" s="384" t="s">
        <v>261</v>
      </c>
      <c r="C2546" s="389">
        <v>2.5</v>
      </c>
      <c r="D2546" s="389">
        <v>3.0</v>
      </c>
      <c r="E2546" s="384"/>
      <c r="F2546" s="389"/>
      <c r="G2546" s="389"/>
      <c r="T2546" s="384" t="str">
        <f>IFERROR(__xludf.DUMMYFUNCTION("""COMPUTED_VALUE"""),"Крёстный Отец (RU)")</f>
        <v>Крёстный Отец (RU)</v>
      </c>
      <c r="U2546" s="385"/>
      <c r="W2546" s="384" t="str">
        <f>IFERROR(__xludf.DUMMYFUNCTION("""COMPUTED_VALUE"""),"Крёстный Отец (RU)")</f>
        <v>Крёстный Отец (RU)</v>
      </c>
      <c r="X2546" s="385"/>
    </row>
    <row r="2547">
      <c r="A2547" s="384" t="s">
        <v>107</v>
      </c>
      <c r="B2547" s="384" t="s">
        <v>261</v>
      </c>
      <c r="C2547" s="389">
        <v>2.5</v>
      </c>
      <c r="D2547" s="389">
        <v>3.5</v>
      </c>
      <c r="E2547" s="384"/>
      <c r="F2547" s="389"/>
      <c r="G2547" s="389"/>
      <c r="T2547" s="384" t="str">
        <f>IFERROR(__xludf.DUMMYFUNCTION("""COMPUTED_VALUE"""),"Крот")</f>
        <v>Крот</v>
      </c>
      <c r="U2547" s="385"/>
      <c r="W2547" s="384" t="str">
        <f>IFERROR(__xludf.DUMMYFUNCTION("""COMPUTED_VALUE"""),"Крот")</f>
        <v>Крот</v>
      </c>
      <c r="X2547" s="385"/>
    </row>
    <row r="2548">
      <c r="A2548" s="384" t="s">
        <v>136</v>
      </c>
      <c r="B2548" s="384" t="s">
        <v>269</v>
      </c>
      <c r="C2548" s="389"/>
      <c r="D2548" s="389">
        <v>1.75</v>
      </c>
      <c r="E2548" s="384"/>
      <c r="F2548" s="389"/>
      <c r="G2548" s="389"/>
      <c r="T2548" s="384" t="str">
        <f>IFERROR(__xludf.DUMMYFUNCTION("""COMPUTED_VALUE"""),"Левша")</f>
        <v>Левша</v>
      </c>
      <c r="U2548" s="385"/>
      <c r="W2548" s="384" t="str">
        <f>IFERROR(__xludf.DUMMYFUNCTION("""COMPUTED_VALUE"""),"Левша")</f>
        <v>Левша</v>
      </c>
      <c r="X2548" s="385"/>
    </row>
    <row r="2549">
      <c r="A2549" s="384" t="s">
        <v>100</v>
      </c>
      <c r="B2549" s="384" t="s">
        <v>261</v>
      </c>
      <c r="C2549" s="389">
        <v>2.5</v>
      </c>
      <c r="D2549" s="389">
        <v>3.25</v>
      </c>
      <c r="E2549" s="384"/>
      <c r="F2549" s="389"/>
      <c r="G2549" s="389"/>
      <c r="T2549" s="384" t="str">
        <f>IFERROR(__xludf.DUMMYFUNCTION("""COMPUTED_VALUE"""),"Марго")</f>
        <v>Марго</v>
      </c>
      <c r="U2549" s="385"/>
      <c r="W2549" s="384" t="str">
        <f>IFERROR(__xludf.DUMMYFUNCTION("""COMPUTED_VALUE"""),"Лисичка")</f>
        <v>Лисичка</v>
      </c>
      <c r="X2549" s="385"/>
    </row>
    <row r="2550">
      <c r="A2550" s="384" t="s">
        <v>122</v>
      </c>
      <c r="B2550" s="384" t="s">
        <v>261</v>
      </c>
      <c r="C2550" s="389">
        <v>2.5</v>
      </c>
      <c r="D2550" s="389">
        <v>3.5</v>
      </c>
      <c r="E2550" s="384" t="s">
        <v>260</v>
      </c>
      <c r="F2550" s="389"/>
      <c r="G2550" s="389"/>
      <c r="T2550" s="384" t="str">
        <f>IFERROR(__xludf.DUMMYFUNCTION("""COMPUTED_VALUE"""),"Ментик")</f>
        <v>Ментик</v>
      </c>
      <c r="U2550" s="385"/>
      <c r="W2550" s="384" t="str">
        <f>IFERROR(__xludf.DUMMYFUNCTION("""COMPUTED_VALUE"""),"Маваши")</f>
        <v>Маваши</v>
      </c>
      <c r="X2550" s="385"/>
    </row>
    <row r="2551">
      <c r="A2551" s="384" t="s">
        <v>103</v>
      </c>
      <c r="B2551" s="384" t="s">
        <v>261</v>
      </c>
      <c r="C2551" s="389">
        <v>2.5</v>
      </c>
      <c r="D2551" s="389">
        <v>3.25</v>
      </c>
      <c r="E2551" s="384" t="s">
        <v>260</v>
      </c>
      <c r="F2551" s="389"/>
      <c r="G2551" s="389"/>
      <c r="T2551" s="384" t="str">
        <f>IFERROR(__xludf.DUMMYFUNCTION("""COMPUTED_VALUE"""),"Мишель ")</f>
        <v>Мишель </v>
      </c>
      <c r="U2551" s="385"/>
      <c r="W2551" s="384" t="str">
        <f>IFERROR(__xludf.DUMMYFUNCTION("""COMPUTED_VALUE"""),"Манекен")</f>
        <v>Манекен</v>
      </c>
      <c r="X2551" s="385"/>
    </row>
    <row r="2552">
      <c r="A2552" s="384" t="s">
        <v>98</v>
      </c>
      <c r="B2552" s="384" t="s">
        <v>265</v>
      </c>
      <c r="C2552" s="389"/>
      <c r="D2552" s="389">
        <v>2.5</v>
      </c>
      <c r="E2552" s="384" t="s">
        <v>263</v>
      </c>
      <c r="F2552" s="389"/>
      <c r="G2552" s="389"/>
      <c r="T2552" s="384" t="str">
        <f>IFERROR(__xludf.DUMMYFUNCTION("""COMPUTED_VALUE"""),"Панда из Руанды")</f>
        <v>Панда из Руанды</v>
      </c>
      <c r="U2552" s="385"/>
      <c r="W2552" s="384" t="str">
        <f>IFERROR(__xludf.DUMMYFUNCTION("""COMPUTED_VALUE"""),"Марго")</f>
        <v>Марго</v>
      </c>
      <c r="X2552" s="385"/>
    </row>
    <row r="2553">
      <c r="A2553" s="384" t="s">
        <v>115</v>
      </c>
      <c r="B2553" s="384" t="s">
        <v>265</v>
      </c>
      <c r="C2553" s="389">
        <v>2.5</v>
      </c>
      <c r="D2553" s="389">
        <v>3.25</v>
      </c>
      <c r="E2553" s="384"/>
      <c r="F2553" s="389"/>
      <c r="G2553" s="389"/>
      <c r="T2553" s="384" t="str">
        <f>IFERROR(__xludf.DUMMYFUNCTION("""COMPUTED_VALUE"""),"Писатель ")</f>
        <v>Писатель </v>
      </c>
      <c r="U2553" s="385"/>
      <c r="W2553" s="384" t="str">
        <f>IFERROR(__xludf.DUMMYFUNCTION("""COMPUTED_VALUE"""),"Ментик")</f>
        <v>Ментик</v>
      </c>
      <c r="X2553" s="385"/>
    </row>
    <row r="2554">
      <c r="A2554" s="384" t="s">
        <v>127</v>
      </c>
      <c r="B2554" s="384" t="s">
        <v>269</v>
      </c>
      <c r="C2554" s="389">
        <v>2.5</v>
      </c>
      <c r="D2554" s="389">
        <v>3.75</v>
      </c>
      <c r="E2554" s="384"/>
      <c r="F2554" s="389"/>
      <c r="G2554" s="389"/>
      <c r="T2554" s="384" t="str">
        <f>IFERROR(__xludf.DUMMYFUNCTION("""COMPUTED_VALUE"""),"Правда ")</f>
        <v>Правда </v>
      </c>
      <c r="U2554" s="385"/>
      <c r="W2554" s="384" t="str">
        <f>IFERROR(__xludf.DUMMYFUNCTION("""COMPUTED_VALUE"""),"Наполеон")</f>
        <v>Наполеон</v>
      </c>
      <c r="X2554" s="385"/>
    </row>
    <row r="2555">
      <c r="A2555" s="384" t="s">
        <v>117</v>
      </c>
      <c r="B2555" s="384" t="s">
        <v>261</v>
      </c>
      <c r="C2555" s="389"/>
      <c r="D2555" s="389">
        <v>2.75</v>
      </c>
      <c r="E2555" s="384"/>
      <c r="F2555" s="389"/>
      <c r="G2555" s="389"/>
      <c r="T2555" s="384" t="str">
        <f>IFERROR(__xludf.DUMMYFUNCTION("""COMPUTED_VALUE"""),"РФ")</f>
        <v>РФ</v>
      </c>
      <c r="U2555" s="385"/>
      <c r="W2555" s="384" t="str">
        <f>IFERROR(__xludf.DUMMYFUNCTION("""COMPUTED_VALUE"""),"Панда из Руанды")</f>
        <v>Панда из Руанды</v>
      </c>
      <c r="X2555" s="385"/>
    </row>
    <row r="2556">
      <c r="A2556" s="384" t="s">
        <v>124</v>
      </c>
      <c r="B2556" s="384" t="s">
        <v>261</v>
      </c>
      <c r="C2556" s="389"/>
      <c r="D2556" s="389">
        <v>1.75</v>
      </c>
      <c r="E2556" s="384"/>
      <c r="F2556" s="389"/>
      <c r="G2556" s="389"/>
      <c r="T2556" s="384" t="str">
        <f>IFERROR(__xludf.DUMMYFUNCTION("""COMPUTED_VALUE"""),"СЭНСЭЙ")</f>
        <v>СЭНСЭЙ</v>
      </c>
      <c r="U2556" s="385"/>
      <c r="W2556" s="384" t="str">
        <f>IFERROR(__xludf.DUMMYFUNCTION("""COMPUTED_VALUE"""),"Правда ")</f>
        <v>Правда </v>
      </c>
      <c r="X2556" s="385"/>
    </row>
    <row r="2557">
      <c r="A2557" s="384" t="s">
        <v>116</v>
      </c>
      <c r="B2557" s="384" t="s">
        <v>271</v>
      </c>
      <c r="C2557" s="389"/>
      <c r="D2557" s="389">
        <v>1.5</v>
      </c>
      <c r="E2557" s="384"/>
      <c r="F2557" s="389"/>
      <c r="G2557" s="389"/>
      <c r="T2557" s="384" t="str">
        <f>IFERROR(__xludf.DUMMYFUNCTION("""COMPUTED_VALUE"""),"Coach")</f>
        <v>Coach</v>
      </c>
      <c r="U2557" s="385"/>
      <c r="W2557" s="384" t="str">
        <f>IFERROR(__xludf.DUMMYFUNCTION("""COMPUTED_VALUE"""),"Продюсер")</f>
        <v>Продюсер</v>
      </c>
      <c r="X2557" s="385"/>
    </row>
    <row r="2558">
      <c r="A2558" s="384" t="s">
        <v>132</v>
      </c>
      <c r="B2558" s="384" t="s">
        <v>261</v>
      </c>
      <c r="C2558" s="389"/>
      <c r="D2558" s="389">
        <v>3.0</v>
      </c>
      <c r="E2558" s="384" t="s">
        <v>11</v>
      </c>
      <c r="F2558" s="389">
        <v>0.5</v>
      </c>
      <c r="G2558" s="389">
        <v>0.5</v>
      </c>
      <c r="T2558" s="384" t="str">
        <f>IFERROR(__xludf.DUMMYFUNCTION("""COMPUTED_VALUE"""),"Физик")</f>
        <v>Физик</v>
      </c>
      <c r="U2558" s="385"/>
      <c r="W2558" s="384" t="str">
        <f>IFERROR(__xludf.DUMMYFUNCTION("""COMPUTED_VALUE"""),"РФ")</f>
        <v>РФ</v>
      </c>
      <c r="X2558" s="385"/>
    </row>
    <row r="2559">
      <c r="A2559" s="384" t="s">
        <v>131</v>
      </c>
      <c r="B2559" s="384" t="s">
        <v>261</v>
      </c>
      <c r="C2559" s="389"/>
      <c r="D2559" s="389">
        <v>2.5</v>
      </c>
      <c r="E2559" s="384"/>
      <c r="F2559" s="389"/>
      <c r="G2559" s="389"/>
      <c r="T2559" s="384" t="str">
        <f>IFERROR(__xludf.DUMMYFUNCTION("""COMPUTED_VALUE"""),"Флэш")</f>
        <v>Флэш</v>
      </c>
      <c r="U2559" s="385"/>
      <c r="W2559" s="384" t="str">
        <f>IFERROR(__xludf.DUMMYFUNCTION("""COMPUTED_VALUE"""),"Старый")</f>
        <v>Старый</v>
      </c>
      <c r="X2559" s="385"/>
    </row>
    <row r="2560">
      <c r="A2560" s="384" t="s">
        <v>96</v>
      </c>
      <c r="B2560" s="384" t="s">
        <v>261</v>
      </c>
      <c r="C2560" s="389"/>
      <c r="D2560" s="389">
        <v>1.75</v>
      </c>
      <c r="E2560" s="384"/>
      <c r="F2560" s="389"/>
      <c r="G2560" s="389"/>
      <c r="T2560" s="384" t="str">
        <f>IFERROR(__xludf.DUMMYFUNCTION("""COMPUTED_VALUE"""),"Фокс")</f>
        <v>Фокс</v>
      </c>
      <c r="U2560" s="385"/>
      <c r="W2560" s="384" t="str">
        <f>IFERROR(__xludf.DUMMYFUNCTION("""COMPUTED_VALUE"""),"СЭНСЭЙ")</f>
        <v>СЭНСЭЙ</v>
      </c>
      <c r="X2560" s="385"/>
    </row>
    <row r="2561">
      <c r="A2561" s="384" t="s">
        <v>136</v>
      </c>
      <c r="B2561" s="384" t="s">
        <v>261</v>
      </c>
      <c r="C2561" s="389"/>
      <c r="D2561" s="389">
        <v>2.25</v>
      </c>
      <c r="E2561" s="384"/>
      <c r="F2561" s="389"/>
      <c r="G2561" s="389"/>
      <c r="T2561" s="384" t="str">
        <f>IFERROR(__xludf.DUMMYFUNCTION("""COMPUTED_VALUE"""),"Шоу Бой")</f>
        <v>Шоу Бой</v>
      </c>
      <c r="U2561" s="385"/>
      <c r="W2561" s="384" t="str">
        <f>IFERROR(__xludf.DUMMYFUNCTION("""COMPUTED_VALUE"""),"Coach")</f>
        <v>Coach</v>
      </c>
      <c r="X2561" s="385"/>
    </row>
    <row r="2562">
      <c r="A2562" s="384" t="s">
        <v>121</v>
      </c>
      <c r="B2562" s="384" t="s">
        <v>269</v>
      </c>
      <c r="C2562" s="389">
        <v>2.5</v>
      </c>
      <c r="D2562" s="389">
        <v>4.25</v>
      </c>
      <c r="E2562" s="384"/>
      <c r="F2562" s="389"/>
      <c r="G2562" s="389"/>
      <c r="T2562" s="384" t="str">
        <f>IFERROR(__xludf.DUMMYFUNCTION("""COMPUTED_VALUE"""),"Шпиц")</f>
        <v>Шпиц</v>
      </c>
      <c r="U2562" s="385"/>
      <c r="W2562" s="384" t="str">
        <f>IFERROR(__xludf.DUMMYFUNCTION("""COMPUTED_VALUE"""),"Флэш")</f>
        <v>Флэш</v>
      </c>
      <c r="X2562" s="385"/>
    </row>
    <row r="2563">
      <c r="A2563" s="384" t="s">
        <v>115</v>
      </c>
      <c r="B2563" s="384" t="s">
        <v>261</v>
      </c>
      <c r="C2563" s="389">
        <v>2.5</v>
      </c>
      <c r="D2563" s="389">
        <v>3.5</v>
      </c>
      <c r="E2563" s="384"/>
      <c r="F2563" s="389"/>
      <c r="G2563" s="389"/>
      <c r="T2563" s="384" t="str">
        <f>IFERROR(__xludf.DUMMYFUNCTION("""COMPUTED_VALUE"""),"Юрия")</f>
        <v>Юрия</v>
      </c>
      <c r="U2563" s="385"/>
      <c r="W2563" s="384" t="str">
        <f>IFERROR(__xludf.DUMMYFUNCTION("""COMPUTED_VALUE"""),"Фокс")</f>
        <v>Фокс</v>
      </c>
      <c r="X2563" s="385"/>
    </row>
    <row r="2564">
      <c r="A2564" s="384" t="s">
        <v>127</v>
      </c>
      <c r="B2564" s="384" t="s">
        <v>261</v>
      </c>
      <c r="C2564" s="389">
        <v>2.5</v>
      </c>
      <c r="D2564" s="389">
        <v>2.0</v>
      </c>
      <c r="E2564" s="384"/>
      <c r="F2564" s="389"/>
      <c r="G2564" s="389"/>
      <c r="T2564" s="384" t="str">
        <f>IFERROR(__xludf.DUMMYFUNCTION("""COMPUTED_VALUE"""),"A1 ")</f>
        <v>A1 </v>
      </c>
      <c r="U2564" s="385"/>
      <c r="W2564" s="384" t="str">
        <f>IFERROR(__xludf.DUMMYFUNCTION("""COMPUTED_VALUE"""),"Шоу Бой")</f>
        <v>Шоу Бой</v>
      </c>
      <c r="X2564" s="385"/>
    </row>
    <row r="2565">
      <c r="A2565" s="384" t="s">
        <v>117</v>
      </c>
      <c r="B2565" s="384" t="s">
        <v>269</v>
      </c>
      <c r="C2565" s="389"/>
      <c r="D2565" s="389">
        <v>2.0</v>
      </c>
      <c r="E2565" s="384"/>
      <c r="F2565" s="389"/>
      <c r="G2565" s="389"/>
      <c r="T2565" s="384" t="str">
        <f>IFERROR(__xludf.DUMMYFUNCTION("""COMPUTED_VALUE"""),"Alice ")</f>
        <v>Alice </v>
      </c>
      <c r="U2565" s="385"/>
      <c r="W2565" s="384" t="str">
        <f>IFERROR(__xludf.DUMMYFUNCTION("""COMPUTED_VALUE"""),"Шпиц")</f>
        <v>Шпиц</v>
      </c>
      <c r="X2565" s="385"/>
    </row>
    <row r="2566">
      <c r="A2566" s="384" t="s">
        <v>124</v>
      </c>
      <c r="B2566" s="384" t="s">
        <v>261</v>
      </c>
      <c r="C2566" s="389">
        <v>2.5</v>
      </c>
      <c r="D2566" s="389">
        <v>2.75</v>
      </c>
      <c r="E2566" s="384"/>
      <c r="F2566" s="389"/>
      <c r="G2566" s="389"/>
      <c r="T2566" s="384" t="str">
        <f>IFERROR(__xludf.DUMMYFUNCTION("""COMPUTED_VALUE"""),"Bublik")</f>
        <v>Bublik</v>
      </c>
      <c r="U2566" s="385"/>
      <c r="W2566" s="384" t="str">
        <f>IFERROR(__xludf.DUMMYFUNCTION("""COMPUTED_VALUE"""),"Юрия")</f>
        <v>Юрия</v>
      </c>
      <c r="X2566" s="385"/>
    </row>
    <row r="2567">
      <c r="A2567" s="384" t="s">
        <v>116</v>
      </c>
      <c r="B2567" s="384" t="s">
        <v>261</v>
      </c>
      <c r="C2567" s="389">
        <v>2.5</v>
      </c>
      <c r="D2567" s="389">
        <v>3.75</v>
      </c>
      <c r="E2567" s="384"/>
      <c r="F2567" s="389"/>
      <c r="G2567" s="389"/>
      <c r="T2567" s="384" t="str">
        <f>IFERROR(__xludf.DUMMYFUNCTION("""COMPUTED_VALUE"""),"BWDMoscow")</f>
        <v>BWDMoscow</v>
      </c>
      <c r="U2567" s="385"/>
      <c r="W2567" s="384" t="str">
        <f>IFERROR(__xludf.DUMMYFUNCTION("""COMPUTED_VALUE"""),"A1 ")</f>
        <v>A1 </v>
      </c>
      <c r="X2567" s="385"/>
    </row>
    <row r="2568">
      <c r="A2568" s="384" t="s">
        <v>132</v>
      </c>
      <c r="B2568" s="384" t="s">
        <v>271</v>
      </c>
      <c r="C2568" s="389">
        <v>2.5</v>
      </c>
      <c r="D2568" s="389">
        <v>3.25</v>
      </c>
      <c r="E2568" s="384"/>
      <c r="F2568" s="389"/>
      <c r="G2568" s="389"/>
      <c r="T2568" s="384" t="str">
        <f>IFERROR(__xludf.DUMMYFUNCTION("""COMPUTED_VALUE"""),"Castor Troy ")</f>
        <v>Castor Troy </v>
      </c>
      <c r="U2568" s="385"/>
      <c r="W2568" s="384" t="str">
        <f>IFERROR(__xludf.DUMMYFUNCTION("""COMPUTED_VALUE"""),"BWDMoscow")</f>
        <v>BWDMoscow</v>
      </c>
      <c r="X2568" s="385"/>
    </row>
    <row r="2569">
      <c r="A2569" s="384" t="s">
        <v>131</v>
      </c>
      <c r="B2569" s="384" t="s">
        <v>265</v>
      </c>
      <c r="C2569" s="389"/>
      <c r="D2569" s="389">
        <v>2.0</v>
      </c>
      <c r="E2569" s="384"/>
      <c r="F2569" s="389"/>
      <c r="G2569" s="389"/>
      <c r="T2569" s="384" t="str">
        <f>IFERROR(__xludf.DUMMYFUNCTION("""COMPUTED_VALUE"""),"Cristo")</f>
        <v>Cristo</v>
      </c>
      <c r="U2569" s="385"/>
      <c r="W2569" s="384" t="str">
        <f>IFERROR(__xludf.DUMMYFUNCTION("""COMPUTED_VALUE"""),"Castor Troy ")</f>
        <v>Castor Troy </v>
      </c>
      <c r="X2569" s="385"/>
    </row>
    <row r="2570">
      <c r="A2570" s="384" t="s">
        <v>96</v>
      </c>
      <c r="B2570" s="384" t="s">
        <v>261</v>
      </c>
      <c r="C2570" s="389">
        <v>2.5</v>
      </c>
      <c r="D2570" s="389">
        <v>2.75</v>
      </c>
      <c r="E2570" s="384"/>
      <c r="F2570" s="389"/>
      <c r="G2570" s="389"/>
      <c r="T2570" s="384" t="str">
        <f>IFERROR(__xludf.DUMMYFUNCTION("""COMPUTED_VALUE"""),"Curly")</f>
        <v>Curly</v>
      </c>
      <c r="U2570" s="385"/>
      <c r="W2570" s="384" t="str">
        <f>IFERROR(__xludf.DUMMYFUNCTION("""COMPUTED_VALUE"""),"Cristo")</f>
        <v>Cristo</v>
      </c>
      <c r="X2570" s="385"/>
    </row>
    <row r="2571">
      <c r="A2571" s="384" t="s">
        <v>136</v>
      </c>
      <c r="B2571" s="384" t="s">
        <v>261</v>
      </c>
      <c r="C2571" s="389">
        <v>2.5</v>
      </c>
      <c r="D2571" s="389">
        <v>2.5</v>
      </c>
      <c r="E2571" s="384"/>
      <c r="F2571" s="389"/>
      <c r="G2571" s="389"/>
      <c r="T2571" s="384" t="str">
        <f>IFERROR(__xludf.DUMMYFUNCTION("""COMPUTED_VALUE"""),"GALAY")</f>
        <v>GALAY</v>
      </c>
      <c r="U2571" s="385"/>
      <c r="W2571" s="384" t="str">
        <f>IFERROR(__xludf.DUMMYFUNCTION("""COMPUTED_VALUE"""),"Curly")</f>
        <v>Curly</v>
      </c>
      <c r="X2571" s="385"/>
    </row>
    <row r="2572">
      <c r="A2572" s="384" t="s">
        <v>121</v>
      </c>
      <c r="B2572" s="384" t="s">
        <v>269</v>
      </c>
      <c r="C2572" s="389"/>
      <c r="D2572" s="389">
        <v>2.5</v>
      </c>
      <c r="E2572" s="384" t="s">
        <v>11</v>
      </c>
      <c r="F2572" s="389"/>
      <c r="G2572" s="389"/>
      <c r="T2572" s="384" t="str">
        <f>IFERROR(__xludf.DUMMYFUNCTION("""COMPUTED_VALUE"""),"Helga")</f>
        <v>Helga</v>
      </c>
      <c r="U2572" s="385"/>
      <c r="W2572" s="384" t="str">
        <f>IFERROR(__xludf.DUMMYFUNCTION("""COMPUTED_VALUE"""),"GALAY")</f>
        <v>GALAY</v>
      </c>
      <c r="X2572" s="385"/>
    </row>
    <row r="2573">
      <c r="A2573" s="384" t="s">
        <v>115</v>
      </c>
      <c r="B2573" s="384" t="s">
        <v>271</v>
      </c>
      <c r="C2573" s="389">
        <v>2.5</v>
      </c>
      <c r="D2573" s="389">
        <v>3.75</v>
      </c>
      <c r="E2573" s="384" t="s">
        <v>260</v>
      </c>
      <c r="F2573" s="389"/>
      <c r="G2573" s="389"/>
      <c r="T2573" s="384" t="str">
        <f>IFERROR(__xludf.DUMMYFUNCTION("""COMPUTED_VALUE"""),"Infinity ")</f>
        <v>Infinity </v>
      </c>
      <c r="U2573" s="385"/>
      <c r="W2573" s="384" t="str">
        <f>IFERROR(__xludf.DUMMYFUNCTION("""COMPUTED_VALUE"""),"Helga")</f>
        <v>Helga</v>
      </c>
      <c r="X2573" s="385"/>
    </row>
    <row r="2574">
      <c r="A2574" s="384" t="s">
        <v>127</v>
      </c>
      <c r="B2574" s="384" t="s">
        <v>261</v>
      </c>
      <c r="C2574" s="389">
        <v>2.5</v>
      </c>
      <c r="D2574" s="389">
        <v>2.0</v>
      </c>
      <c r="E2574" s="384"/>
      <c r="F2574" s="389"/>
      <c r="G2574" s="389"/>
      <c r="T2574" s="384" t="str">
        <f>IFERROR(__xludf.DUMMYFUNCTION("""COMPUTED_VALUE"""),"Ketamin")</f>
        <v>Ketamin</v>
      </c>
      <c r="U2574" s="385"/>
      <c r="W2574" s="384" t="str">
        <f>IFERROR(__xludf.DUMMYFUNCTION("""COMPUTED_VALUE"""),"Infinity ")</f>
        <v>Infinity </v>
      </c>
      <c r="X2574" s="385"/>
    </row>
    <row r="2575">
      <c r="A2575" s="384" t="s">
        <v>117</v>
      </c>
      <c r="B2575" s="384" t="s">
        <v>261</v>
      </c>
      <c r="C2575" s="389">
        <v>2.5</v>
      </c>
      <c r="D2575" s="389">
        <v>2.75</v>
      </c>
      <c r="E2575" s="384"/>
      <c r="F2575" s="389"/>
      <c r="G2575" s="389"/>
      <c r="T2575" s="384" t="str">
        <f>IFERROR(__xludf.DUMMYFUNCTION("""COMPUTED_VALUE"""),"Morti")</f>
        <v>Morti</v>
      </c>
      <c r="U2575" s="385"/>
      <c r="W2575" s="384" t="str">
        <f>IFERROR(__xludf.DUMMYFUNCTION("""COMPUTED_VALUE"""),"Light")</f>
        <v>Light</v>
      </c>
      <c r="X2575" s="385"/>
    </row>
    <row r="2576">
      <c r="A2576" s="384" t="s">
        <v>124</v>
      </c>
      <c r="B2576" s="384" t="s">
        <v>261</v>
      </c>
      <c r="C2576" s="389">
        <v>2.5</v>
      </c>
      <c r="D2576" s="389">
        <v>3.0</v>
      </c>
      <c r="E2576" s="384" t="s">
        <v>260</v>
      </c>
      <c r="F2576" s="389"/>
      <c r="G2576" s="389"/>
      <c r="T2576" s="384" t="str">
        <f>IFERROR(__xludf.DUMMYFUNCTION("""COMPUTED_VALUE"""),"NLIP")</f>
        <v>NLIP</v>
      </c>
      <c r="U2576" s="385"/>
      <c r="W2576" s="384" t="str">
        <f>IFERROR(__xludf.DUMMYFUNCTION("""COMPUTED_VALUE"""),"Morti")</f>
        <v>Morti</v>
      </c>
      <c r="X2576" s="385"/>
    </row>
    <row r="2577">
      <c r="A2577" s="384" t="s">
        <v>116</v>
      </c>
      <c r="B2577" s="384" t="s">
        <v>269</v>
      </c>
      <c r="C2577" s="389"/>
      <c r="D2577" s="389">
        <v>2.5</v>
      </c>
      <c r="E2577" s="384"/>
      <c r="F2577" s="389"/>
      <c r="G2577" s="389"/>
      <c r="T2577" s="384" t="str">
        <f>IFERROR(__xludf.DUMMYFUNCTION("""COMPUTED_VALUE"""),"Rocket woman ")</f>
        <v>Rocket woman </v>
      </c>
      <c r="U2577" s="385"/>
      <c r="W2577" s="384" t="str">
        <f>IFERROR(__xludf.DUMMYFUNCTION("""COMPUTED_VALUE"""),"Rocket woman ")</f>
        <v>Rocket woman </v>
      </c>
      <c r="X2577" s="385"/>
    </row>
    <row r="2578">
      <c r="A2578" s="384" t="s">
        <v>132</v>
      </c>
      <c r="B2578" s="384" t="s">
        <v>261</v>
      </c>
      <c r="C2578" s="389">
        <v>2.5</v>
      </c>
      <c r="D2578" s="389">
        <v>4.0</v>
      </c>
      <c r="E2578" s="384"/>
      <c r="F2578" s="389"/>
      <c r="G2578" s="389"/>
      <c r="T2578" s="384" t="str">
        <f>IFERROR(__xludf.DUMMYFUNCTION("""COMPUTED_VALUE"""),"SCHOKK ")</f>
        <v>SCHOKK </v>
      </c>
      <c r="U2578" s="385"/>
      <c r="W2578" s="384" t="str">
        <f>IFERROR(__xludf.DUMMYFUNCTION("""COMPUTED_VALUE"""),"SCHOKK ")</f>
        <v>SCHOKK </v>
      </c>
      <c r="X2578" s="385"/>
    </row>
    <row r="2579">
      <c r="A2579" s="384" t="s">
        <v>131</v>
      </c>
      <c r="B2579" s="384" t="s">
        <v>261</v>
      </c>
      <c r="C2579" s="389">
        <v>2.5</v>
      </c>
      <c r="D2579" s="389">
        <v>4.25</v>
      </c>
      <c r="E2579" s="384"/>
      <c r="F2579" s="389"/>
      <c r="G2579" s="389"/>
      <c r="T2579" s="384" t="str">
        <f>IFERROR(__xludf.DUMMYFUNCTION("""COMPUTED_VALUE"""),"SOVEST")</f>
        <v>SOVEST</v>
      </c>
      <c r="U2579" s="385"/>
      <c r="W2579" s="384" t="str">
        <f>IFERROR(__xludf.DUMMYFUNCTION("""COMPUTED_VALUE"""),"SOVEST")</f>
        <v>SOVEST</v>
      </c>
      <c r="X2579" s="385"/>
    </row>
    <row r="2580">
      <c r="A2580" s="384" t="s">
        <v>96</v>
      </c>
      <c r="B2580" s="384" t="s">
        <v>269</v>
      </c>
      <c r="C2580" s="389"/>
      <c r="D2580" s="389">
        <v>2.25</v>
      </c>
      <c r="E2580" s="384"/>
      <c r="F2580" s="389"/>
      <c r="G2580" s="389"/>
      <c r="T2580" s="384" t="str">
        <f>IFERROR(__xludf.DUMMYFUNCTION("""COMPUTED_VALUE"""),"Stacy")</f>
        <v>Stacy</v>
      </c>
      <c r="U2580" s="385"/>
      <c r="W2580" s="384" t="str">
        <f>IFERROR(__xludf.DUMMYFUNCTION("""COMPUTED_VALUE"""),"Stacy")</f>
        <v>Stacy</v>
      </c>
      <c r="X2580" s="385"/>
    </row>
    <row r="2581">
      <c r="A2581" s="384" t="s">
        <v>136</v>
      </c>
      <c r="B2581" s="384" t="s">
        <v>261</v>
      </c>
      <c r="C2581" s="389">
        <v>2.5</v>
      </c>
      <c r="D2581" s="389">
        <v>2.5</v>
      </c>
      <c r="E2581" s="384" t="s">
        <v>11</v>
      </c>
      <c r="F2581" s="389"/>
      <c r="G2581" s="389">
        <v>0.5</v>
      </c>
      <c r="T2581" s="384" t="str">
        <f>IFERROR(__xludf.DUMMYFUNCTION("""COMPUTED_VALUE"""),"WhoIsWho")</f>
        <v>WhoIsWho</v>
      </c>
      <c r="U2581" s="385"/>
      <c r="W2581" s="384" t="str">
        <f>IFERROR(__xludf.DUMMYFUNCTION("""COMPUTED_VALUE"""),"WhoIsWho")</f>
        <v>WhoIsWho</v>
      </c>
      <c r="X2581" s="385"/>
    </row>
    <row r="2582">
      <c r="A2582" s="384" t="s">
        <v>121</v>
      </c>
      <c r="B2582" s="384" t="s">
        <v>265</v>
      </c>
      <c r="C2582" s="389"/>
      <c r="D2582" s="389">
        <v>2.0</v>
      </c>
      <c r="E2582" s="384" t="s">
        <v>263</v>
      </c>
      <c r="F2582" s="389"/>
      <c r="G2582" s="389"/>
      <c r="T2582" s="384" t="str">
        <f>IFERROR(__xludf.DUMMYFUNCTION("QUERY('Турнирная таблица по Алфавиту'!C7:BK66,""select C,BK order by BK desc"")"),"MSR")</f>
        <v>MSR</v>
      </c>
      <c r="U2582" s="385">
        <f>IFERROR(__xludf.DUMMYFUNCTION("""COMPUTED_VALUE"""),23.25)</f>
        <v>23.25</v>
      </c>
      <c r="W2582" s="384" t="str">
        <f>IFERROR(__xludf.DUMMYFUNCTION("""COMPUTED_VALUE"""),"Young")</f>
        <v>Young</v>
      </c>
      <c r="X2582" s="385"/>
    </row>
    <row r="2583">
      <c r="A2583" s="384" t="s">
        <v>115</v>
      </c>
      <c r="B2583" s="384" t="s">
        <v>261</v>
      </c>
      <c r="C2583" s="389"/>
      <c r="D2583" s="389">
        <v>1.25</v>
      </c>
      <c r="E2583" s="384"/>
      <c r="F2583" s="389"/>
      <c r="G2583" s="389"/>
      <c r="T2583" s="384" t="str">
        <f>IFERROR(__xludf.DUMMYFUNCTION("""COMPUTED_VALUE"""),"Красавчик")</f>
        <v>Красавчик</v>
      </c>
      <c r="U2583" s="385">
        <f>IFERROR(__xludf.DUMMYFUNCTION("""COMPUTED_VALUE"""),22.25)</f>
        <v>22.25</v>
      </c>
      <c r="W2583" s="384" t="str">
        <f>IFERROR(__xludf.DUMMYFUNCTION("""COMPUTED_VALUE"""),"Авраам")</f>
        <v>Авраам</v>
      </c>
      <c r="X2583" s="385"/>
    </row>
    <row r="2584">
      <c r="A2584" s="384" t="s">
        <v>127</v>
      </c>
      <c r="B2584" s="384" t="s">
        <v>271</v>
      </c>
      <c r="C2584" s="389"/>
      <c r="D2584" s="389">
        <v>1.75</v>
      </c>
      <c r="E2584" s="384"/>
      <c r="F2584" s="389"/>
      <c r="G2584" s="389"/>
      <c r="T2584" s="384" t="str">
        <f>IFERROR(__xludf.DUMMYFUNCTION("""COMPUTED_VALUE"""),"Тихий закат")</f>
        <v>Тихий закат</v>
      </c>
      <c r="U2584" s="385">
        <f>IFERROR(__xludf.DUMMYFUNCTION("""COMPUTED_VALUE"""),21.75)</f>
        <v>21.75</v>
      </c>
      <c r="W2584" s="384" t="str">
        <f>IFERROR(__xludf.DUMMYFUNCTION("""COMPUTED_VALUE"""),"Админ")</f>
        <v>Админ</v>
      </c>
      <c r="X2584" s="385"/>
    </row>
    <row r="2585">
      <c r="A2585" s="384" t="s">
        <v>117</v>
      </c>
      <c r="B2585" s="384" t="s">
        <v>261</v>
      </c>
      <c r="C2585" s="389"/>
      <c r="D2585" s="389">
        <v>1.5</v>
      </c>
      <c r="E2585" s="384"/>
      <c r="F2585" s="389"/>
      <c r="G2585" s="389"/>
      <c r="T2585" s="384" t="str">
        <f>IFERROR(__xludf.DUMMYFUNCTION("""COMPUTED_VALUE"""),"Старый")</f>
        <v>Старый</v>
      </c>
      <c r="U2585" s="385">
        <f>IFERROR(__xludf.DUMMYFUNCTION("""COMPUTED_VALUE"""),21.5)</f>
        <v>21.5</v>
      </c>
      <c r="W2585" s="384" t="str">
        <f>IFERROR(__xludf.DUMMYFUNCTION("""COMPUTED_VALUE"""),"Андерсен")</f>
        <v>Андерсен</v>
      </c>
      <c r="X2585" s="385"/>
    </row>
    <row r="2586">
      <c r="A2586" s="384" t="s">
        <v>124</v>
      </c>
      <c r="B2586" s="384" t="s">
        <v>261</v>
      </c>
      <c r="C2586" s="389"/>
      <c r="D2586" s="389">
        <v>2.25</v>
      </c>
      <c r="E2586" s="384"/>
      <c r="F2586" s="389"/>
      <c r="G2586" s="389"/>
      <c r="T2586" s="384" t="str">
        <f>IFERROR(__xludf.DUMMYFUNCTION("""COMPUTED_VALUE"""),"Curly")</f>
        <v>Curly</v>
      </c>
      <c r="U2586" s="385">
        <f>IFERROR(__xludf.DUMMYFUNCTION("""COMPUTED_VALUE"""),21.25)</f>
        <v>21.25</v>
      </c>
      <c r="W2586" s="384" t="str">
        <f>IFERROR(__xludf.DUMMYFUNCTION("""COMPUTED_VALUE"""),"Артик")</f>
        <v>Артик</v>
      </c>
      <c r="X2586" s="385"/>
    </row>
    <row r="2587">
      <c r="A2587" s="384" t="s">
        <v>116</v>
      </c>
      <c r="B2587" s="384" t="s">
        <v>269</v>
      </c>
      <c r="C2587" s="389">
        <v>2.5</v>
      </c>
      <c r="D2587" s="389">
        <v>3.75</v>
      </c>
      <c r="E2587" s="384"/>
      <c r="F2587" s="389"/>
      <c r="G2587" s="389"/>
      <c r="T2587" s="384" t="str">
        <f>IFERROR(__xludf.DUMMYFUNCTION("""COMPUTED_VALUE"""),"Писатель ")</f>
        <v>Писатель </v>
      </c>
      <c r="U2587" s="385">
        <f>IFERROR(__xludf.DUMMYFUNCTION("""COMPUTED_VALUE"""),19.0)</f>
        <v>19</v>
      </c>
      <c r="W2587" s="384" t="str">
        <f>IFERROR(__xludf.DUMMYFUNCTION("""COMPUTED_VALUE"""),"Астория")</f>
        <v>Астория</v>
      </c>
      <c r="X2587" s="385"/>
    </row>
    <row r="2588">
      <c r="A2588" s="384" t="s">
        <v>132</v>
      </c>
      <c r="B2588" s="384" t="s">
        <v>265</v>
      </c>
      <c r="C2588" s="389">
        <v>2.5</v>
      </c>
      <c r="D2588" s="389">
        <v>4.25</v>
      </c>
      <c r="E2588" s="384"/>
      <c r="F2588" s="389"/>
      <c r="G2588" s="389"/>
      <c r="T2588" s="384" t="str">
        <f>IFERROR(__xludf.DUMMYFUNCTION("""COMPUTED_VALUE"""),"Юрия")</f>
        <v>Юрия</v>
      </c>
      <c r="U2588" s="385">
        <f>IFERROR(__xludf.DUMMYFUNCTION("""COMPUTED_VALUE"""),18.75)</f>
        <v>18.75</v>
      </c>
      <c r="W2588" s="384" t="str">
        <f>IFERROR(__xludf.DUMMYFUNCTION("""COMPUTED_VALUE"""),"Аш")</f>
        <v>Аш</v>
      </c>
      <c r="X2588" s="385"/>
    </row>
    <row r="2589">
      <c r="A2589" s="384" t="s">
        <v>131</v>
      </c>
      <c r="B2589" s="384" t="s">
        <v>269</v>
      </c>
      <c r="C2589" s="389">
        <v>2.5</v>
      </c>
      <c r="D2589" s="389">
        <v>3.75</v>
      </c>
      <c r="E2589" s="384"/>
      <c r="F2589" s="389"/>
      <c r="G2589" s="389"/>
      <c r="T2589" s="384" t="str">
        <f>IFERROR(__xludf.DUMMYFUNCTION("""COMPUTED_VALUE"""),"Light")</f>
        <v>Light</v>
      </c>
      <c r="U2589" s="385">
        <f>IFERROR(__xludf.DUMMYFUNCTION("""COMPUTED_VALUE"""),18.75)</f>
        <v>18.75</v>
      </c>
      <c r="W2589" s="384" t="str">
        <f>IFERROR(__xludf.DUMMYFUNCTION("""COMPUTED_VALUE"""),"Бамблби")</f>
        <v>Бамблби</v>
      </c>
      <c r="X2589" s="385"/>
    </row>
    <row r="2590">
      <c r="A2590" s="384" t="s">
        <v>96</v>
      </c>
      <c r="B2590" s="384" t="s">
        <v>261</v>
      </c>
      <c r="C2590" s="389"/>
      <c r="D2590" s="389">
        <v>2.5</v>
      </c>
      <c r="E2590" s="384"/>
      <c r="F2590" s="389"/>
      <c r="G2590" s="389"/>
      <c r="T2590" s="384" t="str">
        <f>IFERROR(__xludf.DUMMYFUNCTION("""COMPUTED_VALUE"""),"Авраам")</f>
        <v>Авраам</v>
      </c>
      <c r="U2590" s="385">
        <f>IFERROR(__xludf.DUMMYFUNCTION("""COMPUTED_VALUE"""),17.5)</f>
        <v>17.5</v>
      </c>
      <c r="W2590" s="384" t="str">
        <f>IFERROR(__xludf.DUMMYFUNCTION("""COMPUTED_VALUE"""),"Волга")</f>
        <v>Волга</v>
      </c>
      <c r="X2590" s="385"/>
    </row>
    <row r="2591">
      <c r="A2591" s="384" t="s">
        <v>136</v>
      </c>
      <c r="B2591" s="384" t="s">
        <v>261</v>
      </c>
      <c r="C2591" s="389"/>
      <c r="D2591" s="389">
        <v>2.5</v>
      </c>
      <c r="E2591" s="384"/>
      <c r="F2591" s="389"/>
      <c r="G2591" s="389"/>
      <c r="T2591" s="384" t="str">
        <f>IFERROR(__xludf.DUMMYFUNCTION("""COMPUTED_VALUE"""),"Шпиц")</f>
        <v>Шпиц</v>
      </c>
      <c r="U2591" s="385">
        <f>IFERROR(__xludf.DUMMYFUNCTION("""COMPUTED_VALUE"""),13.0)</f>
        <v>13</v>
      </c>
      <c r="W2591" s="384" t="str">
        <f>IFERROR(__xludf.DUMMYFUNCTION("""COMPUTED_VALUE"""),"Градиент")</f>
        <v>Градиент</v>
      </c>
      <c r="X2591" s="385"/>
    </row>
    <row r="2592">
      <c r="A2592" s="384" t="s">
        <v>121</v>
      </c>
      <c r="B2592" s="384" t="s">
        <v>261</v>
      </c>
      <c r="C2592" s="389"/>
      <c r="D2592" s="389">
        <v>1.5</v>
      </c>
      <c r="E2592" s="384" t="s">
        <v>11</v>
      </c>
      <c r="F2592" s="389">
        <v>0.5</v>
      </c>
      <c r="G2592" s="389">
        <v>0.5</v>
      </c>
      <c r="T2592" s="384" t="str">
        <f>IFERROR(__xludf.DUMMYFUNCTION("""COMPUTED_VALUE"""),"Админ")</f>
        <v>Админ</v>
      </c>
      <c r="U2592" s="385"/>
      <c r="W2592" s="384" t="str">
        <f>IFERROR(__xludf.DUMMYFUNCTION("""COMPUTED_VALUE"""),"Дровосек")</f>
        <v>Дровосек</v>
      </c>
      <c r="X2592" s="385"/>
    </row>
    <row r="2593">
      <c r="A2593" s="384" t="s">
        <v>115</v>
      </c>
      <c r="B2593" s="384" t="s">
        <v>261</v>
      </c>
      <c r="C2593" s="389"/>
      <c r="D2593" s="389">
        <v>2.0</v>
      </c>
      <c r="E2593" s="384"/>
      <c r="F2593" s="389"/>
      <c r="G2593" s="389"/>
      <c r="T2593" s="384" t="str">
        <f>IFERROR(__xludf.DUMMYFUNCTION("""COMPUTED_VALUE"""),"Андерсен")</f>
        <v>Андерсен</v>
      </c>
      <c r="U2593" s="385"/>
      <c r="W2593" s="384" t="str">
        <f>IFERROR(__xludf.DUMMYFUNCTION("""COMPUTED_VALUE"""),"Зверюга")</f>
        <v>Зверюга</v>
      </c>
      <c r="X2593" s="385"/>
    </row>
    <row r="2594">
      <c r="A2594" s="384" t="s">
        <v>127</v>
      </c>
      <c r="B2594" s="384" t="s">
        <v>261</v>
      </c>
      <c r="C2594" s="389"/>
      <c r="D2594" s="389">
        <v>1.75</v>
      </c>
      <c r="E2594" s="384" t="s">
        <v>263</v>
      </c>
      <c r="F2594" s="389"/>
      <c r="G2594" s="389"/>
      <c r="T2594" s="384" t="str">
        <f>IFERROR(__xludf.DUMMYFUNCTION("""COMPUTED_VALUE"""),"Артик")</f>
        <v>Артик</v>
      </c>
      <c r="U2594" s="385"/>
      <c r="W2594" s="384" t="str">
        <f>IFERROR(__xludf.DUMMYFUNCTION("""COMPUTED_VALUE"""),"Инсомнич")</f>
        <v>Инсомнич</v>
      </c>
      <c r="X2594" s="385"/>
    </row>
    <row r="2595">
      <c r="A2595" s="384" t="s">
        <v>117</v>
      </c>
      <c r="B2595" s="384" t="s">
        <v>271</v>
      </c>
      <c r="C2595" s="389"/>
      <c r="D2595" s="389">
        <v>2.5</v>
      </c>
      <c r="E2595" s="384" t="s">
        <v>11</v>
      </c>
      <c r="F2595" s="389"/>
      <c r="G2595" s="389">
        <v>0.5</v>
      </c>
      <c r="T2595" s="384" t="str">
        <f>IFERROR(__xludf.DUMMYFUNCTION("""COMPUTED_VALUE"""),"Астория")</f>
        <v>Астория</v>
      </c>
      <c r="U2595" s="385"/>
      <c r="W2595" s="384" t="str">
        <f>IFERROR(__xludf.DUMMYFUNCTION("""COMPUTED_VALUE"""),"Красавчик")</f>
        <v>Красавчик</v>
      </c>
      <c r="X2595" s="385"/>
    </row>
    <row r="2596">
      <c r="A2596" s="384" t="s">
        <v>124</v>
      </c>
      <c r="B2596" s="384" t="s">
        <v>261</v>
      </c>
      <c r="C2596" s="389"/>
      <c r="D2596" s="389">
        <v>2.0</v>
      </c>
      <c r="E2596" s="384" t="s">
        <v>263</v>
      </c>
      <c r="F2596" s="389" t="s">
        <v>283</v>
      </c>
      <c r="G2596" s="389"/>
      <c r="T2596" s="384" t="str">
        <f>IFERROR(__xludf.DUMMYFUNCTION("""COMPUTED_VALUE"""),"Аш")</f>
        <v>Аш</v>
      </c>
      <c r="U2596" s="385"/>
      <c r="W2596" s="384" t="str">
        <f>IFERROR(__xludf.DUMMYFUNCTION("""COMPUTED_VALUE"""),"Крестный отец (BLR)")</f>
        <v>Крестный отец (BLR)</v>
      </c>
      <c r="X2596" s="385"/>
    </row>
    <row r="2597">
      <c r="A2597" s="384" t="s">
        <v>116</v>
      </c>
      <c r="B2597" s="384" t="s">
        <v>269</v>
      </c>
      <c r="C2597" s="389">
        <v>2.5</v>
      </c>
      <c r="D2597" s="389">
        <v>2.25</v>
      </c>
      <c r="E2597" s="384"/>
      <c r="F2597" s="389"/>
      <c r="G2597" s="389"/>
      <c r="T2597" s="384" t="str">
        <f>IFERROR(__xludf.DUMMYFUNCTION("""COMPUTED_VALUE"""),"Бамблби")</f>
        <v>Бамблби</v>
      </c>
      <c r="U2597" s="385"/>
      <c r="W2597" s="384" t="str">
        <f>IFERROR(__xludf.DUMMYFUNCTION("""COMPUTED_VALUE"""),"Крёстный Отец (RU)")</f>
        <v>Крёстный Отец (RU)</v>
      </c>
      <c r="X2597" s="385"/>
    </row>
    <row r="2598">
      <c r="A2598" s="384" t="s">
        <v>132</v>
      </c>
      <c r="B2598" s="384" t="s">
        <v>261</v>
      </c>
      <c r="C2598" s="389"/>
      <c r="D2598" s="389">
        <v>3.0</v>
      </c>
      <c r="E2598" s="384"/>
      <c r="F2598" s="389"/>
      <c r="G2598" s="389"/>
      <c r="T2598" s="384" t="str">
        <f>IFERROR(__xludf.DUMMYFUNCTION("""COMPUTED_VALUE"""),"Волга")</f>
        <v>Волга</v>
      </c>
      <c r="U2598" s="385"/>
      <c r="W2598" s="384" t="str">
        <f>IFERROR(__xludf.DUMMYFUNCTION("""COMPUTED_VALUE"""),"Крот")</f>
        <v>Крот</v>
      </c>
      <c r="X2598" s="385"/>
    </row>
    <row r="2599">
      <c r="A2599" s="384" t="s">
        <v>131</v>
      </c>
      <c r="B2599" s="384" t="s">
        <v>265</v>
      </c>
      <c r="C2599" s="389">
        <v>2.5</v>
      </c>
      <c r="D2599" s="389">
        <v>3.0</v>
      </c>
      <c r="E2599" s="384"/>
      <c r="F2599" s="389"/>
      <c r="G2599" s="389"/>
      <c r="T2599" s="384" t="str">
        <f>IFERROR(__xludf.DUMMYFUNCTION("""COMPUTED_VALUE"""),"Градиент")</f>
        <v>Градиент</v>
      </c>
      <c r="U2599" s="385"/>
      <c r="W2599" s="384" t="str">
        <f>IFERROR(__xludf.DUMMYFUNCTION("""COMPUTED_VALUE"""),"Левша")</f>
        <v>Левша</v>
      </c>
      <c r="X2599" s="385"/>
    </row>
    <row r="2600">
      <c r="A2600" s="384" t="s">
        <v>96</v>
      </c>
      <c r="B2600" s="384" t="s">
        <v>261</v>
      </c>
      <c r="C2600" s="389"/>
      <c r="D2600" s="389">
        <v>2.0</v>
      </c>
      <c r="E2600" s="384"/>
      <c r="F2600" s="389"/>
      <c r="G2600" s="389"/>
      <c r="T2600" s="384" t="str">
        <f>IFERROR(__xludf.DUMMYFUNCTION("""COMPUTED_VALUE"""),"Дровосек")</f>
        <v>Дровосек</v>
      </c>
      <c r="U2600" s="385"/>
      <c r="W2600" s="384" t="str">
        <f>IFERROR(__xludf.DUMMYFUNCTION("""COMPUTED_VALUE"""),"Марго")</f>
        <v>Марго</v>
      </c>
      <c r="X2600" s="385"/>
    </row>
    <row r="2601">
      <c r="A2601" s="384" t="s">
        <v>136</v>
      </c>
      <c r="B2601" s="384" t="s">
        <v>269</v>
      </c>
      <c r="C2601" s="389">
        <v>2.5</v>
      </c>
      <c r="D2601" s="389">
        <v>4.25</v>
      </c>
      <c r="E2601" s="384" t="s">
        <v>260</v>
      </c>
      <c r="F2601" s="389"/>
      <c r="G2601" s="389"/>
      <c r="T2601" s="384" t="str">
        <f>IFERROR(__xludf.DUMMYFUNCTION("""COMPUTED_VALUE"""),"Зверюга")</f>
        <v>Зверюга</v>
      </c>
      <c r="U2601" s="385"/>
      <c r="W2601" s="384" t="str">
        <f>IFERROR(__xludf.DUMMYFUNCTION("""COMPUTED_VALUE"""),"Ментик")</f>
        <v>Ментик</v>
      </c>
      <c r="X2601" s="385"/>
    </row>
    <row r="2602">
      <c r="A2602" s="384" t="s">
        <v>121</v>
      </c>
      <c r="B2602" s="384" t="s">
        <v>261</v>
      </c>
      <c r="C2602" s="389"/>
      <c r="D2602" s="389">
        <v>2.5</v>
      </c>
      <c r="E2602" s="384"/>
      <c r="F2602" s="389"/>
      <c r="G2602" s="389"/>
      <c r="T2602" s="384" t="str">
        <f>IFERROR(__xludf.DUMMYFUNCTION("""COMPUTED_VALUE"""),"Инсомнич")</f>
        <v>Инсомнич</v>
      </c>
      <c r="U2602" s="385"/>
      <c r="W2602" s="384" t="str">
        <f>IFERROR(__xludf.DUMMYFUNCTION("""COMPUTED_VALUE"""),"Мишель ")</f>
        <v>Мишель </v>
      </c>
      <c r="X2602" s="385"/>
    </row>
    <row r="2603">
      <c r="A2603" s="384" t="s">
        <v>115</v>
      </c>
      <c r="B2603" s="384" t="s">
        <v>269</v>
      </c>
      <c r="C2603" s="389">
        <v>2.5</v>
      </c>
      <c r="D2603" s="389">
        <v>2.5</v>
      </c>
      <c r="E2603" s="384"/>
      <c r="F2603" s="389"/>
      <c r="G2603" s="389"/>
      <c r="T2603" s="384" t="str">
        <f>IFERROR(__xludf.DUMMYFUNCTION("""COMPUTED_VALUE"""),"Крестный отец (BLR)")</f>
        <v>Крестный отец (BLR)</v>
      </c>
      <c r="U2603" s="385"/>
      <c r="W2603" s="384" t="str">
        <f>IFERROR(__xludf.DUMMYFUNCTION("""COMPUTED_VALUE"""),"Панда из Руанды")</f>
        <v>Панда из Руанды</v>
      </c>
      <c r="X2603" s="385"/>
    </row>
    <row r="2604">
      <c r="A2604" s="384" t="s">
        <v>79</v>
      </c>
      <c r="B2604" s="384" t="s">
        <v>261</v>
      </c>
      <c r="C2604" s="389"/>
      <c r="D2604" s="389">
        <v>2.0</v>
      </c>
      <c r="E2604" s="384" t="s">
        <v>263</v>
      </c>
      <c r="F2604" s="389"/>
      <c r="G2604" s="389"/>
      <c r="T2604" s="384" t="str">
        <f>IFERROR(__xludf.DUMMYFUNCTION("""COMPUTED_VALUE"""),"Крёстный Отец (RU)")</f>
        <v>Крёстный Отец (RU)</v>
      </c>
      <c r="U2604" s="385"/>
      <c r="W2604" s="384" t="str">
        <f>IFERROR(__xludf.DUMMYFUNCTION("""COMPUTED_VALUE"""),"Писатель ")</f>
        <v>Писатель </v>
      </c>
      <c r="X2604" s="385"/>
    </row>
    <row r="2605">
      <c r="A2605" s="384" t="s">
        <v>128</v>
      </c>
      <c r="B2605" s="384" t="s">
        <v>269</v>
      </c>
      <c r="C2605" s="389">
        <v>2.5</v>
      </c>
      <c r="D2605" s="389">
        <v>4.0</v>
      </c>
      <c r="E2605" s="384" t="s">
        <v>260</v>
      </c>
      <c r="F2605" s="389"/>
      <c r="G2605" s="389"/>
      <c r="T2605" s="384" t="str">
        <f>IFERROR(__xludf.DUMMYFUNCTION("""COMPUTED_VALUE"""),"Крот")</f>
        <v>Крот</v>
      </c>
      <c r="U2605" s="385"/>
      <c r="W2605" s="384" t="str">
        <f>IFERROR(__xludf.DUMMYFUNCTION("""COMPUTED_VALUE"""),"Правда ")</f>
        <v>Правда </v>
      </c>
      <c r="X2605" s="385"/>
    </row>
    <row r="2606">
      <c r="A2606" s="384" t="s">
        <v>136</v>
      </c>
      <c r="B2606" s="384" t="s">
        <v>265</v>
      </c>
      <c r="C2606" s="389">
        <v>2.5</v>
      </c>
      <c r="D2606" s="389">
        <v>3.25</v>
      </c>
      <c r="E2606" s="384"/>
      <c r="F2606" s="389"/>
      <c r="G2606" s="389"/>
      <c r="T2606" s="384" t="str">
        <f>IFERROR(__xludf.DUMMYFUNCTION("""COMPUTED_VALUE"""),"Левша")</f>
        <v>Левша</v>
      </c>
      <c r="U2606" s="385"/>
      <c r="W2606" s="384" t="str">
        <f>IFERROR(__xludf.DUMMYFUNCTION("""COMPUTED_VALUE"""),"РФ")</f>
        <v>РФ</v>
      </c>
      <c r="X2606" s="385"/>
    </row>
    <row r="2607">
      <c r="A2607" s="384" t="s">
        <v>121</v>
      </c>
      <c r="B2607" s="384" t="s">
        <v>261</v>
      </c>
      <c r="C2607" s="389"/>
      <c r="D2607" s="389">
        <v>2.25</v>
      </c>
      <c r="E2607" s="384"/>
      <c r="F2607" s="389"/>
      <c r="G2607" s="389"/>
      <c r="T2607" s="384" t="str">
        <f>IFERROR(__xludf.DUMMYFUNCTION("""COMPUTED_VALUE"""),"Лисичка")</f>
        <v>Лисичка</v>
      </c>
      <c r="U2607" s="385"/>
      <c r="W2607" s="384" t="str">
        <f>IFERROR(__xludf.DUMMYFUNCTION("""COMPUTED_VALUE"""),"СЭНСЭЙ")</f>
        <v>СЭНСЭЙ</v>
      </c>
      <c r="X2607" s="385"/>
    </row>
    <row r="2608">
      <c r="A2608" s="384" t="s">
        <v>122</v>
      </c>
      <c r="B2608" s="384" t="s">
        <v>261</v>
      </c>
      <c r="C2608" s="389"/>
      <c r="D2608" s="389">
        <v>2.75</v>
      </c>
      <c r="E2608" s="384"/>
      <c r="F2608" s="389"/>
      <c r="G2608" s="389"/>
      <c r="T2608" s="384" t="str">
        <f>IFERROR(__xludf.DUMMYFUNCTION("""COMPUTED_VALUE"""),"Маваши")</f>
        <v>Маваши</v>
      </c>
      <c r="U2608" s="385"/>
      <c r="W2608" s="384" t="str">
        <f>IFERROR(__xludf.DUMMYFUNCTION("""COMPUTED_VALUE"""),"Coach")</f>
        <v>Coach</v>
      </c>
      <c r="X2608" s="385"/>
    </row>
    <row r="2609">
      <c r="A2609" s="384" t="s">
        <v>114</v>
      </c>
      <c r="B2609" s="384" t="s">
        <v>261</v>
      </c>
      <c r="C2609" s="389"/>
      <c r="D2609" s="389">
        <v>3.5</v>
      </c>
      <c r="E2609" s="384"/>
      <c r="F2609" s="389"/>
      <c r="G2609" s="389"/>
      <c r="T2609" s="384" t="str">
        <f>IFERROR(__xludf.DUMMYFUNCTION("""COMPUTED_VALUE"""),"Манекен")</f>
        <v>Манекен</v>
      </c>
      <c r="U2609" s="385"/>
      <c r="W2609" s="384" t="str">
        <f>IFERROR(__xludf.DUMMYFUNCTION("""COMPUTED_VALUE"""),"Физик")</f>
        <v>Физик</v>
      </c>
      <c r="X2609" s="385"/>
    </row>
    <row r="2610">
      <c r="A2610" s="384" t="s">
        <v>116</v>
      </c>
      <c r="B2610" s="384" t="s">
        <v>271</v>
      </c>
      <c r="C2610" s="389"/>
      <c r="D2610" s="389">
        <v>3.5</v>
      </c>
      <c r="E2610" s="384"/>
      <c r="F2610" s="389"/>
      <c r="G2610" s="389"/>
      <c r="T2610" s="384" t="str">
        <f>IFERROR(__xludf.DUMMYFUNCTION("""COMPUTED_VALUE"""),"Марго")</f>
        <v>Марго</v>
      </c>
      <c r="U2610" s="385"/>
      <c r="W2610" s="384" t="str">
        <f>IFERROR(__xludf.DUMMYFUNCTION("""COMPUTED_VALUE"""),"Флэш")</f>
        <v>Флэш</v>
      </c>
      <c r="X2610" s="385"/>
    </row>
    <row r="2611">
      <c r="A2611" s="384" t="s">
        <v>102</v>
      </c>
      <c r="B2611" s="384" t="s">
        <v>261</v>
      </c>
      <c r="C2611" s="389"/>
      <c r="D2611" s="389">
        <v>2.0</v>
      </c>
      <c r="E2611" s="384" t="s">
        <v>11</v>
      </c>
      <c r="F2611" s="389"/>
      <c r="G2611" s="389">
        <v>0.5</v>
      </c>
      <c r="T2611" s="384" t="str">
        <f>IFERROR(__xludf.DUMMYFUNCTION("""COMPUTED_VALUE"""),"Ментик")</f>
        <v>Ментик</v>
      </c>
      <c r="U2611" s="385"/>
      <c r="W2611" s="384" t="str">
        <f>IFERROR(__xludf.DUMMYFUNCTION("""COMPUTED_VALUE"""),"Фокс")</f>
        <v>Фокс</v>
      </c>
      <c r="X2611" s="385"/>
    </row>
    <row r="2612">
      <c r="A2612" s="384" t="s">
        <v>131</v>
      </c>
      <c r="B2612" s="384" t="s">
        <v>261</v>
      </c>
      <c r="C2612" s="389"/>
      <c r="D2612" s="389">
        <v>4.25</v>
      </c>
      <c r="E2612" s="384" t="s">
        <v>263</v>
      </c>
      <c r="F2612" s="389"/>
      <c r="G2612" s="389"/>
      <c r="T2612" s="384" t="str">
        <f>IFERROR(__xludf.DUMMYFUNCTION("""COMPUTED_VALUE"""),"Мишель ")</f>
        <v>Мишель </v>
      </c>
      <c r="U2612" s="385"/>
      <c r="W2612" s="384" t="str">
        <f>IFERROR(__xludf.DUMMYFUNCTION("""COMPUTED_VALUE"""),"Шоу Бой")</f>
        <v>Шоу Бой</v>
      </c>
      <c r="X2612" s="385"/>
    </row>
    <row r="2613">
      <c r="A2613" s="384" t="s">
        <v>115</v>
      </c>
      <c r="B2613" s="384" t="s">
        <v>261</v>
      </c>
      <c r="C2613" s="389"/>
      <c r="D2613" s="389">
        <v>1.75</v>
      </c>
      <c r="E2613" s="384"/>
      <c r="F2613" s="389"/>
      <c r="G2613" s="389"/>
      <c r="T2613" s="384" t="str">
        <f>IFERROR(__xludf.DUMMYFUNCTION("""COMPUTED_VALUE"""),"Наполеон")</f>
        <v>Наполеон</v>
      </c>
      <c r="U2613" s="385"/>
      <c r="W2613" s="384" t="str">
        <f>IFERROR(__xludf.DUMMYFUNCTION("""COMPUTED_VALUE"""),"Шпиц")</f>
        <v>Шпиц</v>
      </c>
      <c r="X2613" s="385"/>
    </row>
    <row r="2614">
      <c r="A2614" s="384" t="s">
        <v>79</v>
      </c>
      <c r="B2614" s="384" t="s">
        <v>261</v>
      </c>
      <c r="C2614" s="389"/>
      <c r="D2614" s="389">
        <v>2.0</v>
      </c>
      <c r="E2614" s="384" t="s">
        <v>263</v>
      </c>
      <c r="F2614" s="389"/>
      <c r="G2614" s="389"/>
      <c r="T2614" s="384" t="str">
        <f>IFERROR(__xludf.DUMMYFUNCTION("""COMPUTED_VALUE"""),"Панда из Руанды")</f>
        <v>Панда из Руанды</v>
      </c>
      <c r="U2614" s="385"/>
      <c r="W2614" s="384" t="str">
        <f>IFERROR(__xludf.DUMMYFUNCTION("""COMPUTED_VALUE"""),"Юрия")</f>
        <v>Юрия</v>
      </c>
      <c r="X2614" s="385"/>
    </row>
    <row r="2615">
      <c r="A2615" s="384" t="s">
        <v>128</v>
      </c>
      <c r="B2615" s="384" t="s">
        <v>269</v>
      </c>
      <c r="C2615" s="389">
        <v>2.5</v>
      </c>
      <c r="D2615" s="389">
        <v>4.25</v>
      </c>
      <c r="E2615" s="384" t="s">
        <v>260</v>
      </c>
      <c r="F2615" s="389"/>
      <c r="G2615" s="389"/>
      <c r="T2615" s="384" t="str">
        <f>IFERROR(__xludf.DUMMYFUNCTION("""COMPUTED_VALUE"""),"Правда ")</f>
        <v>Правда </v>
      </c>
      <c r="U2615" s="385"/>
      <c r="W2615" s="384" t="str">
        <f>IFERROR(__xludf.DUMMYFUNCTION("""COMPUTED_VALUE"""),"A1 ")</f>
        <v>A1 </v>
      </c>
      <c r="X2615" s="385"/>
    </row>
    <row r="2616">
      <c r="A2616" s="384" t="s">
        <v>136</v>
      </c>
      <c r="B2616" s="384" t="s">
        <v>271</v>
      </c>
      <c r="C2616" s="389"/>
      <c r="D2616" s="389">
        <v>2.25</v>
      </c>
      <c r="E2616" s="384"/>
      <c r="F2616" s="389"/>
      <c r="G2616" s="389"/>
      <c r="T2616" s="384" t="str">
        <f>IFERROR(__xludf.DUMMYFUNCTION("""COMPUTED_VALUE"""),"Продюсер")</f>
        <v>Продюсер</v>
      </c>
      <c r="U2616" s="385"/>
      <c r="W2616" s="384" t="str">
        <f>IFERROR(__xludf.DUMMYFUNCTION("""COMPUTED_VALUE"""),"Alice ")</f>
        <v>Alice </v>
      </c>
      <c r="X2616" s="385"/>
    </row>
    <row r="2617">
      <c r="A2617" s="384" t="s">
        <v>121</v>
      </c>
      <c r="B2617" s="384" t="s">
        <v>261</v>
      </c>
      <c r="C2617" s="389"/>
      <c r="D2617" s="389">
        <v>3.25</v>
      </c>
      <c r="E2617" s="384" t="s">
        <v>11</v>
      </c>
      <c r="F2617" s="389">
        <v>0.5</v>
      </c>
      <c r="G2617" s="389">
        <v>0.5</v>
      </c>
      <c r="T2617" s="384" t="str">
        <f>IFERROR(__xludf.DUMMYFUNCTION("""COMPUTED_VALUE"""),"РФ")</f>
        <v>РФ</v>
      </c>
      <c r="U2617" s="385"/>
      <c r="W2617" s="384" t="str">
        <f>IFERROR(__xludf.DUMMYFUNCTION("""COMPUTED_VALUE"""),"Bublik")</f>
        <v>Bublik</v>
      </c>
      <c r="X2617" s="385"/>
    </row>
    <row r="2618">
      <c r="A2618" s="384" t="s">
        <v>122</v>
      </c>
      <c r="B2618" s="384" t="s">
        <v>269</v>
      </c>
      <c r="C2618" s="389">
        <v>2.5</v>
      </c>
      <c r="D2618" s="389">
        <v>3.5</v>
      </c>
      <c r="E2618" s="384"/>
      <c r="F2618" s="389"/>
      <c r="G2618" s="389"/>
      <c r="T2618" s="384" t="str">
        <f>IFERROR(__xludf.DUMMYFUNCTION("""COMPUTED_VALUE"""),"СЭНСЭЙ")</f>
        <v>СЭНСЭЙ</v>
      </c>
      <c r="U2618" s="385"/>
      <c r="W2618" s="384" t="str">
        <f>IFERROR(__xludf.DUMMYFUNCTION("""COMPUTED_VALUE"""),"BWDMoscow")</f>
        <v>BWDMoscow</v>
      </c>
      <c r="X2618" s="385"/>
    </row>
    <row r="2619">
      <c r="A2619" s="384" t="s">
        <v>114</v>
      </c>
      <c r="B2619" s="384" t="s">
        <v>261</v>
      </c>
      <c r="C2619" s="389"/>
      <c r="D2619" s="389">
        <v>2.5</v>
      </c>
      <c r="E2619" s="384"/>
      <c r="F2619" s="389"/>
      <c r="G2619" s="389"/>
      <c r="T2619" s="384" t="str">
        <f>IFERROR(__xludf.DUMMYFUNCTION("""COMPUTED_VALUE"""),"Coach")</f>
        <v>Coach</v>
      </c>
      <c r="U2619" s="385"/>
      <c r="W2619" s="384" t="str">
        <f>IFERROR(__xludf.DUMMYFUNCTION("""COMPUTED_VALUE"""),"Castor Troy ")</f>
        <v>Castor Troy </v>
      </c>
      <c r="X2619" s="385"/>
    </row>
    <row r="2620">
      <c r="A2620" s="384" t="s">
        <v>116</v>
      </c>
      <c r="B2620" s="384" t="s">
        <v>265</v>
      </c>
      <c r="C2620" s="389">
        <v>2.5</v>
      </c>
      <c r="D2620" s="389">
        <v>1.75</v>
      </c>
      <c r="E2620" s="384"/>
      <c r="F2620" s="389"/>
      <c r="G2620" s="389"/>
      <c r="T2620" s="384" t="str">
        <f>IFERROR(__xludf.DUMMYFUNCTION("""COMPUTED_VALUE"""),"Физик")</f>
        <v>Физик</v>
      </c>
      <c r="U2620" s="385"/>
      <c r="W2620" s="384" t="str">
        <f>IFERROR(__xludf.DUMMYFUNCTION("""COMPUTED_VALUE"""),"Cristo")</f>
        <v>Cristo</v>
      </c>
      <c r="X2620" s="385"/>
    </row>
    <row r="2621">
      <c r="A2621" s="384" t="s">
        <v>102</v>
      </c>
      <c r="B2621" s="384" t="s">
        <v>261</v>
      </c>
      <c r="C2621" s="389"/>
      <c r="D2621" s="389">
        <v>1.0</v>
      </c>
      <c r="E2621" s="384"/>
      <c r="F2621" s="389"/>
      <c r="G2621" s="389"/>
      <c r="T2621" s="384" t="str">
        <f>IFERROR(__xludf.DUMMYFUNCTION("""COMPUTED_VALUE"""),"Флэш")</f>
        <v>Флэш</v>
      </c>
      <c r="U2621" s="385"/>
      <c r="W2621" s="384" t="str">
        <f>IFERROR(__xludf.DUMMYFUNCTION("""COMPUTED_VALUE"""),"Curly")</f>
        <v>Curly</v>
      </c>
      <c r="X2621" s="385"/>
    </row>
    <row r="2622">
      <c r="A2622" s="384" t="s">
        <v>131</v>
      </c>
      <c r="B2622" s="384" t="s">
        <v>261</v>
      </c>
      <c r="C2622" s="389"/>
      <c r="D2622" s="389">
        <v>1.75</v>
      </c>
      <c r="E2622" s="384" t="s">
        <v>263</v>
      </c>
      <c r="F2622" s="389"/>
      <c r="G2622" s="389"/>
      <c r="T2622" s="384" t="str">
        <f>IFERROR(__xludf.DUMMYFUNCTION("""COMPUTED_VALUE"""),"Фокс")</f>
        <v>Фокс</v>
      </c>
      <c r="U2622" s="385"/>
      <c r="W2622" s="384" t="str">
        <f>IFERROR(__xludf.DUMMYFUNCTION("""COMPUTED_VALUE"""),"GALAY")</f>
        <v>GALAY</v>
      </c>
      <c r="X2622" s="385"/>
    </row>
    <row r="2623">
      <c r="A2623" s="384" t="s">
        <v>115</v>
      </c>
      <c r="B2623" s="384" t="s">
        <v>261</v>
      </c>
      <c r="C2623" s="389"/>
      <c r="D2623" s="389">
        <v>2.75</v>
      </c>
      <c r="E2623" s="384" t="s">
        <v>263</v>
      </c>
      <c r="F2623" s="389"/>
      <c r="G2623" s="389"/>
      <c r="T2623" s="384" t="str">
        <f>IFERROR(__xludf.DUMMYFUNCTION("""COMPUTED_VALUE"""),"Шоу Бой")</f>
        <v>Шоу Бой</v>
      </c>
      <c r="U2623" s="385"/>
      <c r="W2623" s="384" t="str">
        <f>IFERROR(__xludf.DUMMYFUNCTION("""COMPUTED_VALUE"""),"Helga")</f>
        <v>Helga</v>
      </c>
      <c r="X2623" s="385"/>
    </row>
    <row r="2624">
      <c r="A2624" s="384" t="s">
        <v>79</v>
      </c>
      <c r="B2624" s="384" t="s">
        <v>261</v>
      </c>
      <c r="C2624" s="389"/>
      <c r="D2624" s="389">
        <v>2.5</v>
      </c>
      <c r="E2624" s="384"/>
      <c r="F2624" s="389"/>
      <c r="G2624" s="389"/>
      <c r="T2624" s="384" t="str">
        <f>IFERROR(__xludf.DUMMYFUNCTION("""COMPUTED_VALUE"""),"A1 ")</f>
        <v>A1 </v>
      </c>
      <c r="U2624" s="385"/>
      <c r="W2624" s="384" t="str">
        <f>IFERROR(__xludf.DUMMYFUNCTION("""COMPUTED_VALUE"""),"Infinity ")</f>
        <v>Infinity </v>
      </c>
      <c r="X2624" s="385"/>
    </row>
    <row r="2625">
      <c r="A2625" s="384" t="s">
        <v>128</v>
      </c>
      <c r="B2625" s="384" t="s">
        <v>261</v>
      </c>
      <c r="C2625" s="389"/>
      <c r="D2625" s="389">
        <v>2.25</v>
      </c>
      <c r="E2625" s="384"/>
      <c r="F2625" s="389"/>
      <c r="G2625" s="389"/>
      <c r="T2625" s="384" t="str">
        <f>IFERROR(__xludf.DUMMYFUNCTION("""COMPUTED_VALUE"""),"Alice ")</f>
        <v>Alice </v>
      </c>
      <c r="U2625" s="385"/>
      <c r="W2625" s="384" t="str">
        <f>IFERROR(__xludf.DUMMYFUNCTION("""COMPUTED_VALUE"""),"Ketamin")</f>
        <v>Ketamin</v>
      </c>
      <c r="X2625" s="385"/>
    </row>
    <row r="2626">
      <c r="A2626" s="384" t="s">
        <v>136</v>
      </c>
      <c r="B2626" s="384" t="s">
        <v>271</v>
      </c>
      <c r="C2626" s="389"/>
      <c r="D2626" s="389">
        <v>2.0</v>
      </c>
      <c r="E2626" s="384" t="s">
        <v>11</v>
      </c>
      <c r="F2626" s="389">
        <v>0.5</v>
      </c>
      <c r="G2626" s="389">
        <v>0.5</v>
      </c>
      <c r="T2626" s="384" t="str">
        <f>IFERROR(__xludf.DUMMYFUNCTION("""COMPUTED_VALUE"""),"Bublik")</f>
        <v>Bublik</v>
      </c>
      <c r="U2626" s="385"/>
      <c r="W2626" s="384" t="str">
        <f>IFERROR(__xludf.DUMMYFUNCTION("""COMPUTED_VALUE"""),"Morti")</f>
        <v>Morti</v>
      </c>
      <c r="X2626" s="385"/>
    </row>
    <row r="2627">
      <c r="A2627" s="384" t="s">
        <v>121</v>
      </c>
      <c r="B2627" s="384" t="s">
        <v>269</v>
      </c>
      <c r="C2627" s="389">
        <v>2.5</v>
      </c>
      <c r="D2627" s="389">
        <v>3.25</v>
      </c>
      <c r="E2627" s="384"/>
      <c r="F2627" s="389"/>
      <c r="G2627" s="389"/>
      <c r="T2627" s="384" t="str">
        <f>IFERROR(__xludf.DUMMYFUNCTION("""COMPUTED_VALUE"""),"BWDMoscow")</f>
        <v>BWDMoscow</v>
      </c>
      <c r="U2627" s="385"/>
      <c r="W2627" s="384" t="str">
        <f>IFERROR(__xludf.DUMMYFUNCTION("""COMPUTED_VALUE"""),"NLIP")</f>
        <v>NLIP</v>
      </c>
      <c r="X2627" s="385"/>
    </row>
    <row r="2628">
      <c r="A2628" s="384" t="s">
        <v>122</v>
      </c>
      <c r="B2628" s="384" t="s">
        <v>261</v>
      </c>
      <c r="C2628" s="389"/>
      <c r="D2628" s="389">
        <v>2.25</v>
      </c>
      <c r="E2628" s="384"/>
      <c r="F2628" s="389"/>
      <c r="G2628" s="389"/>
      <c r="T2628" s="384" t="str">
        <f>IFERROR(__xludf.DUMMYFUNCTION("""COMPUTED_VALUE"""),"Castor Troy ")</f>
        <v>Castor Troy </v>
      </c>
      <c r="U2628" s="385"/>
      <c r="W2628" s="384" t="str">
        <f>IFERROR(__xludf.DUMMYFUNCTION("""COMPUTED_VALUE"""),"Rocket woman ")</f>
        <v>Rocket woman </v>
      </c>
      <c r="X2628" s="385"/>
    </row>
    <row r="2629">
      <c r="A2629" s="384" t="s">
        <v>114</v>
      </c>
      <c r="B2629" s="384" t="s">
        <v>269</v>
      </c>
      <c r="C2629" s="389">
        <v>2.5</v>
      </c>
      <c r="D2629" s="389">
        <v>4.0</v>
      </c>
      <c r="E2629" s="384" t="s">
        <v>260</v>
      </c>
      <c r="F2629" s="389"/>
      <c r="G2629" s="389"/>
      <c r="T2629" s="384" t="str">
        <f>IFERROR(__xludf.DUMMYFUNCTION("""COMPUTED_VALUE"""),"Cristo")</f>
        <v>Cristo</v>
      </c>
      <c r="U2629" s="385"/>
      <c r="W2629" s="384" t="str">
        <f>IFERROR(__xludf.DUMMYFUNCTION("""COMPUTED_VALUE"""),"SCHOKK ")</f>
        <v>SCHOKK </v>
      </c>
      <c r="X2629" s="385"/>
    </row>
    <row r="2630">
      <c r="A2630" s="384" t="s">
        <v>116</v>
      </c>
      <c r="B2630" s="384" t="s">
        <v>261</v>
      </c>
      <c r="C2630" s="389"/>
      <c r="D2630" s="389">
        <v>2.5</v>
      </c>
      <c r="E2630" s="384" t="s">
        <v>263</v>
      </c>
      <c r="F2630" s="389"/>
      <c r="G2630" s="389"/>
      <c r="T2630" s="384" t="str">
        <f>IFERROR(__xludf.DUMMYFUNCTION("""COMPUTED_VALUE"""),"GALAY")</f>
        <v>GALAY</v>
      </c>
      <c r="U2630" s="385"/>
      <c r="W2630" s="384" t="str">
        <f>IFERROR(__xludf.DUMMYFUNCTION("""COMPUTED_VALUE"""),"SOVEST")</f>
        <v>SOVEST</v>
      </c>
      <c r="X2630" s="385"/>
    </row>
    <row r="2631">
      <c r="A2631" s="384" t="s">
        <v>102</v>
      </c>
      <c r="B2631" s="384" t="s">
        <v>265</v>
      </c>
      <c r="C2631" s="389">
        <v>2.5</v>
      </c>
      <c r="D2631" s="389">
        <v>2.5</v>
      </c>
      <c r="E2631" s="384"/>
      <c r="F2631" s="389"/>
      <c r="G2631" s="389"/>
      <c r="T2631" s="384" t="str">
        <f>IFERROR(__xludf.DUMMYFUNCTION("""COMPUTED_VALUE"""),"Helga")</f>
        <v>Helga</v>
      </c>
      <c r="U2631" s="385"/>
      <c r="W2631" s="384" t="str">
        <f>IFERROR(__xludf.DUMMYFUNCTION("""COMPUTED_VALUE"""),"Stacy")</f>
        <v>Stacy</v>
      </c>
      <c r="X2631" s="385"/>
    </row>
    <row r="2632">
      <c r="A2632" s="384" t="s">
        <v>131</v>
      </c>
      <c r="B2632" s="384" t="s">
        <v>261</v>
      </c>
      <c r="C2632" s="389"/>
      <c r="D2632" s="389">
        <v>1.75</v>
      </c>
      <c r="E2632" s="384" t="s">
        <v>263</v>
      </c>
      <c r="F2632" s="389"/>
      <c r="G2632" s="389"/>
      <c r="T2632" s="384" t="str">
        <f>IFERROR(__xludf.DUMMYFUNCTION("""COMPUTED_VALUE"""),"Infinity ")</f>
        <v>Infinity </v>
      </c>
      <c r="U2632" s="385"/>
      <c r="W2632" s="384" t="str">
        <f>IFERROR(__xludf.DUMMYFUNCTION("""COMPUTED_VALUE"""),"WhoIsWho")</f>
        <v>WhoIsWho</v>
      </c>
      <c r="X2632" s="385"/>
    </row>
    <row r="2633">
      <c r="A2633" s="384" t="s">
        <v>115</v>
      </c>
      <c r="B2633" s="384" t="s">
        <v>261</v>
      </c>
      <c r="C2633" s="389">
        <v>2.5</v>
      </c>
      <c r="D2633" s="389">
        <v>1.5</v>
      </c>
      <c r="E2633" s="384"/>
      <c r="F2633" s="389"/>
      <c r="G2633" s="389"/>
      <c r="T2633" s="384" t="str">
        <f>IFERROR(__xludf.DUMMYFUNCTION("""COMPUTED_VALUE"""),"Ketamin")</f>
        <v>Ketamin</v>
      </c>
      <c r="U2633" s="385"/>
      <c r="W2633" s="384" t="str">
        <f>IFERROR(__xludf.DUMMYFUNCTION("""COMPUTED_VALUE"""),"Админ")</f>
        <v>Админ</v>
      </c>
      <c r="X2633" s="385"/>
    </row>
    <row r="2634">
      <c r="A2634" s="384" t="s">
        <v>79</v>
      </c>
      <c r="B2634" s="384" t="s">
        <v>269</v>
      </c>
      <c r="C2634" s="389"/>
      <c r="D2634" s="389">
        <v>3.25</v>
      </c>
      <c r="E2634" s="384" t="s">
        <v>263</v>
      </c>
      <c r="F2634" s="389"/>
      <c r="G2634" s="389"/>
      <c r="T2634" s="384" t="str">
        <f>IFERROR(__xludf.DUMMYFUNCTION("""COMPUTED_VALUE"""),"Morti")</f>
        <v>Morti</v>
      </c>
      <c r="U2634" s="385"/>
      <c r="W2634" s="384" t="str">
        <f>IFERROR(__xludf.DUMMYFUNCTION("""COMPUTED_VALUE"""),"Андерсен")</f>
        <v>Андерсен</v>
      </c>
      <c r="X2634" s="385"/>
    </row>
    <row r="2635">
      <c r="A2635" s="384" t="s">
        <v>128</v>
      </c>
      <c r="B2635" s="384" t="s">
        <v>261</v>
      </c>
      <c r="C2635" s="389">
        <v>2.5</v>
      </c>
      <c r="D2635" s="389">
        <v>3.5</v>
      </c>
      <c r="E2635" s="384"/>
      <c r="F2635" s="389"/>
      <c r="G2635" s="389"/>
      <c r="T2635" s="384" t="str">
        <f>IFERROR(__xludf.DUMMYFUNCTION("""COMPUTED_VALUE"""),"NLIP")</f>
        <v>NLIP</v>
      </c>
      <c r="U2635" s="385"/>
      <c r="W2635" s="384" t="str">
        <f>IFERROR(__xludf.DUMMYFUNCTION("""COMPUTED_VALUE"""),"Артик")</f>
        <v>Артик</v>
      </c>
      <c r="X2635" s="385"/>
    </row>
    <row r="2636">
      <c r="A2636" s="384" t="s">
        <v>136</v>
      </c>
      <c r="B2636" s="384" t="s">
        <v>261</v>
      </c>
      <c r="C2636" s="389">
        <v>2.5</v>
      </c>
      <c r="D2636" s="389">
        <v>2.5</v>
      </c>
      <c r="E2636" s="384"/>
      <c r="F2636" s="389"/>
      <c r="G2636" s="389"/>
      <c r="T2636" s="384" t="str">
        <f>IFERROR(__xludf.DUMMYFUNCTION("""COMPUTED_VALUE"""),"Rocket woman ")</f>
        <v>Rocket woman </v>
      </c>
      <c r="U2636" s="385"/>
      <c r="W2636" s="384" t="str">
        <f>IFERROR(__xludf.DUMMYFUNCTION("""COMPUTED_VALUE"""),"Астория")</f>
        <v>Астория</v>
      </c>
      <c r="X2636" s="385"/>
    </row>
    <row r="2637">
      <c r="A2637" s="384" t="s">
        <v>121</v>
      </c>
      <c r="B2637" s="384" t="s">
        <v>269</v>
      </c>
      <c r="C2637" s="389"/>
      <c r="D2637" s="389">
        <v>2.5</v>
      </c>
      <c r="E2637" s="384"/>
      <c r="F2637" s="389"/>
      <c r="G2637" s="389"/>
      <c r="T2637" s="384" t="str">
        <f>IFERROR(__xludf.DUMMYFUNCTION("""COMPUTED_VALUE"""),"SCHOKK ")</f>
        <v>SCHOKK </v>
      </c>
      <c r="U2637" s="385"/>
      <c r="W2637" s="384" t="str">
        <f>IFERROR(__xludf.DUMMYFUNCTION("""COMPUTED_VALUE"""),"Аш")</f>
        <v>Аш</v>
      </c>
      <c r="X2637" s="385"/>
    </row>
    <row r="2638">
      <c r="A2638" s="384" t="s">
        <v>122</v>
      </c>
      <c r="B2638" s="384" t="s">
        <v>261</v>
      </c>
      <c r="C2638" s="389">
        <v>2.5</v>
      </c>
      <c r="D2638" s="389">
        <v>4.25</v>
      </c>
      <c r="E2638" s="384" t="s">
        <v>260</v>
      </c>
      <c r="F2638" s="389"/>
      <c r="G2638" s="389"/>
      <c r="T2638" s="384" t="str">
        <f>IFERROR(__xludf.DUMMYFUNCTION("""COMPUTED_VALUE"""),"SOVEST")</f>
        <v>SOVEST</v>
      </c>
      <c r="U2638" s="385"/>
      <c r="W2638" s="384" t="str">
        <f>IFERROR(__xludf.DUMMYFUNCTION("""COMPUTED_VALUE"""),"Бамблби")</f>
        <v>Бамблби</v>
      </c>
      <c r="X2638" s="385"/>
    </row>
    <row r="2639">
      <c r="A2639" s="384" t="s">
        <v>114</v>
      </c>
      <c r="B2639" s="384" t="s">
        <v>261</v>
      </c>
      <c r="C2639" s="389">
        <v>2.5</v>
      </c>
      <c r="D2639" s="389">
        <v>3.5</v>
      </c>
      <c r="E2639" s="384" t="s">
        <v>11</v>
      </c>
      <c r="F2639" s="389">
        <v>0.5</v>
      </c>
      <c r="G2639" s="389">
        <v>0.5</v>
      </c>
      <c r="T2639" s="384" t="str">
        <f>IFERROR(__xludf.DUMMYFUNCTION("""COMPUTED_VALUE"""),"Stacy")</f>
        <v>Stacy</v>
      </c>
      <c r="U2639" s="385"/>
      <c r="W2639" s="384" t="str">
        <f>IFERROR(__xludf.DUMMYFUNCTION("""COMPUTED_VALUE"""),"Волга")</f>
        <v>Волга</v>
      </c>
      <c r="X2639" s="385"/>
    </row>
    <row r="2640">
      <c r="A2640" s="384" t="s">
        <v>116</v>
      </c>
      <c r="B2640" s="384" t="s">
        <v>271</v>
      </c>
      <c r="C2640" s="389">
        <v>2.5</v>
      </c>
      <c r="D2640" s="389">
        <v>2.0</v>
      </c>
      <c r="E2640" s="384"/>
      <c r="F2640" s="389"/>
      <c r="G2640" s="389"/>
      <c r="T2640" s="384" t="str">
        <f>IFERROR(__xludf.DUMMYFUNCTION("""COMPUTED_VALUE"""),"WhoIsWho")</f>
        <v>WhoIsWho</v>
      </c>
      <c r="U2640" s="385"/>
      <c r="W2640" s="384" t="str">
        <f>IFERROR(__xludf.DUMMYFUNCTION("""COMPUTED_VALUE"""),"Градиент")</f>
        <v>Градиент</v>
      </c>
      <c r="X2640" s="385"/>
    </row>
    <row r="2641">
      <c r="A2641" s="384" t="s">
        <v>102</v>
      </c>
      <c r="B2641" s="384" t="s">
        <v>265</v>
      </c>
      <c r="C2641" s="389"/>
      <c r="D2641" s="389">
        <v>2.5</v>
      </c>
      <c r="E2641" s="384"/>
      <c r="F2641" s="389"/>
      <c r="G2641" s="389"/>
      <c r="T2641" s="384" t="str">
        <f>IFERROR(__xludf.DUMMYFUNCTION("""COMPUTED_VALUE"""),"Young")</f>
        <v>Young</v>
      </c>
      <c r="U2641" s="385"/>
      <c r="W2641" s="384" t="str">
        <f>IFERROR(__xludf.DUMMYFUNCTION("""COMPUTED_VALUE"""),"Дровосек")</f>
        <v>Дровосек</v>
      </c>
      <c r="X2641" s="385"/>
    </row>
    <row r="2642">
      <c r="A2642" s="384" t="s">
        <v>131</v>
      </c>
      <c r="B2642" s="384" t="s">
        <v>261</v>
      </c>
      <c r="C2642" s="389">
        <v>2.5</v>
      </c>
      <c r="D2642" s="389">
        <v>2.0</v>
      </c>
      <c r="E2642" s="384" t="s">
        <v>260</v>
      </c>
      <c r="F2642" s="389"/>
      <c r="G2642" s="389"/>
      <c r="T2642" s="384" t="str">
        <f>IFERROR(__xludf.DUMMYFUNCTION("QUERY('Турнирная таблица по Алфавиту'!C7:BZ66,""select C,BL order by BL desc"")"),"Флэш")</f>
        <v>Флэш</v>
      </c>
      <c r="U2642" s="385">
        <f>IFERROR(__xludf.DUMMYFUNCTION("""COMPUTED_VALUE"""),21.5)</f>
        <v>21.5</v>
      </c>
      <c r="W2642" s="384" t="str">
        <f>IFERROR(__xludf.DUMMYFUNCTION("""COMPUTED_VALUE"""),"Зверюга")</f>
        <v>Зверюга</v>
      </c>
      <c r="X2642" s="385"/>
    </row>
    <row r="2643">
      <c r="A2643" s="384" t="s">
        <v>115</v>
      </c>
      <c r="B2643" s="384" t="s">
        <v>261</v>
      </c>
      <c r="C2643" s="389"/>
      <c r="D2643" s="389">
        <v>2.5</v>
      </c>
      <c r="E2643" s="384"/>
      <c r="F2643" s="389"/>
      <c r="G2643" s="389"/>
      <c r="T2643" s="384" t="str">
        <f>IFERROR(__xludf.DUMMYFUNCTION("""COMPUTED_VALUE"""),"Астория")</f>
        <v>Астория</v>
      </c>
      <c r="U2643" s="385">
        <f>IFERROR(__xludf.DUMMYFUNCTION("""COMPUTED_VALUE"""),21.25)</f>
        <v>21.25</v>
      </c>
      <c r="W2643" s="384" t="str">
        <f>IFERROR(__xludf.DUMMYFUNCTION("""COMPUTED_VALUE"""),"Инсомнич")</f>
        <v>Инсомнич</v>
      </c>
      <c r="X2643" s="385"/>
    </row>
    <row r="2644">
      <c r="A2644" s="384" t="s">
        <v>79</v>
      </c>
      <c r="B2644" s="384" t="s">
        <v>265</v>
      </c>
      <c r="C2644" s="389">
        <v>2.5</v>
      </c>
      <c r="D2644" s="389">
        <v>3.5</v>
      </c>
      <c r="E2644" s="384"/>
      <c r="F2644" s="389"/>
      <c r="G2644" s="389"/>
      <c r="T2644" s="384" t="str">
        <f>IFERROR(__xludf.DUMMYFUNCTION("""COMPUTED_VALUE"""),"Старый")</f>
        <v>Старый</v>
      </c>
      <c r="U2644" s="385">
        <f>IFERROR(__xludf.DUMMYFUNCTION("""COMPUTED_VALUE"""),21.25)</f>
        <v>21.25</v>
      </c>
      <c r="W2644" s="384" t="str">
        <f>IFERROR(__xludf.DUMMYFUNCTION("""COMPUTED_VALUE"""),"Крестный отец (BLR)")</f>
        <v>Крестный отец (BLR)</v>
      </c>
      <c r="X2644" s="385"/>
    </row>
    <row r="2645">
      <c r="A2645" s="384" t="s">
        <v>128</v>
      </c>
      <c r="B2645" s="384" t="s">
        <v>269</v>
      </c>
      <c r="C2645" s="389">
        <v>2.5</v>
      </c>
      <c r="D2645" s="389">
        <v>3.25</v>
      </c>
      <c r="E2645" s="384"/>
      <c r="F2645" s="389"/>
      <c r="G2645" s="389"/>
      <c r="T2645" s="384" t="str">
        <f>IFERROR(__xludf.DUMMYFUNCTION("""COMPUTED_VALUE"""),"Alice ")</f>
        <v>Alice </v>
      </c>
      <c r="U2645" s="385">
        <f>IFERROR(__xludf.DUMMYFUNCTION("""COMPUTED_VALUE"""),20.25)</f>
        <v>20.25</v>
      </c>
      <c r="W2645" s="384" t="str">
        <f>IFERROR(__xludf.DUMMYFUNCTION("""COMPUTED_VALUE"""),"Крёстный Отец (RU)")</f>
        <v>Крёстный Отец (RU)</v>
      </c>
      <c r="X2645" s="385"/>
    </row>
    <row r="2646">
      <c r="A2646" s="384" t="s">
        <v>136</v>
      </c>
      <c r="B2646" s="384" t="s">
        <v>261</v>
      </c>
      <c r="C2646" s="389"/>
      <c r="D2646" s="389">
        <v>2.5</v>
      </c>
      <c r="E2646" s="384"/>
      <c r="F2646" s="389"/>
      <c r="G2646" s="389"/>
      <c r="T2646" s="384" t="str">
        <f>IFERROR(__xludf.DUMMYFUNCTION("""COMPUTED_VALUE"""),"Bublik")</f>
        <v>Bublik</v>
      </c>
      <c r="U2646" s="385">
        <f>IFERROR(__xludf.DUMMYFUNCTION("""COMPUTED_VALUE"""),20.0)</f>
        <v>20</v>
      </c>
      <c r="W2646" s="384" t="str">
        <f>IFERROR(__xludf.DUMMYFUNCTION("""COMPUTED_VALUE"""),"Крот")</f>
        <v>Крот</v>
      </c>
      <c r="X2646" s="385"/>
    </row>
    <row r="2647">
      <c r="A2647" s="384" t="s">
        <v>121</v>
      </c>
      <c r="B2647" s="384" t="s">
        <v>271</v>
      </c>
      <c r="C2647" s="389"/>
      <c r="D2647" s="389">
        <v>2.5</v>
      </c>
      <c r="E2647" s="384"/>
      <c r="F2647" s="389"/>
      <c r="G2647" s="389"/>
      <c r="T2647" s="384" t="str">
        <f>IFERROR(__xludf.DUMMYFUNCTION("""COMPUTED_VALUE"""),"WhoIsWho")</f>
        <v>WhoIsWho</v>
      </c>
      <c r="U2647" s="385">
        <f>IFERROR(__xludf.DUMMYFUNCTION("""COMPUTED_VALUE"""),18.0)</f>
        <v>18</v>
      </c>
      <c r="W2647" s="384" t="str">
        <f>IFERROR(__xludf.DUMMYFUNCTION("""COMPUTED_VALUE"""),"Левша")</f>
        <v>Левша</v>
      </c>
      <c r="X2647" s="385"/>
    </row>
    <row r="2648">
      <c r="A2648" s="384" t="s">
        <v>122</v>
      </c>
      <c r="B2648" s="384" t="s">
        <v>269</v>
      </c>
      <c r="C2648" s="389">
        <v>2.5</v>
      </c>
      <c r="D2648" s="389">
        <v>3.25</v>
      </c>
      <c r="E2648" s="384"/>
      <c r="F2648" s="389"/>
      <c r="G2648" s="389"/>
      <c r="T2648" s="384" t="str">
        <f>IFERROR(__xludf.DUMMYFUNCTION("""COMPUTED_VALUE"""),"Лисичка")</f>
        <v>Лисичка</v>
      </c>
      <c r="U2648" s="385">
        <f>IFERROR(__xludf.DUMMYFUNCTION("""COMPUTED_VALUE"""),17.25)</f>
        <v>17.25</v>
      </c>
      <c r="W2648" s="384" t="str">
        <f>IFERROR(__xludf.DUMMYFUNCTION("""COMPUTED_VALUE"""),"Лисичка")</f>
        <v>Лисичка</v>
      </c>
      <c r="X2648" s="385"/>
    </row>
    <row r="2649">
      <c r="A2649" s="384" t="s">
        <v>114</v>
      </c>
      <c r="B2649" s="384" t="s">
        <v>261</v>
      </c>
      <c r="C2649" s="389"/>
      <c r="D2649" s="389">
        <v>2.75</v>
      </c>
      <c r="E2649" s="384"/>
      <c r="F2649" s="389"/>
      <c r="G2649" s="389"/>
      <c r="T2649" s="384" t="str">
        <f>IFERROR(__xludf.DUMMYFUNCTION("""COMPUTED_VALUE"""),"Тихий закат")</f>
        <v>Тихий закат</v>
      </c>
      <c r="U2649" s="385">
        <f>IFERROR(__xludf.DUMMYFUNCTION("""COMPUTED_VALUE"""),16.0)</f>
        <v>16</v>
      </c>
      <c r="W2649" s="384" t="str">
        <f>IFERROR(__xludf.DUMMYFUNCTION("""COMPUTED_VALUE"""),"Маваши")</f>
        <v>Маваши</v>
      </c>
      <c r="X2649" s="385"/>
    </row>
    <row r="2650">
      <c r="A2650" s="384" t="s">
        <v>116</v>
      </c>
      <c r="B2650" s="384" t="s">
        <v>261</v>
      </c>
      <c r="C2650" s="389"/>
      <c r="D2650" s="389">
        <v>2.75</v>
      </c>
      <c r="E2650" s="384"/>
      <c r="F2650" s="389"/>
      <c r="G2650" s="389"/>
      <c r="T2650" s="384" t="str">
        <f>IFERROR(__xludf.DUMMYFUNCTION("""COMPUTED_VALUE"""),"Юрия")</f>
        <v>Юрия</v>
      </c>
      <c r="U2650" s="385">
        <f>IFERROR(__xludf.DUMMYFUNCTION("""COMPUTED_VALUE"""),14.75)</f>
        <v>14.75</v>
      </c>
      <c r="W2650" s="384" t="str">
        <f>IFERROR(__xludf.DUMMYFUNCTION("""COMPUTED_VALUE"""),"Манекен")</f>
        <v>Манекен</v>
      </c>
      <c r="X2650" s="385"/>
    </row>
    <row r="2651">
      <c r="A2651" s="384" t="s">
        <v>102</v>
      </c>
      <c r="B2651" s="384" t="s">
        <v>261</v>
      </c>
      <c r="C2651" s="389"/>
      <c r="D2651" s="389">
        <v>1.0</v>
      </c>
      <c r="E2651" s="384"/>
      <c r="F2651" s="389"/>
      <c r="G2651" s="389"/>
      <c r="T2651" s="384" t="str">
        <f>IFERROR(__xludf.DUMMYFUNCTION("""COMPUTED_VALUE"""),"MSR")</f>
        <v>MSR</v>
      </c>
      <c r="U2651" s="385">
        <f>IFERROR(__xludf.DUMMYFUNCTION("""COMPUTED_VALUE"""),14.25)</f>
        <v>14.25</v>
      </c>
      <c r="W2651" s="384" t="str">
        <f>IFERROR(__xludf.DUMMYFUNCTION("""COMPUTED_VALUE"""),"Марго")</f>
        <v>Марго</v>
      </c>
      <c r="X2651" s="385"/>
    </row>
    <row r="2652">
      <c r="A2652" s="384" t="s">
        <v>131</v>
      </c>
      <c r="B2652" s="384" t="s">
        <v>261</v>
      </c>
      <c r="C2652" s="389"/>
      <c r="D2652" s="389">
        <v>2.25</v>
      </c>
      <c r="E2652" s="384" t="s">
        <v>11</v>
      </c>
      <c r="F2652" s="389"/>
      <c r="G2652" s="389">
        <v>0.5</v>
      </c>
      <c r="T2652" s="384" t="str">
        <f>IFERROR(__xludf.DUMMYFUNCTION("""COMPUTED_VALUE"""),"Авраам")</f>
        <v>Авраам</v>
      </c>
      <c r="U2652" s="385"/>
      <c r="W2652" s="384" t="str">
        <f>IFERROR(__xludf.DUMMYFUNCTION("""COMPUTED_VALUE"""),"Ментик")</f>
        <v>Ментик</v>
      </c>
      <c r="X2652" s="385"/>
    </row>
    <row r="2653">
      <c r="A2653" s="384" t="s">
        <v>115</v>
      </c>
      <c r="B2653" s="384" t="s">
        <v>271</v>
      </c>
      <c r="C2653" s="389">
        <v>2.5</v>
      </c>
      <c r="D2653" s="389">
        <v>2.0</v>
      </c>
      <c r="E2653" s="384"/>
      <c r="F2653" s="389"/>
      <c r="G2653" s="389"/>
      <c r="T2653" s="384" t="str">
        <f>IFERROR(__xludf.DUMMYFUNCTION("""COMPUTED_VALUE"""),"Админ")</f>
        <v>Админ</v>
      </c>
      <c r="U2653" s="385"/>
      <c r="W2653" s="384" t="str">
        <f>IFERROR(__xludf.DUMMYFUNCTION("""COMPUTED_VALUE"""),"Мишель ")</f>
        <v>Мишель </v>
      </c>
      <c r="X2653" s="385"/>
    </row>
    <row r="2654">
      <c r="A2654" s="384" t="s">
        <v>114</v>
      </c>
      <c r="B2654" s="384" t="s">
        <v>269</v>
      </c>
      <c r="C2654" s="389"/>
      <c r="D2654" s="389">
        <v>2.5</v>
      </c>
      <c r="E2654" s="384"/>
      <c r="F2654" s="389"/>
      <c r="G2654" s="389"/>
      <c r="T2654" s="384" t="str">
        <f>IFERROR(__xludf.DUMMYFUNCTION("""COMPUTED_VALUE"""),"Андерсен")</f>
        <v>Андерсен</v>
      </c>
      <c r="U2654" s="385"/>
      <c r="W2654" s="384" t="str">
        <f>IFERROR(__xludf.DUMMYFUNCTION("""COMPUTED_VALUE"""),"Наполеон")</f>
        <v>Наполеон</v>
      </c>
      <c r="X2654" s="385"/>
    </row>
    <row r="2655">
      <c r="A2655" s="384" t="s">
        <v>106</v>
      </c>
      <c r="B2655" s="384" t="s">
        <v>265</v>
      </c>
      <c r="C2655" s="389"/>
      <c r="D2655" s="389">
        <v>3.0</v>
      </c>
      <c r="E2655" s="384"/>
      <c r="F2655" s="389"/>
      <c r="G2655" s="389"/>
      <c r="T2655" s="384" t="str">
        <f>IFERROR(__xludf.DUMMYFUNCTION("""COMPUTED_VALUE"""),"Артик")</f>
        <v>Артик</v>
      </c>
      <c r="U2655" s="385"/>
      <c r="W2655" s="384" t="str">
        <f>IFERROR(__xludf.DUMMYFUNCTION("""COMPUTED_VALUE"""),"Панда из Руанды")</f>
        <v>Панда из Руанды</v>
      </c>
      <c r="X2655" s="385"/>
    </row>
    <row r="2656">
      <c r="A2656" s="384" t="s">
        <v>82</v>
      </c>
      <c r="B2656" s="384" t="s">
        <v>261</v>
      </c>
      <c r="C2656" s="389">
        <v>2.5</v>
      </c>
      <c r="D2656" s="389">
        <v>2.25</v>
      </c>
      <c r="E2656" s="384" t="s">
        <v>11</v>
      </c>
      <c r="F2656" s="389"/>
      <c r="G2656" s="389">
        <v>0.5</v>
      </c>
      <c r="T2656" s="384" t="str">
        <f>IFERROR(__xludf.DUMMYFUNCTION("""COMPUTED_VALUE"""),"Аш")</f>
        <v>Аш</v>
      </c>
      <c r="U2656" s="385"/>
      <c r="W2656" s="384" t="str">
        <f>IFERROR(__xludf.DUMMYFUNCTION("""COMPUTED_VALUE"""),"Правда ")</f>
        <v>Правда </v>
      </c>
      <c r="X2656" s="385"/>
    </row>
    <row r="2657">
      <c r="A2657" s="384" t="s">
        <v>83</v>
      </c>
      <c r="B2657" s="384" t="s">
        <v>261</v>
      </c>
      <c r="C2657" s="389">
        <v>2.5</v>
      </c>
      <c r="D2657" s="389">
        <v>3.0</v>
      </c>
      <c r="E2657" s="384"/>
      <c r="F2657" s="389"/>
      <c r="G2657" s="389"/>
      <c r="T2657" s="384" t="str">
        <f>IFERROR(__xludf.DUMMYFUNCTION("""COMPUTED_VALUE"""),"Бамблби")</f>
        <v>Бамблби</v>
      </c>
      <c r="U2657" s="385"/>
      <c r="W2657" s="384" t="str">
        <f>IFERROR(__xludf.DUMMYFUNCTION("""COMPUTED_VALUE"""),"Продюсер")</f>
        <v>Продюсер</v>
      </c>
      <c r="X2657" s="385"/>
    </row>
    <row r="2658">
      <c r="A2658" s="384" t="s">
        <v>98</v>
      </c>
      <c r="B2658" s="384" t="s">
        <v>261</v>
      </c>
      <c r="C2658" s="389">
        <v>2.5</v>
      </c>
      <c r="D2658" s="389">
        <v>2.0</v>
      </c>
      <c r="E2658" s="384"/>
      <c r="F2658" s="389"/>
      <c r="G2658" s="389"/>
      <c r="T2658" s="384" t="str">
        <f>IFERROR(__xludf.DUMMYFUNCTION("""COMPUTED_VALUE"""),"Волга")</f>
        <v>Волга</v>
      </c>
      <c r="U2658" s="385"/>
      <c r="W2658" s="384" t="str">
        <f>IFERROR(__xludf.DUMMYFUNCTION("""COMPUTED_VALUE"""),"РФ")</f>
        <v>РФ</v>
      </c>
      <c r="X2658" s="385"/>
    </row>
    <row r="2659">
      <c r="A2659" s="384" t="s">
        <v>97</v>
      </c>
      <c r="B2659" s="384" t="s">
        <v>261</v>
      </c>
      <c r="C2659" s="389">
        <v>2.5</v>
      </c>
      <c r="D2659" s="389">
        <v>2.5</v>
      </c>
      <c r="E2659" s="384"/>
      <c r="F2659" s="389"/>
      <c r="G2659" s="389"/>
      <c r="T2659" s="384" t="str">
        <f>IFERROR(__xludf.DUMMYFUNCTION("""COMPUTED_VALUE"""),"Градиент")</f>
        <v>Градиент</v>
      </c>
      <c r="U2659" s="385"/>
      <c r="W2659" s="384" t="str">
        <f>IFERROR(__xludf.DUMMYFUNCTION("""COMPUTED_VALUE"""),"СЭНСЭЙ")</f>
        <v>СЭНСЭЙ</v>
      </c>
      <c r="X2659" s="385"/>
    </row>
    <row r="2660">
      <c r="A2660" s="384" t="s">
        <v>105</v>
      </c>
      <c r="B2660" s="384" t="s">
        <v>261</v>
      </c>
      <c r="C2660" s="389">
        <v>2.5</v>
      </c>
      <c r="D2660" s="389">
        <v>2.75</v>
      </c>
      <c r="E2660" s="384"/>
      <c r="F2660" s="389"/>
      <c r="G2660" s="389"/>
      <c r="T2660" s="384" t="str">
        <f>IFERROR(__xludf.DUMMYFUNCTION("""COMPUTED_VALUE"""),"Дровосек")</f>
        <v>Дровосек</v>
      </c>
      <c r="U2660" s="385"/>
      <c r="W2660" s="384" t="str">
        <f>IFERROR(__xludf.DUMMYFUNCTION("""COMPUTED_VALUE"""),"Coach")</f>
        <v>Coach</v>
      </c>
      <c r="X2660" s="385"/>
    </row>
    <row r="2661">
      <c r="A2661" s="384" t="s">
        <v>121</v>
      </c>
      <c r="B2661" s="384" t="s">
        <v>261</v>
      </c>
      <c r="C2661" s="389">
        <v>2.5</v>
      </c>
      <c r="D2661" s="389">
        <v>4.25</v>
      </c>
      <c r="E2661" s="384"/>
      <c r="F2661" s="389"/>
      <c r="G2661" s="389"/>
      <c r="T2661" s="384" t="str">
        <f>IFERROR(__xludf.DUMMYFUNCTION("""COMPUTED_VALUE"""),"Зверюга")</f>
        <v>Зверюга</v>
      </c>
      <c r="U2661" s="385"/>
      <c r="W2661" s="384" t="str">
        <f>IFERROR(__xludf.DUMMYFUNCTION("""COMPUTED_VALUE"""),"Физик")</f>
        <v>Физик</v>
      </c>
      <c r="X2661" s="385"/>
    </row>
    <row r="2662">
      <c r="A2662" s="384" t="s">
        <v>91</v>
      </c>
      <c r="B2662" s="384" t="s">
        <v>269</v>
      </c>
      <c r="C2662" s="389"/>
      <c r="D2662" s="389">
        <v>1.75</v>
      </c>
      <c r="E2662" s="384"/>
      <c r="F2662" s="389"/>
      <c r="G2662" s="389"/>
      <c r="T2662" s="384" t="str">
        <f>IFERROR(__xludf.DUMMYFUNCTION("""COMPUTED_VALUE"""),"Инсомнич")</f>
        <v>Инсомнич</v>
      </c>
      <c r="U2662" s="385"/>
      <c r="W2662" s="384" t="str">
        <f>IFERROR(__xludf.DUMMYFUNCTION("""COMPUTED_VALUE"""),"Флэш")</f>
        <v>Флэш</v>
      </c>
      <c r="X2662" s="385"/>
    </row>
    <row r="2663">
      <c r="A2663" s="384" t="s">
        <v>115</v>
      </c>
      <c r="B2663" s="384" t="s">
        <v>261</v>
      </c>
      <c r="C2663" s="389"/>
      <c r="D2663" s="389">
        <v>2.0</v>
      </c>
      <c r="E2663" s="384"/>
      <c r="F2663" s="389"/>
      <c r="G2663" s="389"/>
      <c r="T2663" s="384" t="str">
        <f>IFERROR(__xludf.DUMMYFUNCTION("""COMPUTED_VALUE"""),"Красавчик")</f>
        <v>Красавчик</v>
      </c>
      <c r="U2663" s="385"/>
      <c r="W2663" s="384" t="str">
        <f>IFERROR(__xludf.DUMMYFUNCTION("""COMPUTED_VALUE"""),"Фокс")</f>
        <v>Фокс</v>
      </c>
      <c r="X2663" s="385"/>
    </row>
    <row r="2664">
      <c r="A2664" s="384" t="s">
        <v>114</v>
      </c>
      <c r="B2664" s="384" t="s">
        <v>261</v>
      </c>
      <c r="C2664" s="389"/>
      <c r="D2664" s="389">
        <v>1.5</v>
      </c>
      <c r="E2664" s="384"/>
      <c r="F2664" s="389"/>
      <c r="G2664" s="389"/>
      <c r="T2664" s="384" t="str">
        <f>IFERROR(__xludf.DUMMYFUNCTION("""COMPUTED_VALUE"""),"Крестный отец (BLR)")</f>
        <v>Крестный отец (BLR)</v>
      </c>
      <c r="U2664" s="385"/>
      <c r="W2664" s="384" t="str">
        <f>IFERROR(__xludf.DUMMYFUNCTION("""COMPUTED_VALUE"""),"Шоу Бой")</f>
        <v>Шоу Бой</v>
      </c>
      <c r="X2664" s="385"/>
    </row>
    <row r="2665">
      <c r="A2665" s="384" t="s">
        <v>106</v>
      </c>
      <c r="B2665" s="384" t="s">
        <v>261</v>
      </c>
      <c r="C2665" s="389"/>
      <c r="D2665" s="389">
        <v>3.5</v>
      </c>
      <c r="E2665" s="384"/>
      <c r="F2665" s="389"/>
      <c r="G2665" s="389"/>
      <c r="T2665" s="384" t="str">
        <f>IFERROR(__xludf.DUMMYFUNCTION("""COMPUTED_VALUE"""),"Крёстный Отец (RU)")</f>
        <v>Крёстный Отец (RU)</v>
      </c>
      <c r="U2665" s="385"/>
      <c r="W2665" s="384" t="str">
        <f>IFERROR(__xludf.DUMMYFUNCTION("""COMPUTED_VALUE"""),"A1 ")</f>
        <v>A1 </v>
      </c>
      <c r="X2665" s="385"/>
    </row>
    <row r="2666">
      <c r="A2666" s="384" t="s">
        <v>82</v>
      </c>
      <c r="B2666" s="384" t="s">
        <v>261</v>
      </c>
      <c r="C2666" s="389"/>
      <c r="D2666" s="389">
        <v>1.75</v>
      </c>
      <c r="E2666" s="384" t="s">
        <v>11</v>
      </c>
      <c r="F2666" s="389"/>
      <c r="G2666" s="389">
        <v>1.0</v>
      </c>
      <c r="T2666" s="384" t="str">
        <f>IFERROR(__xludf.DUMMYFUNCTION("""COMPUTED_VALUE"""),"Крот")</f>
        <v>Крот</v>
      </c>
      <c r="U2666" s="385"/>
      <c r="W2666" s="384" t="str">
        <f>IFERROR(__xludf.DUMMYFUNCTION("""COMPUTED_VALUE"""),"Alice ")</f>
        <v>Alice </v>
      </c>
      <c r="X2666" s="385"/>
    </row>
    <row r="2667">
      <c r="A2667" s="384" t="s">
        <v>83</v>
      </c>
      <c r="B2667" s="384" t="s">
        <v>261</v>
      </c>
      <c r="C2667" s="389"/>
      <c r="D2667" s="389">
        <v>1.5</v>
      </c>
      <c r="E2667" s="384"/>
      <c r="F2667" s="389"/>
      <c r="G2667" s="389"/>
      <c r="T2667" s="384" t="str">
        <f>IFERROR(__xludf.DUMMYFUNCTION("""COMPUTED_VALUE"""),"Левша")</f>
        <v>Левша</v>
      </c>
      <c r="U2667" s="385"/>
      <c r="W2667" s="384" t="str">
        <f>IFERROR(__xludf.DUMMYFUNCTION("""COMPUTED_VALUE"""),"Bublik")</f>
        <v>Bublik</v>
      </c>
      <c r="X2667" s="385"/>
    </row>
    <row r="2668">
      <c r="A2668" s="384" t="s">
        <v>98</v>
      </c>
      <c r="B2668" s="384" t="s">
        <v>265</v>
      </c>
      <c r="C2668" s="389">
        <v>2.5</v>
      </c>
      <c r="D2668" s="389">
        <v>4.0</v>
      </c>
      <c r="E2668" s="384"/>
      <c r="F2668" s="389"/>
      <c r="G2668" s="389"/>
      <c r="T2668" s="384" t="str">
        <f>IFERROR(__xludf.DUMMYFUNCTION("""COMPUTED_VALUE"""),"Маваши")</f>
        <v>Маваши</v>
      </c>
      <c r="U2668" s="385"/>
      <c r="W2668" s="384" t="str">
        <f>IFERROR(__xludf.DUMMYFUNCTION("""COMPUTED_VALUE"""),"BWDMoscow")</f>
        <v>BWDMoscow</v>
      </c>
      <c r="X2668" s="385"/>
    </row>
    <row r="2669">
      <c r="A2669" s="384" t="s">
        <v>97</v>
      </c>
      <c r="B2669" s="384" t="s">
        <v>261</v>
      </c>
      <c r="C2669" s="389"/>
      <c r="D2669" s="389">
        <v>2.25</v>
      </c>
      <c r="E2669" s="384"/>
      <c r="F2669" s="389"/>
      <c r="G2669" s="389"/>
      <c r="T2669" s="384" t="str">
        <f>IFERROR(__xludf.DUMMYFUNCTION("""COMPUTED_VALUE"""),"Манекен")</f>
        <v>Манекен</v>
      </c>
      <c r="U2669" s="385"/>
      <c r="W2669" s="384" t="str">
        <f>IFERROR(__xludf.DUMMYFUNCTION("""COMPUTED_VALUE"""),"Castor Troy ")</f>
        <v>Castor Troy </v>
      </c>
      <c r="X2669" s="385"/>
    </row>
    <row r="2670">
      <c r="A2670" s="384" t="s">
        <v>105</v>
      </c>
      <c r="B2670" s="384" t="s">
        <v>269</v>
      </c>
      <c r="C2670" s="389">
        <v>2.5</v>
      </c>
      <c r="D2670" s="389">
        <v>3.5</v>
      </c>
      <c r="E2670" s="384"/>
      <c r="F2670" s="389"/>
      <c r="G2670" s="389"/>
      <c r="T2670" s="384" t="str">
        <f>IFERROR(__xludf.DUMMYFUNCTION("""COMPUTED_VALUE"""),"Марго")</f>
        <v>Марго</v>
      </c>
      <c r="U2670" s="385"/>
      <c r="W2670" s="384" t="str">
        <f>IFERROR(__xludf.DUMMYFUNCTION("""COMPUTED_VALUE"""),"Cristo")</f>
        <v>Cristo</v>
      </c>
      <c r="X2670" s="385"/>
    </row>
    <row r="2671">
      <c r="A2671" s="384" t="s">
        <v>121</v>
      </c>
      <c r="B2671" s="384" t="s">
        <v>269</v>
      </c>
      <c r="C2671" s="389">
        <v>2.5</v>
      </c>
      <c r="D2671" s="389">
        <v>3.75</v>
      </c>
      <c r="E2671" s="384"/>
      <c r="F2671" s="389"/>
      <c r="G2671" s="389"/>
      <c r="T2671" s="384" t="str">
        <f>IFERROR(__xludf.DUMMYFUNCTION("""COMPUTED_VALUE"""),"Ментик")</f>
        <v>Ментик</v>
      </c>
      <c r="U2671" s="385"/>
      <c r="W2671" s="384" t="str">
        <f>IFERROR(__xludf.DUMMYFUNCTION("""COMPUTED_VALUE"""),"GALAY")</f>
        <v>GALAY</v>
      </c>
      <c r="X2671" s="385"/>
    </row>
    <row r="2672">
      <c r="A2672" s="384" t="s">
        <v>91</v>
      </c>
      <c r="B2672" s="384" t="s">
        <v>271</v>
      </c>
      <c r="C2672" s="389"/>
      <c r="D2672" s="389">
        <v>1.25</v>
      </c>
      <c r="E2672" s="384"/>
      <c r="F2672" s="389"/>
      <c r="G2672" s="389"/>
      <c r="T2672" s="384" t="str">
        <f>IFERROR(__xludf.DUMMYFUNCTION("""COMPUTED_VALUE"""),"Мишель ")</f>
        <v>Мишель </v>
      </c>
      <c r="U2672" s="385"/>
      <c r="W2672" s="384" t="str">
        <f>IFERROR(__xludf.DUMMYFUNCTION("""COMPUTED_VALUE"""),"Helga")</f>
        <v>Helga</v>
      </c>
      <c r="X2672" s="385"/>
    </row>
    <row r="2673">
      <c r="A2673" s="384" t="s">
        <v>115</v>
      </c>
      <c r="B2673" s="384" t="s">
        <v>271</v>
      </c>
      <c r="C2673" s="389">
        <v>2.5</v>
      </c>
      <c r="D2673" s="389">
        <v>3.75</v>
      </c>
      <c r="E2673" s="384"/>
      <c r="F2673" s="389"/>
      <c r="G2673" s="389"/>
      <c r="T2673" s="384" t="str">
        <f>IFERROR(__xludf.DUMMYFUNCTION("""COMPUTED_VALUE"""),"Наполеон")</f>
        <v>Наполеон</v>
      </c>
      <c r="U2673" s="385"/>
      <c r="W2673" s="384" t="str">
        <f>IFERROR(__xludf.DUMMYFUNCTION("""COMPUTED_VALUE"""),"Infinity ")</f>
        <v>Infinity </v>
      </c>
      <c r="X2673" s="385"/>
    </row>
    <row r="2674">
      <c r="A2674" s="384" t="s">
        <v>114</v>
      </c>
      <c r="B2674" s="384" t="s">
        <v>261</v>
      </c>
      <c r="C2674" s="389">
        <v>2.5</v>
      </c>
      <c r="D2674" s="389">
        <v>3.75</v>
      </c>
      <c r="E2674" s="384"/>
      <c r="F2674" s="389"/>
      <c r="G2674" s="389"/>
      <c r="T2674" s="384" t="str">
        <f>IFERROR(__xludf.DUMMYFUNCTION("""COMPUTED_VALUE"""),"Панда из Руанды")</f>
        <v>Панда из Руанды</v>
      </c>
      <c r="U2674" s="385"/>
      <c r="W2674" s="384" t="str">
        <f>IFERROR(__xludf.DUMMYFUNCTION("""COMPUTED_VALUE"""),"Ketamin")</f>
        <v>Ketamin</v>
      </c>
      <c r="X2674" s="385"/>
    </row>
    <row r="2675">
      <c r="A2675" s="384" t="s">
        <v>106</v>
      </c>
      <c r="B2675" s="384" t="s">
        <v>261</v>
      </c>
      <c r="C2675" s="389">
        <v>2.5</v>
      </c>
      <c r="D2675" s="389">
        <v>3.0</v>
      </c>
      <c r="E2675" s="384"/>
      <c r="F2675" s="389"/>
      <c r="G2675" s="389"/>
      <c r="T2675" s="384" t="str">
        <f>IFERROR(__xludf.DUMMYFUNCTION("""COMPUTED_VALUE"""),"Писатель ")</f>
        <v>Писатель </v>
      </c>
      <c r="U2675" s="385"/>
      <c r="W2675" s="384" t="str">
        <f>IFERROR(__xludf.DUMMYFUNCTION("""COMPUTED_VALUE"""),"Morti")</f>
        <v>Morti</v>
      </c>
      <c r="X2675" s="385"/>
    </row>
    <row r="2676">
      <c r="A2676" s="384" t="s">
        <v>82</v>
      </c>
      <c r="B2676" s="384" t="s">
        <v>261</v>
      </c>
      <c r="C2676" s="389">
        <v>2.5</v>
      </c>
      <c r="D2676" s="389">
        <v>3.75</v>
      </c>
      <c r="E2676" s="384"/>
      <c r="F2676" s="389"/>
      <c r="G2676" s="389"/>
      <c r="T2676" s="384" t="str">
        <f>IFERROR(__xludf.DUMMYFUNCTION("""COMPUTED_VALUE"""),"Правда ")</f>
        <v>Правда </v>
      </c>
      <c r="U2676" s="385"/>
      <c r="W2676" s="384" t="str">
        <f>IFERROR(__xludf.DUMMYFUNCTION("""COMPUTED_VALUE"""),"NLIP")</f>
        <v>NLIP</v>
      </c>
      <c r="X2676" s="385"/>
    </row>
    <row r="2677">
      <c r="A2677" s="384" t="s">
        <v>83</v>
      </c>
      <c r="B2677" s="384" t="s">
        <v>269</v>
      </c>
      <c r="C2677" s="389"/>
      <c r="D2677" s="389">
        <v>1.75</v>
      </c>
      <c r="E2677" s="384"/>
      <c r="F2677" s="389"/>
      <c r="G2677" s="389"/>
      <c r="T2677" s="384" t="str">
        <f>IFERROR(__xludf.DUMMYFUNCTION("""COMPUTED_VALUE"""),"Продюсер")</f>
        <v>Продюсер</v>
      </c>
      <c r="U2677" s="385"/>
      <c r="W2677" s="384" t="str">
        <f>IFERROR(__xludf.DUMMYFUNCTION("""COMPUTED_VALUE"""),"Rocket woman ")</f>
        <v>Rocket woman </v>
      </c>
      <c r="X2677" s="385"/>
    </row>
    <row r="2678">
      <c r="A2678" s="384" t="s">
        <v>98</v>
      </c>
      <c r="B2678" s="384" t="s">
        <v>265</v>
      </c>
      <c r="C2678" s="389"/>
      <c r="D2678" s="389">
        <v>0.5</v>
      </c>
      <c r="E2678" s="384"/>
      <c r="F2678" s="389"/>
      <c r="G2678" s="389"/>
      <c r="T2678" s="384" t="str">
        <f>IFERROR(__xludf.DUMMYFUNCTION("""COMPUTED_VALUE"""),"РФ")</f>
        <v>РФ</v>
      </c>
      <c r="U2678" s="385"/>
      <c r="W2678" s="384" t="str">
        <f>IFERROR(__xludf.DUMMYFUNCTION("""COMPUTED_VALUE"""),"SCHOKK ")</f>
        <v>SCHOKK </v>
      </c>
      <c r="X2678" s="385"/>
    </row>
    <row r="2679">
      <c r="A2679" s="384" t="s">
        <v>97</v>
      </c>
      <c r="B2679" s="384" t="s">
        <v>261</v>
      </c>
      <c r="C2679" s="389">
        <v>2.5</v>
      </c>
      <c r="D2679" s="389">
        <v>4.0</v>
      </c>
      <c r="E2679" s="384"/>
      <c r="F2679" s="389"/>
      <c r="G2679" s="389"/>
      <c r="T2679" s="384" t="str">
        <f>IFERROR(__xludf.DUMMYFUNCTION("""COMPUTED_VALUE"""),"СЭНСЭЙ")</f>
        <v>СЭНСЭЙ</v>
      </c>
      <c r="U2679" s="385"/>
      <c r="W2679" s="384" t="str">
        <f>IFERROR(__xludf.DUMMYFUNCTION("""COMPUTED_VALUE"""),"SOVEST")</f>
        <v>SOVEST</v>
      </c>
      <c r="X2679" s="385"/>
    </row>
    <row r="2680">
      <c r="A2680" s="384" t="s">
        <v>105</v>
      </c>
      <c r="B2680" s="384" t="s">
        <v>261</v>
      </c>
      <c r="C2680" s="389">
        <v>2.5</v>
      </c>
      <c r="D2680" s="389">
        <v>2.5</v>
      </c>
      <c r="E2680" s="384"/>
      <c r="F2680" s="389"/>
      <c r="G2680" s="389"/>
      <c r="T2680" s="384" t="str">
        <f>IFERROR(__xludf.DUMMYFUNCTION("""COMPUTED_VALUE"""),"Coach")</f>
        <v>Coach</v>
      </c>
      <c r="U2680" s="385"/>
      <c r="W2680" s="384" t="str">
        <f>IFERROR(__xludf.DUMMYFUNCTION("""COMPUTED_VALUE"""),"Stacy")</f>
        <v>Stacy</v>
      </c>
      <c r="X2680" s="385"/>
    </row>
    <row r="2681">
      <c r="A2681" s="384" t="s">
        <v>121</v>
      </c>
      <c r="B2681" s="384" t="s">
        <v>261</v>
      </c>
      <c r="C2681" s="389">
        <v>2.5</v>
      </c>
      <c r="D2681" s="389">
        <v>3.25</v>
      </c>
      <c r="E2681" s="384" t="s">
        <v>11</v>
      </c>
      <c r="F2681" s="389">
        <v>0.5</v>
      </c>
      <c r="G2681" s="389">
        <v>0.5</v>
      </c>
      <c r="T2681" s="384" t="str">
        <f>IFERROR(__xludf.DUMMYFUNCTION("""COMPUTED_VALUE"""),"Физик")</f>
        <v>Физик</v>
      </c>
      <c r="U2681" s="385"/>
      <c r="W2681" s="384" t="str">
        <f>IFERROR(__xludf.DUMMYFUNCTION("""COMPUTED_VALUE"""),"WhoIsWho")</f>
        <v>WhoIsWho</v>
      </c>
      <c r="X2681" s="385"/>
    </row>
    <row r="2682">
      <c r="A2682" s="384" t="s">
        <v>91</v>
      </c>
      <c r="B2682" s="384" t="s">
        <v>269</v>
      </c>
      <c r="C2682" s="389"/>
      <c r="D2682" s="389">
        <v>2.25</v>
      </c>
      <c r="E2682" s="384"/>
      <c r="F2682" s="389"/>
      <c r="G2682" s="389"/>
      <c r="T2682" s="384" t="str">
        <f>IFERROR(__xludf.DUMMYFUNCTION("""COMPUTED_VALUE"""),"Фокс")</f>
        <v>Фокс</v>
      </c>
      <c r="U2682" s="385"/>
      <c r="W2682" s="384" t="str">
        <f>IFERROR(__xludf.DUMMYFUNCTION("""COMPUTED_VALUE"""),"Young")</f>
        <v>Young</v>
      </c>
      <c r="X2682" s="385"/>
    </row>
    <row r="2683">
      <c r="A2683" s="384" t="s">
        <v>115</v>
      </c>
      <c r="B2683" s="384" t="s">
        <v>271</v>
      </c>
      <c r="C2683" s="389">
        <v>2.5</v>
      </c>
      <c r="D2683" s="389">
        <v>3.0</v>
      </c>
      <c r="E2683" s="384"/>
      <c r="F2683" s="389"/>
      <c r="G2683" s="389"/>
      <c r="T2683" s="384" t="str">
        <f>IFERROR(__xludf.DUMMYFUNCTION("""COMPUTED_VALUE"""),"Шоу Бой")</f>
        <v>Шоу Бой</v>
      </c>
      <c r="U2683" s="385"/>
      <c r="W2683" s="384" t="str">
        <f>IFERROR(__xludf.DUMMYFUNCTION("""COMPUTED_VALUE"""),"Авраам")</f>
        <v>Авраам</v>
      </c>
      <c r="X2683" s="385"/>
    </row>
    <row r="2684">
      <c r="A2684" s="384" t="s">
        <v>114</v>
      </c>
      <c r="B2684" s="384" t="s">
        <v>261</v>
      </c>
      <c r="C2684" s="389">
        <v>2.5</v>
      </c>
      <c r="D2684" s="389">
        <v>3.75</v>
      </c>
      <c r="E2684" s="384"/>
      <c r="F2684" s="389"/>
      <c r="G2684" s="389"/>
      <c r="T2684" s="384" t="str">
        <f>IFERROR(__xludf.DUMMYFUNCTION("""COMPUTED_VALUE"""),"Шпиц")</f>
        <v>Шпиц</v>
      </c>
      <c r="U2684" s="385"/>
      <c r="W2684" s="384" t="str">
        <f>IFERROR(__xludf.DUMMYFUNCTION("""COMPUTED_VALUE"""),"Админ")</f>
        <v>Админ</v>
      </c>
      <c r="X2684" s="385"/>
    </row>
    <row r="2685">
      <c r="A2685" s="384" t="s">
        <v>106</v>
      </c>
      <c r="B2685" s="384" t="s">
        <v>265</v>
      </c>
      <c r="C2685" s="389"/>
      <c r="D2685" s="389">
        <v>2.0</v>
      </c>
      <c r="E2685" s="384"/>
      <c r="F2685" s="389"/>
      <c r="G2685" s="389"/>
      <c r="T2685" s="384" t="str">
        <f>IFERROR(__xludf.DUMMYFUNCTION("""COMPUTED_VALUE"""),"A1 ")</f>
        <v>A1 </v>
      </c>
      <c r="U2685" s="385"/>
      <c r="W2685" s="384" t="str">
        <f>IFERROR(__xludf.DUMMYFUNCTION("""COMPUTED_VALUE"""),"Андерсен")</f>
        <v>Андерсен</v>
      </c>
      <c r="X2685" s="385"/>
    </row>
    <row r="2686">
      <c r="A2686" s="384" t="s">
        <v>82</v>
      </c>
      <c r="B2686" s="384" t="s">
        <v>261</v>
      </c>
      <c r="C2686" s="389">
        <v>2.5</v>
      </c>
      <c r="D2686" s="389">
        <v>2.75</v>
      </c>
      <c r="E2686" s="384" t="s">
        <v>11</v>
      </c>
      <c r="F2686" s="389"/>
      <c r="G2686" s="389">
        <v>1.5</v>
      </c>
      <c r="T2686" s="384" t="str">
        <f>IFERROR(__xludf.DUMMYFUNCTION("""COMPUTED_VALUE"""),"BWDMoscow")</f>
        <v>BWDMoscow</v>
      </c>
      <c r="U2686" s="385"/>
      <c r="W2686" s="384" t="str">
        <f>IFERROR(__xludf.DUMMYFUNCTION("""COMPUTED_VALUE"""),"Артик")</f>
        <v>Артик</v>
      </c>
      <c r="X2686" s="385"/>
    </row>
    <row r="2687">
      <c r="A2687" s="384" t="s">
        <v>83</v>
      </c>
      <c r="B2687" s="384" t="s">
        <v>261</v>
      </c>
      <c r="C2687" s="389">
        <v>2.5</v>
      </c>
      <c r="D2687" s="389">
        <v>3.25</v>
      </c>
      <c r="E2687" s="384"/>
      <c r="F2687" s="389"/>
      <c r="G2687" s="389"/>
      <c r="T2687" s="384" t="str">
        <f>IFERROR(__xludf.DUMMYFUNCTION("""COMPUTED_VALUE"""),"Castor Troy ")</f>
        <v>Castor Troy </v>
      </c>
      <c r="U2687" s="385"/>
      <c r="W2687" s="384" t="str">
        <f>IFERROR(__xludf.DUMMYFUNCTION("""COMPUTED_VALUE"""),"Аш")</f>
        <v>Аш</v>
      </c>
      <c r="X2687" s="385"/>
    </row>
    <row r="2688">
      <c r="A2688" s="384" t="s">
        <v>98</v>
      </c>
      <c r="B2688" s="384" t="s">
        <v>261</v>
      </c>
      <c r="C2688" s="389">
        <v>2.5</v>
      </c>
      <c r="D2688" s="389">
        <v>3.25</v>
      </c>
      <c r="E2688" s="384"/>
      <c r="F2688" s="389"/>
      <c r="G2688" s="389"/>
      <c r="T2688" s="384" t="str">
        <f>IFERROR(__xludf.DUMMYFUNCTION("""COMPUTED_VALUE"""),"Cristo")</f>
        <v>Cristo</v>
      </c>
      <c r="U2688" s="385"/>
      <c r="W2688" s="384" t="str">
        <f>IFERROR(__xludf.DUMMYFUNCTION("""COMPUTED_VALUE"""),"Бамблби")</f>
        <v>Бамблби</v>
      </c>
      <c r="X2688" s="385"/>
    </row>
    <row r="2689">
      <c r="A2689" s="384" t="s">
        <v>97</v>
      </c>
      <c r="B2689" s="384" t="s">
        <v>269</v>
      </c>
      <c r="C2689" s="389"/>
      <c r="D2689" s="389">
        <v>2.5</v>
      </c>
      <c r="E2689" s="384"/>
      <c r="F2689" s="389"/>
      <c r="G2689" s="389"/>
      <c r="T2689" s="384" t="str">
        <f>IFERROR(__xludf.DUMMYFUNCTION("""COMPUTED_VALUE"""),"Curly")</f>
        <v>Curly</v>
      </c>
      <c r="U2689" s="385"/>
      <c r="W2689" s="384" t="str">
        <f>IFERROR(__xludf.DUMMYFUNCTION("""COMPUTED_VALUE"""),"Волга")</f>
        <v>Волга</v>
      </c>
      <c r="X2689" s="385"/>
    </row>
    <row r="2690">
      <c r="A2690" s="384" t="s">
        <v>105</v>
      </c>
      <c r="B2690" s="384" t="s">
        <v>269</v>
      </c>
      <c r="C2690" s="389"/>
      <c r="D2690" s="389">
        <v>1.5</v>
      </c>
      <c r="E2690" s="384"/>
      <c r="F2690" s="389"/>
      <c r="G2690" s="389"/>
      <c r="T2690" s="384" t="str">
        <f>IFERROR(__xludf.DUMMYFUNCTION("""COMPUTED_VALUE"""),"GALAY")</f>
        <v>GALAY</v>
      </c>
      <c r="U2690" s="385"/>
      <c r="W2690" s="384" t="str">
        <f>IFERROR(__xludf.DUMMYFUNCTION("""COMPUTED_VALUE"""),"Градиент")</f>
        <v>Градиент</v>
      </c>
      <c r="X2690" s="385"/>
    </row>
    <row r="2691">
      <c r="A2691" s="384" t="s">
        <v>121</v>
      </c>
      <c r="B2691" s="384" t="s">
        <v>261</v>
      </c>
      <c r="C2691" s="389">
        <v>2.5</v>
      </c>
      <c r="D2691" s="389">
        <v>3.0</v>
      </c>
      <c r="E2691" s="384"/>
      <c r="F2691" s="389"/>
      <c r="G2691" s="389"/>
      <c r="T2691" s="384" t="str">
        <f>IFERROR(__xludf.DUMMYFUNCTION("""COMPUTED_VALUE"""),"Helga")</f>
        <v>Helga</v>
      </c>
      <c r="U2691" s="385"/>
      <c r="W2691" s="384" t="str">
        <f>IFERROR(__xludf.DUMMYFUNCTION("""COMPUTED_VALUE"""),"Дровосек")</f>
        <v>Дровосек</v>
      </c>
      <c r="X2691" s="385"/>
    </row>
    <row r="2692">
      <c r="A2692" s="384" t="s">
        <v>91</v>
      </c>
      <c r="B2692" s="384" t="s">
        <v>261</v>
      </c>
      <c r="C2692" s="389">
        <v>2.5</v>
      </c>
      <c r="D2692" s="389">
        <v>2.5</v>
      </c>
      <c r="E2692" s="384"/>
      <c r="F2692" s="389"/>
      <c r="G2692" s="389"/>
      <c r="T2692" s="384" t="str">
        <f>IFERROR(__xludf.DUMMYFUNCTION("""COMPUTED_VALUE"""),"Infinity ")</f>
        <v>Infinity </v>
      </c>
      <c r="U2692" s="385"/>
      <c r="W2692" s="384" t="str">
        <f>IFERROR(__xludf.DUMMYFUNCTION("""COMPUTED_VALUE"""),"Зверюга")</f>
        <v>Зверюга</v>
      </c>
      <c r="X2692" s="385"/>
    </row>
    <row r="2693">
      <c r="A2693" s="384" t="s">
        <v>115</v>
      </c>
      <c r="B2693" s="384" t="s">
        <v>261</v>
      </c>
      <c r="C2693" s="389"/>
      <c r="D2693" s="389">
        <v>3.0</v>
      </c>
      <c r="E2693" s="384"/>
      <c r="F2693" s="389"/>
      <c r="G2693" s="389"/>
      <c r="T2693" s="384" t="str">
        <f>IFERROR(__xludf.DUMMYFUNCTION("""COMPUTED_VALUE"""),"Ketamin")</f>
        <v>Ketamin</v>
      </c>
      <c r="U2693" s="385"/>
      <c r="W2693" s="384" t="str">
        <f>IFERROR(__xludf.DUMMYFUNCTION("""COMPUTED_VALUE"""),"Инсомнич")</f>
        <v>Инсомнич</v>
      </c>
      <c r="X2693" s="385"/>
    </row>
    <row r="2694">
      <c r="A2694" s="384" t="s">
        <v>114</v>
      </c>
      <c r="B2694" s="384" t="s">
        <v>261</v>
      </c>
      <c r="C2694" s="389"/>
      <c r="D2694" s="389">
        <v>3.0</v>
      </c>
      <c r="E2694" s="384"/>
      <c r="F2694" s="389"/>
      <c r="G2694" s="389"/>
      <c r="T2694" s="384" t="str">
        <f>IFERROR(__xludf.DUMMYFUNCTION("""COMPUTED_VALUE"""),"Light")</f>
        <v>Light</v>
      </c>
      <c r="U2694" s="385"/>
      <c r="W2694" s="384" t="str">
        <f>IFERROR(__xludf.DUMMYFUNCTION("""COMPUTED_VALUE"""),"Красавчик")</f>
        <v>Красавчик</v>
      </c>
      <c r="X2694" s="385"/>
    </row>
    <row r="2695">
      <c r="A2695" s="384" t="s">
        <v>106</v>
      </c>
      <c r="B2695" s="384" t="s">
        <v>271</v>
      </c>
      <c r="C2695" s="389"/>
      <c r="D2695" s="389">
        <v>3.25</v>
      </c>
      <c r="E2695" s="384"/>
      <c r="F2695" s="389"/>
      <c r="G2695" s="389"/>
      <c r="T2695" s="384" t="str">
        <f>IFERROR(__xludf.DUMMYFUNCTION("""COMPUTED_VALUE"""),"Morti")</f>
        <v>Morti</v>
      </c>
      <c r="U2695" s="385"/>
      <c r="W2695" s="384" t="str">
        <f>IFERROR(__xludf.DUMMYFUNCTION("""COMPUTED_VALUE"""),"Крестный отец (BLR)")</f>
        <v>Крестный отец (BLR)</v>
      </c>
      <c r="X2695" s="385"/>
    </row>
    <row r="2696">
      <c r="A2696" s="384" t="s">
        <v>82</v>
      </c>
      <c r="B2696" s="384" t="s">
        <v>269</v>
      </c>
      <c r="C2696" s="389">
        <v>2.5</v>
      </c>
      <c r="D2696" s="389">
        <v>3.5</v>
      </c>
      <c r="E2696" s="384"/>
      <c r="F2696" s="389"/>
      <c r="G2696" s="389"/>
      <c r="T2696" s="384" t="str">
        <f>IFERROR(__xludf.DUMMYFUNCTION("""COMPUTED_VALUE"""),"NLIP")</f>
        <v>NLIP</v>
      </c>
      <c r="U2696" s="385"/>
      <c r="W2696" s="384" t="str">
        <f>IFERROR(__xludf.DUMMYFUNCTION("""COMPUTED_VALUE"""),"Крёстный Отец (RU)")</f>
        <v>Крёстный Отец (RU)</v>
      </c>
      <c r="X2696" s="385"/>
    </row>
    <row r="2697">
      <c r="A2697" s="384" t="s">
        <v>83</v>
      </c>
      <c r="B2697" s="384" t="s">
        <v>261</v>
      </c>
      <c r="C2697" s="389"/>
      <c r="D2697" s="389">
        <v>2.75</v>
      </c>
      <c r="E2697" s="384"/>
      <c r="F2697" s="389"/>
      <c r="G2697" s="389"/>
      <c r="T2697" s="384" t="str">
        <f>IFERROR(__xludf.DUMMYFUNCTION("""COMPUTED_VALUE"""),"Rocket woman ")</f>
        <v>Rocket woman </v>
      </c>
      <c r="U2697" s="385"/>
      <c r="W2697" s="384" t="str">
        <f>IFERROR(__xludf.DUMMYFUNCTION("""COMPUTED_VALUE"""),"Крот")</f>
        <v>Крот</v>
      </c>
      <c r="X2697" s="385"/>
    </row>
    <row r="2698">
      <c r="A2698" s="384" t="s">
        <v>98</v>
      </c>
      <c r="B2698" s="384" t="s">
        <v>261</v>
      </c>
      <c r="C2698" s="389"/>
      <c r="D2698" s="389">
        <v>3.5</v>
      </c>
      <c r="E2698" s="384"/>
      <c r="F2698" s="389"/>
      <c r="G2698" s="389"/>
      <c r="T2698" s="384" t="str">
        <f>IFERROR(__xludf.DUMMYFUNCTION("""COMPUTED_VALUE"""),"SCHOKK ")</f>
        <v>SCHOKK </v>
      </c>
      <c r="U2698" s="385"/>
      <c r="W2698" s="384" t="str">
        <f>IFERROR(__xludf.DUMMYFUNCTION("""COMPUTED_VALUE"""),"Левша")</f>
        <v>Левша</v>
      </c>
      <c r="X2698" s="385"/>
    </row>
    <row r="2699">
      <c r="A2699" s="384" t="s">
        <v>97</v>
      </c>
      <c r="B2699" s="384" t="s">
        <v>265</v>
      </c>
      <c r="C2699" s="389">
        <v>2.5</v>
      </c>
      <c r="D2699" s="389">
        <v>3.5</v>
      </c>
      <c r="E2699" s="384"/>
      <c r="F2699" s="389"/>
      <c r="G2699" s="389"/>
      <c r="T2699" s="384" t="str">
        <f>IFERROR(__xludf.DUMMYFUNCTION("""COMPUTED_VALUE"""),"SOVEST")</f>
        <v>SOVEST</v>
      </c>
      <c r="U2699" s="385"/>
      <c r="W2699" s="384" t="str">
        <f>IFERROR(__xludf.DUMMYFUNCTION("""COMPUTED_VALUE"""),"Маваши")</f>
        <v>Маваши</v>
      </c>
      <c r="X2699" s="385"/>
    </row>
    <row r="2700">
      <c r="A2700" s="384" t="s">
        <v>105</v>
      </c>
      <c r="B2700" s="384" t="s">
        <v>261</v>
      </c>
      <c r="C2700" s="389"/>
      <c r="D2700" s="389">
        <v>1.25</v>
      </c>
      <c r="E2700" s="384"/>
      <c r="F2700" s="389"/>
      <c r="G2700" s="389"/>
      <c r="T2700" s="384" t="str">
        <f>IFERROR(__xludf.DUMMYFUNCTION("""COMPUTED_VALUE"""),"Stacy")</f>
        <v>Stacy</v>
      </c>
      <c r="U2700" s="385"/>
      <c r="W2700" s="384" t="str">
        <f>IFERROR(__xludf.DUMMYFUNCTION("""COMPUTED_VALUE"""),"Манекен")</f>
        <v>Манекен</v>
      </c>
      <c r="X2700" s="385"/>
    </row>
    <row r="2701">
      <c r="A2701" s="384" t="s">
        <v>121</v>
      </c>
      <c r="B2701" s="384" t="s">
        <v>261</v>
      </c>
      <c r="C2701" s="389"/>
      <c r="D2701" s="389">
        <v>2.75</v>
      </c>
      <c r="E2701" s="384" t="s">
        <v>11</v>
      </c>
      <c r="F2701" s="389"/>
      <c r="G2701" s="389">
        <v>1.0</v>
      </c>
      <c r="T2701" s="384" t="str">
        <f>IFERROR(__xludf.DUMMYFUNCTION("""COMPUTED_VALUE"""),"Young")</f>
        <v>Young</v>
      </c>
      <c r="U2701" s="385"/>
      <c r="W2701" s="384" t="str">
        <f>IFERROR(__xludf.DUMMYFUNCTION("""COMPUTED_VALUE"""),"Марго")</f>
        <v>Марго</v>
      </c>
      <c r="X2701" s="385"/>
    </row>
    <row r="2702">
      <c r="A2702" s="384" t="s">
        <v>91</v>
      </c>
      <c r="B2702" s="384" t="s">
        <v>269</v>
      </c>
      <c r="C2702" s="389">
        <v>2.5</v>
      </c>
      <c r="D2702" s="389">
        <v>3.25</v>
      </c>
      <c r="E2702" s="384"/>
      <c r="F2702" s="389"/>
      <c r="G2702" s="389"/>
      <c r="T2702" s="384" t="str">
        <f>IFERROR(__xludf.DUMMYFUNCTION("QUERY('Турнирная таблица по Алфавиту'!C7:BZ66,""select C,BM order by BM desc"")"),"Продюсер")</f>
        <v>Продюсер</v>
      </c>
      <c r="U2702" s="385">
        <f>IFERROR(__xludf.DUMMYFUNCTION("""COMPUTED_VALUE"""),28.5)</f>
        <v>28.5</v>
      </c>
      <c r="W2702" s="384" t="str">
        <f>IFERROR(__xludf.DUMMYFUNCTION("""COMPUTED_VALUE"""),"Ментик")</f>
        <v>Ментик</v>
      </c>
      <c r="X2702" s="385"/>
    </row>
    <row r="2703">
      <c r="A2703" s="384" t="s">
        <v>115</v>
      </c>
      <c r="B2703" s="384" t="s">
        <v>261</v>
      </c>
      <c r="C2703" s="389">
        <v>2.5</v>
      </c>
      <c r="D2703" s="389">
        <v>4.25</v>
      </c>
      <c r="E2703" s="384"/>
      <c r="F2703" s="389"/>
      <c r="G2703" s="389"/>
      <c r="T2703" s="384" t="str">
        <f>IFERROR(__xludf.DUMMYFUNCTION("""COMPUTED_VALUE"""),"Крёстный Отец (RU)")</f>
        <v>Крёстный Отец (RU)</v>
      </c>
      <c r="U2703" s="385">
        <f>IFERROR(__xludf.DUMMYFUNCTION("""COMPUTED_VALUE"""),25.25)</f>
        <v>25.25</v>
      </c>
      <c r="W2703" s="384" t="str">
        <f>IFERROR(__xludf.DUMMYFUNCTION("""COMPUTED_VALUE"""),"Мишель ")</f>
        <v>Мишель </v>
      </c>
      <c r="X2703" s="385"/>
    </row>
    <row r="2704">
      <c r="A2704" s="384" t="s">
        <v>128</v>
      </c>
      <c r="B2704" s="384" t="s">
        <v>269</v>
      </c>
      <c r="C2704" s="389"/>
      <c r="D2704" s="389">
        <v>1.75</v>
      </c>
      <c r="E2704" s="384"/>
      <c r="F2704" s="389"/>
      <c r="G2704" s="389"/>
      <c r="T2704" s="384" t="str">
        <f>IFERROR(__xludf.DUMMYFUNCTION("""COMPUTED_VALUE"""),"Тихий закат")</f>
        <v>Тихий закат</v>
      </c>
      <c r="U2704" s="385">
        <f>IFERROR(__xludf.DUMMYFUNCTION("""COMPUTED_VALUE"""),25.25)</f>
        <v>25.25</v>
      </c>
      <c r="W2704" s="384" t="str">
        <f>IFERROR(__xludf.DUMMYFUNCTION("""COMPUTED_VALUE"""),"Наполеон")</f>
        <v>Наполеон</v>
      </c>
      <c r="X2704" s="385"/>
    </row>
    <row r="2705">
      <c r="A2705" s="384" t="s">
        <v>134</v>
      </c>
      <c r="B2705" s="384" t="s">
        <v>265</v>
      </c>
      <c r="C2705" s="389"/>
      <c r="D2705" s="389">
        <v>1.5</v>
      </c>
      <c r="E2705" s="384"/>
      <c r="F2705" s="389"/>
      <c r="G2705" s="389"/>
      <c r="T2705" s="384" t="str">
        <f>IFERROR(__xludf.DUMMYFUNCTION("""COMPUTED_VALUE"""),"Астория")</f>
        <v>Астория</v>
      </c>
      <c r="U2705" s="385">
        <f>IFERROR(__xludf.DUMMYFUNCTION("""COMPUTED_VALUE"""),25.0)</f>
        <v>25</v>
      </c>
      <c r="W2705" s="384" t="str">
        <f>IFERROR(__xludf.DUMMYFUNCTION("""COMPUTED_VALUE"""),"Панда из Руанды")</f>
        <v>Панда из Руанды</v>
      </c>
      <c r="X2705" s="385"/>
    </row>
    <row r="2706">
      <c r="A2706" s="384" t="s">
        <v>121</v>
      </c>
      <c r="B2706" s="384" t="s">
        <v>269</v>
      </c>
      <c r="C2706" s="389"/>
      <c r="D2706" s="389">
        <v>2.5</v>
      </c>
      <c r="E2706" s="384"/>
      <c r="F2706" s="389"/>
      <c r="G2706" s="389"/>
      <c r="T2706" s="384" t="str">
        <f>IFERROR(__xludf.DUMMYFUNCTION("""COMPUTED_VALUE"""),"Панда из Руанды")</f>
        <v>Панда из Руанды</v>
      </c>
      <c r="U2706" s="385">
        <f>IFERROR(__xludf.DUMMYFUNCTION("""COMPUTED_VALUE"""),24.25)</f>
        <v>24.25</v>
      </c>
      <c r="W2706" s="384" t="str">
        <f>IFERROR(__xludf.DUMMYFUNCTION("""COMPUTED_VALUE"""),"Писатель ")</f>
        <v>Писатель </v>
      </c>
      <c r="X2706" s="385"/>
    </row>
    <row r="2707">
      <c r="A2707" s="384" t="s">
        <v>94</v>
      </c>
      <c r="B2707" s="384" t="s">
        <v>261</v>
      </c>
      <c r="C2707" s="389">
        <v>2.5</v>
      </c>
      <c r="D2707" s="389">
        <v>2.75</v>
      </c>
      <c r="E2707" s="384"/>
      <c r="F2707" s="389"/>
      <c r="G2707" s="389"/>
      <c r="T2707" s="384" t="str">
        <f>IFERROR(__xludf.DUMMYFUNCTION("""COMPUTED_VALUE"""),"Андерсен")</f>
        <v>Андерсен</v>
      </c>
      <c r="U2707" s="385">
        <f>IFERROR(__xludf.DUMMYFUNCTION("""COMPUTED_VALUE"""),21.25)</f>
        <v>21.25</v>
      </c>
      <c r="W2707" s="384" t="str">
        <f>IFERROR(__xludf.DUMMYFUNCTION("""COMPUTED_VALUE"""),"Правда ")</f>
        <v>Правда </v>
      </c>
      <c r="X2707" s="385"/>
    </row>
    <row r="2708">
      <c r="A2708" s="384" t="s">
        <v>103</v>
      </c>
      <c r="B2708" s="384" t="s">
        <v>271</v>
      </c>
      <c r="C2708" s="389">
        <v>2.5</v>
      </c>
      <c r="D2708" s="389">
        <v>3.5</v>
      </c>
      <c r="E2708" s="384"/>
      <c r="F2708" s="389"/>
      <c r="G2708" s="389"/>
      <c r="T2708" s="384" t="str">
        <f>IFERROR(__xludf.DUMMYFUNCTION("""COMPUTED_VALUE"""),"Старый")</f>
        <v>Старый</v>
      </c>
      <c r="U2708" s="385">
        <f>IFERROR(__xludf.DUMMYFUNCTION("""COMPUTED_VALUE"""),20.5)</f>
        <v>20.5</v>
      </c>
      <c r="W2708" s="384" t="str">
        <f>IFERROR(__xludf.DUMMYFUNCTION("""COMPUTED_VALUE"""),"Продюсер")</f>
        <v>Продюсер</v>
      </c>
      <c r="X2708" s="385"/>
    </row>
    <row r="2709">
      <c r="A2709" s="384" t="s">
        <v>83</v>
      </c>
      <c r="B2709" s="384" t="s">
        <v>261</v>
      </c>
      <c r="C2709" s="389">
        <v>2.5</v>
      </c>
      <c r="D2709" s="389">
        <v>3.25</v>
      </c>
      <c r="E2709" s="384"/>
      <c r="F2709" s="389"/>
      <c r="G2709" s="389"/>
      <c r="T2709" s="384" t="str">
        <f>IFERROR(__xludf.DUMMYFUNCTION("""COMPUTED_VALUE"""),"Левша")</f>
        <v>Левша</v>
      </c>
      <c r="U2709" s="385">
        <f>IFERROR(__xludf.DUMMYFUNCTION("""COMPUTED_VALUE"""),16.75)</f>
        <v>16.75</v>
      </c>
      <c r="W2709" s="384" t="str">
        <f>IFERROR(__xludf.DUMMYFUNCTION("""COMPUTED_VALUE"""),"РФ")</f>
        <v>РФ</v>
      </c>
      <c r="X2709" s="385"/>
    </row>
    <row r="2710">
      <c r="A2710" s="384" t="s">
        <v>90</v>
      </c>
      <c r="B2710" s="384" t="s">
        <v>261</v>
      </c>
      <c r="C2710" s="389">
        <v>2.5</v>
      </c>
      <c r="D2710" s="389">
        <v>4.25</v>
      </c>
      <c r="E2710" s="384"/>
      <c r="F2710" s="389"/>
      <c r="G2710" s="389"/>
      <c r="T2710" s="384" t="str">
        <f>IFERROR(__xludf.DUMMYFUNCTION("""COMPUTED_VALUE"""),"Morti")</f>
        <v>Morti</v>
      </c>
      <c r="U2710" s="385">
        <f>IFERROR(__xludf.DUMMYFUNCTION("""COMPUTED_VALUE"""),15.75)</f>
        <v>15.75</v>
      </c>
      <c r="W2710" s="384" t="str">
        <f>IFERROR(__xludf.DUMMYFUNCTION("""COMPUTED_VALUE"""),"СЭНСЭЙ")</f>
        <v>СЭНСЭЙ</v>
      </c>
      <c r="X2710" s="385"/>
    </row>
    <row r="2711">
      <c r="A2711" s="384" t="s">
        <v>117</v>
      </c>
      <c r="B2711" s="384" t="s">
        <v>261</v>
      </c>
      <c r="C2711" s="389">
        <v>2.5</v>
      </c>
      <c r="D2711" s="389">
        <v>2.25</v>
      </c>
      <c r="E2711" s="384"/>
      <c r="F2711" s="389"/>
      <c r="G2711" s="389"/>
      <c r="T2711" s="384" t="str">
        <f>IFERROR(__xludf.DUMMYFUNCTION("""COMPUTED_VALUE"""),"Красавчик")</f>
        <v>Красавчик</v>
      </c>
      <c r="U2711" s="385">
        <f>IFERROR(__xludf.DUMMYFUNCTION("""COMPUTED_VALUE"""),15.0)</f>
        <v>15</v>
      </c>
      <c r="W2711" s="384" t="str">
        <f>IFERROR(__xludf.DUMMYFUNCTION("""COMPUTED_VALUE"""),"Coach")</f>
        <v>Coach</v>
      </c>
      <c r="X2711" s="385"/>
    </row>
    <row r="2712">
      <c r="A2712" s="384" t="s">
        <v>114</v>
      </c>
      <c r="B2712" s="384" t="s">
        <v>261</v>
      </c>
      <c r="C2712" s="389">
        <v>2.5</v>
      </c>
      <c r="D2712" s="389">
        <v>4.25</v>
      </c>
      <c r="E2712" s="384"/>
      <c r="F2712" s="389"/>
      <c r="G2712" s="389"/>
      <c r="T2712" s="384" t="str">
        <f>IFERROR(__xludf.DUMMYFUNCTION("""COMPUTED_VALUE"""),"Авраам")</f>
        <v>Авраам</v>
      </c>
      <c r="U2712" s="385"/>
      <c r="W2712" s="384" t="str">
        <f>IFERROR(__xludf.DUMMYFUNCTION("""COMPUTED_VALUE"""),"Физик")</f>
        <v>Физик</v>
      </c>
      <c r="X2712" s="385"/>
    </row>
    <row r="2713">
      <c r="A2713" s="384" t="s">
        <v>115</v>
      </c>
      <c r="B2713" s="384" t="s">
        <v>261</v>
      </c>
      <c r="C2713" s="389">
        <v>2.5</v>
      </c>
      <c r="D2713" s="389">
        <v>2.75</v>
      </c>
      <c r="E2713" s="384"/>
      <c r="F2713" s="389"/>
      <c r="G2713" s="389"/>
      <c r="T2713" s="384" t="str">
        <f>IFERROR(__xludf.DUMMYFUNCTION("""COMPUTED_VALUE"""),"Админ")</f>
        <v>Админ</v>
      </c>
      <c r="U2713" s="385"/>
      <c r="W2713" s="384" t="str">
        <f>IFERROR(__xludf.DUMMYFUNCTION("""COMPUTED_VALUE"""),"Фокс")</f>
        <v>Фокс</v>
      </c>
      <c r="X2713" s="385"/>
    </row>
    <row r="2714">
      <c r="A2714" s="384" t="s">
        <v>128</v>
      </c>
      <c r="B2714" s="384" t="s">
        <v>265</v>
      </c>
      <c r="C2714" s="389"/>
      <c r="D2714" s="389">
        <v>2.0</v>
      </c>
      <c r="E2714" s="384" t="s">
        <v>263</v>
      </c>
      <c r="F2714" s="389"/>
      <c r="G2714" s="389"/>
      <c r="T2714" s="384" t="str">
        <f>IFERROR(__xludf.DUMMYFUNCTION("""COMPUTED_VALUE"""),"Артик")</f>
        <v>Артик</v>
      </c>
      <c r="U2714" s="385"/>
      <c r="W2714" s="384" t="str">
        <f>IFERROR(__xludf.DUMMYFUNCTION("""COMPUTED_VALUE"""),"Шоу Бой")</f>
        <v>Шоу Бой</v>
      </c>
      <c r="X2714" s="385"/>
    </row>
    <row r="2715">
      <c r="A2715" s="384" t="s">
        <v>134</v>
      </c>
      <c r="B2715" s="384" t="s">
        <v>261</v>
      </c>
      <c r="C2715" s="389">
        <v>2.5</v>
      </c>
      <c r="D2715" s="389">
        <v>3.0</v>
      </c>
      <c r="E2715" s="384" t="s">
        <v>260</v>
      </c>
      <c r="F2715" s="389"/>
      <c r="G2715" s="389"/>
      <c r="T2715" s="384" t="str">
        <f>IFERROR(__xludf.DUMMYFUNCTION("""COMPUTED_VALUE"""),"Аш")</f>
        <v>Аш</v>
      </c>
      <c r="U2715" s="385"/>
      <c r="W2715" s="384" t="str">
        <f>IFERROR(__xludf.DUMMYFUNCTION("""COMPUTED_VALUE"""),"Шпиц")</f>
        <v>Шпиц</v>
      </c>
      <c r="X2715" s="385"/>
    </row>
    <row r="2716">
      <c r="A2716" s="384" t="s">
        <v>121</v>
      </c>
      <c r="B2716" s="384" t="s">
        <v>261</v>
      </c>
      <c r="C2716" s="389">
        <v>2.5</v>
      </c>
      <c r="D2716" s="389">
        <v>3.0</v>
      </c>
      <c r="E2716" s="384" t="s">
        <v>11</v>
      </c>
      <c r="F2716" s="389"/>
      <c r="G2716" s="389">
        <v>0.5</v>
      </c>
      <c r="T2716" s="384" t="str">
        <f>IFERROR(__xludf.DUMMYFUNCTION("""COMPUTED_VALUE"""),"Бамблби")</f>
        <v>Бамблби</v>
      </c>
      <c r="U2716" s="385"/>
      <c r="W2716" s="384" t="str">
        <f>IFERROR(__xludf.DUMMYFUNCTION("""COMPUTED_VALUE"""),"A1 ")</f>
        <v>A1 </v>
      </c>
      <c r="X2716" s="385"/>
    </row>
    <row r="2717">
      <c r="A2717" s="384" t="s">
        <v>94</v>
      </c>
      <c r="B2717" s="384" t="s">
        <v>261</v>
      </c>
      <c r="C2717" s="389">
        <v>2.5</v>
      </c>
      <c r="D2717" s="389">
        <v>3.25</v>
      </c>
      <c r="E2717" s="384" t="s">
        <v>260</v>
      </c>
      <c r="F2717" s="389"/>
      <c r="G2717" s="389"/>
      <c r="T2717" s="384" t="str">
        <f>IFERROR(__xludf.DUMMYFUNCTION("""COMPUTED_VALUE"""),"Волга")</f>
        <v>Волга</v>
      </c>
      <c r="U2717" s="385"/>
      <c r="W2717" s="384" t="str">
        <f>IFERROR(__xludf.DUMMYFUNCTION("""COMPUTED_VALUE"""),"BWDMoscow")</f>
        <v>BWDMoscow</v>
      </c>
      <c r="X2717" s="385"/>
    </row>
    <row r="2718">
      <c r="A2718" s="384" t="s">
        <v>103</v>
      </c>
      <c r="B2718" s="384" t="s">
        <v>261</v>
      </c>
      <c r="C2718" s="389">
        <v>2.5</v>
      </c>
      <c r="D2718" s="389">
        <v>4.5</v>
      </c>
      <c r="E2718" s="384"/>
      <c r="F2718" s="389"/>
      <c r="G2718" s="389"/>
      <c r="T2718" s="384" t="str">
        <f>IFERROR(__xludf.DUMMYFUNCTION("""COMPUTED_VALUE"""),"Градиент")</f>
        <v>Градиент</v>
      </c>
      <c r="U2718" s="385"/>
      <c r="W2718" s="384" t="str">
        <f>IFERROR(__xludf.DUMMYFUNCTION("""COMPUTED_VALUE"""),"Castor Troy ")</f>
        <v>Castor Troy </v>
      </c>
      <c r="X2718" s="385"/>
    </row>
    <row r="2719">
      <c r="A2719" s="384" t="s">
        <v>83</v>
      </c>
      <c r="B2719" s="384" t="s">
        <v>269</v>
      </c>
      <c r="C2719" s="389"/>
      <c r="D2719" s="389">
        <v>2.25</v>
      </c>
      <c r="E2719" s="384"/>
      <c r="F2719" s="389"/>
      <c r="G2719" s="389"/>
      <c r="T2719" s="384" t="str">
        <f>IFERROR(__xludf.DUMMYFUNCTION("""COMPUTED_VALUE"""),"Дровосек")</f>
        <v>Дровосек</v>
      </c>
      <c r="U2719" s="385"/>
      <c r="W2719" s="384" t="str">
        <f>IFERROR(__xludf.DUMMYFUNCTION("""COMPUTED_VALUE"""),"Cristo")</f>
        <v>Cristo</v>
      </c>
      <c r="X2719" s="385"/>
    </row>
    <row r="2720">
      <c r="A2720" s="384" t="s">
        <v>90</v>
      </c>
      <c r="B2720" s="384" t="s">
        <v>269</v>
      </c>
      <c r="C2720" s="389"/>
      <c r="D2720" s="389">
        <v>2.25</v>
      </c>
      <c r="E2720" s="384"/>
      <c r="F2720" s="389"/>
      <c r="G2720" s="389"/>
      <c r="T2720" s="384" t="str">
        <f>IFERROR(__xludf.DUMMYFUNCTION("""COMPUTED_VALUE"""),"Зверюга")</f>
        <v>Зверюга</v>
      </c>
      <c r="U2720" s="385"/>
      <c r="W2720" s="384" t="str">
        <f>IFERROR(__xludf.DUMMYFUNCTION("""COMPUTED_VALUE"""),"Curly")</f>
        <v>Curly</v>
      </c>
      <c r="X2720" s="385"/>
    </row>
    <row r="2721">
      <c r="A2721" s="384" t="s">
        <v>117</v>
      </c>
      <c r="B2721" s="384" t="s">
        <v>271</v>
      </c>
      <c r="C2721" s="389">
        <v>2.5</v>
      </c>
      <c r="D2721" s="389">
        <v>4.0</v>
      </c>
      <c r="E2721" s="384"/>
      <c r="F2721" s="389"/>
      <c r="G2721" s="389"/>
      <c r="T2721" s="384" t="str">
        <f>IFERROR(__xludf.DUMMYFUNCTION("""COMPUTED_VALUE"""),"Инсомнич")</f>
        <v>Инсомнич</v>
      </c>
      <c r="U2721" s="385"/>
      <c r="W2721" s="384" t="str">
        <f>IFERROR(__xludf.DUMMYFUNCTION("""COMPUTED_VALUE"""),"GALAY")</f>
        <v>GALAY</v>
      </c>
      <c r="X2721" s="385"/>
    </row>
    <row r="2722">
      <c r="A2722" s="384" t="s">
        <v>114</v>
      </c>
      <c r="B2722" s="384" t="s">
        <v>261</v>
      </c>
      <c r="C2722" s="389">
        <v>2.5</v>
      </c>
      <c r="D2722" s="389">
        <v>2.75</v>
      </c>
      <c r="E2722" s="384"/>
      <c r="F2722" s="389"/>
      <c r="G2722" s="389"/>
      <c r="T2722" s="384" t="str">
        <f>IFERROR(__xludf.DUMMYFUNCTION("""COMPUTED_VALUE"""),"Крестный отец (BLR)")</f>
        <v>Крестный отец (BLR)</v>
      </c>
      <c r="U2722" s="385"/>
      <c r="W2722" s="384" t="str">
        <f>IFERROR(__xludf.DUMMYFUNCTION("""COMPUTED_VALUE"""),"Helga")</f>
        <v>Helga</v>
      </c>
      <c r="X2722" s="385"/>
    </row>
    <row r="2723">
      <c r="A2723" s="384" t="s">
        <v>115</v>
      </c>
      <c r="B2723" s="384" t="s">
        <v>269</v>
      </c>
      <c r="C2723" s="389"/>
      <c r="D2723" s="389">
        <v>1.5</v>
      </c>
      <c r="E2723" s="384"/>
      <c r="F2723" s="389"/>
      <c r="G2723" s="389"/>
      <c r="T2723" s="384" t="str">
        <f>IFERROR(__xludf.DUMMYFUNCTION("""COMPUTED_VALUE"""),"Крот")</f>
        <v>Крот</v>
      </c>
      <c r="U2723" s="385"/>
      <c r="W2723" s="384" t="str">
        <f>IFERROR(__xludf.DUMMYFUNCTION("""COMPUTED_VALUE"""),"Infinity ")</f>
        <v>Infinity </v>
      </c>
      <c r="X2723" s="385"/>
    </row>
    <row r="2724">
      <c r="A2724" s="384" t="s">
        <v>128</v>
      </c>
      <c r="B2724" s="384" t="s">
        <v>261</v>
      </c>
      <c r="C2724" s="389">
        <v>2.5</v>
      </c>
      <c r="D2724" s="389">
        <v>2.5</v>
      </c>
      <c r="E2724" s="384"/>
      <c r="F2724" s="389"/>
      <c r="G2724" s="389"/>
      <c r="T2724" s="384" t="str">
        <f>IFERROR(__xludf.DUMMYFUNCTION("""COMPUTED_VALUE"""),"Лисичка")</f>
        <v>Лисичка</v>
      </c>
      <c r="U2724" s="385"/>
      <c r="W2724" s="384" t="str">
        <f>IFERROR(__xludf.DUMMYFUNCTION("""COMPUTED_VALUE"""),"Ketamin")</f>
        <v>Ketamin</v>
      </c>
      <c r="X2724" s="385"/>
    </row>
    <row r="2725">
      <c r="A2725" s="384" t="s">
        <v>134</v>
      </c>
      <c r="B2725" s="384" t="s">
        <v>265</v>
      </c>
      <c r="C2725" s="389"/>
      <c r="D2725" s="389">
        <v>2.25</v>
      </c>
      <c r="E2725" s="384"/>
      <c r="F2725" s="389"/>
      <c r="G2725" s="389"/>
      <c r="T2725" s="384" t="str">
        <f>IFERROR(__xludf.DUMMYFUNCTION("""COMPUTED_VALUE"""),"Маваши")</f>
        <v>Маваши</v>
      </c>
      <c r="U2725" s="385"/>
      <c r="W2725" s="384" t="str">
        <f>IFERROR(__xludf.DUMMYFUNCTION("""COMPUTED_VALUE"""),"Light")</f>
        <v>Light</v>
      </c>
      <c r="X2725" s="385"/>
    </row>
    <row r="2726">
      <c r="A2726" s="384" t="s">
        <v>121</v>
      </c>
      <c r="B2726" s="384" t="s">
        <v>261</v>
      </c>
      <c r="C2726" s="389">
        <v>2.5</v>
      </c>
      <c r="D2726" s="389">
        <v>4.0</v>
      </c>
      <c r="E2726" s="384"/>
      <c r="F2726" s="389"/>
      <c r="G2726" s="389"/>
      <c r="T2726" s="384" t="str">
        <f>IFERROR(__xludf.DUMMYFUNCTION("""COMPUTED_VALUE"""),"Манекен")</f>
        <v>Манекен</v>
      </c>
      <c r="U2726" s="385"/>
      <c r="W2726" s="384" t="str">
        <f>IFERROR(__xludf.DUMMYFUNCTION("""COMPUTED_VALUE"""),"Morti")</f>
        <v>Morti</v>
      </c>
      <c r="X2726" s="385"/>
    </row>
    <row r="2727">
      <c r="A2727" s="384" t="s">
        <v>94</v>
      </c>
      <c r="B2727" s="384" t="s">
        <v>271</v>
      </c>
      <c r="C2727" s="389">
        <v>2.5</v>
      </c>
      <c r="D2727" s="389">
        <v>3.25</v>
      </c>
      <c r="E2727" s="384"/>
      <c r="F2727" s="389"/>
      <c r="G2727" s="389"/>
      <c r="T2727" s="384" t="str">
        <f>IFERROR(__xludf.DUMMYFUNCTION("""COMPUTED_VALUE"""),"Марго")</f>
        <v>Марго</v>
      </c>
      <c r="U2727" s="385"/>
      <c r="W2727" s="384" t="str">
        <f>IFERROR(__xludf.DUMMYFUNCTION("""COMPUTED_VALUE"""),"NLIP")</f>
        <v>NLIP</v>
      </c>
      <c r="X2727" s="385"/>
    </row>
    <row r="2728">
      <c r="A2728" s="384" t="s">
        <v>103</v>
      </c>
      <c r="B2728" s="384" t="s">
        <v>269</v>
      </c>
      <c r="C2728" s="389"/>
      <c r="D2728" s="389">
        <v>1.0</v>
      </c>
      <c r="E2728" s="384"/>
      <c r="F2728" s="389"/>
      <c r="G2728" s="389"/>
      <c r="T2728" s="384" t="str">
        <f>IFERROR(__xludf.DUMMYFUNCTION("""COMPUTED_VALUE"""),"Ментик")</f>
        <v>Ментик</v>
      </c>
      <c r="U2728" s="385"/>
      <c r="W2728" s="384" t="str">
        <f>IFERROR(__xludf.DUMMYFUNCTION("""COMPUTED_VALUE"""),"Rocket woman ")</f>
        <v>Rocket woman </v>
      </c>
      <c r="X2728" s="385"/>
    </row>
    <row r="2729">
      <c r="A2729" s="384" t="s">
        <v>83</v>
      </c>
      <c r="B2729" s="384" t="s">
        <v>261</v>
      </c>
      <c r="C2729" s="389">
        <v>2.5</v>
      </c>
      <c r="D2729" s="389">
        <v>3.25</v>
      </c>
      <c r="E2729" s="384"/>
      <c r="F2729" s="389"/>
      <c r="G2729" s="389"/>
      <c r="T2729" s="384" t="str">
        <f>IFERROR(__xludf.DUMMYFUNCTION("""COMPUTED_VALUE"""),"Мишель ")</f>
        <v>Мишель </v>
      </c>
      <c r="U2729" s="385"/>
      <c r="W2729" s="384" t="str">
        <f>IFERROR(__xludf.DUMMYFUNCTION("""COMPUTED_VALUE"""),"SCHOKK ")</f>
        <v>SCHOKK </v>
      </c>
      <c r="X2729" s="385"/>
    </row>
    <row r="2730">
      <c r="A2730" s="384" t="s">
        <v>90</v>
      </c>
      <c r="B2730" s="384" t="s">
        <v>261</v>
      </c>
      <c r="C2730" s="389">
        <v>2.5</v>
      </c>
      <c r="D2730" s="389">
        <v>3.75</v>
      </c>
      <c r="E2730" s="384"/>
      <c r="F2730" s="389"/>
      <c r="G2730" s="389"/>
      <c r="T2730" s="384" t="str">
        <f>IFERROR(__xludf.DUMMYFUNCTION("""COMPUTED_VALUE"""),"Наполеон")</f>
        <v>Наполеон</v>
      </c>
      <c r="U2730" s="385"/>
      <c r="W2730" s="384" t="str">
        <f>IFERROR(__xludf.DUMMYFUNCTION("""COMPUTED_VALUE"""),"SOVEST")</f>
        <v>SOVEST</v>
      </c>
      <c r="X2730" s="385"/>
    </row>
    <row r="2731">
      <c r="A2731" s="384" t="s">
        <v>117</v>
      </c>
      <c r="B2731" s="384" t="s">
        <v>261</v>
      </c>
      <c r="C2731" s="389">
        <v>2.5</v>
      </c>
      <c r="D2731" s="389">
        <v>3.5</v>
      </c>
      <c r="E2731" s="384"/>
      <c r="F2731" s="389"/>
      <c r="G2731" s="389"/>
      <c r="T2731" s="384" t="str">
        <f>IFERROR(__xludf.DUMMYFUNCTION("""COMPUTED_VALUE"""),"Писатель ")</f>
        <v>Писатель </v>
      </c>
      <c r="U2731" s="385"/>
      <c r="W2731" s="384" t="str">
        <f>IFERROR(__xludf.DUMMYFUNCTION("""COMPUTED_VALUE"""),"Stacy")</f>
        <v>Stacy</v>
      </c>
      <c r="X2731" s="385"/>
    </row>
    <row r="2732">
      <c r="A2732" s="384" t="s">
        <v>114</v>
      </c>
      <c r="B2732" s="384" t="s">
        <v>261</v>
      </c>
      <c r="C2732" s="389">
        <v>2.5</v>
      </c>
      <c r="D2732" s="389">
        <v>3.0</v>
      </c>
      <c r="E2732" s="384" t="s">
        <v>11</v>
      </c>
      <c r="F2732" s="389">
        <v>1.0</v>
      </c>
      <c r="G2732" s="389">
        <v>0.5</v>
      </c>
      <c r="T2732" s="384" t="str">
        <f>IFERROR(__xludf.DUMMYFUNCTION("""COMPUTED_VALUE"""),"Правда ")</f>
        <v>Правда </v>
      </c>
      <c r="U2732" s="385"/>
      <c r="W2732" s="384" t="str">
        <f>IFERROR(__xludf.DUMMYFUNCTION("""COMPUTED_VALUE"""),"Young")</f>
        <v>Young</v>
      </c>
      <c r="X2732" s="385"/>
    </row>
    <row r="2733">
      <c r="A2733" s="384" t="s">
        <v>115</v>
      </c>
      <c r="B2733" s="384" t="s">
        <v>269</v>
      </c>
      <c r="C2733" s="389">
        <v>2.5</v>
      </c>
      <c r="D2733" s="389">
        <v>2.0</v>
      </c>
      <c r="E2733" s="384"/>
      <c r="F2733" s="389"/>
      <c r="G2733" s="389"/>
      <c r="T2733" s="384" t="str">
        <f>IFERROR(__xludf.DUMMYFUNCTION("""COMPUTED_VALUE"""),"РФ")</f>
        <v>РФ</v>
      </c>
      <c r="U2733" s="385"/>
      <c r="W2733" s="384" t="str">
        <f>IFERROR(__xludf.DUMMYFUNCTION("""COMPUTED_VALUE"""),"Авраам")</f>
        <v>Авраам</v>
      </c>
      <c r="X2733" s="385"/>
    </row>
    <row r="2734">
      <c r="A2734" s="384" t="s">
        <v>128</v>
      </c>
      <c r="B2734" s="384" t="s">
        <v>261</v>
      </c>
      <c r="C2734" s="389"/>
      <c r="D2734" s="389">
        <v>3.25</v>
      </c>
      <c r="E2734" s="384"/>
      <c r="F2734" s="389"/>
      <c r="G2734" s="389"/>
      <c r="T2734" s="384" t="str">
        <f>IFERROR(__xludf.DUMMYFUNCTION("""COMPUTED_VALUE"""),"СЭНСЭЙ")</f>
        <v>СЭНСЭЙ</v>
      </c>
      <c r="U2734" s="385"/>
      <c r="W2734" s="384" t="str">
        <f>IFERROR(__xludf.DUMMYFUNCTION("""COMPUTED_VALUE"""),"Админ")</f>
        <v>Админ</v>
      </c>
      <c r="X2734" s="385"/>
    </row>
    <row r="2735">
      <c r="A2735" s="384" t="s">
        <v>134</v>
      </c>
      <c r="B2735" s="384" t="s">
        <v>269</v>
      </c>
      <c r="C2735" s="389">
        <v>2.5</v>
      </c>
      <c r="D2735" s="389">
        <v>2.25</v>
      </c>
      <c r="E2735" s="384"/>
      <c r="F2735" s="389"/>
      <c r="G2735" s="389"/>
      <c r="T2735" s="384" t="str">
        <f>IFERROR(__xludf.DUMMYFUNCTION("""COMPUTED_VALUE"""),"Coach")</f>
        <v>Coach</v>
      </c>
      <c r="U2735" s="385"/>
      <c r="W2735" s="384" t="str">
        <f>IFERROR(__xludf.DUMMYFUNCTION("""COMPUTED_VALUE"""),"Артик")</f>
        <v>Артик</v>
      </c>
      <c r="X2735" s="385"/>
    </row>
    <row r="2736">
      <c r="A2736" s="384" t="s">
        <v>121</v>
      </c>
      <c r="B2736" s="384" t="s">
        <v>271</v>
      </c>
      <c r="C2736" s="389"/>
      <c r="D2736" s="389">
        <v>2.75</v>
      </c>
      <c r="E2736" s="384" t="s">
        <v>11</v>
      </c>
      <c r="F2736" s="389">
        <v>0.5</v>
      </c>
      <c r="G2736" s="389">
        <v>1.0</v>
      </c>
      <c r="T2736" s="384" t="str">
        <f>IFERROR(__xludf.DUMMYFUNCTION("""COMPUTED_VALUE"""),"Физик")</f>
        <v>Физик</v>
      </c>
      <c r="U2736" s="385"/>
      <c r="W2736" s="384" t="str">
        <f>IFERROR(__xludf.DUMMYFUNCTION("""COMPUTED_VALUE"""),"Аш")</f>
        <v>Аш</v>
      </c>
      <c r="X2736" s="385"/>
    </row>
    <row r="2737">
      <c r="A2737" s="384" t="s">
        <v>94</v>
      </c>
      <c r="B2737" s="384" t="s">
        <v>261</v>
      </c>
      <c r="C2737" s="389"/>
      <c r="D2737" s="389">
        <v>2.0</v>
      </c>
      <c r="E2737" s="384" t="s">
        <v>263</v>
      </c>
      <c r="F2737" s="389"/>
      <c r="G2737" s="389"/>
      <c r="T2737" s="384" t="str">
        <f>IFERROR(__xludf.DUMMYFUNCTION("""COMPUTED_VALUE"""),"Флэш")</f>
        <v>Флэш</v>
      </c>
      <c r="U2737" s="385"/>
      <c r="W2737" s="384" t="str">
        <f>IFERROR(__xludf.DUMMYFUNCTION("""COMPUTED_VALUE"""),"Бамблби")</f>
        <v>Бамблби</v>
      </c>
      <c r="X2737" s="385"/>
    </row>
    <row r="2738">
      <c r="A2738" s="384" t="s">
        <v>103</v>
      </c>
      <c r="B2738" s="384" t="s">
        <v>261</v>
      </c>
      <c r="C2738" s="389"/>
      <c r="D2738" s="389">
        <v>1.25</v>
      </c>
      <c r="E2738" s="384" t="s">
        <v>263</v>
      </c>
      <c r="F2738" s="389"/>
      <c r="G2738" s="389"/>
      <c r="T2738" s="384" t="str">
        <f>IFERROR(__xludf.DUMMYFUNCTION("""COMPUTED_VALUE"""),"Фокс")</f>
        <v>Фокс</v>
      </c>
      <c r="U2738" s="385"/>
      <c r="W2738" s="384" t="str">
        <f>IFERROR(__xludf.DUMMYFUNCTION("""COMPUTED_VALUE"""),"Волга")</f>
        <v>Волга</v>
      </c>
      <c r="X2738" s="385"/>
    </row>
    <row r="2739">
      <c r="A2739" s="384" t="s">
        <v>83</v>
      </c>
      <c r="B2739" s="384" t="s">
        <v>265</v>
      </c>
      <c r="C2739" s="389">
        <v>2.5</v>
      </c>
      <c r="D2739" s="389">
        <v>4.25</v>
      </c>
      <c r="E2739" s="384" t="s">
        <v>260</v>
      </c>
      <c r="F2739" s="389"/>
      <c r="G2739" s="389"/>
      <c r="T2739" s="384" t="str">
        <f>IFERROR(__xludf.DUMMYFUNCTION("""COMPUTED_VALUE"""),"Шоу Бой")</f>
        <v>Шоу Бой</v>
      </c>
      <c r="U2739" s="385"/>
      <c r="W2739" s="384" t="str">
        <f>IFERROR(__xludf.DUMMYFUNCTION("""COMPUTED_VALUE"""),"Градиент")</f>
        <v>Градиент</v>
      </c>
      <c r="X2739" s="385"/>
    </row>
    <row r="2740">
      <c r="A2740" s="384" t="s">
        <v>90</v>
      </c>
      <c r="B2740" s="384" t="s">
        <v>261</v>
      </c>
      <c r="C2740" s="389"/>
      <c r="D2740" s="389">
        <v>2.0</v>
      </c>
      <c r="E2740" s="384"/>
      <c r="F2740" s="389"/>
      <c r="G2740" s="389"/>
      <c r="T2740" s="384" t="str">
        <f>IFERROR(__xludf.DUMMYFUNCTION("""COMPUTED_VALUE"""),"Шпиц")</f>
        <v>Шпиц</v>
      </c>
      <c r="U2740" s="385"/>
      <c r="W2740" s="384" t="str">
        <f>IFERROR(__xludf.DUMMYFUNCTION("""COMPUTED_VALUE"""),"Дровосек")</f>
        <v>Дровосек</v>
      </c>
      <c r="X2740" s="385"/>
    </row>
    <row r="2741">
      <c r="A2741" s="384" t="s">
        <v>117</v>
      </c>
      <c r="B2741" s="384" t="s">
        <v>261</v>
      </c>
      <c r="C2741" s="389"/>
      <c r="D2741" s="389">
        <v>3.5</v>
      </c>
      <c r="E2741" s="384"/>
      <c r="F2741" s="389"/>
      <c r="G2741" s="389"/>
      <c r="T2741" s="384" t="str">
        <f>IFERROR(__xludf.DUMMYFUNCTION("""COMPUTED_VALUE"""),"Юрия")</f>
        <v>Юрия</v>
      </c>
      <c r="U2741" s="385"/>
      <c r="W2741" s="384" t="str">
        <f>IFERROR(__xludf.DUMMYFUNCTION("""COMPUTED_VALUE"""),"Зверюга")</f>
        <v>Зверюга</v>
      </c>
      <c r="X2741" s="385"/>
    </row>
    <row r="2742">
      <c r="A2742" s="384" t="s">
        <v>114</v>
      </c>
      <c r="B2742" s="384" t="s">
        <v>261</v>
      </c>
      <c r="C2742" s="389"/>
      <c r="D2742" s="389">
        <v>3.0</v>
      </c>
      <c r="E2742" s="384"/>
      <c r="F2742" s="389"/>
      <c r="G2742" s="389"/>
      <c r="T2742" s="384" t="str">
        <f>IFERROR(__xludf.DUMMYFUNCTION("""COMPUTED_VALUE"""),"A1 ")</f>
        <v>A1 </v>
      </c>
      <c r="U2742" s="385"/>
      <c r="W2742" s="384" t="str">
        <f>IFERROR(__xludf.DUMMYFUNCTION("""COMPUTED_VALUE"""),"Инсомнич")</f>
        <v>Инсомнич</v>
      </c>
      <c r="X2742" s="385"/>
    </row>
    <row r="2743">
      <c r="A2743" s="384" t="s">
        <v>115</v>
      </c>
      <c r="B2743" s="384" t="s">
        <v>261</v>
      </c>
      <c r="C2743" s="389">
        <v>2.5</v>
      </c>
      <c r="D2743" s="389">
        <v>4.5</v>
      </c>
      <c r="E2743" s="384"/>
      <c r="F2743" s="389"/>
      <c r="G2743" s="389"/>
      <c r="T2743" s="384" t="str">
        <f>IFERROR(__xludf.DUMMYFUNCTION("""COMPUTED_VALUE"""),"Alice ")</f>
        <v>Alice </v>
      </c>
      <c r="U2743" s="385"/>
      <c r="W2743" s="384" t="str">
        <f>IFERROR(__xludf.DUMMYFUNCTION("""COMPUTED_VALUE"""),"Крестный отец (BLR)")</f>
        <v>Крестный отец (BLR)</v>
      </c>
      <c r="X2743" s="385"/>
    </row>
    <row r="2744">
      <c r="A2744" s="384" t="s">
        <v>128</v>
      </c>
      <c r="B2744" s="384" t="s">
        <v>261</v>
      </c>
      <c r="C2744" s="389">
        <v>2.5</v>
      </c>
      <c r="D2744" s="389">
        <v>3.0</v>
      </c>
      <c r="E2744" s="384"/>
      <c r="F2744" s="389"/>
      <c r="G2744" s="389"/>
      <c r="T2744" s="384" t="str">
        <f>IFERROR(__xludf.DUMMYFUNCTION("""COMPUTED_VALUE"""),"Bublik")</f>
        <v>Bublik</v>
      </c>
      <c r="U2744" s="385"/>
      <c r="W2744" s="384" t="str">
        <f>IFERROR(__xludf.DUMMYFUNCTION("""COMPUTED_VALUE"""),"Крот")</f>
        <v>Крот</v>
      </c>
      <c r="X2744" s="385"/>
    </row>
    <row r="2745">
      <c r="A2745" s="384" t="s">
        <v>134</v>
      </c>
      <c r="B2745" s="384" t="s">
        <v>269</v>
      </c>
      <c r="C2745" s="389"/>
      <c r="D2745" s="389">
        <v>2.0</v>
      </c>
      <c r="E2745" s="384"/>
      <c r="F2745" s="389"/>
      <c r="G2745" s="389"/>
      <c r="T2745" s="384" t="str">
        <f>IFERROR(__xludf.DUMMYFUNCTION("""COMPUTED_VALUE"""),"BWDMoscow")</f>
        <v>BWDMoscow</v>
      </c>
      <c r="U2745" s="385"/>
      <c r="W2745" s="384" t="str">
        <f>IFERROR(__xludf.DUMMYFUNCTION("""COMPUTED_VALUE"""),"Лисичка")</f>
        <v>Лисичка</v>
      </c>
      <c r="X2745" s="385"/>
    </row>
    <row r="2746">
      <c r="A2746" s="384" t="s">
        <v>121</v>
      </c>
      <c r="B2746" s="384" t="s">
        <v>265</v>
      </c>
      <c r="C2746" s="389"/>
      <c r="D2746" s="389">
        <v>3.0</v>
      </c>
      <c r="E2746" s="384" t="s">
        <v>263</v>
      </c>
      <c r="F2746" s="389"/>
      <c r="G2746" s="389"/>
      <c r="T2746" s="384" t="str">
        <f>IFERROR(__xludf.DUMMYFUNCTION("""COMPUTED_VALUE"""),"Castor Troy ")</f>
        <v>Castor Troy </v>
      </c>
      <c r="U2746" s="385"/>
      <c r="W2746" s="384" t="str">
        <f>IFERROR(__xludf.DUMMYFUNCTION("""COMPUTED_VALUE"""),"Маваши")</f>
        <v>Маваши</v>
      </c>
      <c r="X2746" s="385"/>
    </row>
    <row r="2747">
      <c r="A2747" s="384" t="s">
        <v>94</v>
      </c>
      <c r="B2747" s="384" t="s">
        <v>269</v>
      </c>
      <c r="C2747" s="389"/>
      <c r="D2747" s="389">
        <v>2.0</v>
      </c>
      <c r="E2747" s="384"/>
      <c r="F2747" s="389"/>
      <c r="G2747" s="389"/>
      <c r="T2747" s="384" t="str">
        <f>IFERROR(__xludf.DUMMYFUNCTION("""COMPUTED_VALUE"""),"Cristo")</f>
        <v>Cristo</v>
      </c>
      <c r="U2747" s="385"/>
      <c r="W2747" s="384" t="str">
        <f>IFERROR(__xludf.DUMMYFUNCTION("""COMPUTED_VALUE"""),"Манекен")</f>
        <v>Манекен</v>
      </c>
      <c r="X2747" s="385"/>
    </row>
    <row r="2748">
      <c r="A2748" s="384" t="s">
        <v>103</v>
      </c>
      <c r="B2748" s="384" t="s">
        <v>261</v>
      </c>
      <c r="C2748" s="389">
        <v>2.5</v>
      </c>
      <c r="D2748" s="389">
        <v>2.75</v>
      </c>
      <c r="E2748" s="384" t="s">
        <v>260</v>
      </c>
      <c r="F2748" s="389"/>
      <c r="G2748" s="389"/>
      <c r="T2748" s="384" t="str">
        <f>IFERROR(__xludf.DUMMYFUNCTION("""COMPUTED_VALUE"""),"Curly")</f>
        <v>Curly</v>
      </c>
      <c r="U2748" s="385"/>
      <c r="W2748" s="384" t="str">
        <f>IFERROR(__xludf.DUMMYFUNCTION("""COMPUTED_VALUE"""),"Марго")</f>
        <v>Марго</v>
      </c>
      <c r="X2748" s="385"/>
    </row>
    <row r="2749">
      <c r="A2749" s="384" t="s">
        <v>83</v>
      </c>
      <c r="B2749" s="384" t="s">
        <v>261</v>
      </c>
      <c r="C2749" s="389">
        <v>2.5</v>
      </c>
      <c r="D2749" s="389">
        <v>2.5</v>
      </c>
      <c r="E2749" s="384"/>
      <c r="F2749" s="389"/>
      <c r="G2749" s="389"/>
      <c r="T2749" s="384" t="str">
        <f>IFERROR(__xludf.DUMMYFUNCTION("""COMPUTED_VALUE"""),"GALAY")</f>
        <v>GALAY</v>
      </c>
      <c r="U2749" s="385"/>
      <c r="W2749" s="384" t="str">
        <f>IFERROR(__xludf.DUMMYFUNCTION("""COMPUTED_VALUE"""),"Ментик")</f>
        <v>Ментик</v>
      </c>
      <c r="X2749" s="385"/>
    </row>
    <row r="2750">
      <c r="A2750" s="384" t="s">
        <v>90</v>
      </c>
      <c r="B2750" s="384" t="s">
        <v>261</v>
      </c>
      <c r="C2750" s="389">
        <v>2.5</v>
      </c>
      <c r="D2750" s="389">
        <v>2.5</v>
      </c>
      <c r="E2750" s="384" t="s">
        <v>11</v>
      </c>
      <c r="F2750" s="389"/>
      <c r="G2750" s="389">
        <v>0.5</v>
      </c>
      <c r="T2750" s="384" t="str">
        <f>IFERROR(__xludf.DUMMYFUNCTION("""COMPUTED_VALUE"""),"Helga")</f>
        <v>Helga</v>
      </c>
      <c r="U2750" s="385"/>
      <c r="W2750" s="384" t="str">
        <f>IFERROR(__xludf.DUMMYFUNCTION("""COMPUTED_VALUE"""),"Мишель ")</f>
        <v>Мишель </v>
      </c>
      <c r="X2750" s="385"/>
    </row>
    <row r="2751">
      <c r="A2751" s="384" t="s">
        <v>117</v>
      </c>
      <c r="B2751" s="384" t="s">
        <v>271</v>
      </c>
      <c r="C2751" s="389">
        <v>2.5</v>
      </c>
      <c r="D2751" s="389">
        <v>4.0</v>
      </c>
      <c r="E2751" s="384" t="s">
        <v>260</v>
      </c>
      <c r="F2751" s="389"/>
      <c r="G2751" s="389"/>
      <c r="T2751" s="384" t="str">
        <f>IFERROR(__xludf.DUMMYFUNCTION("""COMPUTED_VALUE"""),"Infinity ")</f>
        <v>Infinity </v>
      </c>
      <c r="U2751" s="385"/>
      <c r="W2751" s="384" t="str">
        <f>IFERROR(__xludf.DUMMYFUNCTION("""COMPUTED_VALUE"""),"Наполеон")</f>
        <v>Наполеон</v>
      </c>
      <c r="X2751" s="385"/>
    </row>
    <row r="2752">
      <c r="A2752" s="384" t="s">
        <v>114</v>
      </c>
      <c r="B2752" s="384" t="s">
        <v>261</v>
      </c>
      <c r="C2752" s="389">
        <v>2.5</v>
      </c>
      <c r="D2752" s="389">
        <v>3.25</v>
      </c>
      <c r="E2752" s="384"/>
      <c r="F2752" s="389"/>
      <c r="G2752" s="389"/>
      <c r="T2752" s="384" t="str">
        <f>IFERROR(__xludf.DUMMYFUNCTION("""COMPUTED_VALUE"""),"Ketamin")</f>
        <v>Ketamin</v>
      </c>
      <c r="U2752" s="385"/>
      <c r="W2752" s="384" t="str">
        <f>IFERROR(__xludf.DUMMYFUNCTION("""COMPUTED_VALUE"""),"Писатель ")</f>
        <v>Писатель </v>
      </c>
      <c r="X2752" s="385"/>
    </row>
    <row r="2753">
      <c r="A2753" s="384" t="s">
        <v>122</v>
      </c>
      <c r="B2753" s="384" t="s">
        <v>269</v>
      </c>
      <c r="C2753" s="389"/>
      <c r="D2753" s="389">
        <v>1.75</v>
      </c>
      <c r="E2753" s="384"/>
      <c r="F2753" s="389"/>
      <c r="G2753" s="389"/>
      <c r="T2753" s="384" t="str">
        <f>IFERROR(__xludf.DUMMYFUNCTION("""COMPUTED_VALUE"""),"Light")</f>
        <v>Light</v>
      </c>
      <c r="U2753" s="385"/>
      <c r="W2753" s="384" t="str">
        <f>IFERROR(__xludf.DUMMYFUNCTION("""COMPUTED_VALUE"""),"Правда ")</f>
        <v>Правда </v>
      </c>
      <c r="X2753" s="385"/>
    </row>
    <row r="2754">
      <c r="A2754" s="384" t="s">
        <v>133</v>
      </c>
      <c r="B2754" s="384" t="s">
        <v>265</v>
      </c>
      <c r="C2754" s="389"/>
      <c r="D2754" s="389">
        <v>1.5</v>
      </c>
      <c r="E2754" s="384"/>
      <c r="F2754" s="389"/>
      <c r="G2754" s="389"/>
      <c r="T2754" s="384" t="str">
        <f>IFERROR(__xludf.DUMMYFUNCTION("""COMPUTED_VALUE"""),"MSR")</f>
        <v>MSR</v>
      </c>
      <c r="U2754" s="385"/>
      <c r="W2754" s="384" t="str">
        <f>IFERROR(__xludf.DUMMYFUNCTION("""COMPUTED_VALUE"""),"РФ")</f>
        <v>РФ</v>
      </c>
      <c r="X2754" s="385"/>
    </row>
    <row r="2755">
      <c r="A2755" s="384" t="s">
        <v>83</v>
      </c>
      <c r="B2755" s="384" t="s">
        <v>261</v>
      </c>
      <c r="C2755" s="389">
        <v>2.5</v>
      </c>
      <c r="D2755" s="389">
        <v>3.25</v>
      </c>
      <c r="E2755" s="384"/>
      <c r="F2755" s="389"/>
      <c r="G2755" s="389"/>
      <c r="T2755" s="384" t="str">
        <f>IFERROR(__xludf.DUMMYFUNCTION("""COMPUTED_VALUE"""),"NLIP")</f>
        <v>NLIP</v>
      </c>
      <c r="U2755" s="385"/>
      <c r="W2755" s="384" t="str">
        <f>IFERROR(__xludf.DUMMYFUNCTION("""COMPUTED_VALUE"""),"СЭНСЭЙ")</f>
        <v>СЭНСЭЙ</v>
      </c>
      <c r="X2755" s="385"/>
    </row>
    <row r="2756">
      <c r="A2756" s="384" t="s">
        <v>129</v>
      </c>
      <c r="B2756" s="384" t="s">
        <v>271</v>
      </c>
      <c r="C2756" s="389">
        <v>2.5</v>
      </c>
      <c r="D2756" s="389">
        <v>1.75</v>
      </c>
      <c r="E2756" s="384"/>
      <c r="F2756" s="389"/>
      <c r="G2756" s="389"/>
      <c r="T2756" s="384" t="str">
        <f>IFERROR(__xludf.DUMMYFUNCTION("""COMPUTED_VALUE"""),"Rocket woman ")</f>
        <v>Rocket woman </v>
      </c>
      <c r="U2756" s="385"/>
      <c r="W2756" s="384" t="str">
        <f>IFERROR(__xludf.DUMMYFUNCTION("""COMPUTED_VALUE"""),"Coach")</f>
        <v>Coach</v>
      </c>
      <c r="X2756" s="385"/>
    </row>
    <row r="2757">
      <c r="A2757" s="384" t="s">
        <v>115</v>
      </c>
      <c r="B2757" s="384" t="s">
        <v>261</v>
      </c>
      <c r="C2757" s="389">
        <v>2.5</v>
      </c>
      <c r="D2757" s="389">
        <v>2.0</v>
      </c>
      <c r="E2757" s="384"/>
      <c r="F2757" s="389"/>
      <c r="G2757" s="389"/>
      <c r="T2757" s="384" t="str">
        <f>IFERROR(__xludf.DUMMYFUNCTION("""COMPUTED_VALUE"""),"SCHOKK ")</f>
        <v>SCHOKK </v>
      </c>
      <c r="U2757" s="385"/>
      <c r="W2757" s="384" t="str">
        <f>IFERROR(__xludf.DUMMYFUNCTION("""COMPUTED_VALUE"""),"Физик")</f>
        <v>Физик</v>
      </c>
      <c r="X2757" s="385"/>
    </row>
    <row r="2758">
      <c r="A2758" s="384" t="s">
        <v>112</v>
      </c>
      <c r="B2758" s="384" t="s">
        <v>261</v>
      </c>
      <c r="C2758" s="389">
        <v>2.5</v>
      </c>
      <c r="D2758" s="389">
        <v>2.5</v>
      </c>
      <c r="E2758" s="384"/>
      <c r="F2758" s="389"/>
      <c r="G2758" s="389"/>
      <c r="T2758" s="384" t="str">
        <f>IFERROR(__xludf.DUMMYFUNCTION("""COMPUTED_VALUE"""),"SOVEST")</f>
        <v>SOVEST</v>
      </c>
      <c r="U2758" s="385"/>
      <c r="W2758" s="384" t="str">
        <f>IFERROR(__xludf.DUMMYFUNCTION("""COMPUTED_VALUE"""),"Флэш")</f>
        <v>Флэш</v>
      </c>
      <c r="X2758" s="385"/>
    </row>
    <row r="2759">
      <c r="A2759" s="384" t="s">
        <v>124</v>
      </c>
      <c r="B2759" s="384" t="s">
        <v>269</v>
      </c>
      <c r="C2759" s="389"/>
      <c r="D2759" s="389">
        <v>0.0</v>
      </c>
      <c r="E2759" s="384"/>
      <c r="F2759" s="389"/>
      <c r="G2759" s="389"/>
      <c r="T2759" s="384" t="str">
        <f>IFERROR(__xludf.DUMMYFUNCTION("""COMPUTED_VALUE"""),"Stacy")</f>
        <v>Stacy</v>
      </c>
      <c r="U2759" s="385"/>
      <c r="W2759" s="384" t="str">
        <f>IFERROR(__xludf.DUMMYFUNCTION("""COMPUTED_VALUE"""),"Фокс")</f>
        <v>Фокс</v>
      </c>
      <c r="X2759" s="385"/>
    </row>
    <row r="2760">
      <c r="A2760" s="384" t="s">
        <v>114</v>
      </c>
      <c r="B2760" s="384" t="s">
        <v>261</v>
      </c>
      <c r="C2760" s="389">
        <v>2.5</v>
      </c>
      <c r="D2760" s="389">
        <v>3.75</v>
      </c>
      <c r="E2760" s="384"/>
      <c r="F2760" s="389"/>
      <c r="G2760" s="389"/>
      <c r="T2760" s="384" t="str">
        <f>IFERROR(__xludf.DUMMYFUNCTION("""COMPUTED_VALUE"""),"WhoIsWho")</f>
        <v>WhoIsWho</v>
      </c>
      <c r="U2760" s="385"/>
      <c r="W2760" s="384" t="str">
        <f>IFERROR(__xludf.DUMMYFUNCTION("""COMPUTED_VALUE"""),"Шоу Бой")</f>
        <v>Шоу Бой</v>
      </c>
      <c r="X2760" s="385"/>
    </row>
    <row r="2761">
      <c r="A2761" s="384" t="s">
        <v>90</v>
      </c>
      <c r="B2761" s="384" t="s">
        <v>261</v>
      </c>
      <c r="C2761" s="389">
        <v>2.5</v>
      </c>
      <c r="D2761" s="389">
        <v>3.0</v>
      </c>
      <c r="E2761" s="384" t="s">
        <v>11</v>
      </c>
      <c r="F2761" s="389"/>
      <c r="G2761" s="389">
        <v>0.5</v>
      </c>
      <c r="T2761" s="384" t="str">
        <f>IFERROR(__xludf.DUMMYFUNCTION("""COMPUTED_VALUE"""),"Young")</f>
        <v>Young</v>
      </c>
      <c r="U2761" s="385"/>
      <c r="W2761" s="384" t="str">
        <f>IFERROR(__xludf.DUMMYFUNCTION("""COMPUTED_VALUE"""),"Шпиц")</f>
        <v>Шпиц</v>
      </c>
      <c r="X2761" s="385"/>
    </row>
    <row r="2762">
      <c r="A2762" s="384" t="s">
        <v>121</v>
      </c>
      <c r="B2762" s="384" t="s">
        <v>261</v>
      </c>
      <c r="C2762" s="389">
        <v>2.5</v>
      </c>
      <c r="D2762" s="389">
        <v>4.0</v>
      </c>
      <c r="E2762" s="384"/>
      <c r="F2762" s="389"/>
      <c r="G2762" s="389"/>
      <c r="T2762" s="384" t="str">
        <f>IFERROR(__xludf.DUMMYFUNCTION("QUERY('Турнирная таблица по Алфавиту'!C7:BN66,""select C,BN order by BN desc"")"),"SCHOKK ")</f>
        <v>SCHOKK </v>
      </c>
      <c r="U2762" s="385">
        <f>IFERROR(__xludf.DUMMYFUNCTION("""COMPUTED_VALUE"""),24.0)</f>
        <v>24</v>
      </c>
      <c r="W2762" s="384" t="str">
        <f>IFERROR(__xludf.DUMMYFUNCTION("""COMPUTED_VALUE"""),"Юрия")</f>
        <v>Юрия</v>
      </c>
      <c r="X2762" s="385"/>
    </row>
    <row r="2763">
      <c r="A2763" s="384" t="s">
        <v>122</v>
      </c>
      <c r="B2763" s="384" t="s">
        <v>269</v>
      </c>
      <c r="C2763" s="389"/>
      <c r="D2763" s="389">
        <v>2.5</v>
      </c>
      <c r="E2763" s="384" t="s">
        <v>263</v>
      </c>
      <c r="F2763" s="389"/>
      <c r="G2763" s="389"/>
      <c r="T2763" s="384" t="str">
        <f>IFERROR(__xludf.DUMMYFUNCTION("""COMPUTED_VALUE"""),"Старый")</f>
        <v>Старый</v>
      </c>
      <c r="U2763" s="385">
        <f>IFERROR(__xludf.DUMMYFUNCTION("""COMPUTED_VALUE"""),23.5)</f>
        <v>23.5</v>
      </c>
      <c r="W2763" s="384" t="str">
        <f>IFERROR(__xludf.DUMMYFUNCTION("""COMPUTED_VALUE"""),"A1 ")</f>
        <v>A1 </v>
      </c>
      <c r="X2763" s="385"/>
    </row>
    <row r="2764">
      <c r="A2764" s="384" t="s">
        <v>133</v>
      </c>
      <c r="B2764" s="384" t="s">
        <v>261</v>
      </c>
      <c r="C2764" s="389">
        <v>2.5</v>
      </c>
      <c r="D2764" s="389">
        <v>3.75</v>
      </c>
      <c r="E2764" s="384"/>
      <c r="F2764" s="389"/>
      <c r="G2764" s="389"/>
      <c r="T2764" s="384" t="str">
        <f>IFERROR(__xludf.DUMMYFUNCTION("""COMPUTED_VALUE"""),"Физик")</f>
        <v>Физик</v>
      </c>
      <c r="U2764" s="385">
        <f>IFERROR(__xludf.DUMMYFUNCTION("""COMPUTED_VALUE"""),22.75)</f>
        <v>22.75</v>
      </c>
      <c r="W2764" s="384" t="str">
        <f>IFERROR(__xludf.DUMMYFUNCTION("""COMPUTED_VALUE"""),"Alice ")</f>
        <v>Alice </v>
      </c>
      <c r="X2764" s="385"/>
    </row>
    <row r="2765">
      <c r="A2765" s="384" t="s">
        <v>83</v>
      </c>
      <c r="B2765" s="384" t="s">
        <v>261</v>
      </c>
      <c r="C2765" s="389">
        <v>2.5</v>
      </c>
      <c r="D2765" s="389">
        <v>3.0</v>
      </c>
      <c r="E2765" s="384"/>
      <c r="F2765" s="389"/>
      <c r="G2765" s="389"/>
      <c r="T2765" s="384" t="str">
        <f>IFERROR(__xludf.DUMMYFUNCTION("""COMPUTED_VALUE"""),"Красавчик")</f>
        <v>Красавчик</v>
      </c>
      <c r="U2765" s="385">
        <f>IFERROR(__xludf.DUMMYFUNCTION("""COMPUTED_VALUE"""),21.0)</f>
        <v>21</v>
      </c>
      <c r="W2765" s="384" t="str">
        <f>IFERROR(__xludf.DUMMYFUNCTION("""COMPUTED_VALUE"""),"Bublik")</f>
        <v>Bublik</v>
      </c>
      <c r="X2765" s="385"/>
    </row>
    <row r="2766">
      <c r="A2766" s="384" t="s">
        <v>129</v>
      </c>
      <c r="B2766" s="384" t="s">
        <v>261</v>
      </c>
      <c r="C2766" s="389">
        <v>2.5</v>
      </c>
      <c r="D2766" s="389">
        <v>3.75</v>
      </c>
      <c r="E2766" s="384"/>
      <c r="F2766" s="389"/>
      <c r="G2766" s="389"/>
      <c r="T2766" s="384" t="str">
        <f>IFERROR(__xludf.DUMMYFUNCTION("""COMPUTED_VALUE"""),"Ментик")</f>
        <v>Ментик</v>
      </c>
      <c r="U2766" s="385">
        <f>IFERROR(__xludf.DUMMYFUNCTION("""COMPUTED_VALUE"""),21.0)</f>
        <v>21</v>
      </c>
      <c r="W2766" s="384" t="str">
        <f>IFERROR(__xludf.DUMMYFUNCTION("""COMPUTED_VALUE"""),"BWDMoscow")</f>
        <v>BWDMoscow</v>
      </c>
      <c r="X2766" s="385"/>
    </row>
    <row r="2767">
      <c r="A2767" s="384" t="s">
        <v>115</v>
      </c>
      <c r="B2767" s="384" t="s">
        <v>261</v>
      </c>
      <c r="C2767" s="389">
        <v>2.5</v>
      </c>
      <c r="D2767" s="389">
        <v>3.25</v>
      </c>
      <c r="E2767" s="384"/>
      <c r="F2767" s="389"/>
      <c r="G2767" s="389"/>
      <c r="T2767" s="384" t="str">
        <f>IFERROR(__xludf.DUMMYFUNCTION("""COMPUTED_VALUE"""),"Астория")</f>
        <v>Астория</v>
      </c>
      <c r="U2767" s="385">
        <f>IFERROR(__xludf.DUMMYFUNCTION("""COMPUTED_VALUE"""),19.25)</f>
        <v>19.25</v>
      </c>
      <c r="W2767" s="384" t="str">
        <f>IFERROR(__xludf.DUMMYFUNCTION("""COMPUTED_VALUE"""),"Castor Troy ")</f>
        <v>Castor Troy </v>
      </c>
      <c r="X2767" s="385"/>
    </row>
    <row r="2768">
      <c r="A2768" s="384" t="s">
        <v>112</v>
      </c>
      <c r="B2768" s="384" t="s">
        <v>265</v>
      </c>
      <c r="C2768" s="389"/>
      <c r="D2768" s="389">
        <v>2.5</v>
      </c>
      <c r="E2768" s="384"/>
      <c r="F2768" s="389"/>
      <c r="G2768" s="389"/>
      <c r="T2768" s="384" t="str">
        <f>IFERROR(__xludf.DUMMYFUNCTION("""COMPUTED_VALUE"""),"Мишель ")</f>
        <v>Мишель </v>
      </c>
      <c r="U2768" s="385">
        <f>IFERROR(__xludf.DUMMYFUNCTION("""COMPUTED_VALUE"""),18.5)</f>
        <v>18.5</v>
      </c>
      <c r="W2768" s="384" t="str">
        <f>IFERROR(__xludf.DUMMYFUNCTION("""COMPUTED_VALUE"""),"Cristo")</f>
        <v>Cristo</v>
      </c>
      <c r="X2768" s="385"/>
    </row>
    <row r="2769">
      <c r="A2769" s="384" t="s">
        <v>124</v>
      </c>
      <c r="B2769" s="384" t="s">
        <v>271</v>
      </c>
      <c r="C2769" s="389">
        <v>2.5</v>
      </c>
      <c r="D2769" s="389">
        <v>3.5</v>
      </c>
      <c r="E2769" s="384" t="s">
        <v>260</v>
      </c>
      <c r="F2769" s="389"/>
      <c r="G2769" s="389"/>
      <c r="T2769" s="384" t="str">
        <f>IFERROR(__xludf.DUMMYFUNCTION("""COMPUTED_VALUE"""),"Cristo")</f>
        <v>Cristo</v>
      </c>
      <c r="U2769" s="385">
        <f>IFERROR(__xludf.DUMMYFUNCTION("""COMPUTED_VALUE"""),17.0)</f>
        <v>17</v>
      </c>
      <c r="W2769" s="384" t="str">
        <f>IFERROR(__xludf.DUMMYFUNCTION("""COMPUTED_VALUE"""),"Curly")</f>
        <v>Curly</v>
      </c>
      <c r="X2769" s="385"/>
    </row>
    <row r="2770">
      <c r="A2770" s="384" t="s">
        <v>114</v>
      </c>
      <c r="B2770" s="384" t="s">
        <v>261</v>
      </c>
      <c r="C2770" s="389">
        <v>2.5</v>
      </c>
      <c r="D2770" s="389">
        <v>2.5</v>
      </c>
      <c r="E2770" s="384" t="s">
        <v>260</v>
      </c>
      <c r="F2770" s="389"/>
      <c r="G2770" s="389"/>
      <c r="T2770" s="384" t="str">
        <f>IFERROR(__xludf.DUMMYFUNCTION("""COMPUTED_VALUE"""),"Крёстный Отец (RU)")</f>
        <v>Крёстный Отец (RU)</v>
      </c>
      <c r="U2770" s="385">
        <f>IFERROR(__xludf.DUMMYFUNCTION("""COMPUTED_VALUE"""),14.75)</f>
        <v>14.75</v>
      </c>
      <c r="W2770" s="384" t="str">
        <f>IFERROR(__xludf.DUMMYFUNCTION("""COMPUTED_VALUE"""),"GALAY")</f>
        <v>GALAY</v>
      </c>
      <c r="X2770" s="385"/>
    </row>
    <row r="2771">
      <c r="A2771" s="384" t="s">
        <v>90</v>
      </c>
      <c r="B2771" s="384" t="s">
        <v>269</v>
      </c>
      <c r="C2771" s="389"/>
      <c r="D2771" s="389">
        <v>2.25</v>
      </c>
      <c r="E2771" s="384"/>
      <c r="F2771" s="389"/>
      <c r="G2771" s="389"/>
      <c r="T2771" s="384" t="str">
        <f>IFERROR(__xludf.DUMMYFUNCTION("""COMPUTED_VALUE"""),"Morti")</f>
        <v>Morti</v>
      </c>
      <c r="U2771" s="385">
        <f>IFERROR(__xludf.DUMMYFUNCTION("""COMPUTED_VALUE"""),10.75)</f>
        <v>10.75</v>
      </c>
      <c r="W2771" s="384" t="str">
        <f>IFERROR(__xludf.DUMMYFUNCTION("""COMPUTED_VALUE"""),"Helga")</f>
        <v>Helga</v>
      </c>
      <c r="X2771" s="385"/>
    </row>
    <row r="2772">
      <c r="A2772" s="384" t="s">
        <v>121</v>
      </c>
      <c r="B2772" s="384" t="s">
        <v>261</v>
      </c>
      <c r="C2772" s="389">
        <v>2.5</v>
      </c>
      <c r="D2772" s="389">
        <v>2.5</v>
      </c>
      <c r="E2772" s="384" t="s">
        <v>11</v>
      </c>
      <c r="F2772" s="389"/>
      <c r="G2772" s="389">
        <v>0.5</v>
      </c>
      <c r="T2772" s="384" t="str">
        <f>IFERROR(__xludf.DUMMYFUNCTION("""COMPUTED_VALUE"""),"Авраам")</f>
        <v>Авраам</v>
      </c>
      <c r="U2772" s="385"/>
      <c r="W2772" s="384" t="str">
        <f>IFERROR(__xludf.DUMMYFUNCTION("""COMPUTED_VALUE"""),"Infinity ")</f>
        <v>Infinity </v>
      </c>
      <c r="X2772" s="385"/>
    </row>
    <row r="2773">
      <c r="A2773" s="384" t="s">
        <v>122</v>
      </c>
      <c r="B2773" s="384" t="s">
        <v>261</v>
      </c>
      <c r="C2773" s="389">
        <v>2.5</v>
      </c>
      <c r="D2773" s="389">
        <v>3.75</v>
      </c>
      <c r="E2773" s="384"/>
      <c r="F2773" s="389"/>
      <c r="G2773" s="389"/>
      <c r="T2773" s="384" t="str">
        <f>IFERROR(__xludf.DUMMYFUNCTION("""COMPUTED_VALUE"""),"Админ")</f>
        <v>Админ</v>
      </c>
      <c r="U2773" s="385"/>
      <c r="W2773" s="384" t="str">
        <f>IFERROR(__xludf.DUMMYFUNCTION("""COMPUTED_VALUE"""),"Ketamin")</f>
        <v>Ketamin</v>
      </c>
      <c r="X2773" s="385"/>
    </row>
    <row r="2774">
      <c r="A2774" s="384" t="s">
        <v>133</v>
      </c>
      <c r="B2774" s="384" t="s">
        <v>261</v>
      </c>
      <c r="C2774" s="389">
        <v>2.5</v>
      </c>
      <c r="D2774" s="389">
        <v>3.75</v>
      </c>
      <c r="E2774" s="384" t="s">
        <v>260</v>
      </c>
      <c r="F2774" s="389"/>
      <c r="G2774" s="389"/>
      <c r="T2774" s="384" t="str">
        <f>IFERROR(__xludf.DUMMYFUNCTION("""COMPUTED_VALUE"""),"Андерсен")</f>
        <v>Андерсен</v>
      </c>
      <c r="U2774" s="385"/>
      <c r="W2774" s="384" t="str">
        <f>IFERROR(__xludf.DUMMYFUNCTION("""COMPUTED_VALUE"""),"Light")</f>
        <v>Light</v>
      </c>
      <c r="X2774" s="385"/>
    </row>
    <row r="2775">
      <c r="A2775" s="384" t="s">
        <v>83</v>
      </c>
      <c r="B2775" s="384" t="s">
        <v>261</v>
      </c>
      <c r="C2775" s="389">
        <v>2.5</v>
      </c>
      <c r="D2775" s="389">
        <v>3.5</v>
      </c>
      <c r="E2775" s="384"/>
      <c r="F2775" s="389"/>
      <c r="G2775" s="389"/>
      <c r="T2775" s="384" t="str">
        <f>IFERROR(__xludf.DUMMYFUNCTION("""COMPUTED_VALUE"""),"Артик")</f>
        <v>Артик</v>
      </c>
      <c r="U2775" s="385"/>
      <c r="W2775" s="384" t="str">
        <f>IFERROR(__xludf.DUMMYFUNCTION("""COMPUTED_VALUE"""),"MSR")</f>
        <v>MSR</v>
      </c>
      <c r="X2775" s="385"/>
    </row>
    <row r="2776">
      <c r="A2776" s="384" t="s">
        <v>129</v>
      </c>
      <c r="B2776" s="384" t="s">
        <v>265</v>
      </c>
      <c r="C2776" s="389"/>
      <c r="D2776" s="389">
        <v>2.25</v>
      </c>
      <c r="E2776" s="384" t="s">
        <v>263</v>
      </c>
      <c r="F2776" s="389"/>
      <c r="G2776" s="389"/>
      <c r="T2776" s="384" t="str">
        <f>IFERROR(__xludf.DUMMYFUNCTION("""COMPUTED_VALUE"""),"Аш")</f>
        <v>Аш</v>
      </c>
      <c r="U2776" s="385"/>
      <c r="W2776" s="384" t="str">
        <f>IFERROR(__xludf.DUMMYFUNCTION("""COMPUTED_VALUE"""),"NLIP")</f>
        <v>NLIP</v>
      </c>
      <c r="X2776" s="385"/>
    </row>
    <row r="2777">
      <c r="A2777" s="384" t="s">
        <v>115</v>
      </c>
      <c r="B2777" s="384" t="s">
        <v>271</v>
      </c>
      <c r="C2777" s="389">
        <v>2.5</v>
      </c>
      <c r="D2777" s="389">
        <v>3.5</v>
      </c>
      <c r="E2777" s="384"/>
      <c r="F2777" s="389"/>
      <c r="G2777" s="389"/>
      <c r="T2777" s="384" t="str">
        <f>IFERROR(__xludf.DUMMYFUNCTION("""COMPUTED_VALUE"""),"Бамблби")</f>
        <v>Бамблби</v>
      </c>
      <c r="U2777" s="385"/>
      <c r="W2777" s="384" t="str">
        <f>IFERROR(__xludf.DUMMYFUNCTION("""COMPUTED_VALUE"""),"Rocket woman ")</f>
        <v>Rocket woman </v>
      </c>
      <c r="X2777" s="385"/>
    </row>
    <row r="2778">
      <c r="A2778" s="384" t="s">
        <v>112</v>
      </c>
      <c r="B2778" s="384" t="s">
        <v>269</v>
      </c>
      <c r="C2778" s="389"/>
      <c r="D2778" s="389">
        <v>2.25</v>
      </c>
      <c r="E2778" s="384"/>
      <c r="F2778" s="389"/>
      <c r="G2778" s="389"/>
      <c r="T2778" s="384" t="str">
        <f>IFERROR(__xludf.DUMMYFUNCTION("""COMPUTED_VALUE"""),"Волга")</f>
        <v>Волга</v>
      </c>
      <c r="U2778" s="385"/>
      <c r="W2778" s="384" t="str">
        <f>IFERROR(__xludf.DUMMYFUNCTION("""COMPUTED_VALUE"""),"SCHOKK ")</f>
        <v>SCHOKK </v>
      </c>
      <c r="X2778" s="385"/>
    </row>
    <row r="2779">
      <c r="A2779" s="384" t="s">
        <v>124</v>
      </c>
      <c r="B2779" s="384" t="s">
        <v>261</v>
      </c>
      <c r="C2779" s="389">
        <v>2.5</v>
      </c>
      <c r="D2779" s="389">
        <v>2.75</v>
      </c>
      <c r="E2779" s="384" t="s">
        <v>260</v>
      </c>
      <c r="F2779" s="389"/>
      <c r="G2779" s="389"/>
      <c r="T2779" s="384" t="str">
        <f>IFERROR(__xludf.DUMMYFUNCTION("""COMPUTED_VALUE"""),"Градиент")</f>
        <v>Градиент</v>
      </c>
      <c r="U2779" s="385"/>
      <c r="W2779" s="384" t="str">
        <f>IFERROR(__xludf.DUMMYFUNCTION("""COMPUTED_VALUE"""),"SOVEST")</f>
        <v>SOVEST</v>
      </c>
      <c r="X2779" s="385"/>
    </row>
    <row r="2780">
      <c r="A2780" s="384" t="s">
        <v>114</v>
      </c>
      <c r="B2780" s="384" t="s">
        <v>269</v>
      </c>
      <c r="C2780" s="389"/>
      <c r="D2780" s="389">
        <v>1.75</v>
      </c>
      <c r="E2780" s="384"/>
      <c r="F2780" s="389"/>
      <c r="G2780" s="389"/>
      <c r="T2780" s="384" t="str">
        <f>IFERROR(__xludf.DUMMYFUNCTION("""COMPUTED_VALUE"""),"Дровосек")</f>
        <v>Дровосек</v>
      </c>
      <c r="U2780" s="385"/>
      <c r="W2780" s="384" t="str">
        <f>IFERROR(__xludf.DUMMYFUNCTION("""COMPUTED_VALUE"""),"Stacy")</f>
        <v>Stacy</v>
      </c>
      <c r="X2780" s="385"/>
    </row>
    <row r="2781">
      <c r="A2781" s="384" t="s">
        <v>90</v>
      </c>
      <c r="B2781" s="384" t="s">
        <v>261</v>
      </c>
      <c r="C2781" s="389">
        <v>2.5</v>
      </c>
      <c r="D2781" s="389">
        <v>4.0</v>
      </c>
      <c r="E2781" s="384"/>
      <c r="F2781" s="389"/>
      <c r="G2781" s="389"/>
      <c r="T2781" s="384" t="str">
        <f>IFERROR(__xludf.DUMMYFUNCTION("""COMPUTED_VALUE"""),"Зверюга")</f>
        <v>Зверюга</v>
      </c>
      <c r="U2781" s="385"/>
      <c r="W2781" s="384" t="str">
        <f>IFERROR(__xludf.DUMMYFUNCTION("""COMPUTED_VALUE"""),"WhoIsWho")</f>
        <v>WhoIsWho</v>
      </c>
      <c r="X2781" s="385"/>
    </row>
    <row r="2782">
      <c r="A2782" s="384" t="s">
        <v>121</v>
      </c>
      <c r="B2782" s="384" t="s">
        <v>261</v>
      </c>
      <c r="C2782" s="389">
        <v>2.5</v>
      </c>
      <c r="D2782" s="389">
        <v>3.75</v>
      </c>
      <c r="E2782" s="384" t="s">
        <v>11</v>
      </c>
      <c r="F2782" s="389">
        <v>0.5</v>
      </c>
      <c r="G2782" s="389">
        <v>1.0</v>
      </c>
      <c r="T2782" s="384" t="str">
        <f>IFERROR(__xludf.DUMMYFUNCTION("""COMPUTED_VALUE"""),"Инсомнич")</f>
        <v>Инсомнич</v>
      </c>
      <c r="U2782" s="385"/>
      <c r="W2782" s="384" t="str">
        <f>IFERROR(__xludf.DUMMYFUNCTION("""COMPUTED_VALUE"""),"Young")</f>
        <v>Young</v>
      </c>
      <c r="X2782" s="385"/>
    </row>
    <row r="2783">
      <c r="A2783" s="384" t="s">
        <v>122</v>
      </c>
      <c r="B2783" s="384" t="s">
        <v>261</v>
      </c>
      <c r="C2783" s="389"/>
      <c r="D2783" s="389">
        <v>1.75</v>
      </c>
      <c r="E2783" s="384"/>
      <c r="F2783" s="389"/>
      <c r="G2783" s="389"/>
      <c r="T2783" s="384" t="str">
        <f>IFERROR(__xludf.DUMMYFUNCTION("""COMPUTED_VALUE"""),"Крестный отец (BLR)")</f>
        <v>Крестный отец (BLR)</v>
      </c>
      <c r="U2783" s="385"/>
      <c r="W2783" s="384" t="str">
        <f>IFERROR(__xludf.DUMMYFUNCTION("""COMPUTED_VALUE"""),"Авраам")</f>
        <v>Авраам</v>
      </c>
      <c r="X2783" s="385"/>
    </row>
    <row r="2784">
      <c r="A2784" s="384" t="s">
        <v>133</v>
      </c>
      <c r="B2784" s="384" t="s">
        <v>261</v>
      </c>
      <c r="C2784" s="389"/>
      <c r="D2784" s="389">
        <v>1.75</v>
      </c>
      <c r="E2784" s="384"/>
      <c r="F2784" s="389"/>
      <c r="G2784" s="389"/>
      <c r="T2784" s="384" t="str">
        <f>IFERROR(__xludf.DUMMYFUNCTION("""COMPUTED_VALUE"""),"Крот")</f>
        <v>Крот</v>
      </c>
      <c r="U2784" s="385"/>
      <c r="W2784" s="384" t="str">
        <f>IFERROR(__xludf.DUMMYFUNCTION("""COMPUTED_VALUE"""),"Админ")</f>
        <v>Админ</v>
      </c>
      <c r="X2784" s="385"/>
    </row>
    <row r="2785">
      <c r="A2785" s="384" t="s">
        <v>83</v>
      </c>
      <c r="B2785" s="384" t="s">
        <v>265</v>
      </c>
      <c r="C2785" s="389">
        <v>2.5</v>
      </c>
      <c r="D2785" s="389">
        <v>4.5</v>
      </c>
      <c r="E2785" s="384"/>
      <c r="F2785" s="389"/>
      <c r="G2785" s="389"/>
      <c r="T2785" s="384" t="str">
        <f>IFERROR(__xludf.DUMMYFUNCTION("""COMPUTED_VALUE"""),"Левша")</f>
        <v>Левша</v>
      </c>
      <c r="U2785" s="385"/>
      <c r="W2785" s="384" t="str">
        <f>IFERROR(__xludf.DUMMYFUNCTION("""COMPUTED_VALUE"""),"Андерсен")</f>
        <v>Андерсен</v>
      </c>
      <c r="X2785" s="385"/>
    </row>
    <row r="2786">
      <c r="A2786" s="384" t="s">
        <v>129</v>
      </c>
      <c r="B2786" s="384" t="s">
        <v>261</v>
      </c>
      <c r="C2786" s="389"/>
      <c r="D2786" s="389">
        <v>3.5</v>
      </c>
      <c r="E2786" s="384"/>
      <c r="F2786" s="389"/>
      <c r="G2786" s="389"/>
      <c r="T2786" s="384" t="str">
        <f>IFERROR(__xludf.DUMMYFUNCTION("""COMPUTED_VALUE"""),"Лисичка")</f>
        <v>Лисичка</v>
      </c>
      <c r="U2786" s="385"/>
      <c r="W2786" s="384" t="str">
        <f>IFERROR(__xludf.DUMMYFUNCTION("""COMPUTED_VALUE"""),"Артик")</f>
        <v>Артик</v>
      </c>
      <c r="X2786" s="385"/>
    </row>
    <row r="2787">
      <c r="A2787" s="384" t="s">
        <v>115</v>
      </c>
      <c r="B2787" s="384" t="s">
        <v>261</v>
      </c>
      <c r="C2787" s="389"/>
      <c r="D2787" s="389">
        <v>2.25</v>
      </c>
      <c r="E2787" s="384"/>
      <c r="F2787" s="389"/>
      <c r="G2787" s="389"/>
      <c r="T2787" s="384" t="str">
        <f>IFERROR(__xludf.DUMMYFUNCTION("""COMPUTED_VALUE"""),"Маваши")</f>
        <v>Маваши</v>
      </c>
      <c r="U2787" s="385"/>
      <c r="W2787" s="384" t="str">
        <f>IFERROR(__xludf.DUMMYFUNCTION("""COMPUTED_VALUE"""),"Аш")</f>
        <v>Аш</v>
      </c>
      <c r="X2787" s="385"/>
    </row>
    <row r="2788">
      <c r="A2788" s="384" t="s">
        <v>112</v>
      </c>
      <c r="B2788" s="384" t="s">
        <v>269</v>
      </c>
      <c r="C2788" s="389">
        <v>2.5</v>
      </c>
      <c r="D2788" s="389">
        <v>4.0</v>
      </c>
      <c r="E2788" s="384"/>
      <c r="F2788" s="389"/>
      <c r="G2788" s="389"/>
      <c r="T2788" s="384" t="str">
        <f>IFERROR(__xludf.DUMMYFUNCTION("""COMPUTED_VALUE"""),"Манекен")</f>
        <v>Манекен</v>
      </c>
      <c r="U2788" s="385"/>
      <c r="W2788" s="384" t="str">
        <f>IFERROR(__xludf.DUMMYFUNCTION("""COMPUTED_VALUE"""),"Бамблби")</f>
        <v>Бамблби</v>
      </c>
      <c r="X2788" s="385"/>
    </row>
    <row r="2789">
      <c r="A2789" s="384" t="s">
        <v>124</v>
      </c>
      <c r="B2789" s="384" t="s">
        <v>261</v>
      </c>
      <c r="C2789" s="389"/>
      <c r="D2789" s="389">
        <v>2.0</v>
      </c>
      <c r="E2789" s="384"/>
      <c r="F2789" s="389"/>
      <c r="G2789" s="389"/>
      <c r="T2789" s="384" t="str">
        <f>IFERROR(__xludf.DUMMYFUNCTION("""COMPUTED_VALUE"""),"Марго")</f>
        <v>Марго</v>
      </c>
      <c r="U2789" s="385"/>
      <c r="W2789" s="384" t="str">
        <f>IFERROR(__xludf.DUMMYFUNCTION("""COMPUTED_VALUE"""),"Волга")</f>
        <v>Волга</v>
      </c>
      <c r="X2789" s="385"/>
    </row>
    <row r="2790">
      <c r="A2790" s="384" t="s">
        <v>114</v>
      </c>
      <c r="B2790" s="384" t="s">
        <v>269</v>
      </c>
      <c r="C2790" s="389">
        <v>2.5</v>
      </c>
      <c r="D2790" s="389">
        <v>3.5</v>
      </c>
      <c r="E2790" s="384"/>
      <c r="F2790" s="389"/>
      <c r="G2790" s="389"/>
      <c r="T2790" s="384" t="str">
        <f>IFERROR(__xludf.DUMMYFUNCTION("""COMPUTED_VALUE"""),"Наполеон")</f>
        <v>Наполеон</v>
      </c>
      <c r="U2790" s="385"/>
      <c r="W2790" s="384" t="str">
        <f>IFERROR(__xludf.DUMMYFUNCTION("""COMPUTED_VALUE"""),"Градиент")</f>
        <v>Градиент</v>
      </c>
      <c r="X2790" s="385"/>
    </row>
    <row r="2791">
      <c r="A2791" s="384" t="s">
        <v>90</v>
      </c>
      <c r="B2791" s="384" t="s">
        <v>261</v>
      </c>
      <c r="C2791" s="389"/>
      <c r="D2791" s="389">
        <v>3.5</v>
      </c>
      <c r="E2791" s="384" t="s">
        <v>11</v>
      </c>
      <c r="F2791" s="389">
        <v>0.5</v>
      </c>
      <c r="G2791" s="389">
        <v>1.0</v>
      </c>
      <c r="T2791" s="384" t="str">
        <f>IFERROR(__xludf.DUMMYFUNCTION("""COMPUTED_VALUE"""),"Панда из Руанды")</f>
        <v>Панда из Руанды</v>
      </c>
      <c r="U2791" s="385"/>
      <c r="W2791" s="384" t="str">
        <f>IFERROR(__xludf.DUMMYFUNCTION("""COMPUTED_VALUE"""),"Дровосек")</f>
        <v>Дровосек</v>
      </c>
      <c r="X2791" s="385"/>
    </row>
    <row r="2792">
      <c r="A2792" s="384" t="s">
        <v>121</v>
      </c>
      <c r="B2792" s="384" t="s">
        <v>271</v>
      </c>
      <c r="C2792" s="389"/>
      <c r="D2792" s="389">
        <v>4.25</v>
      </c>
      <c r="E2792" s="384"/>
      <c r="F2792" s="389"/>
      <c r="G2792" s="389"/>
      <c r="T2792" s="384" t="str">
        <f>IFERROR(__xludf.DUMMYFUNCTION("""COMPUTED_VALUE"""),"Писатель ")</f>
        <v>Писатель </v>
      </c>
      <c r="U2792" s="385"/>
      <c r="W2792" s="384" t="str">
        <f>IFERROR(__xludf.DUMMYFUNCTION("""COMPUTED_VALUE"""),"Зверюга")</f>
        <v>Зверюга</v>
      </c>
      <c r="X2792" s="385"/>
    </row>
    <row r="2793">
      <c r="A2793" s="384" t="s">
        <v>122</v>
      </c>
      <c r="B2793" s="384" t="s">
        <v>261</v>
      </c>
      <c r="C2793" s="389"/>
      <c r="D2793" s="389">
        <v>2.0</v>
      </c>
      <c r="E2793" s="384"/>
      <c r="F2793" s="389"/>
      <c r="G2793" s="389"/>
      <c r="T2793" s="384" t="str">
        <f>IFERROR(__xludf.DUMMYFUNCTION("""COMPUTED_VALUE"""),"Правда ")</f>
        <v>Правда </v>
      </c>
      <c r="U2793" s="385"/>
      <c r="W2793" s="384" t="str">
        <f>IFERROR(__xludf.DUMMYFUNCTION("""COMPUTED_VALUE"""),"Инсомнич")</f>
        <v>Инсомнич</v>
      </c>
      <c r="X2793" s="385"/>
    </row>
    <row r="2794">
      <c r="A2794" s="384" t="s">
        <v>133</v>
      </c>
      <c r="B2794" s="384" t="s">
        <v>269</v>
      </c>
      <c r="C2794" s="389">
        <v>2.5</v>
      </c>
      <c r="D2794" s="389">
        <v>2.0</v>
      </c>
      <c r="E2794" s="384"/>
      <c r="F2794" s="389"/>
      <c r="G2794" s="389"/>
      <c r="T2794" s="384" t="str">
        <f>IFERROR(__xludf.DUMMYFUNCTION("""COMPUTED_VALUE"""),"Продюсер")</f>
        <v>Продюсер</v>
      </c>
      <c r="U2794" s="385"/>
      <c r="W2794" s="384" t="str">
        <f>IFERROR(__xludf.DUMMYFUNCTION("""COMPUTED_VALUE"""),"Крестный отец (BLR)")</f>
        <v>Крестный отец (BLR)</v>
      </c>
      <c r="X2794" s="385"/>
    </row>
    <row r="2795">
      <c r="A2795" s="384" t="s">
        <v>83</v>
      </c>
      <c r="B2795" s="384" t="s">
        <v>261</v>
      </c>
      <c r="C2795" s="389"/>
      <c r="D2795" s="389">
        <v>2.0</v>
      </c>
      <c r="E2795" s="384"/>
      <c r="F2795" s="389"/>
      <c r="G2795" s="389"/>
      <c r="T2795" s="384" t="str">
        <f>IFERROR(__xludf.DUMMYFUNCTION("""COMPUTED_VALUE"""),"РФ")</f>
        <v>РФ</v>
      </c>
      <c r="U2795" s="385"/>
      <c r="W2795" s="384" t="str">
        <f>IFERROR(__xludf.DUMMYFUNCTION("""COMPUTED_VALUE"""),"Крот")</f>
        <v>Крот</v>
      </c>
      <c r="X2795" s="385"/>
    </row>
    <row r="2796">
      <c r="A2796" s="384" t="s">
        <v>129</v>
      </c>
      <c r="B2796" s="384" t="s">
        <v>265</v>
      </c>
      <c r="C2796" s="389">
        <v>2.5</v>
      </c>
      <c r="D2796" s="389">
        <v>4.25</v>
      </c>
      <c r="E2796" s="384"/>
      <c r="F2796" s="389"/>
      <c r="G2796" s="389"/>
      <c r="T2796" s="384" t="str">
        <f>IFERROR(__xludf.DUMMYFUNCTION("""COMPUTED_VALUE"""),"СЭНСЭЙ")</f>
        <v>СЭНСЭЙ</v>
      </c>
      <c r="U2796" s="385"/>
      <c r="W2796" s="384" t="str">
        <f>IFERROR(__xludf.DUMMYFUNCTION("""COMPUTED_VALUE"""),"Левша")</f>
        <v>Левша</v>
      </c>
      <c r="X2796" s="385"/>
    </row>
    <row r="2797">
      <c r="A2797" s="384" t="s">
        <v>115</v>
      </c>
      <c r="B2797" s="384" t="s">
        <v>261</v>
      </c>
      <c r="C2797" s="389"/>
      <c r="D2797" s="389">
        <v>1.25</v>
      </c>
      <c r="E2797" s="384"/>
      <c r="F2797" s="389"/>
      <c r="G2797" s="389"/>
      <c r="T2797" s="384" t="str">
        <f>IFERROR(__xludf.DUMMYFUNCTION("""COMPUTED_VALUE"""),"Coach")</f>
        <v>Coach</v>
      </c>
      <c r="U2797" s="385"/>
      <c r="W2797" s="384" t="str">
        <f>IFERROR(__xludf.DUMMYFUNCTION("""COMPUTED_VALUE"""),"Лисичка")</f>
        <v>Лисичка</v>
      </c>
      <c r="X2797" s="385"/>
    </row>
    <row r="2798">
      <c r="A2798" s="384" t="s">
        <v>112</v>
      </c>
      <c r="B2798" s="384" t="s">
        <v>269</v>
      </c>
      <c r="C2798" s="389">
        <v>2.5</v>
      </c>
      <c r="D2798" s="389">
        <v>2.0</v>
      </c>
      <c r="E2798" s="384"/>
      <c r="F2798" s="389"/>
      <c r="G2798" s="389"/>
      <c r="T2798" s="384" t="str">
        <f>IFERROR(__xludf.DUMMYFUNCTION("""COMPUTED_VALUE"""),"Тихий закат")</f>
        <v>Тихий закат</v>
      </c>
      <c r="U2798" s="385"/>
      <c r="W2798" s="384" t="str">
        <f>IFERROR(__xludf.DUMMYFUNCTION("""COMPUTED_VALUE"""),"Маваши")</f>
        <v>Маваши</v>
      </c>
      <c r="X2798" s="385"/>
    </row>
    <row r="2799">
      <c r="A2799" s="384" t="s">
        <v>124</v>
      </c>
      <c r="B2799" s="384" t="s">
        <v>271</v>
      </c>
      <c r="C2799" s="389"/>
      <c r="D2799" s="389">
        <v>2.5</v>
      </c>
      <c r="E2799" s="384"/>
      <c r="F2799" s="389"/>
      <c r="G2799" s="389"/>
      <c r="T2799" s="384" t="str">
        <f>IFERROR(__xludf.DUMMYFUNCTION("""COMPUTED_VALUE"""),"Флэш")</f>
        <v>Флэш</v>
      </c>
      <c r="U2799" s="385"/>
      <c r="W2799" s="384" t="str">
        <f>IFERROR(__xludf.DUMMYFUNCTION("""COMPUTED_VALUE"""),"Манекен")</f>
        <v>Манекен</v>
      </c>
      <c r="X2799" s="385"/>
    </row>
    <row r="2800">
      <c r="A2800" s="384" t="s">
        <v>114</v>
      </c>
      <c r="B2800" s="384" t="s">
        <v>261</v>
      </c>
      <c r="C2800" s="389"/>
      <c r="D2800" s="389">
        <v>2.5</v>
      </c>
      <c r="E2800" s="384" t="s">
        <v>11</v>
      </c>
      <c r="F2800" s="389"/>
      <c r="G2800" s="389">
        <v>0.5</v>
      </c>
      <c r="T2800" s="384" t="str">
        <f>IFERROR(__xludf.DUMMYFUNCTION("""COMPUTED_VALUE"""),"Фокс")</f>
        <v>Фокс</v>
      </c>
      <c r="U2800" s="385"/>
      <c r="W2800" s="384" t="str">
        <f>IFERROR(__xludf.DUMMYFUNCTION("""COMPUTED_VALUE"""),"Марго")</f>
        <v>Марго</v>
      </c>
      <c r="X2800" s="385"/>
    </row>
    <row r="2801">
      <c r="A2801" s="384" t="s">
        <v>90</v>
      </c>
      <c r="B2801" s="384" t="s">
        <v>261</v>
      </c>
      <c r="C2801" s="389"/>
      <c r="D2801" s="389">
        <v>1.75</v>
      </c>
      <c r="E2801" s="384"/>
      <c r="F2801" s="389"/>
      <c r="G2801" s="389"/>
      <c r="T2801" s="384" t="str">
        <f>IFERROR(__xludf.DUMMYFUNCTION("""COMPUTED_VALUE"""),"Шоу Бой")</f>
        <v>Шоу Бой</v>
      </c>
      <c r="U2801" s="385"/>
      <c r="W2801" s="384" t="str">
        <f>IFERROR(__xludf.DUMMYFUNCTION("""COMPUTED_VALUE"""),"Наполеон")</f>
        <v>Наполеон</v>
      </c>
      <c r="X2801" s="385"/>
    </row>
    <row r="2802">
      <c r="A2802" s="384" t="s">
        <v>121</v>
      </c>
      <c r="B2802" s="384" t="s">
        <v>261</v>
      </c>
      <c r="C2802" s="389"/>
      <c r="D2802" s="389">
        <v>1.25</v>
      </c>
      <c r="E2802" s="384"/>
      <c r="F2802" s="389"/>
      <c r="G2802" s="389"/>
      <c r="T2802" s="384" t="str">
        <f>IFERROR(__xludf.DUMMYFUNCTION("""COMPUTED_VALUE"""),"Шпиц")</f>
        <v>Шпиц</v>
      </c>
      <c r="U2802" s="385"/>
      <c r="W2802" s="384" t="str">
        <f>IFERROR(__xludf.DUMMYFUNCTION("""COMPUTED_VALUE"""),"Панда из Руанды")</f>
        <v>Панда из Руанды</v>
      </c>
      <c r="X2802" s="385"/>
    </row>
    <row r="2803">
      <c r="A2803" s="384" t="s">
        <v>85</v>
      </c>
      <c r="B2803" s="384" t="s">
        <v>271</v>
      </c>
      <c r="C2803" s="389"/>
      <c r="D2803" s="389">
        <v>2.5</v>
      </c>
      <c r="E2803" s="384" t="s">
        <v>11</v>
      </c>
      <c r="F2803" s="389">
        <v>0.5</v>
      </c>
      <c r="G2803" s="389">
        <v>0.5</v>
      </c>
      <c r="T2803" s="384" t="str">
        <f>IFERROR(__xludf.DUMMYFUNCTION("""COMPUTED_VALUE"""),"Юрия")</f>
        <v>Юрия</v>
      </c>
      <c r="U2803" s="385"/>
      <c r="W2803" s="384" t="str">
        <f>IFERROR(__xludf.DUMMYFUNCTION("""COMPUTED_VALUE"""),"Писатель ")</f>
        <v>Писатель </v>
      </c>
      <c r="X2803" s="385"/>
    </row>
    <row r="2804">
      <c r="A2804" s="384" t="s">
        <v>99</v>
      </c>
      <c r="B2804" s="384" t="s">
        <v>269</v>
      </c>
      <c r="C2804" s="389">
        <v>2.5</v>
      </c>
      <c r="D2804" s="389">
        <v>2.5</v>
      </c>
      <c r="E2804" s="384"/>
      <c r="F2804" s="389"/>
      <c r="G2804" s="389"/>
      <c r="T2804" s="384" t="str">
        <f>IFERROR(__xludf.DUMMYFUNCTION("""COMPUTED_VALUE"""),"A1 ")</f>
        <v>A1 </v>
      </c>
      <c r="U2804" s="385"/>
      <c r="W2804" s="384" t="str">
        <f>IFERROR(__xludf.DUMMYFUNCTION("""COMPUTED_VALUE"""),"Правда ")</f>
        <v>Правда </v>
      </c>
      <c r="X2804" s="385"/>
    </row>
    <row r="2805">
      <c r="A2805" s="384" t="s">
        <v>92</v>
      </c>
      <c r="B2805" s="384" t="s">
        <v>261</v>
      </c>
      <c r="C2805" s="389"/>
      <c r="D2805" s="389">
        <v>3.0</v>
      </c>
      <c r="E2805" s="384"/>
      <c r="F2805" s="389"/>
      <c r="G2805" s="389"/>
      <c r="T2805" s="384" t="str">
        <f>IFERROR(__xludf.DUMMYFUNCTION("""COMPUTED_VALUE"""),"Alice ")</f>
        <v>Alice </v>
      </c>
      <c r="U2805" s="385"/>
      <c r="W2805" s="384" t="str">
        <f>IFERROR(__xludf.DUMMYFUNCTION("""COMPUTED_VALUE"""),"Продюсер")</f>
        <v>Продюсер</v>
      </c>
      <c r="X2805" s="385"/>
    </row>
    <row r="2806">
      <c r="A2806" s="384" t="s">
        <v>95</v>
      </c>
      <c r="B2806" s="384" t="s">
        <v>261</v>
      </c>
      <c r="C2806" s="389"/>
      <c r="D2806" s="389">
        <v>1.75</v>
      </c>
      <c r="E2806" s="384"/>
      <c r="F2806" s="389"/>
      <c r="G2806" s="389"/>
      <c r="T2806" s="384" t="str">
        <f>IFERROR(__xludf.DUMMYFUNCTION("""COMPUTED_VALUE"""),"Bublik")</f>
        <v>Bublik</v>
      </c>
      <c r="U2806" s="385"/>
      <c r="W2806" s="384" t="str">
        <f>IFERROR(__xludf.DUMMYFUNCTION("""COMPUTED_VALUE"""),"РФ")</f>
        <v>РФ</v>
      </c>
      <c r="X2806" s="385"/>
    </row>
    <row r="2807">
      <c r="A2807" s="384" t="s">
        <v>130</v>
      </c>
      <c r="B2807" s="384" t="s">
        <v>261</v>
      </c>
      <c r="C2807" s="389"/>
      <c r="D2807" s="389">
        <v>4.0</v>
      </c>
      <c r="E2807" s="384"/>
      <c r="F2807" s="389"/>
      <c r="G2807" s="389"/>
      <c r="T2807" s="384" t="str">
        <f>IFERROR(__xludf.DUMMYFUNCTION("""COMPUTED_VALUE"""),"BWDMoscow")</f>
        <v>BWDMoscow</v>
      </c>
      <c r="U2807" s="385"/>
      <c r="W2807" s="384" t="str">
        <f>IFERROR(__xludf.DUMMYFUNCTION("""COMPUTED_VALUE"""),"СЭНСЭЙ")</f>
        <v>СЭНСЭЙ</v>
      </c>
      <c r="X2807" s="385"/>
    </row>
    <row r="2808">
      <c r="A2808" s="384" t="s">
        <v>129</v>
      </c>
      <c r="B2808" s="384" t="s">
        <v>261</v>
      </c>
      <c r="C2808" s="389"/>
      <c r="D2808" s="389">
        <v>3.5</v>
      </c>
      <c r="E2808" s="384"/>
      <c r="F2808" s="389"/>
      <c r="G2808" s="389"/>
      <c r="T2808" s="384" t="str">
        <f>IFERROR(__xludf.DUMMYFUNCTION("""COMPUTED_VALUE"""),"Castor Troy ")</f>
        <v>Castor Troy </v>
      </c>
      <c r="U2808" s="385"/>
      <c r="W2808" s="384" t="str">
        <f>IFERROR(__xludf.DUMMYFUNCTION("""COMPUTED_VALUE"""),"Coach")</f>
        <v>Coach</v>
      </c>
      <c r="X2808" s="385"/>
    </row>
    <row r="2809">
      <c r="A2809" s="384" t="s">
        <v>86</v>
      </c>
      <c r="B2809" s="384" t="s">
        <v>261</v>
      </c>
      <c r="C2809" s="389"/>
      <c r="D2809" s="389">
        <v>2.25</v>
      </c>
      <c r="E2809" s="384"/>
      <c r="F2809" s="389"/>
      <c r="G2809" s="389"/>
      <c r="T2809" s="384" t="str">
        <f>IFERROR(__xludf.DUMMYFUNCTION("""COMPUTED_VALUE"""),"Curly")</f>
        <v>Curly</v>
      </c>
      <c r="U2809" s="385"/>
      <c r="W2809" s="384" t="str">
        <f>IFERROR(__xludf.DUMMYFUNCTION("""COMPUTED_VALUE"""),"Тихий закат")</f>
        <v>Тихий закат</v>
      </c>
      <c r="X2809" s="385"/>
    </row>
    <row r="2810">
      <c r="A2810" s="384" t="s">
        <v>127</v>
      </c>
      <c r="B2810" s="384" t="s">
        <v>261</v>
      </c>
      <c r="C2810" s="389"/>
      <c r="D2810" s="389">
        <v>3.75</v>
      </c>
      <c r="E2810" s="384"/>
      <c r="F2810" s="389"/>
      <c r="G2810" s="389"/>
      <c r="T2810" s="384" t="str">
        <f>IFERROR(__xludf.DUMMYFUNCTION("""COMPUTED_VALUE"""),"GALAY")</f>
        <v>GALAY</v>
      </c>
      <c r="U2810" s="385"/>
      <c r="W2810" s="384" t="str">
        <f>IFERROR(__xludf.DUMMYFUNCTION("""COMPUTED_VALUE"""),"Флэш")</f>
        <v>Флэш</v>
      </c>
      <c r="X2810" s="385"/>
    </row>
    <row r="2811">
      <c r="A2811" s="384" t="s">
        <v>114</v>
      </c>
      <c r="B2811" s="384" t="s">
        <v>265</v>
      </c>
      <c r="C2811" s="389">
        <v>2.5</v>
      </c>
      <c r="D2811" s="389">
        <v>4.25</v>
      </c>
      <c r="E2811" s="384"/>
      <c r="F2811" s="389"/>
      <c r="G2811" s="389"/>
      <c r="T2811" s="384" t="str">
        <f>IFERROR(__xludf.DUMMYFUNCTION("""COMPUTED_VALUE"""),"Helga")</f>
        <v>Helga</v>
      </c>
      <c r="U2811" s="385"/>
      <c r="W2811" s="384" t="str">
        <f>IFERROR(__xludf.DUMMYFUNCTION("""COMPUTED_VALUE"""),"Фокс")</f>
        <v>Фокс</v>
      </c>
      <c r="X2811" s="385"/>
    </row>
    <row r="2812">
      <c r="A2812" s="384" t="s">
        <v>116</v>
      </c>
      <c r="B2812" s="384" t="s">
        <v>269</v>
      </c>
      <c r="C2812" s="389">
        <v>2.5</v>
      </c>
      <c r="D2812" s="389">
        <v>3.5</v>
      </c>
      <c r="E2812" s="384"/>
      <c r="F2812" s="389"/>
      <c r="G2812" s="389"/>
      <c r="T2812" s="384" t="str">
        <f>IFERROR(__xludf.DUMMYFUNCTION("""COMPUTED_VALUE"""),"Infinity ")</f>
        <v>Infinity </v>
      </c>
      <c r="U2812" s="385"/>
      <c r="W2812" s="384" t="str">
        <f>IFERROR(__xludf.DUMMYFUNCTION("""COMPUTED_VALUE"""),"Шоу Бой")</f>
        <v>Шоу Бой</v>
      </c>
      <c r="X2812" s="385"/>
    </row>
    <row r="2813">
      <c r="A2813" s="384" t="s">
        <v>85</v>
      </c>
      <c r="B2813" s="384" t="s">
        <v>261</v>
      </c>
      <c r="C2813" s="389">
        <v>2.5</v>
      </c>
      <c r="D2813" s="389">
        <v>1.5</v>
      </c>
      <c r="E2813" s="384"/>
      <c r="F2813" s="389"/>
      <c r="G2813" s="389"/>
      <c r="T2813" s="384" t="str">
        <f>IFERROR(__xludf.DUMMYFUNCTION("""COMPUTED_VALUE"""),"Ketamin")</f>
        <v>Ketamin</v>
      </c>
      <c r="U2813" s="385"/>
      <c r="W2813" s="384" t="str">
        <f>IFERROR(__xludf.DUMMYFUNCTION("""COMPUTED_VALUE"""),"Шпиц")</f>
        <v>Шпиц</v>
      </c>
      <c r="X2813" s="385"/>
    </row>
    <row r="2814">
      <c r="A2814" s="384" t="s">
        <v>99</v>
      </c>
      <c r="B2814" s="384" t="s">
        <v>271</v>
      </c>
      <c r="C2814" s="389">
        <v>2.5</v>
      </c>
      <c r="D2814" s="389">
        <v>2.25</v>
      </c>
      <c r="E2814" s="384" t="s">
        <v>260</v>
      </c>
      <c r="F2814" s="389"/>
      <c r="G2814" s="389"/>
      <c r="T2814" s="384" t="str">
        <f>IFERROR(__xludf.DUMMYFUNCTION("""COMPUTED_VALUE"""),"Light")</f>
        <v>Light</v>
      </c>
      <c r="U2814" s="385"/>
      <c r="W2814" s="384" t="str">
        <f>IFERROR(__xludf.DUMMYFUNCTION("""COMPUTED_VALUE"""),"Юрия")</f>
        <v>Юрия</v>
      </c>
      <c r="X2814" s="385"/>
    </row>
    <row r="2815">
      <c r="A2815" s="384" t="s">
        <v>92</v>
      </c>
      <c r="B2815" s="384" t="s">
        <v>261</v>
      </c>
      <c r="C2815" s="389">
        <v>2.5</v>
      </c>
      <c r="D2815" s="389">
        <v>3.25</v>
      </c>
      <c r="E2815" s="384"/>
      <c r="F2815" s="389"/>
      <c r="G2815" s="389"/>
      <c r="T2815" s="384" t="str">
        <f>IFERROR(__xludf.DUMMYFUNCTION("""COMPUTED_VALUE"""),"MSR")</f>
        <v>MSR</v>
      </c>
      <c r="U2815" s="385"/>
      <c r="W2815" s="384" t="str">
        <f>IFERROR(__xludf.DUMMYFUNCTION("""COMPUTED_VALUE"""),"A1 ")</f>
        <v>A1 </v>
      </c>
      <c r="X2815" s="385"/>
    </row>
    <row r="2816">
      <c r="A2816" s="384" t="s">
        <v>95</v>
      </c>
      <c r="B2816" s="384" t="s">
        <v>261</v>
      </c>
      <c r="C2816" s="389">
        <v>2.5</v>
      </c>
      <c r="D2816" s="389">
        <v>2.75</v>
      </c>
      <c r="E2816" s="384"/>
      <c r="F2816" s="389"/>
      <c r="G2816" s="389"/>
      <c r="T2816" s="384" t="str">
        <f>IFERROR(__xludf.DUMMYFUNCTION("""COMPUTED_VALUE"""),"NLIP")</f>
        <v>NLIP</v>
      </c>
      <c r="U2816" s="385"/>
      <c r="W2816" s="384" t="str">
        <f>IFERROR(__xludf.DUMMYFUNCTION("""COMPUTED_VALUE"""),"Alice ")</f>
        <v>Alice </v>
      </c>
      <c r="X2816" s="385"/>
    </row>
    <row r="2817">
      <c r="A2817" s="384" t="s">
        <v>130</v>
      </c>
      <c r="B2817" s="384" t="s">
        <v>269</v>
      </c>
      <c r="C2817" s="389"/>
      <c r="D2817" s="389">
        <v>2.5</v>
      </c>
      <c r="E2817" s="384"/>
      <c r="F2817" s="389"/>
      <c r="G2817" s="389"/>
      <c r="T2817" s="384" t="str">
        <f>IFERROR(__xludf.DUMMYFUNCTION("""COMPUTED_VALUE"""),"Rocket woman ")</f>
        <v>Rocket woman </v>
      </c>
      <c r="U2817" s="385"/>
      <c r="W2817" s="384" t="str">
        <f>IFERROR(__xludf.DUMMYFUNCTION("""COMPUTED_VALUE"""),"Bublik")</f>
        <v>Bublik</v>
      </c>
      <c r="X2817" s="385"/>
    </row>
    <row r="2818">
      <c r="A2818" s="384" t="s">
        <v>129</v>
      </c>
      <c r="B2818" s="384" t="s">
        <v>265</v>
      </c>
      <c r="C2818" s="389"/>
      <c r="D2818" s="389">
        <v>2.75</v>
      </c>
      <c r="E2818" s="384" t="s">
        <v>263</v>
      </c>
      <c r="F2818" s="389"/>
      <c r="G2818" s="389"/>
      <c r="T2818" s="384" t="str">
        <f>IFERROR(__xludf.DUMMYFUNCTION("""COMPUTED_VALUE"""),"SOVEST")</f>
        <v>SOVEST</v>
      </c>
      <c r="U2818" s="385"/>
      <c r="W2818" s="384" t="str">
        <f>IFERROR(__xludf.DUMMYFUNCTION("""COMPUTED_VALUE"""),"BWDMoscow")</f>
        <v>BWDMoscow</v>
      </c>
      <c r="X2818" s="385"/>
    </row>
    <row r="2819">
      <c r="A2819" s="384" t="s">
        <v>86</v>
      </c>
      <c r="B2819" s="384" t="s">
        <v>261</v>
      </c>
      <c r="C2819" s="389">
        <v>2.5</v>
      </c>
      <c r="D2819" s="389">
        <v>3.5</v>
      </c>
      <c r="E2819" s="384" t="s">
        <v>260</v>
      </c>
      <c r="F2819" s="389"/>
      <c r="G2819" s="389"/>
      <c r="T2819" s="384" t="str">
        <f>IFERROR(__xludf.DUMMYFUNCTION("""COMPUTED_VALUE"""),"Stacy")</f>
        <v>Stacy</v>
      </c>
      <c r="U2819" s="385"/>
      <c r="W2819" s="384" t="str">
        <f>IFERROR(__xludf.DUMMYFUNCTION("""COMPUTED_VALUE"""),"Castor Troy ")</f>
        <v>Castor Troy </v>
      </c>
      <c r="X2819" s="385"/>
    </row>
    <row r="2820">
      <c r="A2820" s="384" t="s">
        <v>127</v>
      </c>
      <c r="B2820" s="384" t="s">
        <v>269</v>
      </c>
      <c r="C2820" s="389"/>
      <c r="D2820" s="389">
        <v>2.75</v>
      </c>
      <c r="E2820" s="384"/>
      <c r="F2820" s="389"/>
      <c r="G2820" s="389"/>
      <c r="T2820" s="384" t="str">
        <f>IFERROR(__xludf.DUMMYFUNCTION("""COMPUTED_VALUE"""),"WhoIsWho")</f>
        <v>WhoIsWho</v>
      </c>
      <c r="U2820" s="385"/>
      <c r="W2820" s="384" t="str">
        <f>IFERROR(__xludf.DUMMYFUNCTION("""COMPUTED_VALUE"""),"Curly")</f>
        <v>Curly</v>
      </c>
      <c r="X2820" s="385"/>
    </row>
    <row r="2821">
      <c r="A2821" s="384" t="s">
        <v>114</v>
      </c>
      <c r="B2821" s="384" t="s">
        <v>261</v>
      </c>
      <c r="C2821" s="389">
        <v>2.5</v>
      </c>
      <c r="D2821" s="389">
        <v>2.0</v>
      </c>
      <c r="E2821" s="384" t="s">
        <v>11</v>
      </c>
      <c r="F2821" s="389"/>
      <c r="G2821" s="389">
        <v>0.5</v>
      </c>
      <c r="T2821" s="384" t="str">
        <f>IFERROR(__xludf.DUMMYFUNCTION("""COMPUTED_VALUE"""),"Young")</f>
        <v>Young</v>
      </c>
      <c r="U2821" s="385"/>
      <c r="W2821" s="384" t="str">
        <f>IFERROR(__xludf.DUMMYFUNCTION("""COMPUTED_VALUE"""),"GALAY")</f>
        <v>GALAY</v>
      </c>
      <c r="X2821" s="385"/>
    </row>
    <row r="2822">
      <c r="A2822" s="384" t="s">
        <v>116</v>
      </c>
      <c r="B2822" s="384" t="s">
        <v>261</v>
      </c>
      <c r="C2822" s="389">
        <v>2.5</v>
      </c>
      <c r="D2822" s="389">
        <v>3.0</v>
      </c>
      <c r="E2822" s="384"/>
      <c r="F2822" s="389"/>
      <c r="G2822" s="389"/>
      <c r="T2822" s="384" t="str">
        <f>IFERROR(__xludf.DUMMYFUNCTION("QUERY('Турнирная таблица по Алфавиту'!C7:BZ66,""select C,BO order by BO desc"")"),"Ментик")</f>
        <v>Ментик</v>
      </c>
      <c r="U2822" s="385">
        <f>IFERROR(__xludf.DUMMYFUNCTION("""COMPUTED_VALUE"""),28.0)</f>
        <v>28</v>
      </c>
      <c r="W2822" s="384" t="str">
        <f>IFERROR(__xludf.DUMMYFUNCTION("""COMPUTED_VALUE"""),"Helga")</f>
        <v>Helga</v>
      </c>
      <c r="X2822" s="385"/>
    </row>
    <row r="2823">
      <c r="A2823" s="384" t="s">
        <v>85</v>
      </c>
      <c r="B2823" s="384" t="s">
        <v>261</v>
      </c>
      <c r="C2823" s="389"/>
      <c r="D2823" s="389">
        <v>2.0</v>
      </c>
      <c r="E2823" s="384"/>
      <c r="F2823" s="389"/>
      <c r="G2823" s="389"/>
      <c r="T2823" s="384" t="str">
        <f>IFERROR(__xludf.DUMMYFUNCTION("""COMPUTED_VALUE"""),"Coach")</f>
        <v>Coach</v>
      </c>
      <c r="U2823" s="385">
        <f>IFERROR(__xludf.DUMMYFUNCTION("""COMPUTED_VALUE"""),25.25)</f>
        <v>25.25</v>
      </c>
      <c r="W2823" s="384" t="str">
        <f>IFERROR(__xludf.DUMMYFUNCTION("""COMPUTED_VALUE"""),"Infinity ")</f>
        <v>Infinity </v>
      </c>
      <c r="X2823" s="385"/>
    </row>
    <row r="2824">
      <c r="A2824" s="384" t="s">
        <v>99</v>
      </c>
      <c r="B2824" s="384" t="s">
        <v>271</v>
      </c>
      <c r="C2824" s="389"/>
      <c r="D2824" s="389">
        <v>2.5</v>
      </c>
      <c r="E2824" s="384"/>
      <c r="F2824" s="389"/>
      <c r="G2824" s="389"/>
      <c r="T2824" s="384" t="str">
        <f>IFERROR(__xludf.DUMMYFUNCTION("""COMPUTED_VALUE"""),"Крёстный Отец (RU)")</f>
        <v>Крёстный Отец (RU)</v>
      </c>
      <c r="U2824" s="385">
        <f>IFERROR(__xludf.DUMMYFUNCTION("""COMPUTED_VALUE"""),24.25)</f>
        <v>24.25</v>
      </c>
      <c r="W2824" s="384" t="str">
        <f>IFERROR(__xludf.DUMMYFUNCTION("""COMPUTED_VALUE"""),"Ketamin")</f>
        <v>Ketamin</v>
      </c>
      <c r="X2824" s="385"/>
    </row>
    <row r="2825">
      <c r="A2825" s="384" t="s">
        <v>92</v>
      </c>
      <c r="B2825" s="384" t="s">
        <v>269</v>
      </c>
      <c r="C2825" s="389">
        <v>2.5</v>
      </c>
      <c r="D2825" s="389">
        <v>4.25</v>
      </c>
      <c r="E2825" s="384" t="s">
        <v>260</v>
      </c>
      <c r="F2825" s="389"/>
      <c r="G2825" s="389"/>
      <c r="T2825" s="384" t="str">
        <f>IFERROR(__xludf.DUMMYFUNCTION("""COMPUTED_VALUE"""),"SOVEST")</f>
        <v>SOVEST</v>
      </c>
      <c r="U2825" s="385">
        <f>IFERROR(__xludf.DUMMYFUNCTION("""COMPUTED_VALUE"""),23.25)</f>
        <v>23.25</v>
      </c>
      <c r="W2825" s="384" t="str">
        <f>IFERROR(__xludf.DUMMYFUNCTION("""COMPUTED_VALUE"""),"Light")</f>
        <v>Light</v>
      </c>
      <c r="X2825" s="385"/>
    </row>
    <row r="2826">
      <c r="A2826" s="384" t="s">
        <v>95</v>
      </c>
      <c r="B2826" s="384" t="s">
        <v>261</v>
      </c>
      <c r="C2826" s="389"/>
      <c r="D2826" s="389">
        <v>3.25</v>
      </c>
      <c r="E2826" s="384"/>
      <c r="F2826" s="389"/>
      <c r="G2826" s="389"/>
      <c r="T2826" s="384" t="str">
        <f>IFERROR(__xludf.DUMMYFUNCTION("""COMPUTED_VALUE"""),"РФ")</f>
        <v>РФ</v>
      </c>
      <c r="U2826" s="385">
        <f>IFERROR(__xludf.DUMMYFUNCTION("""COMPUTED_VALUE"""),22.5)</f>
        <v>22.5</v>
      </c>
      <c r="W2826" s="384" t="str">
        <f>IFERROR(__xludf.DUMMYFUNCTION("""COMPUTED_VALUE"""),"MSR")</f>
        <v>MSR</v>
      </c>
      <c r="X2826" s="385"/>
    </row>
    <row r="2827">
      <c r="A2827" s="384" t="s">
        <v>130</v>
      </c>
      <c r="B2827" s="384" t="s">
        <v>265</v>
      </c>
      <c r="C2827" s="389">
        <v>2.5</v>
      </c>
      <c r="D2827" s="389">
        <v>2.5</v>
      </c>
      <c r="E2827" s="384"/>
      <c r="F2827" s="389"/>
      <c r="G2827" s="389"/>
      <c r="T2827" s="384" t="str">
        <f>IFERROR(__xludf.DUMMYFUNCTION("""COMPUTED_VALUE"""),"Маваши")</f>
        <v>Маваши</v>
      </c>
      <c r="U2827" s="385">
        <f>IFERROR(__xludf.DUMMYFUNCTION("""COMPUTED_VALUE"""),22.25)</f>
        <v>22.25</v>
      </c>
      <c r="W2827" s="384" t="str">
        <f>IFERROR(__xludf.DUMMYFUNCTION("""COMPUTED_VALUE"""),"NLIP")</f>
        <v>NLIP</v>
      </c>
      <c r="X2827" s="385"/>
    </row>
    <row r="2828">
      <c r="A2828" s="384" t="s">
        <v>129</v>
      </c>
      <c r="B2828" s="384" t="s">
        <v>261</v>
      </c>
      <c r="C2828" s="389"/>
      <c r="D2828" s="389">
        <v>4.0</v>
      </c>
      <c r="E2828" s="384" t="s">
        <v>263</v>
      </c>
      <c r="F2828" s="389"/>
      <c r="G2828" s="389"/>
      <c r="T2828" s="384" t="str">
        <f>IFERROR(__xludf.DUMMYFUNCTION("""COMPUTED_VALUE"""),"Манекен")</f>
        <v>Манекен</v>
      </c>
      <c r="U2828" s="385">
        <f>IFERROR(__xludf.DUMMYFUNCTION("""COMPUTED_VALUE"""),21.75)</f>
        <v>21.75</v>
      </c>
      <c r="W2828" s="384" t="str">
        <f>IFERROR(__xludf.DUMMYFUNCTION("""COMPUTED_VALUE"""),"Rocket woman ")</f>
        <v>Rocket woman </v>
      </c>
      <c r="X2828" s="385"/>
    </row>
    <row r="2829">
      <c r="A2829" s="384" t="s">
        <v>86</v>
      </c>
      <c r="B2829" s="384" t="s">
        <v>261</v>
      </c>
      <c r="C2829" s="389"/>
      <c r="D2829" s="389">
        <v>2.0</v>
      </c>
      <c r="E2829" s="384"/>
      <c r="F2829" s="389"/>
      <c r="G2829" s="389"/>
      <c r="T2829" s="384" t="str">
        <f>IFERROR(__xludf.DUMMYFUNCTION("""COMPUTED_VALUE"""),"Крот")</f>
        <v>Крот</v>
      </c>
      <c r="U2829" s="385">
        <f>IFERROR(__xludf.DUMMYFUNCTION("""COMPUTED_VALUE"""),20.25)</f>
        <v>20.25</v>
      </c>
      <c r="W2829" s="384" t="str">
        <f>IFERROR(__xludf.DUMMYFUNCTION("""COMPUTED_VALUE"""),"SOVEST")</f>
        <v>SOVEST</v>
      </c>
      <c r="X2829" s="385"/>
    </row>
    <row r="2830">
      <c r="A2830" s="384" t="s">
        <v>127</v>
      </c>
      <c r="B2830" s="384" t="s">
        <v>269</v>
      </c>
      <c r="C2830" s="389">
        <v>2.5</v>
      </c>
      <c r="D2830" s="389">
        <v>2.25</v>
      </c>
      <c r="E2830" s="384"/>
      <c r="F2830" s="389"/>
      <c r="G2830" s="389"/>
      <c r="T2830" s="384" t="str">
        <f>IFERROR(__xludf.DUMMYFUNCTION("""COMPUTED_VALUE"""),"Волга")</f>
        <v>Волга</v>
      </c>
      <c r="U2830" s="385">
        <f>IFERROR(__xludf.DUMMYFUNCTION("""COMPUTED_VALUE"""),19.75)</f>
        <v>19.75</v>
      </c>
      <c r="W2830" s="384" t="str">
        <f>IFERROR(__xludf.DUMMYFUNCTION("""COMPUTED_VALUE"""),"Stacy")</f>
        <v>Stacy</v>
      </c>
      <c r="X2830" s="385"/>
    </row>
    <row r="2831">
      <c r="A2831" s="384" t="s">
        <v>114</v>
      </c>
      <c r="B2831" s="384" t="s">
        <v>261</v>
      </c>
      <c r="C2831" s="389"/>
      <c r="D2831" s="389">
        <v>2.0</v>
      </c>
      <c r="E2831" s="384" t="s">
        <v>263</v>
      </c>
      <c r="F2831" s="389"/>
      <c r="G2831" s="389"/>
      <c r="T2831" s="384" t="str">
        <f>IFERROR(__xludf.DUMMYFUNCTION("""COMPUTED_VALUE"""),"Андерсен")</f>
        <v>Андерсен</v>
      </c>
      <c r="U2831" s="385">
        <f>IFERROR(__xludf.DUMMYFUNCTION("""COMPUTED_VALUE"""),13.25)</f>
        <v>13.25</v>
      </c>
      <c r="W2831" s="384" t="str">
        <f>IFERROR(__xludf.DUMMYFUNCTION("""COMPUTED_VALUE"""),"WhoIsWho")</f>
        <v>WhoIsWho</v>
      </c>
      <c r="X2831" s="385"/>
    </row>
    <row r="2832">
      <c r="A2832" s="384" t="s">
        <v>116</v>
      </c>
      <c r="B2832" s="384" t="s">
        <v>261</v>
      </c>
      <c r="C2832" s="389"/>
      <c r="D2832" s="389">
        <v>3.25</v>
      </c>
      <c r="E2832" s="384"/>
      <c r="F2832" s="389"/>
      <c r="G2832" s="389"/>
      <c r="T2832" s="384" t="str">
        <f>IFERROR(__xludf.DUMMYFUNCTION("""COMPUTED_VALUE"""),"Авраам")</f>
        <v>Авраам</v>
      </c>
      <c r="U2832" s="385"/>
      <c r="W2832" s="384" t="str">
        <f>IFERROR(__xludf.DUMMYFUNCTION("""COMPUTED_VALUE"""),"Young")</f>
        <v>Young</v>
      </c>
      <c r="X2832" s="385"/>
    </row>
    <row r="2833">
      <c r="A2833" s="384" t="s">
        <v>85</v>
      </c>
      <c r="B2833" s="384" t="s">
        <v>261</v>
      </c>
      <c r="C2833" s="389"/>
      <c r="D2833" s="389">
        <v>2.5</v>
      </c>
      <c r="E2833" s="384"/>
      <c r="F2833" s="389"/>
      <c r="G2833" s="389"/>
      <c r="T2833" s="384" t="str">
        <f>IFERROR(__xludf.DUMMYFUNCTION("""COMPUTED_VALUE"""),"Админ")</f>
        <v>Админ</v>
      </c>
      <c r="U2833" s="385"/>
      <c r="W2833" s="384" t="str">
        <f>IFERROR(__xludf.DUMMYFUNCTION("""COMPUTED_VALUE"""),"Авраам")</f>
        <v>Авраам</v>
      </c>
      <c r="X2833" s="385"/>
    </row>
    <row r="2834">
      <c r="A2834" s="384" t="s">
        <v>99</v>
      </c>
      <c r="B2834" s="384" t="s">
        <v>269</v>
      </c>
      <c r="C2834" s="389">
        <v>2.5</v>
      </c>
      <c r="D2834" s="389">
        <v>3.25</v>
      </c>
      <c r="E2834" s="384"/>
      <c r="F2834" s="389"/>
      <c r="G2834" s="389"/>
      <c r="T2834" s="384" t="str">
        <f>IFERROR(__xludf.DUMMYFUNCTION("""COMPUTED_VALUE"""),"Артик")</f>
        <v>Артик</v>
      </c>
      <c r="U2834" s="385"/>
      <c r="W2834" s="384" t="str">
        <f>IFERROR(__xludf.DUMMYFUNCTION("""COMPUTED_VALUE"""),"Админ")</f>
        <v>Админ</v>
      </c>
      <c r="X2834" s="385"/>
    </row>
    <row r="2835">
      <c r="A2835" s="384" t="s">
        <v>92</v>
      </c>
      <c r="B2835" s="384" t="s">
        <v>261</v>
      </c>
      <c r="C2835" s="389"/>
      <c r="D2835" s="389">
        <v>3.25</v>
      </c>
      <c r="E2835" s="384"/>
      <c r="F2835" s="389"/>
      <c r="G2835" s="389"/>
      <c r="T2835" s="384" t="str">
        <f>IFERROR(__xludf.DUMMYFUNCTION("""COMPUTED_VALUE"""),"Астория")</f>
        <v>Астория</v>
      </c>
      <c r="U2835" s="385"/>
      <c r="W2835" s="384" t="str">
        <f>IFERROR(__xludf.DUMMYFUNCTION("""COMPUTED_VALUE"""),"Артик")</f>
        <v>Артик</v>
      </c>
      <c r="X2835" s="385"/>
    </row>
    <row r="2836">
      <c r="A2836" s="384" t="s">
        <v>95</v>
      </c>
      <c r="B2836" s="384" t="s">
        <v>261</v>
      </c>
      <c r="C2836" s="389"/>
      <c r="D2836" s="389">
        <v>1.75</v>
      </c>
      <c r="E2836" s="384"/>
      <c r="F2836" s="389"/>
      <c r="G2836" s="389"/>
      <c r="T2836" s="384" t="str">
        <f>IFERROR(__xludf.DUMMYFUNCTION("""COMPUTED_VALUE"""),"Аш")</f>
        <v>Аш</v>
      </c>
      <c r="U2836" s="385"/>
      <c r="W2836" s="384" t="str">
        <f>IFERROR(__xludf.DUMMYFUNCTION("""COMPUTED_VALUE"""),"Астория")</f>
        <v>Астория</v>
      </c>
      <c r="X2836" s="385"/>
    </row>
    <row r="2837">
      <c r="A2837" s="384" t="s">
        <v>130</v>
      </c>
      <c r="B2837" s="384" t="s">
        <v>269</v>
      </c>
      <c r="C2837" s="389">
        <v>2.5</v>
      </c>
      <c r="D2837" s="389">
        <v>3.5</v>
      </c>
      <c r="E2837" s="384"/>
      <c r="F2837" s="389"/>
      <c r="G2837" s="389"/>
      <c r="T2837" s="384" t="str">
        <f>IFERROR(__xludf.DUMMYFUNCTION("""COMPUTED_VALUE"""),"Бамблби")</f>
        <v>Бамблби</v>
      </c>
      <c r="U2837" s="385"/>
      <c r="W2837" s="384" t="str">
        <f>IFERROR(__xludf.DUMMYFUNCTION("""COMPUTED_VALUE"""),"Аш")</f>
        <v>Аш</v>
      </c>
      <c r="X2837" s="385"/>
    </row>
    <row r="2838">
      <c r="A2838" s="384" t="s">
        <v>129</v>
      </c>
      <c r="B2838" s="384" t="s">
        <v>261</v>
      </c>
      <c r="C2838" s="389"/>
      <c r="D2838" s="389">
        <v>2.0</v>
      </c>
      <c r="E2838" s="384"/>
      <c r="F2838" s="389"/>
      <c r="G2838" s="389"/>
      <c r="T2838" s="384" t="str">
        <f>IFERROR(__xludf.DUMMYFUNCTION("""COMPUTED_VALUE"""),"Градиент")</f>
        <v>Градиент</v>
      </c>
      <c r="U2838" s="385"/>
      <c r="W2838" s="384" t="str">
        <f>IFERROR(__xludf.DUMMYFUNCTION("""COMPUTED_VALUE"""),"Бамблби")</f>
        <v>Бамблби</v>
      </c>
      <c r="X2838" s="385"/>
    </row>
    <row r="2839">
      <c r="A2839" s="384" t="s">
        <v>86</v>
      </c>
      <c r="B2839" s="384" t="s">
        <v>271</v>
      </c>
      <c r="C2839" s="389"/>
      <c r="D2839" s="389">
        <v>2.5</v>
      </c>
      <c r="E2839" s="384"/>
      <c r="F2839" s="389"/>
      <c r="G2839" s="389"/>
      <c r="T2839" s="384" t="str">
        <f>IFERROR(__xludf.DUMMYFUNCTION("""COMPUTED_VALUE"""),"Дровосек")</f>
        <v>Дровосек</v>
      </c>
      <c r="U2839" s="385"/>
      <c r="W2839" s="384" t="str">
        <f>IFERROR(__xludf.DUMMYFUNCTION("""COMPUTED_VALUE"""),"Градиент")</f>
        <v>Градиент</v>
      </c>
      <c r="X2839" s="385"/>
    </row>
    <row r="2840">
      <c r="A2840" s="384" t="s">
        <v>127</v>
      </c>
      <c r="B2840" s="384" t="s">
        <v>261</v>
      </c>
      <c r="C2840" s="389"/>
      <c r="D2840" s="389">
        <v>1.5</v>
      </c>
      <c r="E2840" s="384"/>
      <c r="F2840" s="389"/>
      <c r="G2840" s="389"/>
      <c r="T2840" s="384" t="str">
        <f>IFERROR(__xludf.DUMMYFUNCTION("""COMPUTED_VALUE"""),"Зверюга")</f>
        <v>Зверюга</v>
      </c>
      <c r="U2840" s="385"/>
      <c r="W2840" s="384" t="str">
        <f>IFERROR(__xludf.DUMMYFUNCTION("""COMPUTED_VALUE"""),"Дровосек")</f>
        <v>Дровосек</v>
      </c>
      <c r="X2840" s="385"/>
    </row>
    <row r="2841">
      <c r="A2841" s="384" t="s">
        <v>114</v>
      </c>
      <c r="B2841" s="384" t="s">
        <v>265</v>
      </c>
      <c r="C2841" s="389">
        <v>2.5</v>
      </c>
      <c r="D2841" s="389">
        <v>3.25</v>
      </c>
      <c r="E2841" s="384"/>
      <c r="F2841" s="389"/>
      <c r="G2841" s="389"/>
      <c r="T2841" s="384" t="str">
        <f>IFERROR(__xludf.DUMMYFUNCTION("""COMPUTED_VALUE"""),"Инсомнич")</f>
        <v>Инсомнич</v>
      </c>
      <c r="U2841" s="385"/>
      <c r="W2841" s="384" t="str">
        <f>IFERROR(__xludf.DUMMYFUNCTION("""COMPUTED_VALUE"""),"Зверюга")</f>
        <v>Зверюга</v>
      </c>
      <c r="X2841" s="385"/>
    </row>
    <row r="2842">
      <c r="A2842" s="384" t="s">
        <v>116</v>
      </c>
      <c r="B2842" s="384" t="s">
        <v>261</v>
      </c>
      <c r="C2842" s="389"/>
      <c r="D2842" s="389">
        <v>3.0</v>
      </c>
      <c r="E2842" s="384" t="s">
        <v>11</v>
      </c>
      <c r="F2842" s="389">
        <v>0.5</v>
      </c>
      <c r="G2842" s="389">
        <v>0.5</v>
      </c>
      <c r="T2842" s="384" t="str">
        <f>IFERROR(__xludf.DUMMYFUNCTION("""COMPUTED_VALUE"""),"Красавчик")</f>
        <v>Красавчик</v>
      </c>
      <c r="U2842" s="385"/>
      <c r="W2842" s="384" t="str">
        <f>IFERROR(__xludf.DUMMYFUNCTION("""COMPUTED_VALUE"""),"Инсомнич")</f>
        <v>Инсомнич</v>
      </c>
      <c r="X2842" s="385"/>
    </row>
    <row r="2843">
      <c r="A2843" s="384" t="s">
        <v>85</v>
      </c>
      <c r="B2843" s="384" t="s">
        <v>261</v>
      </c>
      <c r="C2843" s="389"/>
      <c r="D2843" s="389">
        <v>2.0</v>
      </c>
      <c r="E2843" s="384"/>
      <c r="F2843" s="389"/>
      <c r="G2843" s="389"/>
      <c r="T2843" s="384" t="str">
        <f>IFERROR(__xludf.DUMMYFUNCTION("""COMPUTED_VALUE"""),"Крестный отец (BLR)")</f>
        <v>Крестный отец (BLR)</v>
      </c>
      <c r="U2843" s="385"/>
      <c r="W2843" s="384" t="str">
        <f>IFERROR(__xludf.DUMMYFUNCTION("""COMPUTED_VALUE"""),"Красавчик")</f>
        <v>Красавчик</v>
      </c>
      <c r="X2843" s="385"/>
    </row>
    <row r="2844">
      <c r="A2844" s="384" t="s">
        <v>99</v>
      </c>
      <c r="B2844" s="384" t="s">
        <v>261</v>
      </c>
      <c r="C2844" s="389"/>
      <c r="D2844" s="389">
        <v>2.25</v>
      </c>
      <c r="E2844" s="384"/>
      <c r="F2844" s="389"/>
      <c r="G2844" s="389"/>
      <c r="T2844" s="384" t="str">
        <f>IFERROR(__xludf.DUMMYFUNCTION("""COMPUTED_VALUE"""),"Левша")</f>
        <v>Левша</v>
      </c>
      <c r="U2844" s="385"/>
      <c r="W2844" s="384" t="str">
        <f>IFERROR(__xludf.DUMMYFUNCTION("""COMPUTED_VALUE"""),"Крестный отец (BLR)")</f>
        <v>Крестный отец (BLR)</v>
      </c>
      <c r="X2844" s="385"/>
    </row>
    <row r="2845">
      <c r="A2845" s="384" t="s">
        <v>92</v>
      </c>
      <c r="B2845" s="384" t="s">
        <v>269</v>
      </c>
      <c r="C2845" s="389">
        <v>2.5</v>
      </c>
      <c r="D2845" s="389">
        <v>4.0</v>
      </c>
      <c r="E2845" s="384" t="s">
        <v>260</v>
      </c>
      <c r="F2845" s="389"/>
      <c r="G2845" s="389"/>
      <c r="T2845" s="384" t="str">
        <f>IFERROR(__xludf.DUMMYFUNCTION("""COMPUTED_VALUE"""),"Лисичка")</f>
        <v>Лисичка</v>
      </c>
      <c r="U2845" s="385"/>
      <c r="W2845" s="384" t="str">
        <f>IFERROR(__xludf.DUMMYFUNCTION("""COMPUTED_VALUE"""),"Левша")</f>
        <v>Левша</v>
      </c>
      <c r="X2845" s="385"/>
    </row>
    <row r="2846">
      <c r="A2846" s="384" t="s">
        <v>95</v>
      </c>
      <c r="B2846" s="384" t="s">
        <v>271</v>
      </c>
      <c r="C2846" s="389"/>
      <c r="D2846" s="389">
        <v>3.5</v>
      </c>
      <c r="E2846" s="384"/>
      <c r="F2846" s="389"/>
      <c r="G2846" s="389"/>
      <c r="T2846" s="384" t="str">
        <f>IFERROR(__xludf.DUMMYFUNCTION("""COMPUTED_VALUE"""),"Марго")</f>
        <v>Марго</v>
      </c>
      <c r="U2846" s="385"/>
      <c r="W2846" s="384" t="str">
        <f>IFERROR(__xludf.DUMMYFUNCTION("""COMPUTED_VALUE"""),"Лисичка")</f>
        <v>Лисичка</v>
      </c>
      <c r="X2846" s="385"/>
    </row>
    <row r="2847">
      <c r="A2847" s="384" t="s">
        <v>130</v>
      </c>
      <c r="B2847" s="384" t="s">
        <v>269</v>
      </c>
      <c r="C2847" s="389">
        <v>2.5</v>
      </c>
      <c r="D2847" s="389">
        <v>2.5</v>
      </c>
      <c r="E2847" s="384"/>
      <c r="F2847" s="389"/>
      <c r="G2847" s="389"/>
      <c r="T2847" s="384" t="str">
        <f>IFERROR(__xludf.DUMMYFUNCTION("""COMPUTED_VALUE"""),"Мишель ")</f>
        <v>Мишель </v>
      </c>
      <c r="U2847" s="385"/>
      <c r="W2847" s="384" t="str">
        <f>IFERROR(__xludf.DUMMYFUNCTION("""COMPUTED_VALUE"""),"Марго")</f>
        <v>Марго</v>
      </c>
      <c r="X2847" s="385"/>
    </row>
    <row r="2848">
      <c r="A2848" s="384" t="s">
        <v>129</v>
      </c>
      <c r="B2848" s="384" t="s">
        <v>261</v>
      </c>
      <c r="C2848" s="389"/>
      <c r="D2848" s="389">
        <v>1.25</v>
      </c>
      <c r="E2848" s="384" t="s">
        <v>263</v>
      </c>
      <c r="F2848" s="389"/>
      <c r="G2848" s="389"/>
      <c r="T2848" s="384" t="str">
        <f>IFERROR(__xludf.DUMMYFUNCTION("""COMPUTED_VALUE"""),"Наполеон")</f>
        <v>Наполеон</v>
      </c>
      <c r="U2848" s="385"/>
      <c r="W2848" s="384" t="str">
        <f>IFERROR(__xludf.DUMMYFUNCTION("""COMPUTED_VALUE"""),"Мишель ")</f>
        <v>Мишель </v>
      </c>
      <c r="X2848" s="385"/>
    </row>
    <row r="2849">
      <c r="A2849" s="384" t="s">
        <v>86</v>
      </c>
      <c r="B2849" s="384" t="s">
        <v>265</v>
      </c>
      <c r="C2849" s="389">
        <v>2.5</v>
      </c>
      <c r="D2849" s="389">
        <v>2.75</v>
      </c>
      <c r="E2849" s="384"/>
      <c r="F2849" s="389"/>
      <c r="G2849" s="389"/>
      <c r="T2849" s="384" t="str">
        <f>IFERROR(__xludf.DUMMYFUNCTION("""COMPUTED_VALUE"""),"Панда из Руанды")</f>
        <v>Панда из Руанды</v>
      </c>
      <c r="U2849" s="385"/>
      <c r="W2849" s="384" t="str">
        <f>IFERROR(__xludf.DUMMYFUNCTION("""COMPUTED_VALUE"""),"Наполеон")</f>
        <v>Наполеон</v>
      </c>
      <c r="X2849" s="385"/>
    </row>
    <row r="2850">
      <c r="A2850" s="384" t="s">
        <v>127</v>
      </c>
      <c r="B2850" s="384" t="s">
        <v>261</v>
      </c>
      <c r="C2850" s="389"/>
      <c r="D2850" s="389">
        <v>2.0</v>
      </c>
      <c r="E2850" s="384"/>
      <c r="F2850" s="389"/>
      <c r="G2850" s="389"/>
      <c r="T2850" s="384" t="str">
        <f>IFERROR(__xludf.DUMMYFUNCTION("""COMPUTED_VALUE"""),"Писатель ")</f>
        <v>Писатель </v>
      </c>
      <c r="U2850" s="385"/>
      <c r="W2850" s="384" t="str">
        <f>IFERROR(__xludf.DUMMYFUNCTION("""COMPUTED_VALUE"""),"Панда из Руанды")</f>
        <v>Панда из Руанды</v>
      </c>
      <c r="X2850" s="385"/>
    </row>
    <row r="2851">
      <c r="A2851" s="384" t="s">
        <v>114</v>
      </c>
      <c r="B2851" s="384" t="s">
        <v>261</v>
      </c>
      <c r="C2851" s="389"/>
      <c r="D2851" s="389">
        <v>3.5</v>
      </c>
      <c r="E2851" s="384" t="s">
        <v>263</v>
      </c>
      <c r="F2851" s="389"/>
      <c r="G2851" s="389"/>
      <c r="T2851" s="384" t="str">
        <f>IFERROR(__xludf.DUMMYFUNCTION("""COMPUTED_VALUE"""),"Правда ")</f>
        <v>Правда </v>
      </c>
      <c r="U2851" s="385"/>
      <c r="W2851" s="384" t="str">
        <f>IFERROR(__xludf.DUMMYFUNCTION("""COMPUTED_VALUE"""),"Писатель ")</f>
        <v>Писатель </v>
      </c>
      <c r="X2851" s="385"/>
    </row>
    <row r="2852">
      <c r="A2852" s="384" t="s">
        <v>116</v>
      </c>
      <c r="B2852" s="384" t="s">
        <v>261</v>
      </c>
      <c r="C2852" s="389"/>
      <c r="D2852" s="389">
        <v>3.5</v>
      </c>
      <c r="E2852" s="384" t="s">
        <v>11</v>
      </c>
      <c r="F2852" s="389">
        <v>0.5</v>
      </c>
      <c r="G2852" s="389">
        <v>1.0</v>
      </c>
      <c r="T2852" s="384" t="str">
        <f>IFERROR(__xludf.DUMMYFUNCTION("""COMPUTED_VALUE"""),"Продюсер")</f>
        <v>Продюсер</v>
      </c>
      <c r="U2852" s="385"/>
      <c r="W2852" s="384" t="str">
        <f>IFERROR(__xludf.DUMMYFUNCTION("""COMPUTED_VALUE"""),"Правда ")</f>
        <v>Правда </v>
      </c>
      <c r="X2852" s="385"/>
    </row>
    <row r="2853">
      <c r="A2853" s="384" t="s">
        <v>134</v>
      </c>
      <c r="B2853" s="384" t="s">
        <v>261</v>
      </c>
      <c r="C2853" s="389"/>
      <c r="D2853" s="389">
        <v>1.5</v>
      </c>
      <c r="E2853" s="384"/>
      <c r="F2853" s="389"/>
      <c r="G2853" s="389"/>
      <c r="T2853" s="384" t="str">
        <f>IFERROR(__xludf.DUMMYFUNCTION("""COMPUTED_VALUE"""),"Старый")</f>
        <v>Старый</v>
      </c>
      <c r="U2853" s="385"/>
      <c r="W2853" s="384" t="str">
        <f>IFERROR(__xludf.DUMMYFUNCTION("""COMPUTED_VALUE"""),"Продюсер")</f>
        <v>Продюсер</v>
      </c>
      <c r="X2853" s="385"/>
    </row>
    <row r="2854">
      <c r="A2854" s="384" t="s">
        <v>136</v>
      </c>
      <c r="B2854" s="384" t="s">
        <v>269</v>
      </c>
      <c r="C2854" s="389">
        <v>2.5</v>
      </c>
      <c r="D2854" s="389">
        <v>3.75</v>
      </c>
      <c r="E2854" s="384"/>
      <c r="F2854" s="389"/>
      <c r="G2854" s="389"/>
      <c r="T2854" s="384" t="str">
        <f>IFERROR(__xludf.DUMMYFUNCTION("""COMPUTED_VALUE"""),"СЭНСЭЙ")</f>
        <v>СЭНСЭЙ</v>
      </c>
      <c r="U2854" s="385"/>
      <c r="W2854" s="384" t="str">
        <f>IFERROR(__xludf.DUMMYFUNCTION("""COMPUTED_VALUE"""),"Старый")</f>
        <v>Старый</v>
      </c>
      <c r="X2854" s="385"/>
    </row>
    <row r="2855">
      <c r="A2855" s="384" t="s">
        <v>133</v>
      </c>
      <c r="B2855" s="384" t="s">
        <v>271</v>
      </c>
      <c r="C2855" s="389"/>
      <c r="D2855" s="389">
        <v>2.5</v>
      </c>
      <c r="E2855" s="384"/>
      <c r="F2855" s="389"/>
      <c r="G2855" s="389"/>
      <c r="T2855" s="384" t="str">
        <f>IFERROR(__xludf.DUMMYFUNCTION("""COMPUTED_VALUE"""),"Тихий закат")</f>
        <v>Тихий закат</v>
      </c>
      <c r="U2855" s="385"/>
      <c r="W2855" s="384" t="str">
        <f>IFERROR(__xludf.DUMMYFUNCTION("""COMPUTED_VALUE"""),"СЭНСЭЙ")</f>
        <v>СЭНСЭЙ</v>
      </c>
      <c r="X2855" s="385"/>
    </row>
    <row r="2856">
      <c r="A2856" s="384" t="s">
        <v>102</v>
      </c>
      <c r="B2856" s="384" t="s">
        <v>261</v>
      </c>
      <c r="C2856" s="389"/>
      <c r="D2856" s="389">
        <v>1.0</v>
      </c>
      <c r="E2856" s="384"/>
      <c r="F2856" s="389"/>
      <c r="G2856" s="389"/>
      <c r="T2856" s="384" t="str">
        <f>IFERROR(__xludf.DUMMYFUNCTION("""COMPUTED_VALUE"""),"Физик")</f>
        <v>Физик</v>
      </c>
      <c r="U2856" s="385"/>
      <c r="W2856" s="384" t="str">
        <f>IFERROR(__xludf.DUMMYFUNCTION("""COMPUTED_VALUE"""),"Тихий закат")</f>
        <v>Тихий закат</v>
      </c>
      <c r="X2856" s="385"/>
    </row>
    <row r="2857">
      <c r="A2857" s="384" t="s">
        <v>110</v>
      </c>
      <c r="B2857" s="384" t="s">
        <v>261</v>
      </c>
      <c r="C2857" s="389"/>
      <c r="D2857" s="389">
        <v>3.0</v>
      </c>
      <c r="E2857" s="384"/>
      <c r="F2857" s="389"/>
      <c r="G2857" s="389"/>
      <c r="T2857" s="384" t="str">
        <f>IFERROR(__xludf.DUMMYFUNCTION("""COMPUTED_VALUE"""),"Флэш")</f>
        <v>Флэш</v>
      </c>
      <c r="U2857" s="385"/>
      <c r="W2857" s="384" t="str">
        <f>IFERROR(__xludf.DUMMYFUNCTION("""COMPUTED_VALUE"""),"Физик")</f>
        <v>Физик</v>
      </c>
      <c r="X2857" s="385"/>
    </row>
    <row r="2858">
      <c r="A2858" s="384" t="s">
        <v>92</v>
      </c>
      <c r="B2858" s="384" t="s">
        <v>261</v>
      </c>
      <c r="C2858" s="389"/>
      <c r="D2858" s="389">
        <v>4.0</v>
      </c>
      <c r="E2858" s="384"/>
      <c r="F2858" s="389"/>
      <c r="G2858" s="389"/>
      <c r="T2858" s="384" t="str">
        <f>IFERROR(__xludf.DUMMYFUNCTION("""COMPUTED_VALUE"""),"Фокс")</f>
        <v>Фокс</v>
      </c>
      <c r="U2858" s="385"/>
      <c r="W2858" s="384" t="str">
        <f>IFERROR(__xludf.DUMMYFUNCTION("""COMPUTED_VALUE"""),"Флэш")</f>
        <v>Флэш</v>
      </c>
      <c r="X2858" s="385"/>
    </row>
    <row r="2859">
      <c r="A2859" s="384" t="s">
        <v>81</v>
      </c>
      <c r="B2859" s="384" t="s">
        <v>261</v>
      </c>
      <c r="C2859" s="389"/>
      <c r="D2859" s="389">
        <v>2.25</v>
      </c>
      <c r="E2859" s="384"/>
      <c r="F2859" s="389"/>
      <c r="G2859" s="389"/>
      <c r="T2859" s="384" t="str">
        <f>IFERROR(__xludf.DUMMYFUNCTION("""COMPUTED_VALUE"""),"Шоу Бой")</f>
        <v>Шоу Бой</v>
      </c>
      <c r="U2859" s="385"/>
      <c r="W2859" s="384" t="str">
        <f>IFERROR(__xludf.DUMMYFUNCTION("""COMPUTED_VALUE"""),"Фокс")</f>
        <v>Фокс</v>
      </c>
      <c r="X2859" s="385"/>
    </row>
    <row r="2860">
      <c r="A2860" s="384" t="s">
        <v>89</v>
      </c>
      <c r="B2860" s="384" t="s">
        <v>261</v>
      </c>
      <c r="C2860" s="389"/>
      <c r="D2860" s="389">
        <v>2.75</v>
      </c>
      <c r="E2860" s="384" t="s">
        <v>11</v>
      </c>
      <c r="F2860" s="389"/>
      <c r="G2860" s="389">
        <v>0.5</v>
      </c>
      <c r="T2860" s="384" t="str">
        <f>IFERROR(__xludf.DUMMYFUNCTION("""COMPUTED_VALUE"""),"Шпиц")</f>
        <v>Шпиц</v>
      </c>
      <c r="U2860" s="385"/>
      <c r="W2860" s="384" t="str">
        <f>IFERROR(__xludf.DUMMYFUNCTION("""COMPUTED_VALUE"""),"Шоу Бой")</f>
        <v>Шоу Бой</v>
      </c>
      <c r="X2860" s="385"/>
    </row>
    <row r="2861">
      <c r="A2861" s="384" t="s">
        <v>132</v>
      </c>
      <c r="B2861" s="384" t="s">
        <v>269</v>
      </c>
      <c r="C2861" s="389">
        <v>2.5</v>
      </c>
      <c r="D2861" s="389">
        <v>3.75</v>
      </c>
      <c r="E2861" s="384"/>
      <c r="F2861" s="389"/>
      <c r="G2861" s="389"/>
      <c r="T2861" s="384" t="str">
        <f>IFERROR(__xludf.DUMMYFUNCTION("""COMPUTED_VALUE"""),"Юрия")</f>
        <v>Юрия</v>
      </c>
      <c r="U2861" s="385"/>
      <c r="W2861" s="384" t="str">
        <f>IFERROR(__xludf.DUMMYFUNCTION("""COMPUTED_VALUE"""),"Шпиц")</f>
        <v>Шпиц</v>
      </c>
      <c r="X2861" s="385"/>
    </row>
    <row r="2862">
      <c r="A2862" s="384" t="s">
        <v>126</v>
      </c>
      <c r="B2862" s="384" t="s">
        <v>265</v>
      </c>
      <c r="C2862" s="389">
        <v>2.5</v>
      </c>
      <c r="D2862" s="389">
        <v>4.0</v>
      </c>
      <c r="E2862" s="384"/>
      <c r="F2862" s="389"/>
      <c r="G2862" s="389"/>
      <c r="T2862" s="384" t="str">
        <f>IFERROR(__xludf.DUMMYFUNCTION("""COMPUTED_VALUE"""),"A1 ")</f>
        <v>A1 </v>
      </c>
      <c r="U2862" s="385"/>
      <c r="W2862" s="384" t="str">
        <f>IFERROR(__xludf.DUMMYFUNCTION("""COMPUTED_VALUE"""),"Юрия")</f>
        <v>Юрия</v>
      </c>
      <c r="X2862" s="385"/>
    </row>
    <row r="2863">
      <c r="A2863" s="384" t="s">
        <v>134</v>
      </c>
      <c r="B2863" s="384" t="s">
        <v>269</v>
      </c>
      <c r="C2863" s="389">
        <v>2.5</v>
      </c>
      <c r="D2863" s="389">
        <v>2.75</v>
      </c>
      <c r="E2863" s="384"/>
      <c r="F2863" s="389"/>
      <c r="G2863" s="389"/>
      <c r="T2863" s="384" t="str">
        <f>IFERROR(__xludf.DUMMYFUNCTION("""COMPUTED_VALUE"""),"Alice ")</f>
        <v>Alice </v>
      </c>
      <c r="U2863" s="385"/>
      <c r="W2863" s="384" t="str">
        <f>IFERROR(__xludf.DUMMYFUNCTION("""COMPUTED_VALUE"""),"A1 ")</f>
        <v>A1 </v>
      </c>
      <c r="X2863" s="385"/>
    </row>
    <row r="2864">
      <c r="A2864" s="384" t="s">
        <v>136</v>
      </c>
      <c r="B2864" s="384" t="s">
        <v>261</v>
      </c>
      <c r="C2864" s="389"/>
      <c r="D2864" s="389">
        <v>1.5</v>
      </c>
      <c r="E2864" s="384"/>
      <c r="F2864" s="389"/>
      <c r="G2864" s="389"/>
      <c r="T2864" s="384" t="str">
        <f>IFERROR(__xludf.DUMMYFUNCTION("""COMPUTED_VALUE"""),"Bublik")</f>
        <v>Bublik</v>
      </c>
      <c r="U2864" s="385"/>
      <c r="W2864" s="384" t="str">
        <f>IFERROR(__xludf.DUMMYFUNCTION("""COMPUTED_VALUE"""),"Alice ")</f>
        <v>Alice </v>
      </c>
      <c r="X2864" s="385"/>
    </row>
    <row r="2865">
      <c r="A2865" s="384" t="s">
        <v>133</v>
      </c>
      <c r="B2865" s="384" t="s">
        <v>261</v>
      </c>
      <c r="C2865" s="389"/>
      <c r="D2865" s="389">
        <v>2.5</v>
      </c>
      <c r="E2865" s="384"/>
      <c r="F2865" s="389"/>
      <c r="G2865" s="389"/>
      <c r="T2865" s="384" t="str">
        <f>IFERROR(__xludf.DUMMYFUNCTION("""COMPUTED_VALUE"""),"BWDMoscow")</f>
        <v>BWDMoscow</v>
      </c>
      <c r="U2865" s="385"/>
      <c r="W2865" s="384" t="str">
        <f>IFERROR(__xludf.DUMMYFUNCTION("""COMPUTED_VALUE"""),"Bublik")</f>
        <v>Bublik</v>
      </c>
      <c r="X2865" s="385"/>
    </row>
    <row r="2866">
      <c r="A2866" s="384" t="s">
        <v>102</v>
      </c>
      <c r="B2866" s="384" t="s">
        <v>261</v>
      </c>
      <c r="C2866" s="389"/>
      <c r="D2866" s="389">
        <v>2.25</v>
      </c>
      <c r="E2866" s="384"/>
      <c r="F2866" s="389"/>
      <c r="G2866" s="389"/>
      <c r="T2866" s="384" t="str">
        <f>IFERROR(__xludf.DUMMYFUNCTION("""COMPUTED_VALUE"""),"Castor Troy ")</f>
        <v>Castor Troy </v>
      </c>
      <c r="U2866" s="385"/>
      <c r="W2866" s="384" t="str">
        <f>IFERROR(__xludf.DUMMYFUNCTION("""COMPUTED_VALUE"""),"BWDMoscow")</f>
        <v>BWDMoscow</v>
      </c>
      <c r="X2866" s="385"/>
    </row>
    <row r="2867">
      <c r="A2867" s="384" t="s">
        <v>110</v>
      </c>
      <c r="B2867" s="384" t="s">
        <v>271</v>
      </c>
      <c r="C2867" s="389"/>
      <c r="D2867" s="389">
        <v>2.0</v>
      </c>
      <c r="E2867" s="384" t="s">
        <v>11</v>
      </c>
      <c r="F2867" s="389"/>
      <c r="G2867" s="389">
        <v>0.5</v>
      </c>
      <c r="T2867" s="384" t="str">
        <f>IFERROR(__xludf.DUMMYFUNCTION("""COMPUTED_VALUE"""),"Cristo")</f>
        <v>Cristo</v>
      </c>
      <c r="U2867" s="385"/>
      <c r="W2867" s="384" t="str">
        <f>IFERROR(__xludf.DUMMYFUNCTION("""COMPUTED_VALUE"""),"Castor Troy ")</f>
        <v>Castor Troy </v>
      </c>
      <c r="X2867" s="385"/>
    </row>
    <row r="2868">
      <c r="A2868" s="384" t="s">
        <v>92</v>
      </c>
      <c r="B2868" s="384" t="s">
        <v>261</v>
      </c>
      <c r="C2868" s="389"/>
      <c r="D2868" s="389">
        <v>1.75</v>
      </c>
      <c r="E2868" s="384"/>
      <c r="F2868" s="389"/>
      <c r="G2868" s="389"/>
      <c r="T2868" s="384" t="str">
        <f>IFERROR(__xludf.DUMMYFUNCTION("""COMPUTED_VALUE"""),"Curly")</f>
        <v>Curly</v>
      </c>
      <c r="U2868" s="385"/>
      <c r="W2868" s="384" t="str">
        <f>IFERROR(__xludf.DUMMYFUNCTION("""COMPUTED_VALUE"""),"Cristo")</f>
        <v>Cristo</v>
      </c>
      <c r="X2868" s="385"/>
    </row>
    <row r="2869">
      <c r="A2869" s="384" t="s">
        <v>81</v>
      </c>
      <c r="B2869" s="384" t="s">
        <v>269</v>
      </c>
      <c r="C2869" s="389">
        <v>2.5</v>
      </c>
      <c r="D2869" s="389">
        <v>3.75</v>
      </c>
      <c r="E2869" s="384"/>
      <c r="F2869" s="389"/>
      <c r="G2869" s="389"/>
      <c r="T2869" s="384" t="str">
        <f>IFERROR(__xludf.DUMMYFUNCTION("""COMPUTED_VALUE"""),"GALAY")</f>
        <v>GALAY</v>
      </c>
      <c r="U2869" s="385"/>
      <c r="W2869" s="384" t="str">
        <f>IFERROR(__xludf.DUMMYFUNCTION("""COMPUTED_VALUE"""),"Curly")</f>
        <v>Curly</v>
      </c>
      <c r="X2869" s="385"/>
    </row>
    <row r="2870">
      <c r="A2870" s="384" t="s">
        <v>89</v>
      </c>
      <c r="B2870" s="384" t="s">
        <v>261</v>
      </c>
      <c r="C2870" s="389"/>
      <c r="D2870" s="389">
        <v>2.75</v>
      </c>
      <c r="E2870" s="384"/>
      <c r="F2870" s="389"/>
      <c r="G2870" s="389"/>
      <c r="T2870" s="384" t="str">
        <f>IFERROR(__xludf.DUMMYFUNCTION("""COMPUTED_VALUE"""),"Helga")</f>
        <v>Helga</v>
      </c>
      <c r="U2870" s="385"/>
      <c r="W2870" s="384" t="str">
        <f>IFERROR(__xludf.DUMMYFUNCTION("""COMPUTED_VALUE"""),"GALAY")</f>
        <v>GALAY</v>
      </c>
      <c r="X2870" s="385"/>
    </row>
    <row r="2871">
      <c r="A2871" s="384" t="s">
        <v>132</v>
      </c>
      <c r="B2871" s="384" t="s">
        <v>265</v>
      </c>
      <c r="C2871" s="389">
        <v>2.5</v>
      </c>
      <c r="D2871" s="389">
        <v>4.5</v>
      </c>
      <c r="E2871" s="384"/>
      <c r="F2871" s="389"/>
      <c r="G2871" s="389"/>
      <c r="T2871" s="384" t="str">
        <f>IFERROR(__xludf.DUMMYFUNCTION("""COMPUTED_VALUE"""),"Infinity ")</f>
        <v>Infinity </v>
      </c>
      <c r="U2871" s="385"/>
      <c r="W2871" s="384" t="str">
        <f>IFERROR(__xludf.DUMMYFUNCTION("""COMPUTED_VALUE"""),"Helga")</f>
        <v>Helga</v>
      </c>
      <c r="X2871" s="385"/>
    </row>
    <row r="2872">
      <c r="A2872" s="384" t="s">
        <v>126</v>
      </c>
      <c r="B2872" s="384" t="s">
        <v>261</v>
      </c>
      <c r="C2872" s="389"/>
      <c r="D2872" s="389">
        <v>2.0</v>
      </c>
      <c r="E2872" s="384"/>
      <c r="F2872" s="389"/>
      <c r="G2872" s="389"/>
      <c r="T2872" s="384" t="str">
        <f>IFERROR(__xludf.DUMMYFUNCTION("""COMPUTED_VALUE"""),"Ketamin")</f>
        <v>Ketamin</v>
      </c>
      <c r="U2872" s="385"/>
      <c r="W2872" s="384" t="str">
        <f>IFERROR(__xludf.DUMMYFUNCTION("""COMPUTED_VALUE"""),"Infinity ")</f>
        <v>Infinity </v>
      </c>
      <c r="X2872" s="385"/>
    </row>
    <row r="2873">
      <c r="A2873" s="384" t="s">
        <v>134</v>
      </c>
      <c r="B2873" s="384" t="s">
        <v>269</v>
      </c>
      <c r="C2873" s="389"/>
      <c r="D2873" s="389">
        <v>2.0</v>
      </c>
      <c r="E2873" s="384"/>
      <c r="F2873" s="389"/>
      <c r="G2873" s="389"/>
      <c r="T2873" s="384" t="str">
        <f>IFERROR(__xludf.DUMMYFUNCTION("""COMPUTED_VALUE"""),"Light")</f>
        <v>Light</v>
      </c>
      <c r="U2873" s="385"/>
      <c r="W2873" s="384" t="str">
        <f>IFERROR(__xludf.DUMMYFUNCTION("""COMPUTED_VALUE"""),"Ketamin")</f>
        <v>Ketamin</v>
      </c>
      <c r="X2873" s="385"/>
    </row>
    <row r="2874">
      <c r="A2874" s="384" t="s">
        <v>136</v>
      </c>
      <c r="B2874" s="384" t="s">
        <v>271</v>
      </c>
      <c r="C2874" s="389">
        <v>2.5</v>
      </c>
      <c r="D2874" s="389">
        <v>2.75</v>
      </c>
      <c r="E2874" s="384" t="s">
        <v>260</v>
      </c>
      <c r="F2874" s="389"/>
      <c r="G2874" s="389"/>
      <c r="T2874" s="384" t="str">
        <f>IFERROR(__xludf.DUMMYFUNCTION("""COMPUTED_VALUE"""),"Morti")</f>
        <v>Morti</v>
      </c>
      <c r="U2874" s="385"/>
      <c r="W2874" s="384" t="str">
        <f>IFERROR(__xludf.DUMMYFUNCTION("""COMPUTED_VALUE"""),"Light")</f>
        <v>Light</v>
      </c>
      <c r="X2874" s="385"/>
    </row>
    <row r="2875">
      <c r="A2875" s="384" t="s">
        <v>133</v>
      </c>
      <c r="B2875" s="384" t="s">
        <v>269</v>
      </c>
      <c r="C2875" s="389"/>
      <c r="D2875" s="389">
        <v>2.25</v>
      </c>
      <c r="E2875" s="384" t="s">
        <v>263</v>
      </c>
      <c r="F2875" s="389"/>
      <c r="G2875" s="389"/>
      <c r="T2875" s="384" t="str">
        <f>IFERROR(__xludf.DUMMYFUNCTION("""COMPUTED_VALUE"""),"MSR")</f>
        <v>MSR</v>
      </c>
      <c r="U2875" s="385"/>
      <c r="W2875" s="384" t="str">
        <f>IFERROR(__xludf.DUMMYFUNCTION("""COMPUTED_VALUE"""),"Morti")</f>
        <v>Morti</v>
      </c>
      <c r="X2875" s="385"/>
    </row>
    <row r="2876">
      <c r="A2876" s="384" t="s">
        <v>102</v>
      </c>
      <c r="B2876" s="384" t="s">
        <v>261</v>
      </c>
      <c r="C2876" s="389">
        <v>2.5</v>
      </c>
      <c r="D2876" s="389">
        <v>3.25</v>
      </c>
      <c r="E2876" s="384"/>
      <c r="F2876" s="389"/>
      <c r="G2876" s="389"/>
      <c r="T2876" s="384" t="str">
        <f>IFERROR(__xludf.DUMMYFUNCTION("""COMPUTED_VALUE"""),"NLIP")</f>
        <v>NLIP</v>
      </c>
      <c r="U2876" s="385"/>
      <c r="W2876" s="384" t="str">
        <f>IFERROR(__xludf.DUMMYFUNCTION("""COMPUTED_VALUE"""),"MSR")</f>
        <v>MSR</v>
      </c>
      <c r="X2876" s="385"/>
    </row>
    <row r="2877">
      <c r="A2877" s="384" t="s">
        <v>110</v>
      </c>
      <c r="B2877" s="384" t="s">
        <v>261</v>
      </c>
      <c r="C2877" s="389">
        <v>2.5</v>
      </c>
      <c r="D2877" s="389">
        <v>1.5</v>
      </c>
      <c r="E2877" s="384"/>
      <c r="F2877" s="389"/>
      <c r="G2877" s="389"/>
      <c r="T2877" s="384" t="str">
        <f>IFERROR(__xludf.DUMMYFUNCTION("""COMPUTED_VALUE"""),"Rocket woman ")</f>
        <v>Rocket woman </v>
      </c>
      <c r="U2877" s="385"/>
      <c r="W2877" s="384" t="str">
        <f>IFERROR(__xludf.DUMMYFUNCTION("""COMPUTED_VALUE"""),"NLIP")</f>
        <v>NLIP</v>
      </c>
      <c r="X2877" s="385"/>
    </row>
    <row r="2878">
      <c r="A2878" s="384" t="s">
        <v>92</v>
      </c>
      <c r="B2878" s="384" t="s">
        <v>265</v>
      </c>
      <c r="C2878" s="389"/>
      <c r="D2878" s="389">
        <v>1.75</v>
      </c>
      <c r="E2878" s="384"/>
      <c r="F2878" s="389"/>
      <c r="G2878" s="389"/>
      <c r="T2878" s="384" t="str">
        <f>IFERROR(__xludf.DUMMYFUNCTION("""COMPUTED_VALUE"""),"SCHOKK ")</f>
        <v>SCHOKK </v>
      </c>
      <c r="U2878" s="385"/>
      <c r="W2878" s="384" t="str">
        <f>IFERROR(__xludf.DUMMYFUNCTION("""COMPUTED_VALUE"""),"Rocket woman ")</f>
        <v>Rocket woman </v>
      </c>
      <c r="X2878" s="385"/>
    </row>
    <row r="2879">
      <c r="A2879" s="384" t="s">
        <v>81</v>
      </c>
      <c r="B2879" s="384" t="s">
        <v>261</v>
      </c>
      <c r="C2879" s="389">
        <v>2.5</v>
      </c>
      <c r="D2879" s="389">
        <v>3.25</v>
      </c>
      <c r="E2879" s="384"/>
      <c r="F2879" s="389"/>
      <c r="G2879" s="389"/>
      <c r="T2879" s="384" t="str">
        <f>IFERROR(__xludf.DUMMYFUNCTION("""COMPUTED_VALUE"""),"Stacy")</f>
        <v>Stacy</v>
      </c>
      <c r="U2879" s="385"/>
      <c r="W2879" s="384" t="str">
        <f>IFERROR(__xludf.DUMMYFUNCTION("""COMPUTED_VALUE"""),"SCHOKK ")</f>
        <v>SCHOKK </v>
      </c>
      <c r="X2879" s="385"/>
    </row>
    <row r="2880">
      <c r="A2880" s="384" t="s">
        <v>89</v>
      </c>
      <c r="B2880" s="384" t="s">
        <v>261</v>
      </c>
      <c r="C2880" s="389">
        <v>2.5</v>
      </c>
      <c r="D2880" s="389">
        <v>4.0</v>
      </c>
      <c r="E2880" s="384" t="s">
        <v>260</v>
      </c>
      <c r="F2880" s="389"/>
      <c r="G2880" s="389"/>
      <c r="T2880" s="384" t="str">
        <f>IFERROR(__xludf.DUMMYFUNCTION("""COMPUTED_VALUE"""),"WhoIsWho")</f>
        <v>WhoIsWho</v>
      </c>
      <c r="U2880" s="385"/>
      <c r="W2880" s="384" t="str">
        <f>IFERROR(__xludf.DUMMYFUNCTION("""COMPUTED_VALUE"""),"Stacy")</f>
        <v>Stacy</v>
      </c>
      <c r="X2880" s="385"/>
    </row>
    <row r="2881">
      <c r="A2881" s="384" t="s">
        <v>132</v>
      </c>
      <c r="B2881" s="384" t="s">
        <v>261</v>
      </c>
      <c r="C2881" s="389">
        <v>2.5</v>
      </c>
      <c r="D2881" s="389">
        <v>3.0</v>
      </c>
      <c r="E2881" s="384" t="s">
        <v>11</v>
      </c>
      <c r="F2881" s="389">
        <v>0.5</v>
      </c>
      <c r="G2881" s="389">
        <v>0.5</v>
      </c>
      <c r="T2881" s="384" t="str">
        <f>IFERROR(__xludf.DUMMYFUNCTION("""COMPUTED_VALUE"""),"Young")</f>
        <v>Young</v>
      </c>
      <c r="U2881" s="385"/>
      <c r="W2881" s="384" t="str">
        <f>IFERROR(__xludf.DUMMYFUNCTION("""COMPUTED_VALUE"""),"WhoIsWho")</f>
        <v>WhoIsWho</v>
      </c>
      <c r="X2881" s="385"/>
    </row>
    <row r="2882">
      <c r="A2882" s="384" t="s">
        <v>126</v>
      </c>
      <c r="B2882" s="384" t="s">
        <v>261</v>
      </c>
      <c r="C2882" s="389">
        <v>2.5</v>
      </c>
      <c r="D2882" s="389">
        <v>3.5</v>
      </c>
      <c r="E2882" s="384"/>
      <c r="F2882" s="389"/>
      <c r="G2882" s="389"/>
      <c r="W2882" s="384" t="str">
        <f>IFERROR(__xludf.DUMMYFUNCTION("""COMPUTED_VALUE"""),"Young")</f>
        <v>Young</v>
      </c>
      <c r="X2882" s="385"/>
    </row>
    <row r="2883">
      <c r="A2883" s="384" t="s">
        <v>134</v>
      </c>
      <c r="B2883" s="384" t="s">
        <v>261</v>
      </c>
      <c r="C2883" s="389"/>
      <c r="D2883" s="389">
        <v>1.75</v>
      </c>
      <c r="E2883" s="384"/>
      <c r="F2883" s="389"/>
      <c r="G2883" s="389"/>
      <c r="W2883" s="384"/>
      <c r="X2883" s="385"/>
    </row>
    <row r="2884">
      <c r="A2884" s="384" t="s">
        <v>136</v>
      </c>
      <c r="B2884" s="384" t="s">
        <v>265</v>
      </c>
      <c r="C2884" s="389">
        <v>2.5</v>
      </c>
      <c r="D2884" s="389">
        <v>3.75</v>
      </c>
      <c r="E2884" s="384"/>
      <c r="F2884" s="389"/>
      <c r="G2884" s="389"/>
      <c r="W2884" s="384"/>
      <c r="X2884" s="385"/>
    </row>
    <row r="2885">
      <c r="A2885" s="384" t="s">
        <v>133</v>
      </c>
      <c r="B2885" s="384" t="s">
        <v>261</v>
      </c>
      <c r="C2885" s="389"/>
      <c r="D2885" s="389">
        <v>2.5</v>
      </c>
      <c r="E2885" s="384"/>
      <c r="F2885" s="389"/>
      <c r="G2885" s="389"/>
      <c r="W2885" s="384"/>
      <c r="X2885" s="385"/>
    </row>
    <row r="2886">
      <c r="A2886" s="384" t="s">
        <v>102</v>
      </c>
      <c r="B2886" s="384" t="s">
        <v>261</v>
      </c>
      <c r="C2886" s="389"/>
      <c r="D2886" s="389">
        <v>2.0</v>
      </c>
      <c r="E2886" s="384"/>
      <c r="F2886" s="389"/>
      <c r="G2886" s="389"/>
      <c r="W2886" s="384"/>
      <c r="X2886" s="385"/>
    </row>
    <row r="2887">
      <c r="A2887" s="384" t="s">
        <v>110</v>
      </c>
      <c r="B2887" s="384" t="s">
        <v>261</v>
      </c>
      <c r="C2887" s="389"/>
      <c r="D2887" s="389">
        <v>2.0</v>
      </c>
      <c r="E2887" s="384"/>
      <c r="F2887" s="389"/>
      <c r="G2887" s="389"/>
      <c r="W2887" s="384"/>
      <c r="X2887" s="385"/>
    </row>
    <row r="2888">
      <c r="A2888" s="384" t="s">
        <v>92</v>
      </c>
      <c r="B2888" s="384" t="s">
        <v>261</v>
      </c>
      <c r="C2888" s="389"/>
      <c r="D2888" s="389">
        <v>2.0</v>
      </c>
      <c r="E2888" s="384"/>
      <c r="F2888" s="389"/>
      <c r="G2888" s="389"/>
      <c r="W2888" s="384"/>
      <c r="X2888" s="385"/>
    </row>
    <row r="2889">
      <c r="A2889" s="384" t="s">
        <v>81</v>
      </c>
      <c r="B2889" s="384" t="s">
        <v>271</v>
      </c>
      <c r="C2889" s="389"/>
      <c r="D2889" s="389">
        <v>3.0</v>
      </c>
      <c r="E2889" s="384" t="s">
        <v>11</v>
      </c>
      <c r="F2889" s="389">
        <v>0.5</v>
      </c>
      <c r="G2889" s="389">
        <v>0.5</v>
      </c>
      <c r="W2889" s="384"/>
      <c r="X2889" s="385"/>
    </row>
    <row r="2890">
      <c r="A2890" s="384" t="s">
        <v>89</v>
      </c>
      <c r="B2890" s="384" t="s">
        <v>269</v>
      </c>
      <c r="C2890" s="389">
        <v>2.5</v>
      </c>
      <c r="D2890" s="389">
        <v>4.5</v>
      </c>
      <c r="E2890" s="384"/>
      <c r="F2890" s="389"/>
      <c r="G2890" s="389"/>
      <c r="W2890" s="384"/>
      <c r="X2890" s="385"/>
    </row>
    <row r="2891">
      <c r="A2891" s="384" t="s">
        <v>132</v>
      </c>
      <c r="B2891" s="384" t="s">
        <v>261</v>
      </c>
      <c r="C2891" s="389"/>
      <c r="D2891" s="389">
        <v>1.5</v>
      </c>
      <c r="E2891" s="384"/>
      <c r="F2891" s="389"/>
      <c r="G2891" s="389"/>
      <c r="W2891" s="384"/>
      <c r="X2891" s="385"/>
    </row>
    <row r="2892">
      <c r="A2892" s="384" t="s">
        <v>126</v>
      </c>
      <c r="B2892" s="384" t="s">
        <v>269</v>
      </c>
      <c r="C2892" s="389">
        <v>2.5</v>
      </c>
      <c r="D2892" s="389">
        <v>2.5</v>
      </c>
      <c r="E2892" s="384"/>
      <c r="F2892" s="389"/>
      <c r="G2892" s="389"/>
      <c r="W2892" s="384"/>
      <c r="X2892" s="385"/>
    </row>
    <row r="2893">
      <c r="A2893" s="384" t="s">
        <v>134</v>
      </c>
      <c r="B2893" s="384" t="s">
        <v>261</v>
      </c>
      <c r="C2893" s="389"/>
      <c r="D2893" s="389">
        <v>2.5</v>
      </c>
      <c r="E2893" s="384"/>
      <c r="F2893" s="389"/>
      <c r="G2893" s="389"/>
      <c r="W2893" s="384"/>
      <c r="X2893" s="385"/>
    </row>
    <row r="2894">
      <c r="A2894" s="384" t="s">
        <v>136</v>
      </c>
      <c r="B2894" s="384" t="s">
        <v>261</v>
      </c>
      <c r="C2894" s="389"/>
      <c r="D2894" s="389">
        <v>1.0</v>
      </c>
      <c r="E2894" s="384"/>
      <c r="F2894" s="389"/>
      <c r="G2894" s="389"/>
      <c r="W2894" s="384"/>
      <c r="X2894" s="385"/>
    </row>
    <row r="2895">
      <c r="A2895" s="384" t="s">
        <v>133</v>
      </c>
      <c r="B2895" s="384" t="s">
        <v>269</v>
      </c>
      <c r="C2895" s="389">
        <v>2.5</v>
      </c>
      <c r="D2895" s="389">
        <v>3.25</v>
      </c>
      <c r="E2895" s="384"/>
      <c r="F2895" s="389"/>
      <c r="G2895" s="389"/>
      <c r="W2895" s="384"/>
      <c r="X2895" s="385"/>
    </row>
    <row r="2896">
      <c r="A2896" s="384" t="s">
        <v>102</v>
      </c>
      <c r="B2896" s="384" t="s">
        <v>261</v>
      </c>
      <c r="C2896" s="389"/>
      <c r="D2896" s="389">
        <v>1.5</v>
      </c>
      <c r="E2896" s="384"/>
      <c r="F2896" s="389"/>
      <c r="G2896" s="389"/>
      <c r="W2896" s="384"/>
      <c r="X2896" s="385"/>
    </row>
    <row r="2897">
      <c r="A2897" s="384" t="s">
        <v>110</v>
      </c>
      <c r="B2897" s="384" t="s">
        <v>269</v>
      </c>
      <c r="C2897" s="389">
        <v>2.5</v>
      </c>
      <c r="D2897" s="389">
        <v>3.75</v>
      </c>
      <c r="E2897" s="384"/>
      <c r="F2897" s="389"/>
      <c r="G2897" s="389"/>
      <c r="W2897" s="384"/>
      <c r="X2897" s="385"/>
    </row>
    <row r="2898">
      <c r="A2898" s="384" t="s">
        <v>92</v>
      </c>
      <c r="B2898" s="384" t="s">
        <v>265</v>
      </c>
      <c r="C2898" s="389">
        <v>2.5</v>
      </c>
      <c r="D2898" s="389">
        <v>2.5</v>
      </c>
      <c r="E2898" s="384"/>
      <c r="F2898" s="389"/>
      <c r="G2898" s="389"/>
      <c r="W2898" s="384"/>
      <c r="X2898" s="385"/>
    </row>
    <row r="2899">
      <c r="A2899" s="384" t="s">
        <v>81</v>
      </c>
      <c r="B2899" s="384" t="s">
        <v>261</v>
      </c>
      <c r="C2899" s="389"/>
      <c r="D2899" s="389">
        <v>2.25</v>
      </c>
      <c r="E2899" s="384"/>
      <c r="F2899" s="389"/>
      <c r="G2899" s="389"/>
      <c r="W2899" s="384"/>
      <c r="X2899" s="385"/>
    </row>
    <row r="2900">
      <c r="A2900" s="384" t="s">
        <v>89</v>
      </c>
      <c r="B2900" s="384" t="s">
        <v>271</v>
      </c>
      <c r="C2900" s="389"/>
      <c r="D2900" s="389">
        <v>1.75</v>
      </c>
      <c r="E2900" s="384"/>
      <c r="F2900" s="389"/>
      <c r="G2900" s="389"/>
      <c r="W2900" s="384"/>
      <c r="X2900" s="385"/>
    </row>
    <row r="2901">
      <c r="A2901" s="384" t="s">
        <v>132</v>
      </c>
      <c r="B2901" s="384" t="s">
        <v>261</v>
      </c>
      <c r="C2901" s="389"/>
      <c r="D2901" s="389">
        <v>2.25</v>
      </c>
      <c r="E2901" s="384"/>
      <c r="F2901" s="389"/>
      <c r="G2901" s="389"/>
      <c r="W2901" s="384"/>
      <c r="X2901" s="385"/>
    </row>
    <row r="2902">
      <c r="A2902" s="384" t="s">
        <v>126</v>
      </c>
      <c r="B2902" s="384" t="s">
        <v>261</v>
      </c>
      <c r="C2902" s="389"/>
      <c r="D2902" s="389">
        <v>2.25</v>
      </c>
      <c r="E2902" s="384"/>
      <c r="F2902" s="389"/>
      <c r="G2902" s="389"/>
      <c r="W2902" s="384"/>
      <c r="X2902" s="385"/>
    </row>
    <row r="2903">
      <c r="A2903" s="384" t="s">
        <v>99</v>
      </c>
      <c r="B2903" s="384" t="s">
        <v>271</v>
      </c>
      <c r="C2903" s="389">
        <v>2.5</v>
      </c>
      <c r="D2903" s="389">
        <v>3.0</v>
      </c>
      <c r="E2903" s="384"/>
      <c r="F2903" s="389"/>
      <c r="G2903" s="389"/>
      <c r="W2903" s="384"/>
      <c r="X2903" s="385"/>
    </row>
    <row r="2904">
      <c r="A2904" s="384" t="s">
        <v>138</v>
      </c>
      <c r="B2904" s="384" t="s">
        <v>269</v>
      </c>
      <c r="C2904" s="389"/>
      <c r="D2904" s="389">
        <v>2.75</v>
      </c>
      <c r="E2904" s="384"/>
      <c r="F2904" s="389"/>
      <c r="G2904" s="389"/>
      <c r="W2904" s="384"/>
      <c r="X2904" s="385"/>
    </row>
    <row r="2905">
      <c r="A2905" s="384" t="s">
        <v>101</v>
      </c>
      <c r="B2905" s="384" t="s">
        <v>261</v>
      </c>
      <c r="C2905" s="389">
        <v>2.5</v>
      </c>
      <c r="D2905" s="389">
        <v>2.5</v>
      </c>
      <c r="E2905" s="384" t="s">
        <v>11</v>
      </c>
      <c r="F2905" s="389"/>
      <c r="G2905" s="389">
        <v>0.5</v>
      </c>
      <c r="W2905" s="384"/>
      <c r="X2905" s="385"/>
    </row>
    <row r="2906">
      <c r="A2906" s="384" t="s">
        <v>85</v>
      </c>
      <c r="B2906" s="384" t="s">
        <v>269</v>
      </c>
      <c r="C2906" s="389"/>
      <c r="D2906" s="389">
        <v>2.75</v>
      </c>
      <c r="E2906" s="384"/>
      <c r="F2906" s="389"/>
      <c r="G2906" s="389"/>
      <c r="W2906" s="384"/>
      <c r="X2906" s="385"/>
    </row>
    <row r="2907">
      <c r="A2907" s="384" t="s">
        <v>82</v>
      </c>
      <c r="B2907" s="384" t="s">
        <v>261</v>
      </c>
      <c r="C2907" s="389">
        <v>2.5</v>
      </c>
      <c r="D2907" s="389">
        <v>3.25</v>
      </c>
      <c r="E2907" s="384"/>
      <c r="F2907" s="389"/>
      <c r="G2907" s="389"/>
      <c r="W2907" s="384"/>
      <c r="X2907" s="385"/>
    </row>
    <row r="2908">
      <c r="A2908" s="384" t="s">
        <v>127</v>
      </c>
      <c r="B2908" s="384" t="s">
        <v>261</v>
      </c>
      <c r="C2908" s="389">
        <v>2.5</v>
      </c>
      <c r="D2908" s="389">
        <v>3.5</v>
      </c>
      <c r="E2908" s="384"/>
      <c r="F2908" s="389"/>
      <c r="G2908" s="389"/>
      <c r="W2908" s="384"/>
      <c r="X2908" s="385"/>
    </row>
    <row r="2909">
      <c r="A2909" s="384" t="s">
        <v>94</v>
      </c>
      <c r="B2909" s="384" t="s">
        <v>261</v>
      </c>
      <c r="C2909" s="389">
        <v>2.5</v>
      </c>
      <c r="D2909" s="389">
        <v>2.0</v>
      </c>
      <c r="E2909" s="384"/>
      <c r="F2909" s="389"/>
      <c r="G2909" s="389"/>
      <c r="W2909" s="384"/>
      <c r="X2909" s="385"/>
    </row>
    <row r="2910">
      <c r="A2910" s="384" t="s">
        <v>104</v>
      </c>
      <c r="B2910" s="384" t="s">
        <v>261</v>
      </c>
      <c r="C2910" s="389">
        <v>2.5</v>
      </c>
      <c r="D2910" s="389">
        <v>3.5</v>
      </c>
      <c r="E2910" s="384"/>
      <c r="F2910" s="389"/>
      <c r="G2910" s="389"/>
      <c r="W2910" s="384"/>
      <c r="X2910" s="385"/>
    </row>
    <row r="2911">
      <c r="A2911" s="384" t="s">
        <v>89</v>
      </c>
      <c r="B2911" s="384" t="s">
        <v>261</v>
      </c>
      <c r="C2911" s="389">
        <v>2.5</v>
      </c>
      <c r="D2911" s="389">
        <v>2.75</v>
      </c>
      <c r="E2911" s="384"/>
      <c r="F2911" s="389"/>
      <c r="G2911" s="389"/>
      <c r="W2911" s="384"/>
      <c r="X2911" s="385"/>
    </row>
    <row r="2912">
      <c r="A2912" s="384" t="s">
        <v>134</v>
      </c>
      <c r="B2912" s="384" t="s">
        <v>265</v>
      </c>
      <c r="C2912" s="389"/>
      <c r="D2912" s="389">
        <v>1.75</v>
      </c>
      <c r="E2912" s="384"/>
      <c r="F2912" s="389"/>
      <c r="G2912" s="389"/>
      <c r="W2912" s="384"/>
      <c r="X2912" s="385"/>
    </row>
    <row r="2913">
      <c r="A2913" s="384" t="s">
        <v>99</v>
      </c>
      <c r="B2913" s="384" t="s">
        <v>261</v>
      </c>
      <c r="C2913" s="389"/>
      <c r="D2913" s="389">
        <v>2.0</v>
      </c>
      <c r="E2913" s="384"/>
      <c r="F2913" s="389"/>
      <c r="G2913" s="389"/>
      <c r="W2913" s="384"/>
      <c r="X2913" s="385"/>
    </row>
    <row r="2914">
      <c r="A2914" s="384" t="s">
        <v>138</v>
      </c>
      <c r="B2914" s="384" t="s">
        <v>271</v>
      </c>
      <c r="C2914" s="389"/>
      <c r="D2914" s="389">
        <v>2.0</v>
      </c>
      <c r="E2914" s="384"/>
      <c r="F2914" s="389"/>
      <c r="G2914" s="389"/>
      <c r="W2914" s="384"/>
      <c r="X2914" s="385"/>
    </row>
    <row r="2915">
      <c r="A2915" s="384" t="s">
        <v>101</v>
      </c>
      <c r="B2915" s="384" t="s">
        <v>261</v>
      </c>
      <c r="C2915" s="389"/>
      <c r="D2915" s="389">
        <v>2.75</v>
      </c>
      <c r="E2915" s="384"/>
      <c r="F2915" s="389"/>
      <c r="G2915" s="389"/>
      <c r="W2915" s="384"/>
      <c r="X2915" s="385"/>
    </row>
    <row r="2916">
      <c r="A2916" s="384" t="s">
        <v>85</v>
      </c>
      <c r="B2916" s="384" t="s">
        <v>261</v>
      </c>
      <c r="C2916" s="389"/>
      <c r="D2916" s="389">
        <v>2.5</v>
      </c>
      <c r="E2916" s="384" t="s">
        <v>11</v>
      </c>
      <c r="F2916" s="389">
        <v>0.5</v>
      </c>
      <c r="G2916" s="389">
        <v>0.5</v>
      </c>
      <c r="W2916" s="384"/>
      <c r="X2916" s="385"/>
    </row>
    <row r="2917">
      <c r="A2917" s="384" t="s">
        <v>82</v>
      </c>
      <c r="B2917" s="384" t="s">
        <v>269</v>
      </c>
      <c r="C2917" s="389">
        <v>2.5</v>
      </c>
      <c r="D2917" s="389">
        <v>3.25</v>
      </c>
      <c r="E2917" s="384"/>
      <c r="F2917" s="389"/>
      <c r="G2917" s="389"/>
      <c r="W2917" s="384"/>
      <c r="X2917" s="385"/>
    </row>
    <row r="2918">
      <c r="A2918" s="384" t="s">
        <v>127</v>
      </c>
      <c r="B2918" s="384" t="s">
        <v>269</v>
      </c>
      <c r="C2918" s="389">
        <v>2.5</v>
      </c>
      <c r="D2918" s="389">
        <v>2.5</v>
      </c>
      <c r="E2918" s="384"/>
      <c r="F2918" s="389"/>
      <c r="G2918" s="389"/>
      <c r="W2918" s="384"/>
      <c r="X2918" s="385"/>
    </row>
    <row r="2919">
      <c r="A2919" s="384" t="s">
        <v>94</v>
      </c>
      <c r="B2919" s="384" t="s">
        <v>261</v>
      </c>
      <c r="C2919" s="389"/>
      <c r="D2919" s="389">
        <v>1.75</v>
      </c>
      <c r="E2919" s="384"/>
      <c r="F2919" s="389"/>
      <c r="G2919" s="389"/>
      <c r="W2919" s="384"/>
      <c r="X2919" s="385"/>
    </row>
    <row r="2920">
      <c r="A2920" s="384" t="s">
        <v>104</v>
      </c>
      <c r="B2920" s="384" t="s">
        <v>261</v>
      </c>
      <c r="C2920" s="389"/>
      <c r="D2920" s="389">
        <v>2.0</v>
      </c>
      <c r="E2920" s="384"/>
      <c r="F2920" s="389"/>
      <c r="G2920" s="389"/>
      <c r="W2920" s="384"/>
      <c r="X2920" s="385"/>
    </row>
    <row r="2921">
      <c r="A2921" s="384" t="s">
        <v>89</v>
      </c>
      <c r="B2921" s="384" t="s">
        <v>261</v>
      </c>
      <c r="C2921" s="389"/>
      <c r="D2921" s="389">
        <v>3.0</v>
      </c>
      <c r="E2921" s="384"/>
      <c r="F2921" s="389"/>
      <c r="G2921" s="389"/>
      <c r="W2921" s="384"/>
      <c r="X2921" s="385"/>
    </row>
    <row r="2922">
      <c r="A2922" s="384" t="s">
        <v>134</v>
      </c>
      <c r="B2922" s="384" t="s">
        <v>265</v>
      </c>
      <c r="C2922" s="389">
        <v>2.5</v>
      </c>
      <c r="D2922" s="389">
        <v>4.25</v>
      </c>
      <c r="E2922" s="384"/>
      <c r="F2922" s="389"/>
      <c r="G2922" s="389"/>
      <c r="W2922" s="384"/>
      <c r="X2922" s="385"/>
    </row>
    <row r="2923">
      <c r="A2923" s="384" t="s">
        <v>99</v>
      </c>
      <c r="B2923" s="384" t="s">
        <v>269</v>
      </c>
      <c r="C2923" s="389">
        <v>2.5</v>
      </c>
      <c r="D2923" s="389">
        <v>2.5</v>
      </c>
      <c r="E2923" s="384"/>
      <c r="F2923" s="389"/>
      <c r="G2923" s="389"/>
      <c r="W2923" s="384"/>
      <c r="X2923" s="385"/>
    </row>
    <row r="2924">
      <c r="A2924" s="384" t="s">
        <v>138</v>
      </c>
      <c r="B2924" s="384" t="s">
        <v>271</v>
      </c>
      <c r="C2924" s="389"/>
      <c r="D2924" s="389">
        <v>2.0</v>
      </c>
      <c r="E2924" s="384"/>
      <c r="F2924" s="389"/>
      <c r="G2924" s="389"/>
      <c r="W2924" s="384"/>
      <c r="X2924" s="385"/>
    </row>
    <row r="2925">
      <c r="A2925" s="384" t="s">
        <v>101</v>
      </c>
      <c r="B2925" s="384" t="s">
        <v>261</v>
      </c>
      <c r="C2925" s="389"/>
      <c r="D2925" s="389">
        <v>1.5</v>
      </c>
      <c r="E2925" s="384"/>
      <c r="F2925" s="389"/>
      <c r="G2925" s="389"/>
      <c r="W2925" s="384"/>
      <c r="X2925" s="385"/>
    </row>
    <row r="2926">
      <c r="A2926" s="384" t="s">
        <v>85</v>
      </c>
      <c r="B2926" s="384" t="s">
        <v>261</v>
      </c>
      <c r="C2926" s="389"/>
      <c r="D2926" s="389">
        <v>1.5</v>
      </c>
      <c r="E2926" s="384"/>
      <c r="F2926" s="389"/>
      <c r="G2926" s="389"/>
      <c r="W2926" s="384"/>
      <c r="X2926" s="385"/>
    </row>
    <row r="2927">
      <c r="A2927" s="384" t="s">
        <v>82</v>
      </c>
      <c r="B2927" s="384" t="s">
        <v>261</v>
      </c>
      <c r="C2927" s="389"/>
      <c r="D2927" s="389">
        <v>1.75</v>
      </c>
      <c r="E2927" s="384" t="s">
        <v>11</v>
      </c>
      <c r="F2927" s="389"/>
      <c r="G2927" s="389">
        <v>0.5</v>
      </c>
      <c r="W2927" s="384"/>
      <c r="X2927" s="385"/>
    </row>
    <row r="2928">
      <c r="A2928" s="384" t="s">
        <v>127</v>
      </c>
      <c r="B2928" s="384" t="s">
        <v>261</v>
      </c>
      <c r="C2928" s="389"/>
      <c r="D2928" s="389">
        <v>1.75</v>
      </c>
      <c r="E2928" s="384"/>
      <c r="F2928" s="389"/>
      <c r="G2928" s="389"/>
      <c r="W2928" s="384"/>
      <c r="X2928" s="385"/>
    </row>
    <row r="2929">
      <c r="A2929" s="384" t="s">
        <v>94</v>
      </c>
      <c r="B2929" s="384" t="s">
        <v>269</v>
      </c>
      <c r="C2929" s="389">
        <v>2.5</v>
      </c>
      <c r="D2929" s="389">
        <v>3.75</v>
      </c>
      <c r="E2929" s="384"/>
      <c r="F2929" s="389"/>
      <c r="G2929" s="389"/>
      <c r="W2929" s="384"/>
      <c r="X2929" s="385"/>
    </row>
    <row r="2930">
      <c r="A2930" s="384" t="s">
        <v>104</v>
      </c>
      <c r="B2930" s="384" t="s">
        <v>261</v>
      </c>
      <c r="C2930" s="389"/>
      <c r="D2930" s="389">
        <v>2.0</v>
      </c>
      <c r="E2930" s="384"/>
      <c r="F2930" s="389"/>
      <c r="G2930" s="389"/>
      <c r="W2930" s="384"/>
      <c r="X2930" s="385"/>
    </row>
    <row r="2931">
      <c r="A2931" s="384" t="s">
        <v>89</v>
      </c>
      <c r="B2931" s="384" t="s">
        <v>261</v>
      </c>
      <c r="C2931" s="389"/>
      <c r="D2931" s="389">
        <v>3.25</v>
      </c>
      <c r="E2931" s="384"/>
      <c r="F2931" s="389"/>
      <c r="G2931" s="389"/>
      <c r="W2931" s="384"/>
      <c r="X2931" s="385"/>
    </row>
    <row r="2932">
      <c r="A2932" s="384" t="s">
        <v>134</v>
      </c>
      <c r="B2932" s="384" t="s">
        <v>265</v>
      </c>
      <c r="C2932" s="389">
        <v>2.5</v>
      </c>
      <c r="D2932" s="389">
        <v>3.75</v>
      </c>
      <c r="E2932" s="384"/>
      <c r="F2932" s="389"/>
      <c r="G2932" s="389"/>
      <c r="W2932" s="384"/>
      <c r="X2932" s="385"/>
    </row>
    <row r="2933">
      <c r="A2933" s="384" t="s">
        <v>99</v>
      </c>
      <c r="B2933" s="384" t="s">
        <v>261</v>
      </c>
      <c r="C2933" s="389">
        <v>2.5</v>
      </c>
      <c r="D2933" s="389">
        <v>2.25</v>
      </c>
      <c r="E2933" s="384"/>
      <c r="F2933" s="389"/>
      <c r="G2933" s="389"/>
      <c r="W2933" s="384"/>
      <c r="X2933" s="385"/>
    </row>
    <row r="2934">
      <c r="A2934" s="384" t="s">
        <v>138</v>
      </c>
      <c r="B2934" s="384" t="s">
        <v>261</v>
      </c>
      <c r="C2934" s="389">
        <v>2.5</v>
      </c>
      <c r="D2934" s="389">
        <v>3.5</v>
      </c>
      <c r="E2934" s="384"/>
      <c r="F2934" s="389"/>
      <c r="G2934" s="389"/>
      <c r="W2934" s="384"/>
      <c r="X2934" s="385"/>
    </row>
    <row r="2935">
      <c r="A2935" s="384" t="s">
        <v>101</v>
      </c>
      <c r="B2935" s="384" t="s">
        <v>265</v>
      </c>
      <c r="C2935" s="389"/>
      <c r="D2935" s="389">
        <v>2.5</v>
      </c>
      <c r="E2935" s="384"/>
      <c r="F2935" s="389"/>
      <c r="G2935" s="389"/>
      <c r="W2935" s="384"/>
      <c r="X2935" s="385"/>
    </row>
    <row r="2936">
      <c r="A2936" s="384" t="s">
        <v>85</v>
      </c>
      <c r="B2936" s="384" t="s">
        <v>261</v>
      </c>
      <c r="C2936" s="389">
        <v>2.5</v>
      </c>
      <c r="D2936" s="389">
        <v>3.25</v>
      </c>
      <c r="E2936" s="384"/>
      <c r="F2936" s="389"/>
      <c r="G2936" s="389"/>
      <c r="W2936" s="384"/>
      <c r="X2936" s="385"/>
    </row>
    <row r="2937">
      <c r="A2937" s="384" t="s">
        <v>82</v>
      </c>
      <c r="B2937" s="384" t="s">
        <v>261</v>
      </c>
      <c r="C2937" s="389">
        <v>2.5</v>
      </c>
      <c r="D2937" s="389">
        <v>3.5</v>
      </c>
      <c r="E2937" s="384"/>
      <c r="F2937" s="389"/>
      <c r="G2937" s="389"/>
      <c r="W2937" s="384"/>
      <c r="X2937" s="385"/>
    </row>
    <row r="2938">
      <c r="A2938" s="384" t="s">
        <v>127</v>
      </c>
      <c r="B2938" s="384" t="s">
        <v>261</v>
      </c>
      <c r="C2938" s="389">
        <v>2.5</v>
      </c>
      <c r="D2938" s="389">
        <v>2.5</v>
      </c>
      <c r="E2938" s="384"/>
      <c r="F2938" s="389"/>
      <c r="G2938" s="389"/>
      <c r="W2938" s="384"/>
      <c r="X2938" s="385"/>
    </row>
    <row r="2939">
      <c r="A2939" s="384" t="s">
        <v>94</v>
      </c>
      <c r="B2939" s="384" t="s">
        <v>261</v>
      </c>
      <c r="C2939" s="389">
        <v>2.5</v>
      </c>
      <c r="D2939" s="389">
        <v>3.0</v>
      </c>
      <c r="E2939" s="384"/>
      <c r="F2939" s="389"/>
      <c r="G2939" s="389"/>
      <c r="W2939" s="384"/>
      <c r="X2939" s="385"/>
    </row>
    <row r="2940">
      <c r="A2940" s="384" t="s">
        <v>104</v>
      </c>
      <c r="B2940" s="384" t="s">
        <v>269</v>
      </c>
      <c r="C2940" s="389"/>
      <c r="D2940" s="389">
        <v>1.5</v>
      </c>
      <c r="E2940" s="384"/>
      <c r="F2940" s="389"/>
      <c r="G2940" s="389"/>
      <c r="W2940" s="384"/>
      <c r="X2940" s="385"/>
    </row>
    <row r="2941">
      <c r="A2941" s="384" t="s">
        <v>89</v>
      </c>
      <c r="B2941" s="384" t="s">
        <v>271</v>
      </c>
      <c r="C2941" s="389">
        <v>2.5</v>
      </c>
      <c r="D2941" s="389">
        <v>3.5</v>
      </c>
      <c r="E2941" s="384"/>
      <c r="F2941" s="389"/>
      <c r="G2941" s="389"/>
      <c r="W2941" s="384"/>
      <c r="X2941" s="385"/>
    </row>
    <row r="2942">
      <c r="A2942" s="384" t="s">
        <v>134</v>
      </c>
      <c r="B2942" s="384" t="s">
        <v>269</v>
      </c>
      <c r="C2942" s="389"/>
      <c r="D2942" s="389">
        <v>1.0</v>
      </c>
      <c r="E2942" s="384"/>
      <c r="F2942" s="389"/>
      <c r="G2942" s="389"/>
      <c r="W2942" s="384"/>
      <c r="X2942" s="385"/>
    </row>
    <row r="2943">
      <c r="A2943" s="384" t="s">
        <v>99</v>
      </c>
      <c r="B2943" s="384" t="s">
        <v>261</v>
      </c>
      <c r="C2943" s="389">
        <v>2.5</v>
      </c>
      <c r="D2943" s="389">
        <v>3.0</v>
      </c>
      <c r="E2943" s="384"/>
      <c r="F2943" s="389"/>
      <c r="G2943" s="389"/>
      <c r="W2943" s="384"/>
      <c r="X2943" s="385"/>
    </row>
    <row r="2944">
      <c r="A2944" s="384" t="s">
        <v>138</v>
      </c>
      <c r="B2944" s="384" t="s">
        <v>261</v>
      </c>
      <c r="C2944" s="389">
        <v>2.5</v>
      </c>
      <c r="D2944" s="389">
        <v>3.25</v>
      </c>
      <c r="E2944" s="384"/>
      <c r="F2944" s="389"/>
      <c r="G2944" s="389"/>
      <c r="W2944" s="384"/>
      <c r="X2944" s="385"/>
    </row>
    <row r="2945">
      <c r="A2945" s="384" t="s">
        <v>101</v>
      </c>
      <c r="B2945" s="384" t="s">
        <v>269</v>
      </c>
      <c r="C2945" s="389"/>
      <c r="D2945" s="389">
        <v>2.25</v>
      </c>
      <c r="E2945" s="384"/>
      <c r="F2945" s="389"/>
      <c r="G2945" s="389"/>
      <c r="W2945" s="384"/>
      <c r="X2945" s="385"/>
    </row>
    <row r="2946">
      <c r="A2946" s="384" t="s">
        <v>85</v>
      </c>
      <c r="B2946" s="384" t="s">
        <v>269</v>
      </c>
      <c r="C2946" s="389"/>
      <c r="D2946" s="389">
        <v>2.25</v>
      </c>
      <c r="E2946" s="384"/>
      <c r="F2946" s="389"/>
      <c r="G2946" s="389"/>
      <c r="W2946" s="384"/>
      <c r="X2946" s="385"/>
    </row>
    <row r="2947">
      <c r="A2947" s="384" t="s">
        <v>82</v>
      </c>
      <c r="B2947" s="384" t="s">
        <v>261</v>
      </c>
      <c r="C2947" s="389">
        <v>2.5</v>
      </c>
      <c r="D2947" s="389">
        <v>4.25</v>
      </c>
      <c r="E2947" s="384"/>
      <c r="F2947" s="389"/>
      <c r="G2947" s="389"/>
      <c r="W2947" s="384"/>
      <c r="X2947" s="385"/>
    </row>
    <row r="2948">
      <c r="A2948" s="384" t="s">
        <v>127</v>
      </c>
      <c r="B2948" s="384" t="s">
        <v>261</v>
      </c>
      <c r="C2948" s="389">
        <v>2.5</v>
      </c>
      <c r="D2948" s="389">
        <v>2.5</v>
      </c>
      <c r="E2948" s="384"/>
      <c r="F2948" s="389"/>
      <c r="G2948" s="389"/>
      <c r="W2948" s="384"/>
      <c r="X2948" s="385"/>
    </row>
    <row r="2949">
      <c r="A2949" s="384" t="s">
        <v>94</v>
      </c>
      <c r="B2949" s="384" t="s">
        <v>265</v>
      </c>
      <c r="C2949" s="389"/>
      <c r="D2949" s="389">
        <v>1.75</v>
      </c>
      <c r="E2949" s="384"/>
      <c r="F2949" s="389"/>
      <c r="G2949" s="389"/>
      <c r="W2949" s="384"/>
      <c r="X2949" s="385"/>
    </row>
    <row r="2950">
      <c r="A2950" s="384" t="s">
        <v>104</v>
      </c>
      <c r="B2950" s="384" t="s">
        <v>261</v>
      </c>
      <c r="C2950" s="389">
        <v>2.5</v>
      </c>
      <c r="D2950" s="389">
        <v>2.75</v>
      </c>
      <c r="E2950" s="384"/>
      <c r="F2950" s="389"/>
      <c r="G2950" s="389"/>
      <c r="W2950" s="384"/>
      <c r="X2950" s="385"/>
    </row>
    <row r="2951">
      <c r="A2951" s="384" t="s">
        <v>89</v>
      </c>
      <c r="B2951" s="384" t="s">
        <v>261</v>
      </c>
      <c r="C2951" s="389">
        <v>2.5</v>
      </c>
      <c r="D2951" s="389">
        <v>0.0</v>
      </c>
      <c r="E2951" s="384"/>
      <c r="F2951" s="389"/>
      <c r="G2951" s="389"/>
      <c r="W2951" s="384"/>
      <c r="X2951" s="385"/>
    </row>
    <row r="2952">
      <c r="A2952" s="384" t="s">
        <v>134</v>
      </c>
      <c r="B2952" s="384" t="s">
        <v>271</v>
      </c>
      <c r="C2952" s="389">
        <v>2.5</v>
      </c>
      <c r="D2952" s="389">
        <v>3.25</v>
      </c>
      <c r="E2952" s="384"/>
      <c r="F2952" s="389"/>
      <c r="G2952" s="389"/>
      <c r="W2952" s="384"/>
      <c r="X2952" s="385"/>
    </row>
    <row r="2953">
      <c r="A2953" s="384" t="s">
        <v>134</v>
      </c>
      <c r="B2953" s="384" t="s">
        <v>261</v>
      </c>
      <c r="C2953" s="389">
        <v>2.5</v>
      </c>
      <c r="D2953" s="389">
        <v>3.25</v>
      </c>
      <c r="E2953" s="384"/>
      <c r="F2953" s="389"/>
      <c r="G2953" s="389"/>
      <c r="W2953" s="384"/>
      <c r="X2953" s="385"/>
    </row>
    <row r="2954">
      <c r="A2954" s="384" t="s">
        <v>101</v>
      </c>
      <c r="B2954" s="384" t="s">
        <v>261</v>
      </c>
      <c r="C2954" s="389">
        <v>2.5</v>
      </c>
      <c r="D2954" s="389">
        <v>2.75</v>
      </c>
      <c r="E2954" s="384"/>
      <c r="F2954" s="389"/>
      <c r="G2954" s="389"/>
      <c r="W2954" s="384"/>
      <c r="X2954" s="385"/>
    </row>
    <row r="2955">
      <c r="A2955" s="384" t="s">
        <v>92</v>
      </c>
      <c r="B2955" s="384" t="s">
        <v>261</v>
      </c>
      <c r="C2955" s="389">
        <v>2.5</v>
      </c>
      <c r="D2955" s="389">
        <v>1.5</v>
      </c>
      <c r="E2955" s="384"/>
      <c r="F2955" s="389"/>
      <c r="G2955" s="389"/>
      <c r="W2955" s="384"/>
      <c r="X2955" s="385"/>
    </row>
    <row r="2956">
      <c r="A2956" s="384" t="s">
        <v>117</v>
      </c>
      <c r="B2956" s="384" t="s">
        <v>269</v>
      </c>
      <c r="C2956" s="389"/>
      <c r="D2956" s="389">
        <v>2.5</v>
      </c>
      <c r="E2956" s="384"/>
      <c r="F2956" s="389"/>
      <c r="G2956" s="389"/>
      <c r="W2956" s="384"/>
      <c r="X2956" s="385"/>
    </row>
    <row r="2957">
      <c r="A2957" s="384" t="s">
        <v>119</v>
      </c>
      <c r="B2957" s="384" t="s">
        <v>265</v>
      </c>
      <c r="C2957" s="389"/>
      <c r="D2957" s="389">
        <v>2.0</v>
      </c>
      <c r="E2957" s="384"/>
      <c r="F2957" s="389"/>
      <c r="G2957" s="389"/>
      <c r="W2957" s="384"/>
      <c r="X2957" s="385"/>
    </row>
    <row r="2958">
      <c r="A2958" s="384" t="s">
        <v>96</v>
      </c>
      <c r="B2958" s="384" t="s">
        <v>269</v>
      </c>
      <c r="C2958" s="389"/>
      <c r="D2958" s="389">
        <v>2.75</v>
      </c>
      <c r="E2958" s="384"/>
      <c r="F2958" s="389"/>
      <c r="G2958" s="389"/>
      <c r="W2958" s="384"/>
      <c r="X2958" s="385"/>
    </row>
    <row r="2959">
      <c r="A2959" s="384" t="s">
        <v>86</v>
      </c>
      <c r="B2959" s="384" t="s">
        <v>261</v>
      </c>
      <c r="C2959" s="389">
        <v>2.5</v>
      </c>
      <c r="D2959" s="389">
        <v>3.0</v>
      </c>
      <c r="E2959" s="384"/>
      <c r="F2959" s="389"/>
      <c r="G2959" s="389"/>
      <c r="W2959" s="384"/>
      <c r="X2959" s="385"/>
    </row>
    <row r="2960">
      <c r="A2960" s="384" t="s">
        <v>130</v>
      </c>
      <c r="B2960" s="384" t="s">
        <v>271</v>
      </c>
      <c r="C2960" s="389">
        <v>2.5</v>
      </c>
      <c r="D2960" s="389">
        <v>2.75</v>
      </c>
      <c r="E2960" s="384"/>
      <c r="F2960" s="389"/>
      <c r="G2960" s="389"/>
      <c r="W2960" s="384"/>
      <c r="X2960" s="385"/>
    </row>
    <row r="2961">
      <c r="A2961" s="384" t="s">
        <v>123</v>
      </c>
      <c r="B2961" s="384" t="s">
        <v>261</v>
      </c>
      <c r="C2961" s="389">
        <v>2.5</v>
      </c>
      <c r="D2961" s="389">
        <v>2.0</v>
      </c>
      <c r="E2961" s="384" t="s">
        <v>11</v>
      </c>
      <c r="F2961" s="389"/>
      <c r="G2961" s="389">
        <v>0.5</v>
      </c>
      <c r="W2961" s="384"/>
      <c r="X2961" s="385"/>
    </row>
    <row r="2962">
      <c r="A2962" s="384" t="s">
        <v>112</v>
      </c>
      <c r="B2962" s="384" t="s">
        <v>261</v>
      </c>
      <c r="C2962" s="389">
        <v>2.5</v>
      </c>
      <c r="D2962" s="389">
        <v>3.75</v>
      </c>
      <c r="E2962" s="384"/>
      <c r="F2962" s="389"/>
      <c r="G2962" s="389"/>
      <c r="W2962" s="384"/>
      <c r="X2962" s="385"/>
    </row>
    <row r="2963">
      <c r="A2963" s="384" t="s">
        <v>134</v>
      </c>
      <c r="B2963" s="384" t="s">
        <v>261</v>
      </c>
      <c r="C2963" s="389"/>
      <c r="D2963" s="389">
        <v>2.75</v>
      </c>
      <c r="E2963" s="384"/>
      <c r="F2963" s="389"/>
      <c r="G2963" s="389"/>
      <c r="W2963" s="384"/>
      <c r="X2963" s="385"/>
    </row>
    <row r="2964">
      <c r="A2964" s="384" t="s">
        <v>101</v>
      </c>
      <c r="B2964" s="384" t="s">
        <v>261</v>
      </c>
      <c r="C2964" s="389"/>
      <c r="D2964" s="389">
        <v>2.5</v>
      </c>
      <c r="E2964" s="384" t="s">
        <v>263</v>
      </c>
      <c r="F2964" s="389"/>
      <c r="G2964" s="389"/>
      <c r="W2964" s="384"/>
      <c r="X2964" s="385"/>
    </row>
    <row r="2965">
      <c r="A2965" s="384" t="s">
        <v>92</v>
      </c>
      <c r="B2965" s="384" t="s">
        <v>265</v>
      </c>
      <c r="C2965" s="389">
        <v>2.5</v>
      </c>
      <c r="D2965" s="389">
        <v>4.0</v>
      </c>
      <c r="E2965" s="384" t="s">
        <v>260</v>
      </c>
      <c r="F2965" s="389"/>
      <c r="G2965" s="389"/>
      <c r="W2965" s="384"/>
      <c r="X2965" s="385"/>
    </row>
    <row r="2966">
      <c r="A2966" s="384" t="s">
        <v>117</v>
      </c>
      <c r="B2966" s="384" t="s">
        <v>261</v>
      </c>
      <c r="C2966" s="389"/>
      <c r="D2966" s="389">
        <v>3.25</v>
      </c>
      <c r="E2966" s="384"/>
      <c r="F2966" s="389"/>
      <c r="G2966" s="389"/>
      <c r="W2966" s="384"/>
      <c r="X2966" s="385"/>
    </row>
    <row r="2967">
      <c r="A2967" s="384" t="s">
        <v>119</v>
      </c>
      <c r="B2967" s="384" t="s">
        <v>271</v>
      </c>
      <c r="C2967" s="389"/>
      <c r="D2967" s="389">
        <v>2.5</v>
      </c>
      <c r="E2967" s="384"/>
      <c r="F2967" s="389"/>
      <c r="G2967" s="389"/>
      <c r="W2967" s="384"/>
      <c r="X2967" s="385"/>
    </row>
    <row r="2968">
      <c r="A2968" s="384" t="s">
        <v>96</v>
      </c>
      <c r="B2968" s="384" t="s">
        <v>269</v>
      </c>
      <c r="C2968" s="389">
        <v>2.5</v>
      </c>
      <c r="D2968" s="389">
        <v>2.5</v>
      </c>
      <c r="E2968" s="384"/>
      <c r="F2968" s="389"/>
      <c r="G2968" s="389"/>
      <c r="W2968" s="384"/>
      <c r="X2968" s="385"/>
    </row>
    <row r="2969">
      <c r="A2969" s="384" t="s">
        <v>86</v>
      </c>
      <c r="B2969" s="384" t="s">
        <v>261</v>
      </c>
      <c r="C2969" s="389"/>
      <c r="D2969" s="389">
        <v>1.75</v>
      </c>
      <c r="E2969" s="384" t="s">
        <v>263</v>
      </c>
      <c r="F2969" s="389"/>
      <c r="G2969" s="389"/>
      <c r="W2969" s="384"/>
      <c r="X2969" s="385"/>
    </row>
    <row r="2970">
      <c r="A2970" s="384" t="s">
        <v>130</v>
      </c>
      <c r="B2970" s="384" t="s">
        <v>261</v>
      </c>
      <c r="C2970" s="389"/>
      <c r="D2970" s="389">
        <v>2.25</v>
      </c>
      <c r="E2970" s="384" t="s">
        <v>11</v>
      </c>
      <c r="F2970" s="389"/>
      <c r="G2970" s="389">
        <v>0.5</v>
      </c>
      <c r="W2970" s="384"/>
      <c r="X2970" s="385"/>
    </row>
    <row r="2971">
      <c r="A2971" s="384" t="s">
        <v>123</v>
      </c>
      <c r="B2971" s="384" t="s">
        <v>261</v>
      </c>
      <c r="C2971" s="389"/>
      <c r="D2971" s="389">
        <v>3.5</v>
      </c>
      <c r="E2971" s="384"/>
      <c r="F2971" s="389"/>
      <c r="G2971" s="389"/>
      <c r="W2971" s="384"/>
      <c r="X2971" s="385"/>
    </row>
    <row r="2972">
      <c r="A2972" s="384" t="s">
        <v>112</v>
      </c>
      <c r="B2972" s="384" t="s">
        <v>269</v>
      </c>
      <c r="C2972" s="389">
        <v>2.5</v>
      </c>
      <c r="D2972" s="389">
        <v>3.0</v>
      </c>
      <c r="E2972" s="384"/>
      <c r="F2972" s="389"/>
      <c r="G2972" s="389"/>
      <c r="W2972" s="384"/>
      <c r="X2972" s="385"/>
    </row>
    <row r="2973">
      <c r="A2973" s="384" t="s">
        <v>134</v>
      </c>
      <c r="B2973" s="384" t="s">
        <v>261</v>
      </c>
      <c r="C2973" s="389">
        <v>2.5</v>
      </c>
      <c r="D2973" s="389">
        <v>3.5</v>
      </c>
      <c r="E2973" s="384"/>
      <c r="F2973" s="389"/>
      <c r="G2973" s="389"/>
      <c r="W2973" s="384"/>
      <c r="X2973" s="385"/>
    </row>
    <row r="2974">
      <c r="A2974" s="384" t="s">
        <v>101</v>
      </c>
      <c r="B2974" s="384" t="s">
        <v>261</v>
      </c>
      <c r="C2974" s="389">
        <v>2.5</v>
      </c>
      <c r="D2974" s="389">
        <v>3.75</v>
      </c>
      <c r="E2974" s="384"/>
      <c r="F2974" s="389"/>
      <c r="G2974" s="389"/>
      <c r="W2974" s="384"/>
      <c r="X2974" s="385"/>
    </row>
    <row r="2975">
      <c r="A2975" s="384" t="s">
        <v>92</v>
      </c>
      <c r="B2975" s="384" t="s">
        <v>265</v>
      </c>
      <c r="C2975" s="389"/>
      <c r="D2975" s="389">
        <v>2.5</v>
      </c>
      <c r="E2975" s="384"/>
      <c r="F2975" s="389"/>
      <c r="G2975" s="389"/>
      <c r="W2975" s="384"/>
      <c r="X2975" s="385"/>
    </row>
    <row r="2976">
      <c r="A2976" s="384" t="s">
        <v>117</v>
      </c>
      <c r="B2976" s="384" t="s">
        <v>261</v>
      </c>
      <c r="C2976" s="389">
        <v>2.5</v>
      </c>
      <c r="D2976" s="389">
        <v>2.75</v>
      </c>
      <c r="E2976" s="384" t="s">
        <v>11</v>
      </c>
      <c r="F2976" s="389"/>
      <c r="G2976" s="389">
        <v>0.5</v>
      </c>
      <c r="W2976" s="384"/>
      <c r="X2976" s="385"/>
    </row>
    <row r="2977">
      <c r="A2977" s="384" t="s">
        <v>119</v>
      </c>
      <c r="B2977" s="384" t="s">
        <v>271</v>
      </c>
      <c r="C2977" s="389">
        <v>2.5</v>
      </c>
      <c r="D2977" s="389">
        <v>2.25</v>
      </c>
      <c r="E2977" s="384"/>
      <c r="F2977" s="389"/>
      <c r="G2977" s="389"/>
      <c r="W2977" s="384"/>
      <c r="X2977" s="385"/>
    </row>
    <row r="2978">
      <c r="A2978" s="384" t="s">
        <v>96</v>
      </c>
      <c r="B2978" s="384" t="s">
        <v>261</v>
      </c>
      <c r="C2978" s="389">
        <v>2.5</v>
      </c>
      <c r="D2978" s="389">
        <v>1.25</v>
      </c>
      <c r="E2978" s="384"/>
      <c r="F2978" s="389"/>
      <c r="G2978" s="389"/>
      <c r="W2978" s="384"/>
      <c r="X2978" s="385"/>
    </row>
    <row r="2979">
      <c r="A2979" s="384" t="s">
        <v>86</v>
      </c>
      <c r="B2979" s="384" t="s">
        <v>261</v>
      </c>
      <c r="C2979" s="389">
        <v>2.5</v>
      </c>
      <c r="D2979" s="389">
        <v>2.0</v>
      </c>
      <c r="E2979" s="384"/>
      <c r="F2979" s="389"/>
      <c r="G2979" s="389"/>
      <c r="W2979" s="384"/>
      <c r="X2979" s="385"/>
    </row>
    <row r="2980">
      <c r="A2980" s="384" t="s">
        <v>130</v>
      </c>
      <c r="B2980" s="384" t="s">
        <v>269</v>
      </c>
      <c r="C2980" s="389"/>
      <c r="D2980" s="389">
        <v>2.25</v>
      </c>
      <c r="E2980" s="384"/>
      <c r="F2980" s="389"/>
      <c r="G2980" s="389"/>
      <c r="W2980" s="384"/>
      <c r="X2980" s="385"/>
    </row>
    <row r="2981">
      <c r="A2981" s="384" t="s">
        <v>123</v>
      </c>
      <c r="B2981" s="384" t="s">
        <v>261</v>
      </c>
      <c r="C2981" s="389">
        <v>2.5</v>
      </c>
      <c r="D2981" s="389">
        <v>2.0</v>
      </c>
      <c r="E2981" s="384"/>
      <c r="F2981" s="389"/>
      <c r="G2981" s="389"/>
      <c r="W2981" s="384"/>
      <c r="X2981" s="385"/>
    </row>
    <row r="2982">
      <c r="A2982" s="384" t="s">
        <v>112</v>
      </c>
      <c r="B2982" s="384" t="s">
        <v>269</v>
      </c>
      <c r="C2982" s="389"/>
      <c r="D2982" s="389">
        <v>2.0</v>
      </c>
      <c r="E2982" s="384"/>
      <c r="F2982" s="389"/>
      <c r="G2982" s="389"/>
      <c r="W2982" s="384"/>
      <c r="X2982" s="385"/>
    </row>
    <row r="2983">
      <c r="A2983" s="384" t="s">
        <v>134</v>
      </c>
      <c r="B2983" s="384" t="s">
        <v>269</v>
      </c>
      <c r="C2983" s="389"/>
      <c r="D2983" s="389">
        <v>2.5</v>
      </c>
      <c r="E2983" s="384"/>
      <c r="F2983" s="389"/>
      <c r="G2983" s="389"/>
      <c r="W2983" s="384"/>
      <c r="X2983" s="385"/>
    </row>
    <row r="2984">
      <c r="A2984" s="384" t="s">
        <v>101</v>
      </c>
      <c r="B2984" s="384" t="s">
        <v>261</v>
      </c>
      <c r="C2984" s="389">
        <v>2.5</v>
      </c>
      <c r="D2984" s="389">
        <v>3.25</v>
      </c>
      <c r="E2984" s="384"/>
      <c r="F2984" s="389"/>
      <c r="G2984" s="389"/>
      <c r="W2984" s="384"/>
      <c r="X2984" s="385"/>
    </row>
    <row r="2985">
      <c r="A2985" s="384" t="s">
        <v>92</v>
      </c>
      <c r="B2985" s="384" t="s">
        <v>261</v>
      </c>
      <c r="C2985" s="389">
        <v>2.5</v>
      </c>
      <c r="D2985" s="389">
        <v>4.0</v>
      </c>
      <c r="E2985" s="384"/>
      <c r="F2985" s="389"/>
      <c r="G2985" s="389"/>
      <c r="W2985" s="384"/>
      <c r="X2985" s="385"/>
    </row>
    <row r="2986">
      <c r="A2986" s="384" t="s">
        <v>117</v>
      </c>
      <c r="B2986" s="384" t="s">
        <v>269</v>
      </c>
      <c r="C2986" s="389"/>
      <c r="D2986" s="389">
        <v>2.25</v>
      </c>
      <c r="E2986" s="384"/>
      <c r="F2986" s="389"/>
      <c r="G2986" s="389"/>
      <c r="W2986" s="384"/>
      <c r="X2986" s="385"/>
    </row>
    <row r="2987">
      <c r="A2987" s="384" t="s">
        <v>119</v>
      </c>
      <c r="B2987" s="384" t="s">
        <v>265</v>
      </c>
      <c r="C2987" s="389"/>
      <c r="D2987" s="389">
        <v>1.75</v>
      </c>
      <c r="E2987" s="384"/>
      <c r="F2987" s="389"/>
      <c r="G2987" s="389"/>
      <c r="W2987" s="384"/>
      <c r="X2987" s="385"/>
    </row>
    <row r="2988">
      <c r="A2988" s="384" t="s">
        <v>96</v>
      </c>
      <c r="B2988" s="384" t="s">
        <v>261</v>
      </c>
      <c r="C2988" s="389">
        <v>2.5</v>
      </c>
      <c r="D2988" s="389">
        <v>2.75</v>
      </c>
      <c r="E2988" s="384"/>
      <c r="F2988" s="389"/>
      <c r="G2988" s="389"/>
      <c r="W2988" s="384"/>
      <c r="X2988" s="385"/>
    </row>
    <row r="2989">
      <c r="A2989" s="384" t="s">
        <v>86</v>
      </c>
      <c r="B2989" s="384" t="s">
        <v>261</v>
      </c>
      <c r="C2989" s="389">
        <v>2.5</v>
      </c>
      <c r="D2989" s="389">
        <v>2.75</v>
      </c>
      <c r="E2989" s="384"/>
      <c r="F2989" s="389"/>
      <c r="G2989" s="389"/>
      <c r="W2989" s="384"/>
      <c r="X2989" s="385"/>
    </row>
    <row r="2990">
      <c r="A2990" s="384" t="s">
        <v>130</v>
      </c>
      <c r="B2990" s="384" t="s">
        <v>271</v>
      </c>
      <c r="C2990" s="389">
        <v>2.5</v>
      </c>
      <c r="D2990" s="389">
        <v>2.5</v>
      </c>
      <c r="E2990" s="384"/>
      <c r="F2990" s="389"/>
      <c r="G2990" s="389"/>
      <c r="W2990" s="384"/>
      <c r="X2990" s="385"/>
    </row>
    <row r="2991">
      <c r="A2991" s="384" t="s">
        <v>123</v>
      </c>
      <c r="B2991" s="384" t="s">
        <v>261</v>
      </c>
      <c r="C2991" s="389">
        <v>2.5</v>
      </c>
      <c r="D2991" s="389">
        <v>3.25</v>
      </c>
      <c r="E2991" s="384" t="s">
        <v>11</v>
      </c>
      <c r="F2991" s="389">
        <v>0.5</v>
      </c>
      <c r="G2991" s="389">
        <v>1.0</v>
      </c>
      <c r="W2991" s="384"/>
      <c r="X2991" s="385"/>
    </row>
    <row r="2992">
      <c r="A2992" s="384" t="s">
        <v>112</v>
      </c>
      <c r="B2992" s="384" t="s">
        <v>261</v>
      </c>
      <c r="C2992" s="389">
        <v>2.5</v>
      </c>
      <c r="D2992" s="389">
        <v>2.25</v>
      </c>
      <c r="E2992" s="384"/>
      <c r="F2992" s="389"/>
      <c r="G2992" s="389"/>
      <c r="W2992" s="384"/>
      <c r="X2992" s="385"/>
    </row>
    <row r="2993">
      <c r="A2993" s="384" t="s">
        <v>134</v>
      </c>
      <c r="B2993" s="384" t="s">
        <v>261</v>
      </c>
      <c r="C2993" s="389"/>
      <c r="D2993" s="389">
        <v>2.0</v>
      </c>
      <c r="E2993" s="384" t="s">
        <v>263</v>
      </c>
      <c r="F2993" s="389"/>
      <c r="G2993" s="389"/>
      <c r="W2993" s="384"/>
      <c r="X2993" s="385"/>
    </row>
    <row r="2994">
      <c r="A2994" s="384" t="s">
        <v>101</v>
      </c>
      <c r="B2994" s="384" t="s">
        <v>269</v>
      </c>
      <c r="C2994" s="389">
        <v>2.5</v>
      </c>
      <c r="D2994" s="389">
        <v>2.0</v>
      </c>
      <c r="E2994" s="384"/>
      <c r="F2994" s="389"/>
      <c r="G2994" s="389"/>
      <c r="W2994" s="384"/>
      <c r="X2994" s="385"/>
    </row>
    <row r="2995">
      <c r="A2995" s="384" t="s">
        <v>92</v>
      </c>
      <c r="B2995" s="384" t="s">
        <v>261</v>
      </c>
      <c r="C2995" s="389"/>
      <c r="D2995" s="389">
        <v>3.5</v>
      </c>
      <c r="E2995" s="384" t="s">
        <v>263</v>
      </c>
      <c r="F2995" s="389"/>
      <c r="G2995" s="389"/>
      <c r="W2995" s="384"/>
      <c r="X2995" s="385"/>
    </row>
    <row r="2996">
      <c r="A2996" s="384" t="s">
        <v>117</v>
      </c>
      <c r="B2996" s="384" t="s">
        <v>261</v>
      </c>
      <c r="C2996" s="389"/>
      <c r="D2996" s="389">
        <v>3.0</v>
      </c>
      <c r="E2996" s="384"/>
      <c r="F2996" s="389"/>
      <c r="G2996" s="389"/>
      <c r="W2996" s="384"/>
      <c r="X2996" s="385"/>
    </row>
    <row r="2997">
      <c r="A2997" s="384" t="s">
        <v>119</v>
      </c>
      <c r="B2997" s="384" t="s">
        <v>265</v>
      </c>
      <c r="C2997" s="389">
        <v>2.5</v>
      </c>
      <c r="D2997" s="389">
        <v>4.25</v>
      </c>
      <c r="E2997" s="384" t="s">
        <v>260</v>
      </c>
      <c r="F2997" s="389"/>
      <c r="G2997" s="389"/>
      <c r="W2997" s="384"/>
      <c r="X2997" s="385"/>
    </row>
    <row r="2998">
      <c r="A2998" s="384" t="s">
        <v>96</v>
      </c>
      <c r="B2998" s="384" t="s">
        <v>271</v>
      </c>
      <c r="C2998" s="389"/>
      <c r="D2998" s="389">
        <v>1.75</v>
      </c>
      <c r="E2998" s="384" t="s">
        <v>11</v>
      </c>
      <c r="F2998" s="389"/>
      <c r="G2998" s="389">
        <v>0.5</v>
      </c>
      <c r="W2998" s="384"/>
      <c r="X2998" s="385"/>
    </row>
    <row r="2999">
      <c r="A2999" s="384" t="s">
        <v>86</v>
      </c>
      <c r="B2999" s="384" t="s">
        <v>261</v>
      </c>
      <c r="C2999" s="389"/>
      <c r="D2999" s="389">
        <v>1.75</v>
      </c>
      <c r="E2999" s="384"/>
      <c r="F2999" s="389"/>
      <c r="G2999" s="389"/>
      <c r="W2999" s="384"/>
      <c r="X2999" s="385"/>
    </row>
    <row r="3000">
      <c r="A3000" s="384" t="s">
        <v>130</v>
      </c>
      <c r="B3000" s="384" t="s">
        <v>269</v>
      </c>
      <c r="C3000" s="389">
        <v>2.5</v>
      </c>
      <c r="D3000" s="389">
        <v>2.0</v>
      </c>
      <c r="E3000" s="384"/>
      <c r="F3000" s="389"/>
      <c r="G3000" s="389"/>
      <c r="W3000" s="384"/>
      <c r="X3000" s="385"/>
    </row>
    <row r="3001">
      <c r="A3001" s="384" t="s">
        <v>123</v>
      </c>
      <c r="B3001" s="384" t="s">
        <v>261</v>
      </c>
      <c r="C3001" s="389"/>
      <c r="D3001" s="389">
        <v>2.0</v>
      </c>
      <c r="E3001" s="384"/>
      <c r="F3001" s="389"/>
      <c r="G3001" s="389"/>
      <c r="W3001" s="384"/>
      <c r="X3001" s="385"/>
    </row>
    <row r="3002">
      <c r="A3002" s="384" t="s">
        <v>112</v>
      </c>
      <c r="B3002" s="384" t="s">
        <v>261</v>
      </c>
      <c r="C3002" s="389"/>
      <c r="D3002" s="389">
        <v>3.5</v>
      </c>
      <c r="E3002" s="384"/>
      <c r="F3002" s="389"/>
      <c r="G3002" s="389"/>
      <c r="W3002" s="384"/>
      <c r="X3002" s="385"/>
    </row>
    <row r="3003">
      <c r="W3003" s="384"/>
      <c r="X3003" s="385"/>
    </row>
    <row r="3004">
      <c r="W3004" s="384"/>
      <c r="X3004" s="385"/>
    </row>
    <row r="3005">
      <c r="W3005" s="384"/>
      <c r="X3005" s="385"/>
    </row>
    <row r="3006">
      <c r="W3006" s="384"/>
      <c r="X3006" s="385"/>
    </row>
    <row r="3007">
      <c r="W3007" s="384"/>
      <c r="X3007" s="385"/>
    </row>
    <row r="3008">
      <c r="W3008" s="384"/>
      <c r="X3008" s="385"/>
    </row>
    <row r="3009">
      <c r="W3009" s="384"/>
      <c r="X3009" s="385"/>
    </row>
    <row r="3010">
      <c r="W3010" s="384"/>
      <c r="X3010" s="385"/>
    </row>
    <row r="3011">
      <c r="W3011" s="384"/>
      <c r="X3011" s="385"/>
    </row>
    <row r="3012">
      <c r="W3012" s="384"/>
      <c r="X3012" s="385"/>
    </row>
    <row r="3013">
      <c r="W3013" s="384"/>
      <c r="X3013" s="385"/>
    </row>
    <row r="3014">
      <c r="W3014" s="384"/>
      <c r="X3014" s="385"/>
    </row>
    <row r="3015">
      <c r="W3015" s="384"/>
      <c r="X3015" s="385"/>
    </row>
    <row r="3016">
      <c r="W3016" s="384"/>
      <c r="X3016" s="385"/>
    </row>
    <row r="3017">
      <c r="W3017" s="384"/>
      <c r="X3017" s="385"/>
    </row>
    <row r="3018">
      <c r="W3018" s="384"/>
      <c r="X3018" s="385"/>
    </row>
    <row r="3019">
      <c r="W3019" s="384"/>
      <c r="X3019" s="385"/>
    </row>
    <row r="3020">
      <c r="W3020" s="384"/>
      <c r="X3020" s="385"/>
    </row>
    <row r="3021">
      <c r="W3021" s="384"/>
      <c r="X3021" s="385"/>
    </row>
    <row r="3022">
      <c r="W3022" s="384"/>
      <c r="X3022" s="385"/>
    </row>
    <row r="3023">
      <c r="W3023" s="384"/>
      <c r="X3023" s="385"/>
    </row>
    <row r="3024">
      <c r="W3024" s="384"/>
      <c r="X3024" s="385"/>
    </row>
    <row r="3025">
      <c r="W3025" s="384"/>
      <c r="X3025" s="385"/>
    </row>
    <row r="3026">
      <c r="W3026" s="384"/>
      <c r="X3026" s="385"/>
    </row>
    <row r="3027">
      <c r="W3027" s="384"/>
      <c r="X3027" s="385"/>
    </row>
    <row r="3028">
      <c r="W3028" s="384"/>
      <c r="X3028" s="385"/>
    </row>
    <row r="3029">
      <c r="W3029" s="384"/>
      <c r="X3029" s="385"/>
    </row>
    <row r="3030">
      <c r="W3030" s="384"/>
      <c r="X3030" s="385"/>
    </row>
    <row r="3031">
      <c r="W3031" s="384"/>
      <c r="X3031" s="385"/>
    </row>
    <row r="3032">
      <c r="W3032" s="384"/>
      <c r="X3032" s="385"/>
    </row>
    <row r="3033">
      <c r="W3033" s="384"/>
      <c r="X3033" s="385"/>
    </row>
    <row r="3034">
      <c r="W3034" s="384"/>
      <c r="X3034" s="385"/>
    </row>
    <row r="3035">
      <c r="W3035" s="384"/>
      <c r="X3035" s="385"/>
    </row>
    <row r="3036">
      <c r="W3036" s="384"/>
      <c r="X3036" s="385"/>
    </row>
    <row r="3037">
      <c r="W3037" s="384"/>
      <c r="X3037" s="385"/>
    </row>
    <row r="3038">
      <c r="W3038" s="384"/>
      <c r="X3038" s="385"/>
    </row>
    <row r="3039">
      <c r="W3039" s="384"/>
      <c r="X3039" s="385"/>
    </row>
    <row r="3040">
      <c r="W3040" s="384"/>
      <c r="X3040" s="385"/>
    </row>
    <row r="3041">
      <c r="W3041" s="384"/>
      <c r="X3041" s="385"/>
    </row>
    <row r="3042">
      <c r="W3042" s="384"/>
      <c r="X3042" s="385"/>
    </row>
    <row r="3043">
      <c r="W3043" s="384"/>
      <c r="X3043" s="385"/>
    </row>
    <row r="3044">
      <c r="W3044" s="384"/>
      <c r="X3044" s="385"/>
    </row>
    <row r="3045">
      <c r="W3045" s="384"/>
      <c r="X3045" s="385"/>
    </row>
    <row r="3046">
      <c r="W3046" s="384"/>
      <c r="X3046" s="385"/>
    </row>
    <row r="3047">
      <c r="W3047" s="384"/>
      <c r="X3047" s="385"/>
    </row>
    <row r="3048">
      <c r="W3048" s="384"/>
      <c r="X3048" s="385"/>
    </row>
    <row r="3049">
      <c r="W3049" s="384"/>
      <c r="X3049" s="385"/>
    </row>
    <row r="3050">
      <c r="W3050" s="384"/>
      <c r="X3050" s="385"/>
    </row>
    <row r="3051">
      <c r="W3051" s="384"/>
      <c r="X3051" s="385"/>
    </row>
    <row r="3052">
      <c r="W3052" s="384"/>
      <c r="X3052" s="385"/>
    </row>
    <row r="3053">
      <c r="W3053" s="384"/>
      <c r="X3053" s="385"/>
    </row>
    <row r="3054">
      <c r="W3054" s="384"/>
      <c r="X3054" s="385"/>
    </row>
    <row r="3055">
      <c r="W3055" s="384"/>
      <c r="X3055" s="385"/>
    </row>
    <row r="3056">
      <c r="W3056" s="384"/>
      <c r="X3056" s="385"/>
    </row>
    <row r="3057">
      <c r="W3057" s="384"/>
      <c r="X3057" s="385"/>
    </row>
    <row r="3058">
      <c r="W3058" s="384"/>
      <c r="X3058" s="385"/>
    </row>
    <row r="3059">
      <c r="W3059" s="384"/>
      <c r="X3059" s="385"/>
    </row>
    <row r="3060">
      <c r="W3060" s="384"/>
      <c r="X3060" s="385"/>
    </row>
    <row r="3061">
      <c r="W3061" s="384"/>
      <c r="X3061" s="385"/>
    </row>
    <row r="3062">
      <c r="W3062" s="384"/>
      <c r="X3062" s="385"/>
    </row>
    <row r="3063">
      <c r="W3063" s="384"/>
      <c r="X3063" s="385"/>
    </row>
    <row r="3064">
      <c r="W3064" s="384"/>
      <c r="X3064" s="385"/>
    </row>
    <row r="3065">
      <c r="W3065" s="384"/>
      <c r="X3065" s="385"/>
    </row>
    <row r="3066">
      <c r="W3066" s="384"/>
      <c r="X3066" s="385"/>
    </row>
    <row r="3067">
      <c r="W3067" s="384"/>
      <c r="X3067" s="385"/>
    </row>
    <row r="3068">
      <c r="W3068" s="384"/>
      <c r="X3068" s="385"/>
    </row>
    <row r="3069">
      <c r="W3069" s="384"/>
      <c r="X3069" s="385"/>
    </row>
    <row r="3070">
      <c r="W3070" s="384"/>
      <c r="X3070" s="385"/>
    </row>
    <row r="3071">
      <c r="W3071" s="384"/>
      <c r="X3071" s="385"/>
    </row>
    <row r="3072">
      <c r="W3072" s="384"/>
      <c r="X3072" s="385"/>
    </row>
    <row r="3073">
      <c r="W3073" s="384"/>
      <c r="X3073" s="385"/>
    </row>
    <row r="3074">
      <c r="W3074" s="384"/>
      <c r="X3074" s="385"/>
    </row>
    <row r="3075">
      <c r="W3075" s="384"/>
      <c r="X3075" s="385"/>
    </row>
    <row r="3076">
      <c r="W3076" s="384"/>
      <c r="X3076" s="385"/>
    </row>
    <row r="3077">
      <c r="W3077" s="384"/>
      <c r="X3077" s="385"/>
    </row>
    <row r="3078">
      <c r="W3078" s="384"/>
      <c r="X3078" s="385"/>
    </row>
    <row r="3079">
      <c r="W3079" s="384"/>
      <c r="X3079" s="385"/>
    </row>
    <row r="3080">
      <c r="W3080" s="384"/>
      <c r="X3080" s="385"/>
    </row>
    <row r="3081">
      <c r="W3081" s="384"/>
      <c r="X3081" s="385"/>
    </row>
    <row r="3082">
      <c r="W3082" s="384"/>
      <c r="X3082" s="385"/>
    </row>
    <row r="3083">
      <c r="W3083" s="384"/>
      <c r="X3083" s="385"/>
    </row>
    <row r="3084">
      <c r="W3084" s="384"/>
      <c r="X3084" s="385"/>
    </row>
    <row r="3085">
      <c r="W3085" s="384"/>
      <c r="X3085" s="385"/>
    </row>
    <row r="3086">
      <c r="W3086" s="384"/>
      <c r="X3086" s="385"/>
    </row>
    <row r="3087">
      <c r="W3087" s="384"/>
      <c r="X3087" s="385"/>
    </row>
    <row r="3088">
      <c r="W3088" s="384"/>
      <c r="X3088" s="385"/>
    </row>
    <row r="3089">
      <c r="W3089" s="384"/>
      <c r="X3089" s="385"/>
    </row>
    <row r="3090">
      <c r="W3090" s="384"/>
      <c r="X3090" s="385"/>
    </row>
    <row r="3091">
      <c r="W3091" s="384"/>
      <c r="X3091" s="385"/>
    </row>
    <row r="3092">
      <c r="W3092" s="384"/>
      <c r="X3092" s="385"/>
    </row>
    <row r="3093">
      <c r="W3093" s="384"/>
      <c r="X3093" s="385"/>
    </row>
    <row r="3094">
      <c r="W3094" s="384"/>
      <c r="X3094" s="385"/>
    </row>
    <row r="3095">
      <c r="W3095" s="384"/>
      <c r="X3095" s="385"/>
    </row>
    <row r="3096">
      <c r="W3096" s="384"/>
      <c r="X3096" s="385"/>
    </row>
    <row r="3097">
      <c r="W3097" s="384"/>
      <c r="X3097" s="385"/>
    </row>
    <row r="3098">
      <c r="W3098" s="384"/>
      <c r="X3098" s="385"/>
    </row>
    <row r="3099">
      <c r="W3099" s="384"/>
      <c r="X3099" s="385"/>
    </row>
    <row r="3100">
      <c r="W3100" s="384"/>
      <c r="X3100" s="385"/>
    </row>
    <row r="3101">
      <c r="W3101" s="384"/>
      <c r="X3101" s="385"/>
    </row>
    <row r="3102">
      <c r="W3102" s="384"/>
      <c r="X3102" s="385"/>
    </row>
    <row r="3103">
      <c r="W3103" s="384"/>
      <c r="X3103" s="385"/>
    </row>
    <row r="3104">
      <c r="W3104" s="384"/>
      <c r="X3104" s="385"/>
    </row>
    <row r="3105">
      <c r="W3105" s="384"/>
      <c r="X3105" s="385"/>
    </row>
    <row r="3106">
      <c r="W3106" s="384"/>
      <c r="X3106" s="385"/>
    </row>
    <row r="3107">
      <c r="W3107" s="384"/>
      <c r="X3107" s="385"/>
    </row>
    <row r="3108">
      <c r="W3108" s="384"/>
      <c r="X3108" s="385"/>
    </row>
    <row r="3109">
      <c r="W3109" s="384"/>
      <c r="X3109" s="385"/>
    </row>
    <row r="3110">
      <c r="W3110" s="384"/>
      <c r="X3110" s="385"/>
    </row>
    <row r="3111">
      <c r="W3111" s="384"/>
      <c r="X3111" s="385"/>
    </row>
    <row r="3112">
      <c r="W3112" s="384"/>
      <c r="X3112" s="385"/>
    </row>
    <row r="3113">
      <c r="W3113" s="384"/>
      <c r="X3113" s="385"/>
    </row>
    <row r="3114">
      <c r="W3114" s="384"/>
      <c r="X3114" s="385"/>
    </row>
    <row r="3115">
      <c r="W3115" s="384"/>
      <c r="X3115" s="385"/>
    </row>
    <row r="3116">
      <c r="W3116" s="384"/>
      <c r="X3116" s="385"/>
    </row>
    <row r="3117">
      <c r="W3117" s="384"/>
      <c r="X3117" s="385"/>
    </row>
    <row r="3118">
      <c r="W3118" s="384"/>
      <c r="X3118" s="385"/>
    </row>
    <row r="3119">
      <c r="W3119" s="384"/>
      <c r="X3119" s="385"/>
    </row>
    <row r="3120">
      <c r="W3120" s="384"/>
      <c r="X3120" s="385"/>
    </row>
    <row r="3121">
      <c r="W3121" s="384"/>
      <c r="X3121" s="385"/>
    </row>
    <row r="3122">
      <c r="W3122" s="384"/>
      <c r="X3122" s="385"/>
    </row>
    <row r="3123">
      <c r="W3123" s="384"/>
      <c r="X3123" s="385"/>
    </row>
    <row r="3124">
      <c r="W3124" s="384"/>
      <c r="X3124" s="385"/>
    </row>
    <row r="3125">
      <c r="W3125" s="384"/>
      <c r="X3125" s="385"/>
    </row>
    <row r="3126">
      <c r="W3126" s="384"/>
      <c r="X3126" s="385"/>
    </row>
    <row r="3127">
      <c r="W3127" s="384"/>
      <c r="X3127" s="385"/>
    </row>
    <row r="3128">
      <c r="W3128" s="384"/>
      <c r="X3128" s="385"/>
    </row>
    <row r="3129">
      <c r="W3129" s="384"/>
      <c r="X3129" s="385"/>
    </row>
    <row r="3130">
      <c r="W3130" s="384"/>
      <c r="X3130" s="385"/>
    </row>
    <row r="3131">
      <c r="W3131" s="384"/>
      <c r="X3131" s="385"/>
    </row>
    <row r="3132">
      <c r="W3132" s="384"/>
      <c r="X3132" s="385"/>
    </row>
    <row r="3133">
      <c r="W3133" s="384"/>
      <c r="X3133" s="385"/>
    </row>
    <row r="3134">
      <c r="W3134" s="384"/>
      <c r="X3134" s="385"/>
    </row>
    <row r="3135">
      <c r="W3135" s="384"/>
      <c r="X3135" s="385"/>
    </row>
    <row r="3136">
      <c r="W3136" s="384"/>
      <c r="X3136" s="385"/>
    </row>
    <row r="3137">
      <c r="W3137" s="384"/>
      <c r="X3137" s="385"/>
    </row>
    <row r="3138">
      <c r="W3138" s="384"/>
      <c r="X3138" s="385"/>
    </row>
    <row r="3139">
      <c r="W3139" s="384"/>
      <c r="X3139" s="385"/>
    </row>
    <row r="3140">
      <c r="W3140" s="384"/>
      <c r="X3140" s="385"/>
    </row>
    <row r="3141">
      <c r="W3141" s="384"/>
      <c r="X3141" s="385"/>
    </row>
  </sheetData>
  <autoFilter ref="$A$1:$G$3141"/>
  <mergeCells count="5">
    <mergeCell ref="B1:G1"/>
    <mergeCell ref="Z1:Z2"/>
    <mergeCell ref="AA1:AF1"/>
    <mergeCell ref="AH1:AH2"/>
    <mergeCell ref="AI1:A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0"/>
    <col customWidth="1" min="2" max="2" width="11.5"/>
    <col customWidth="1" min="3" max="3" width="9.88"/>
    <col customWidth="1" min="4" max="4" width="9.38"/>
    <col customWidth="1" min="5" max="5" width="9.0"/>
    <col customWidth="1" min="6" max="6" width="10.5"/>
    <col customWidth="1" min="7" max="7" width="11.88"/>
    <col customWidth="1" min="8" max="8" width="13.25"/>
  </cols>
  <sheetData>
    <row r="1">
      <c r="A1" s="319"/>
      <c r="B1" s="320"/>
      <c r="C1" s="322"/>
      <c r="D1" s="322"/>
      <c r="E1" s="322"/>
      <c r="F1" s="322"/>
      <c r="G1" s="322"/>
      <c r="H1" s="322"/>
      <c r="I1" s="323" t="s">
        <v>3</v>
      </c>
      <c r="S1" s="324" t="s">
        <v>214</v>
      </c>
      <c r="Z1" s="325" t="s">
        <v>215</v>
      </c>
      <c r="AE1" s="326" t="s">
        <v>216</v>
      </c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</row>
    <row r="2">
      <c r="A2" s="328"/>
      <c r="C2" s="322"/>
      <c r="D2" s="322"/>
      <c r="E2" s="322"/>
      <c r="F2" s="322"/>
      <c r="G2" s="322"/>
      <c r="H2" s="322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</row>
    <row r="3">
      <c r="A3" s="328"/>
      <c r="B3" s="189"/>
      <c r="C3" s="322"/>
      <c r="D3" s="322"/>
      <c r="E3" s="322"/>
      <c r="F3" s="322"/>
      <c r="G3" s="322"/>
      <c r="H3" s="322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</row>
    <row r="4">
      <c r="A4" s="329" t="s">
        <v>2</v>
      </c>
      <c r="B4" s="330" t="s">
        <v>3</v>
      </c>
      <c r="C4" s="332" t="s">
        <v>217</v>
      </c>
      <c r="D4" s="332" t="s">
        <v>218</v>
      </c>
      <c r="E4" s="332" t="s">
        <v>11</v>
      </c>
      <c r="F4" s="332" t="s">
        <v>219</v>
      </c>
      <c r="G4" s="333" t="s">
        <v>220</v>
      </c>
      <c r="H4" s="333" t="s">
        <v>221</v>
      </c>
      <c r="I4" s="334" t="s">
        <v>222</v>
      </c>
      <c r="J4" s="335" t="s">
        <v>223</v>
      </c>
      <c r="K4" s="336" t="s">
        <v>224</v>
      </c>
      <c r="L4" s="336" t="s">
        <v>225</v>
      </c>
      <c r="M4" s="337" t="s">
        <v>226</v>
      </c>
      <c r="N4" s="337" t="s">
        <v>227</v>
      </c>
      <c r="O4" s="335" t="s">
        <v>228</v>
      </c>
      <c r="P4" s="335" t="s">
        <v>229</v>
      </c>
      <c r="Q4" s="338" t="s">
        <v>230</v>
      </c>
      <c r="R4" s="338" t="s">
        <v>231</v>
      </c>
      <c r="S4" s="339" t="s">
        <v>232</v>
      </c>
      <c r="T4" s="339" t="s">
        <v>233</v>
      </c>
      <c r="U4" s="339" t="s">
        <v>234</v>
      </c>
      <c r="V4" s="336" t="s">
        <v>235</v>
      </c>
      <c r="W4" s="337" t="s">
        <v>236</v>
      </c>
      <c r="X4" s="335" t="s">
        <v>237</v>
      </c>
      <c r="Y4" s="338" t="s">
        <v>238</v>
      </c>
      <c r="Z4" s="339" t="s">
        <v>239</v>
      </c>
      <c r="AA4" s="340" t="s">
        <v>240</v>
      </c>
      <c r="AB4" s="341" t="s">
        <v>241</v>
      </c>
      <c r="AC4" s="342" t="s">
        <v>242</v>
      </c>
      <c r="AD4" s="343" t="s">
        <v>243</v>
      </c>
      <c r="AE4" s="339" t="s">
        <v>244</v>
      </c>
      <c r="AF4" s="340" t="s">
        <v>245</v>
      </c>
      <c r="AG4" s="337" t="s">
        <v>246</v>
      </c>
      <c r="AH4" s="342" t="s">
        <v>247</v>
      </c>
      <c r="AI4" s="343" t="s">
        <v>248</v>
      </c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345"/>
      <c r="BJ4" s="345"/>
      <c r="BK4" s="345"/>
    </row>
    <row r="5">
      <c r="A5" s="392"/>
      <c r="B5" s="347">
        <f t="shared" ref="B5:B14" si="1">SUM(I5:J5)</f>
        <v>0</v>
      </c>
      <c r="C5" s="350">
        <f>COUNTIFS('Все игры'!AH$3:AH950,A5,'Все игры'!AM$3:AM950,"=1")</f>
        <v>0</v>
      </c>
      <c r="D5" s="350">
        <f>COUNTIFS('Все игры'!AH$3:AH950,A5,'Все игры'!AM$3:AM950,"=0,50")</f>
        <v>0</v>
      </c>
      <c r="E5" s="350">
        <f>COUNTIFS('Все игры'!AH$3:AH950,A5,'Все игры'!AN$3:AN950,"&gt;0")</f>
        <v>0</v>
      </c>
      <c r="F5" s="351">
        <f t="shared" ref="F5:F14" si="2">IFERROR(E5/I5,0)</f>
        <v>0</v>
      </c>
      <c r="G5" s="352">
        <f>COUNTIFS('Все игры'!AH$3:AH950,A5,'Все игры'!AL$3:AL950,"У/Победа")</f>
        <v>0</v>
      </c>
      <c r="H5" s="352">
        <f>COUNTIFS('Все игры'!AH$3:AH950,A5,'Все игры'!AL$3:AL950,"У/Проигрыш")</f>
        <v>0</v>
      </c>
      <c r="I5" s="353">
        <f t="shared" ref="I5:I14" si="3">M5+N5+Q5+R5</f>
        <v>0</v>
      </c>
      <c r="J5" s="347">
        <f t="shared" ref="J5:J14" si="4">K5+L5+O5+P5</f>
        <v>0</v>
      </c>
      <c r="K5" s="347">
        <f>COUNTIFS('Все игры'!AH$3:AH950,A5,'Все игры'!AJ$3:AJ950,"&gt;0",'Все игры'!AI$3:AI950,"Мафия")</f>
        <v>0</v>
      </c>
      <c r="L5" s="347">
        <f>IFERROR(__xludf.DUMMYFUNCTION("COUNTBLANK(FILTER('Все игры'!AH$3:AJ950,'Все игры'!AH$3:AH950=A5,'Все игры'!AJ$3:AJ950 &lt; 1,'Все игры'!AI$3:AI950=""Мафия""))"),0.0)</f>
        <v>0</v>
      </c>
      <c r="M5" s="347">
        <f>COUNTIFS('Все игры'!AH$3:AH950,A5,'Все игры'!AJ$3:AJ950,"&gt;0",'Все игры'!AI$3:AI950,"Шериф")</f>
        <v>0</v>
      </c>
      <c r="N5" s="354">
        <f>IFERROR(__xludf.DUMMYFUNCTION("COUNTBLANK(FILTER('Все игры'!AH$3:AJ950,'Все игры'!AH$3:AH950=A5,'Все игры'!AJ$3:AJ950 &lt; 1,'Все игры'!AI$3:AI950=""Шериф""))"),0.0)</f>
        <v>0</v>
      </c>
      <c r="O5" s="347">
        <f>COUNTIFS('Все игры'!AH$3:AH950,A5,'Все игры'!AJ$3:AJ950,"&gt;0",'Все игры'!AI$3:AI950,"Дон")</f>
        <v>0</v>
      </c>
      <c r="P5" s="354">
        <f>IFERROR(__xludf.DUMMYFUNCTION("COUNTBLANK(FILTER('Все игры'!AH$3:AJ950,'Все игры'!AH$3:AH950=A5,'Все игры'!AJ$3:AJ950 &lt; 1,'Все игры'!AI$3:AI950=""Дон""))"),0.0)</f>
        <v>0</v>
      </c>
      <c r="Q5" s="347">
        <f>COUNTIFS('Все игры'!AH$3:AH950,A5,'Все игры'!AJ$3:AJ950,"&gt;0",'Все игры'!AI$3:AI950,"Мирный")</f>
        <v>0</v>
      </c>
      <c r="R5" s="354">
        <f>IFERROR(__xludf.DUMMYFUNCTION("COUNTBLANK(FILTER('Все игры'!AH$3:AJ950,'Все игры'!AH$3:AH950=A5,'Все игры'!AJ$3:AJ950 &lt; 1,'Все игры'!AI$3:AI950=""Мирный""))"),0.0)</f>
        <v>0</v>
      </c>
      <c r="S5" s="357" t="str">
        <f>IFERROR((K5+M5+O5+Q5)/B5, )</f>
        <v/>
      </c>
      <c r="T5" s="357">
        <f t="shared" ref="T5:T14" si="5">IFERROR(((M5+Q5)/I5),0)</f>
        <v>0</v>
      </c>
      <c r="U5" s="357">
        <f t="shared" ref="U5:U14" si="6">IFERROR(((K5+O5)/J5),0)</f>
        <v>0</v>
      </c>
      <c r="V5" s="357">
        <f t="shared" ref="V5:V14" si="7">IFERROR((K5/(K5+L5)),0)</f>
        <v>0</v>
      </c>
      <c r="W5" s="357">
        <f t="shared" ref="W5:W14" si="8">IFERROR((M5/(M5+N5)),0)</f>
        <v>0</v>
      </c>
      <c r="X5" s="357">
        <f t="shared" ref="X5:X14" si="9">IFERROR((O5/(O5+P5)),0)</f>
        <v>0</v>
      </c>
      <c r="Y5" s="358">
        <f t="shared" ref="Y5:Y14" si="10">IFERROR((Q5/(Q5+R5)),0)</f>
        <v>0</v>
      </c>
      <c r="Z5" s="348">
        <f>SUMIFS('Все игры'!AK$3:AK950,'Все игры'!AH$3:AH950,A5)</f>
        <v>0</v>
      </c>
      <c r="AA5" s="348">
        <f>SUMIFS('Все игры'!AK$3:AK950,'Все игры'!AH$3:AH950,A5,'Все игры'!AI$3:AI950,"Мафия")</f>
        <v>0</v>
      </c>
      <c r="AB5" s="359">
        <f>SUMIFS('Все игры'!AK$3:AK950,'Все игры'!AH$3:AH950,A5,'Все игры'!AI$3:AI950,"Шериф")</f>
        <v>0</v>
      </c>
      <c r="AC5" s="348">
        <f>SUMIFS('Все игры'!AK$3:AK950,'Все игры'!AH$3:AH950,A5,'Все игры'!AI$3:AI950,"Дон")</f>
        <v>0</v>
      </c>
      <c r="AD5" s="349">
        <f>SUMIFS('Все игры'!AK$3:AK950,'Все игры'!AH$3:AH950,A5,'Все игры'!AI$3:AI950,"Мирный")</f>
        <v>0</v>
      </c>
      <c r="AE5" s="348">
        <f t="shared" ref="AE5:AE14" si="11">IFERROR(Z5/B5,0)</f>
        <v>0</v>
      </c>
      <c r="AF5" s="348">
        <f t="shared" ref="AF5:AF14" si="12">IFERROR(AA5/(K5+L5),0)</f>
        <v>0</v>
      </c>
      <c r="AG5" s="348">
        <f t="shared" ref="AG5:AG14" si="13">IFERROR(AB5/(M5+N5),0)</f>
        <v>0</v>
      </c>
      <c r="AH5" s="348">
        <f t="shared" ref="AH5:AH14" si="14">IFERROR(AC5/(O5+P5),0)</f>
        <v>0</v>
      </c>
      <c r="AI5" s="348">
        <f t="shared" ref="AI5:AI14" si="15">IFERROR(AD5/(Q5+R5),0)</f>
        <v>0</v>
      </c>
      <c r="AJ5" s="348"/>
      <c r="AK5" s="348"/>
      <c r="AL5" s="348"/>
      <c r="AM5" s="348"/>
      <c r="AN5" s="348"/>
      <c r="AO5" s="348"/>
      <c r="AP5" s="348"/>
      <c r="AQ5" s="348"/>
      <c r="AR5" s="348"/>
      <c r="AS5" s="348"/>
      <c r="AT5" s="348"/>
      <c r="AU5" s="348"/>
      <c r="AV5" s="348"/>
      <c r="AW5" s="348"/>
      <c r="AX5" s="348"/>
      <c r="AY5" s="348"/>
      <c r="AZ5" s="348"/>
      <c r="BA5" s="348"/>
      <c r="BB5" s="348"/>
      <c r="BC5" s="348"/>
      <c r="BD5" s="348"/>
      <c r="BE5" s="348"/>
      <c r="BF5" s="348"/>
      <c r="BG5" s="348"/>
      <c r="BH5" s="348"/>
      <c r="BI5" s="348"/>
      <c r="BJ5" s="348"/>
      <c r="BK5" s="348"/>
    </row>
    <row r="6">
      <c r="A6" s="393"/>
      <c r="B6" s="361">
        <f t="shared" si="1"/>
        <v>0</v>
      </c>
      <c r="C6" s="364">
        <f>COUNTIFS('Все игры'!AH$3:AH950,A6,'Все игры'!AM$3:AM950,"=1")</f>
        <v>0</v>
      </c>
      <c r="D6" s="364">
        <f>COUNTIFS('Все игры'!AH$3:AH950,A6,'Все игры'!AM$3:AM950,"=0,50")</f>
        <v>0</v>
      </c>
      <c r="E6" s="364">
        <f>COUNTIFS('Все игры'!AH$3:AH950,A6,'Все игры'!AN$3:AN950,"&gt;0")</f>
        <v>0</v>
      </c>
      <c r="F6" s="365">
        <f t="shared" si="2"/>
        <v>0</v>
      </c>
      <c r="G6" s="366">
        <f>COUNTIFS('Все игры'!AH$3:AH950,A6,'Все игры'!AL$3:AL950,"У/Победа")</f>
        <v>0</v>
      </c>
      <c r="H6" s="366">
        <f>COUNTIFS('Все игры'!AH$3:AH950,A6,'Все игры'!AL$3:AL950,"У/Проигрыш")</f>
        <v>0</v>
      </c>
      <c r="I6" s="367">
        <f t="shared" si="3"/>
        <v>0</v>
      </c>
      <c r="J6" s="361">
        <f t="shared" si="4"/>
        <v>0</v>
      </c>
      <c r="K6" s="361">
        <f>COUNTIFS('Все игры'!AH$3:AH950,A6,'Все игры'!AJ$3:AJ950,"&gt;0",'Все игры'!AI$3:AI950,"Мафия")</f>
        <v>0</v>
      </c>
      <c r="L6" s="361">
        <f>IFERROR(__xludf.DUMMYFUNCTION("COUNTBLANK(FILTER('Все игры'!AH$3:AJ950,'Все игры'!AH$3:AH950=A6,'Все игры'!AJ$3:AJ950 &lt; 1,'Все игры'!AI$3:AI950=""Мафия""))"),0.0)</f>
        <v>0</v>
      </c>
      <c r="M6" s="361">
        <f>COUNTIFS('Все игры'!AH$3:AH950,A6,'Все игры'!AJ$3:AJ950,"&gt;0",'Все игры'!AI$3:AI950,"Шериф")</f>
        <v>0</v>
      </c>
      <c r="N6" s="368">
        <f>IFERROR(__xludf.DUMMYFUNCTION("COUNTBLANK(FILTER('Все игры'!AH$3:AJ950,'Все игры'!AH$3:AH950=A6,'Все игры'!AJ$3:AJ950 &lt; 1,'Все игры'!AI$3:AI950=""Шериф""))"),0.0)</f>
        <v>0</v>
      </c>
      <c r="O6" s="361">
        <f>COUNTIFS('Все игры'!AH$3:AH950,A6,'Все игры'!AJ$3:AJ950,"&gt;0",'Все игры'!AI$3:AI950,"Дон")</f>
        <v>0</v>
      </c>
      <c r="P6" s="368">
        <f>IFERROR(__xludf.DUMMYFUNCTION("COUNTBLANK(FILTER('Все игры'!AH$3:AJ950,'Все игры'!AH$3:AH950=A6,'Все игры'!AJ$3:AJ950 &lt; 1,'Все игры'!AI$3:AI950=""Дон""))"),0.0)</f>
        <v>0</v>
      </c>
      <c r="Q6" s="361">
        <f>COUNTIFS('Все игры'!AH$3:AH950,A6,'Все игры'!AJ$3:AJ950,"&gt;0",'Все игры'!AI$3:AI950,"Мирный")</f>
        <v>0</v>
      </c>
      <c r="R6" s="368">
        <f>IFERROR(__xludf.DUMMYFUNCTION("COUNTBLANK(FILTER('Все игры'!AH$3:AJ950,'Все игры'!AH$3:AH950=A6,'Все игры'!AJ$3:AJ950 &lt; 1,'Все игры'!AI$3:AI950=""Мирный""))"),0.0)</f>
        <v>0</v>
      </c>
      <c r="S6" s="371">
        <f t="shared" ref="S6:S14" si="16">IFERROR((K6+M6+O6+Q6)/B6,0)</f>
        <v>0</v>
      </c>
      <c r="T6" s="371">
        <f t="shared" si="5"/>
        <v>0</v>
      </c>
      <c r="U6" s="371">
        <f t="shared" si="6"/>
        <v>0</v>
      </c>
      <c r="V6" s="371">
        <f t="shared" si="7"/>
        <v>0</v>
      </c>
      <c r="W6" s="371">
        <f t="shared" si="8"/>
        <v>0</v>
      </c>
      <c r="X6" s="371">
        <f t="shared" si="9"/>
        <v>0</v>
      </c>
      <c r="Y6" s="372">
        <f t="shared" si="10"/>
        <v>0</v>
      </c>
      <c r="Z6" s="362">
        <f>SUMIFS('Все игры'!AK$3:AK950,'Все игры'!AH$3:AH950,A6)</f>
        <v>0</v>
      </c>
      <c r="AA6" s="362">
        <f>SUMIFS('Все игры'!AK$3:AK950,'Все игры'!AH$3:AH950,A6,'Все игры'!AI$3:AI950,"Мафия")</f>
        <v>0</v>
      </c>
      <c r="AB6" s="373">
        <f>SUMIFS('Все игры'!AK$3:AK950,'Все игры'!AH$3:AH950,A6,'Все игры'!AI$3:AI950,"Шериф")</f>
        <v>0</v>
      </c>
      <c r="AC6" s="362">
        <f>SUMIFS('Все игры'!AK$3:AK950,'Все игры'!AH$3:AH950,A6,'Все игры'!AI$3:AI950,"Дон")</f>
        <v>0</v>
      </c>
      <c r="AD6" s="363">
        <f>SUMIFS('Все игры'!AK$3:AK950,'Все игры'!AH$3:AH950,A6,'Все игры'!AI$3:AI950,"Мирный")</f>
        <v>0</v>
      </c>
      <c r="AE6" s="362">
        <f t="shared" si="11"/>
        <v>0</v>
      </c>
      <c r="AF6" s="362">
        <f t="shared" si="12"/>
        <v>0</v>
      </c>
      <c r="AG6" s="362">
        <f t="shared" si="13"/>
        <v>0</v>
      </c>
      <c r="AH6" s="362">
        <f t="shared" si="14"/>
        <v>0</v>
      </c>
      <c r="AI6" s="362">
        <f t="shared" si="15"/>
        <v>0</v>
      </c>
      <c r="AJ6" s="362"/>
      <c r="AK6" s="362"/>
      <c r="AL6" s="362"/>
      <c r="AM6" s="362"/>
      <c r="AN6" s="362"/>
      <c r="AO6" s="362"/>
      <c r="AP6" s="362"/>
      <c r="AQ6" s="362"/>
      <c r="AR6" s="362"/>
      <c r="AS6" s="362"/>
      <c r="AT6" s="362"/>
      <c r="AU6" s="362"/>
      <c r="AV6" s="362"/>
      <c r="AW6" s="362"/>
      <c r="AX6" s="362"/>
      <c r="AY6" s="362"/>
      <c r="AZ6" s="362"/>
      <c r="BA6" s="362"/>
      <c r="BB6" s="362"/>
      <c r="BC6" s="362"/>
      <c r="BD6" s="362"/>
      <c r="BE6" s="362"/>
      <c r="BF6" s="362"/>
      <c r="BG6" s="362"/>
      <c r="BH6" s="362"/>
      <c r="BI6" s="362"/>
      <c r="BJ6" s="362"/>
      <c r="BK6" s="362"/>
    </row>
    <row r="7">
      <c r="A7" s="392"/>
      <c r="B7" s="347">
        <f t="shared" si="1"/>
        <v>0</v>
      </c>
      <c r="C7" s="350">
        <f>COUNTIFS('Все игры'!AH$3:AH950,A7,'Все игры'!AM$3:AM950,"=1")</f>
        <v>0</v>
      </c>
      <c r="D7" s="350">
        <f>COUNTIFS('Все игры'!AH$3:AH950,A7,'Все игры'!AM$3:AM950,"=0,50")</f>
        <v>0</v>
      </c>
      <c r="E7" s="350">
        <f>COUNTIFS('Все игры'!AH$3:AH950,A7,'Все игры'!AN$3:AN950,"&gt;0")</f>
        <v>0</v>
      </c>
      <c r="F7" s="351">
        <f t="shared" si="2"/>
        <v>0</v>
      </c>
      <c r="G7" s="352">
        <f>COUNTIFS('Все игры'!AH$3:AH950,A7,'Все игры'!AL$3:AL950,"У/Победа")</f>
        <v>0</v>
      </c>
      <c r="H7" s="352">
        <f>COUNTIFS('Все игры'!AH$3:AH950,A7,'Все игры'!AL$3:AL950,"У/Проигрыш")</f>
        <v>0</v>
      </c>
      <c r="I7" s="353">
        <f t="shared" si="3"/>
        <v>0</v>
      </c>
      <c r="J7" s="347">
        <f t="shared" si="4"/>
        <v>0</v>
      </c>
      <c r="K7" s="347">
        <f>COUNTIFS('Все игры'!AH$3:AH950,A7,'Все игры'!AJ$3:AJ950,"&gt;0",'Все игры'!AI$3:AI950,"Мафия")</f>
        <v>0</v>
      </c>
      <c r="L7" s="347">
        <f>IFERROR(__xludf.DUMMYFUNCTION("COUNTBLANK(FILTER('Все игры'!AH$3:AJ950,'Все игры'!AH$3:AH950=A7,'Все игры'!AJ$3:AJ950 &lt; 1,'Все игры'!AI$3:AI950=""Мафия""))"),0.0)</f>
        <v>0</v>
      </c>
      <c r="M7" s="347">
        <f>COUNTIFS('Все игры'!AH$3:AH950,A7,'Все игры'!AJ$3:AJ950,"&gt;0",'Все игры'!AI$3:AI950,"Шериф")</f>
        <v>0</v>
      </c>
      <c r="N7" s="354">
        <f>IFERROR(__xludf.DUMMYFUNCTION("COUNTBLANK(FILTER('Все игры'!AH$3:AJ950,'Все игры'!AH$3:AH950=A7,'Все игры'!AJ$3:AJ950 &lt; 1,'Все игры'!AI$3:AI950=""Шериф""))"),0.0)</f>
        <v>0</v>
      </c>
      <c r="O7" s="347">
        <f>COUNTIFS('Все игры'!AH$3:AH950,A7,'Все игры'!AJ$3:AJ950,"&gt;0",'Все игры'!AI$3:AI950,"Дон")</f>
        <v>0</v>
      </c>
      <c r="P7" s="354">
        <f>IFERROR(__xludf.DUMMYFUNCTION("COUNTBLANK(FILTER('Все игры'!AH$3:AJ950,'Все игры'!AH$3:AH950=A7,'Все игры'!AJ$3:AJ950 &lt; 1,'Все игры'!AI$3:AI950=""Дон""))"),0.0)</f>
        <v>0</v>
      </c>
      <c r="Q7" s="347">
        <f>COUNTIFS('Все игры'!AH$3:AH950,A7,'Все игры'!AJ$3:AJ950,"&gt;0",'Все игры'!AI$3:AI950,"Мирный")</f>
        <v>0</v>
      </c>
      <c r="R7" s="354">
        <f>IFERROR(__xludf.DUMMYFUNCTION("COUNTBLANK(FILTER('Все игры'!AH$3:AJ950,'Все игры'!AH$3:AH950=A7,'Все игры'!AJ$3:AJ950 &lt; 1,'Все игры'!AI$3:AI950=""Мирный""))"),0.0)</f>
        <v>0</v>
      </c>
      <c r="S7" s="357">
        <f t="shared" si="16"/>
        <v>0</v>
      </c>
      <c r="T7" s="357">
        <f t="shared" si="5"/>
        <v>0</v>
      </c>
      <c r="U7" s="357">
        <f t="shared" si="6"/>
        <v>0</v>
      </c>
      <c r="V7" s="357">
        <f t="shared" si="7"/>
        <v>0</v>
      </c>
      <c r="W7" s="357">
        <f t="shared" si="8"/>
        <v>0</v>
      </c>
      <c r="X7" s="357">
        <f t="shared" si="9"/>
        <v>0</v>
      </c>
      <c r="Y7" s="358">
        <f t="shared" si="10"/>
        <v>0</v>
      </c>
      <c r="Z7" s="348">
        <f>SUMIFS('Все игры'!AK$3:AK950,'Все игры'!AH$3:AH950,A7)</f>
        <v>0</v>
      </c>
      <c r="AA7" s="348">
        <f>SUMIFS('Все игры'!AK$3:AK950,'Все игры'!AH$3:AH950,A7,'Все игры'!AI$3:AI950,"Мафия")</f>
        <v>0</v>
      </c>
      <c r="AB7" s="359">
        <f>SUMIFS('Все игры'!AK$3:AK950,'Все игры'!AH$3:AH950,A7,'Все игры'!AI$3:AI950,"Шериф")</f>
        <v>0</v>
      </c>
      <c r="AC7" s="348">
        <f>SUMIFS('Все игры'!AK$3:AK950,'Все игры'!AH$3:AH950,A7,'Все игры'!AI$3:AI950,"Дон")</f>
        <v>0</v>
      </c>
      <c r="AD7" s="349">
        <f>SUMIFS('Все игры'!AK$3:AK950,'Все игры'!AH$3:AH950,A7,'Все игры'!AI$3:AI950,"Мирный")</f>
        <v>0</v>
      </c>
      <c r="AE7" s="348">
        <f t="shared" si="11"/>
        <v>0</v>
      </c>
      <c r="AF7" s="348">
        <f t="shared" si="12"/>
        <v>0</v>
      </c>
      <c r="AG7" s="348">
        <f t="shared" si="13"/>
        <v>0</v>
      </c>
      <c r="AH7" s="348">
        <f t="shared" si="14"/>
        <v>0</v>
      </c>
      <c r="AI7" s="348">
        <f t="shared" si="15"/>
        <v>0</v>
      </c>
      <c r="AJ7" s="348"/>
      <c r="AK7" s="348"/>
      <c r="AL7" s="348"/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348"/>
      <c r="BD7" s="348"/>
      <c r="BE7" s="348"/>
      <c r="BF7" s="348"/>
      <c r="BG7" s="348"/>
      <c r="BH7" s="348"/>
      <c r="BI7" s="348"/>
      <c r="BJ7" s="348"/>
      <c r="BK7" s="348"/>
    </row>
    <row r="8">
      <c r="A8" s="393"/>
      <c r="B8" s="361">
        <f t="shared" si="1"/>
        <v>0</v>
      </c>
      <c r="C8" s="364">
        <f>COUNTIFS('Все игры'!AH$3:AH950,A8,'Все игры'!AM$3:AM950,"=1")</f>
        <v>0</v>
      </c>
      <c r="D8" s="364">
        <f>COUNTIFS('Все игры'!AH$3:AH950,A8,'Все игры'!AM$3:AM950,"=0,50")</f>
        <v>0</v>
      </c>
      <c r="E8" s="364">
        <f>COUNTIFS('Все игры'!AH$3:AH950,A8,'Все игры'!AN$3:AN950,"&gt;0")</f>
        <v>0</v>
      </c>
      <c r="F8" s="365">
        <f t="shared" si="2"/>
        <v>0</v>
      </c>
      <c r="G8" s="366">
        <f>COUNTIFS('Все игры'!AH$3:AH950,A8,'Все игры'!AL$3:AL950,"У/Победа")</f>
        <v>0</v>
      </c>
      <c r="H8" s="366">
        <f>COUNTIFS('Все игры'!AH$3:AH950,A8,'Все игры'!AL$3:AL950,"У/Проигрыш")</f>
        <v>0</v>
      </c>
      <c r="I8" s="367">
        <f t="shared" si="3"/>
        <v>0</v>
      </c>
      <c r="J8" s="361">
        <f t="shared" si="4"/>
        <v>0</v>
      </c>
      <c r="K8" s="361">
        <f>COUNTIFS('Все игры'!AH$3:AH950,A8,'Все игры'!AJ$3:AJ950,"&gt;0",'Все игры'!AI$3:AI950,"Мафия")</f>
        <v>0</v>
      </c>
      <c r="L8" s="361">
        <f>IFERROR(__xludf.DUMMYFUNCTION("COUNTBLANK(FILTER('Все игры'!AH$3:AJ950,'Все игры'!AH$3:AH950=A8,'Все игры'!AJ$3:AJ950 &lt; 1,'Все игры'!AI$3:AI950=""Мафия""))"),0.0)</f>
        <v>0</v>
      </c>
      <c r="M8" s="361">
        <f>COUNTIFS('Все игры'!AH$3:AH950,A8,'Все игры'!AJ$3:AJ950,"&gt;0",'Все игры'!AI$3:AI950,"Шериф")</f>
        <v>0</v>
      </c>
      <c r="N8" s="368">
        <f>IFERROR(__xludf.DUMMYFUNCTION("COUNTBLANK(FILTER('Все игры'!AH$3:AJ950,'Все игры'!AH$3:AH950=A8,'Все игры'!AJ$3:AJ950 &lt; 1,'Все игры'!AI$3:AI950=""Шериф""))"),0.0)</f>
        <v>0</v>
      </c>
      <c r="O8" s="361">
        <f>COUNTIFS('Все игры'!AH$3:AH950,A8,'Все игры'!AJ$3:AJ950,"&gt;0",'Все игры'!AI$3:AI950,"Дон")</f>
        <v>0</v>
      </c>
      <c r="P8" s="368">
        <f>IFERROR(__xludf.DUMMYFUNCTION("COUNTBLANK(FILTER('Все игры'!AH$3:AJ950,'Все игры'!AH$3:AH950=A8,'Все игры'!AJ$3:AJ950 &lt; 1,'Все игры'!AI$3:AI950=""Дон""))"),0.0)</f>
        <v>0</v>
      </c>
      <c r="Q8" s="361">
        <f>COUNTIFS('Все игры'!AH$3:AH950,A8,'Все игры'!AJ$3:AJ950,"&gt;0",'Все игры'!AI$3:AI950,"Мирный")</f>
        <v>0</v>
      </c>
      <c r="R8" s="368">
        <f>IFERROR(__xludf.DUMMYFUNCTION("COUNTBLANK(FILTER('Все игры'!AH$3:AJ950,'Все игры'!AH$3:AH950=A8,'Все игры'!AJ$3:AJ950 &lt; 1,'Все игры'!AI$3:AI950=""Мирный""))"),0.0)</f>
        <v>0</v>
      </c>
      <c r="S8" s="371">
        <f t="shared" si="16"/>
        <v>0</v>
      </c>
      <c r="T8" s="371">
        <f t="shared" si="5"/>
        <v>0</v>
      </c>
      <c r="U8" s="371">
        <f t="shared" si="6"/>
        <v>0</v>
      </c>
      <c r="V8" s="371">
        <f t="shared" si="7"/>
        <v>0</v>
      </c>
      <c r="W8" s="371">
        <f t="shared" si="8"/>
        <v>0</v>
      </c>
      <c r="X8" s="371">
        <f t="shared" si="9"/>
        <v>0</v>
      </c>
      <c r="Y8" s="372">
        <f t="shared" si="10"/>
        <v>0</v>
      </c>
      <c r="Z8" s="362">
        <f>SUMIFS('Все игры'!AK$3:AK950,'Все игры'!AH$3:AH950,A8)</f>
        <v>0</v>
      </c>
      <c r="AA8" s="362">
        <f>SUMIFS('Все игры'!AK$3:AK950,'Все игры'!AH$3:AH950,A8,'Все игры'!AI$3:AI950,"Мафия")</f>
        <v>0</v>
      </c>
      <c r="AB8" s="373">
        <f>SUMIFS('Все игры'!AK$3:AK950,'Все игры'!AH$3:AH950,A8,'Все игры'!AI$3:AI950,"Шериф")</f>
        <v>0</v>
      </c>
      <c r="AC8" s="362">
        <f>SUMIFS('Все игры'!AK$3:AK950,'Все игры'!AH$3:AH950,A8,'Все игры'!AI$3:AI950,"Дон")</f>
        <v>0</v>
      </c>
      <c r="AD8" s="363">
        <f>SUMIFS('Все игры'!AK$3:AK950,'Все игры'!AH$3:AH950,A8,'Все игры'!AI$3:AI950,"Мирный")</f>
        <v>0</v>
      </c>
      <c r="AE8" s="362">
        <f t="shared" si="11"/>
        <v>0</v>
      </c>
      <c r="AF8" s="362">
        <f t="shared" si="12"/>
        <v>0</v>
      </c>
      <c r="AG8" s="362">
        <f t="shared" si="13"/>
        <v>0</v>
      </c>
      <c r="AH8" s="362">
        <f t="shared" si="14"/>
        <v>0</v>
      </c>
      <c r="AI8" s="362">
        <f t="shared" si="15"/>
        <v>0</v>
      </c>
      <c r="AJ8" s="362"/>
      <c r="AK8" s="362"/>
      <c r="AL8" s="362"/>
      <c r="AM8" s="362"/>
      <c r="AN8" s="362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AY8" s="362"/>
      <c r="AZ8" s="362"/>
      <c r="BA8" s="362"/>
      <c r="BB8" s="362"/>
      <c r="BC8" s="362"/>
      <c r="BD8" s="362"/>
      <c r="BE8" s="362"/>
      <c r="BF8" s="362"/>
      <c r="BG8" s="362"/>
      <c r="BH8" s="362"/>
      <c r="BI8" s="362"/>
      <c r="BJ8" s="362"/>
      <c r="BK8" s="362"/>
    </row>
    <row r="9">
      <c r="A9" s="392"/>
      <c r="B9" s="347">
        <f t="shared" si="1"/>
        <v>0</v>
      </c>
      <c r="C9" s="350">
        <f>COUNTIFS('Все игры'!AH$3:AH950,A9,'Все игры'!AM$3:AM950,"=1")</f>
        <v>0</v>
      </c>
      <c r="D9" s="350">
        <f>COUNTIFS('Все игры'!AH$3:AH950,A9,'Все игры'!AM$3:AM950,"=0,50")</f>
        <v>0</v>
      </c>
      <c r="E9" s="350">
        <f>COUNTIFS('Все игры'!AH$3:AH950,A9,'Все игры'!AN$3:AN950,"&gt;0")</f>
        <v>0</v>
      </c>
      <c r="F9" s="351">
        <f t="shared" si="2"/>
        <v>0</v>
      </c>
      <c r="G9" s="352">
        <f>COUNTIFS('Все игры'!AH$3:AH950,A9,'Все игры'!AL$3:AL950,"У/Победа")</f>
        <v>0</v>
      </c>
      <c r="H9" s="352">
        <f>COUNTIFS('Все игры'!AH$3:AH950,A9,'Все игры'!AL$3:AL950,"У/Проигрыш")</f>
        <v>0</v>
      </c>
      <c r="I9" s="353">
        <f t="shared" si="3"/>
        <v>0</v>
      </c>
      <c r="J9" s="347">
        <f t="shared" si="4"/>
        <v>0</v>
      </c>
      <c r="K9" s="347">
        <f>COUNTIFS('Все игры'!AH$3:AH950,A9,'Все игры'!AJ$3:AJ950,"&gt;0",'Все игры'!AI$3:AI950,"Мафия")</f>
        <v>0</v>
      </c>
      <c r="L9" s="347">
        <f>IFERROR(__xludf.DUMMYFUNCTION("COUNTBLANK(FILTER('Все игры'!AH$3:AJ950,'Все игры'!AH$3:AH950=A9,'Все игры'!AJ$3:AJ950 &lt; 1,'Все игры'!AI$3:AI950=""Мафия""))"),0.0)</f>
        <v>0</v>
      </c>
      <c r="M9" s="347">
        <f>COUNTIFS('Все игры'!AH$3:AH950,A9,'Все игры'!AJ$3:AJ950,"&gt;0",'Все игры'!AI$3:AI950,"Шериф")</f>
        <v>0</v>
      </c>
      <c r="N9" s="354">
        <f>IFERROR(__xludf.DUMMYFUNCTION("COUNTBLANK(FILTER('Все игры'!AH$3:AJ950,'Все игры'!AH$3:AH950=A9,'Все игры'!AJ$3:AJ950 &lt; 1,'Все игры'!AI$3:AI950=""Шериф""))"),0.0)</f>
        <v>0</v>
      </c>
      <c r="O9" s="347">
        <f>COUNTIFS('Все игры'!AH$3:AH950,A9,'Все игры'!AJ$3:AJ950,"&gt;0",'Все игры'!AI$3:AI950,"Дон")</f>
        <v>0</v>
      </c>
      <c r="P9" s="354">
        <f>IFERROR(__xludf.DUMMYFUNCTION("COUNTBLANK(FILTER('Все игры'!AH$3:AJ950,'Все игры'!AH$3:AH950=A9,'Все игры'!AJ$3:AJ950 &lt; 1,'Все игры'!AI$3:AI950=""Дон""))"),0.0)</f>
        <v>0</v>
      </c>
      <c r="Q9" s="347">
        <f>COUNTIFS('Все игры'!AH$3:AH950,A9,'Все игры'!AJ$3:AJ950,"&gt;0",'Все игры'!AI$3:AI950,"Мирный")</f>
        <v>0</v>
      </c>
      <c r="R9" s="354">
        <f>IFERROR(__xludf.DUMMYFUNCTION("COUNTBLANK(FILTER('Все игры'!AH$3:AJ950,'Все игры'!AH$3:AH950=A9,'Все игры'!AJ$3:AJ950 &lt; 1,'Все игры'!AI$3:AI950=""Мирный""))"),0.0)</f>
        <v>0</v>
      </c>
      <c r="S9" s="357">
        <f t="shared" si="16"/>
        <v>0</v>
      </c>
      <c r="T9" s="357">
        <f t="shared" si="5"/>
        <v>0</v>
      </c>
      <c r="U9" s="357">
        <f t="shared" si="6"/>
        <v>0</v>
      </c>
      <c r="V9" s="357">
        <f t="shared" si="7"/>
        <v>0</v>
      </c>
      <c r="W9" s="357">
        <f t="shared" si="8"/>
        <v>0</v>
      </c>
      <c r="X9" s="357">
        <f t="shared" si="9"/>
        <v>0</v>
      </c>
      <c r="Y9" s="358">
        <f t="shared" si="10"/>
        <v>0</v>
      </c>
      <c r="Z9" s="348">
        <f>SUMIFS('Все игры'!AK$3:AK950,'Все игры'!AH$3:AH950,A9)</f>
        <v>0</v>
      </c>
      <c r="AA9" s="348">
        <f>SUMIFS('Все игры'!AK$3:AK950,'Все игры'!AH$3:AH950,A9,'Все игры'!AI$3:AI950,"Мафия")</f>
        <v>0</v>
      </c>
      <c r="AB9" s="359">
        <f>SUMIFS('Все игры'!AK$3:AK950,'Все игры'!AH$3:AH950,A9,'Все игры'!AI$3:AI950,"Шериф")</f>
        <v>0</v>
      </c>
      <c r="AC9" s="348">
        <f>SUMIFS('Все игры'!AK$3:AK950,'Все игры'!AH$3:AH950,A9,'Все игры'!AI$3:AI950,"Дон")</f>
        <v>0</v>
      </c>
      <c r="AD9" s="349">
        <f>SUMIFS('Все игры'!AK$3:AK950,'Все игры'!AH$3:AH950,A9,'Все игры'!AI$3:AI950,"Мирный")</f>
        <v>0</v>
      </c>
      <c r="AE9" s="348">
        <f t="shared" si="11"/>
        <v>0</v>
      </c>
      <c r="AF9" s="348">
        <f t="shared" si="12"/>
        <v>0</v>
      </c>
      <c r="AG9" s="348">
        <f t="shared" si="13"/>
        <v>0</v>
      </c>
      <c r="AH9" s="348">
        <f t="shared" si="14"/>
        <v>0</v>
      </c>
      <c r="AI9" s="348">
        <f t="shared" si="15"/>
        <v>0</v>
      </c>
      <c r="AJ9" s="348"/>
      <c r="AK9" s="348"/>
      <c r="AL9" s="348"/>
      <c r="AM9" s="348"/>
      <c r="AN9" s="348"/>
      <c r="AO9" s="348"/>
      <c r="AP9" s="348"/>
      <c r="AQ9" s="348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</row>
    <row r="10">
      <c r="A10" s="393"/>
      <c r="B10" s="361">
        <f t="shared" si="1"/>
        <v>0</v>
      </c>
      <c r="C10" s="364">
        <f>COUNTIFS('Все игры'!AH$3:AH950,A10,'Все игры'!AM$3:AM950,"=1")</f>
        <v>0</v>
      </c>
      <c r="D10" s="364">
        <f>COUNTIFS('Все игры'!AH$3:AH950,A10,'Все игры'!AM$3:AM950,"=0,50")</f>
        <v>0</v>
      </c>
      <c r="E10" s="364">
        <f>COUNTIFS('Все игры'!AH$3:AH950,A10,'Все игры'!AN$3:AN950,"&gt;0")</f>
        <v>0</v>
      </c>
      <c r="F10" s="365">
        <f t="shared" si="2"/>
        <v>0</v>
      </c>
      <c r="G10" s="366">
        <f>COUNTIFS('Все игры'!AH$3:AH950,A10,'Все игры'!AL$3:AL950,"У/Победа")</f>
        <v>0</v>
      </c>
      <c r="H10" s="366">
        <f>COUNTIFS('Все игры'!AH$3:AH950,A10,'Все игры'!AL$3:AL950,"У/Проигрыш")</f>
        <v>0</v>
      </c>
      <c r="I10" s="367">
        <f t="shared" si="3"/>
        <v>0</v>
      </c>
      <c r="J10" s="361">
        <f t="shared" si="4"/>
        <v>0</v>
      </c>
      <c r="K10" s="361">
        <f>COUNTIFS('Все игры'!AH$3:AH950,A10,'Все игры'!AJ$3:AJ950,"&gt;0",'Все игры'!AI$3:AI950,"Мафия")</f>
        <v>0</v>
      </c>
      <c r="L10" s="361">
        <f>IFERROR(__xludf.DUMMYFUNCTION("COUNTBLANK(FILTER('Все игры'!AH$3:AJ950,'Все игры'!AH$3:AH950=A10,'Все игры'!AJ$3:AJ950 &lt; 1,'Все игры'!AI$3:AI950=""Мафия""))"),0.0)</f>
        <v>0</v>
      </c>
      <c r="M10" s="361">
        <f>COUNTIFS('Все игры'!AH$3:AH950,A10,'Все игры'!AJ$3:AJ950,"&gt;0",'Все игры'!AI$3:AI950,"Шериф")</f>
        <v>0</v>
      </c>
      <c r="N10" s="368">
        <f>IFERROR(__xludf.DUMMYFUNCTION("COUNTBLANK(FILTER('Все игры'!AH$3:AJ950,'Все игры'!AH$3:AH950=A10,'Все игры'!AJ$3:AJ950 &lt; 1,'Все игры'!AI$3:AI950=""Шериф""))"),0.0)</f>
        <v>0</v>
      </c>
      <c r="O10" s="361">
        <f>COUNTIFS('Все игры'!AH$3:AH950,A10,'Все игры'!AJ$3:AJ950,"&gt;0",'Все игры'!AI$3:AI950,"Дон")</f>
        <v>0</v>
      </c>
      <c r="P10" s="368">
        <f>IFERROR(__xludf.DUMMYFUNCTION("COUNTBLANK(FILTER('Все игры'!AH$3:AJ950,'Все игры'!AH$3:AH950=A10,'Все игры'!AJ$3:AJ950 &lt; 1,'Все игры'!AI$3:AI950=""Дон""))"),0.0)</f>
        <v>0</v>
      </c>
      <c r="Q10" s="361">
        <f>COUNTIFS('Все игры'!AH$3:AH950,A10,'Все игры'!AJ$3:AJ950,"&gt;0",'Все игры'!AI$3:AI950,"Мирный")</f>
        <v>0</v>
      </c>
      <c r="R10" s="368">
        <f>IFERROR(__xludf.DUMMYFUNCTION("COUNTBLANK(FILTER('Все игры'!AH$3:AJ950,'Все игры'!AH$3:AH950=A10,'Все игры'!AJ$3:AJ950 &lt; 1,'Все игры'!AI$3:AI950=""Мирный""))"),0.0)</f>
        <v>0</v>
      </c>
      <c r="S10" s="371">
        <f t="shared" si="16"/>
        <v>0</v>
      </c>
      <c r="T10" s="371">
        <f t="shared" si="5"/>
        <v>0</v>
      </c>
      <c r="U10" s="371">
        <f t="shared" si="6"/>
        <v>0</v>
      </c>
      <c r="V10" s="371">
        <f t="shared" si="7"/>
        <v>0</v>
      </c>
      <c r="W10" s="371">
        <f t="shared" si="8"/>
        <v>0</v>
      </c>
      <c r="X10" s="371">
        <f t="shared" si="9"/>
        <v>0</v>
      </c>
      <c r="Y10" s="372">
        <f t="shared" si="10"/>
        <v>0</v>
      </c>
      <c r="Z10" s="362">
        <f>SUMIFS('Все игры'!AK$3:AK950,'Все игры'!AH$3:AH950,A10)</f>
        <v>0</v>
      </c>
      <c r="AA10" s="362">
        <f>SUMIFS('Все игры'!AK$3:AK950,'Все игры'!AH$3:AH950,A10,'Все игры'!AI$3:AI950,"Мафия")</f>
        <v>0</v>
      </c>
      <c r="AB10" s="373">
        <f>SUMIFS('Все игры'!AK$3:AK950,'Все игры'!AH$3:AH950,A10,'Все игры'!AI$3:AI950,"Шериф")</f>
        <v>0</v>
      </c>
      <c r="AC10" s="362">
        <f>SUMIFS('Все игры'!AK$3:AK950,'Все игры'!AH$3:AH950,A10,'Все игры'!AI$3:AI950,"Дон")</f>
        <v>0</v>
      </c>
      <c r="AD10" s="363">
        <f>SUMIFS('Все игры'!AK$3:AK950,'Все игры'!AH$3:AH950,A10,'Все игры'!AI$3:AI950,"Мирный")</f>
        <v>0</v>
      </c>
      <c r="AE10" s="362">
        <f t="shared" si="11"/>
        <v>0</v>
      </c>
      <c r="AF10" s="362">
        <f t="shared" si="12"/>
        <v>0</v>
      </c>
      <c r="AG10" s="362">
        <f t="shared" si="13"/>
        <v>0</v>
      </c>
      <c r="AH10" s="362">
        <f t="shared" si="14"/>
        <v>0</v>
      </c>
      <c r="AI10" s="362">
        <f t="shared" si="15"/>
        <v>0</v>
      </c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2"/>
      <c r="BD10" s="362"/>
      <c r="BE10" s="362"/>
      <c r="BF10" s="362"/>
      <c r="BG10" s="362"/>
      <c r="BH10" s="362"/>
      <c r="BI10" s="362"/>
      <c r="BJ10" s="362"/>
      <c r="BK10" s="362"/>
    </row>
    <row r="11">
      <c r="A11" s="394"/>
      <c r="B11" s="395">
        <f t="shared" si="1"/>
        <v>0</v>
      </c>
      <c r="C11" s="396">
        <f>COUNTIFS('Все игры'!AH$3:AH950,A11,'Все игры'!AM$3:AM950,"=1")</f>
        <v>0</v>
      </c>
      <c r="D11" s="396">
        <f>COUNTIFS('Все игры'!AH$3:AH950,A11,'Все игры'!AM$3:AM950,"=0,50")</f>
        <v>0</v>
      </c>
      <c r="E11" s="396">
        <f>COUNTIFS('Все игры'!AH$3:AH950,A11,'Все игры'!AN$3:AN950,"&gt;0")</f>
        <v>0</v>
      </c>
      <c r="F11" s="397">
        <f t="shared" si="2"/>
        <v>0</v>
      </c>
      <c r="G11" s="398">
        <f>COUNTIFS('Все игры'!AH$3:AH950,A11,'Все игры'!AL$3:AL950,"У/Победа")</f>
        <v>0</v>
      </c>
      <c r="H11" s="398">
        <f>COUNTIFS('Все игры'!AH$3:AH950,A11,'Все игры'!AL$3:AL950,"У/Проигрыш")</f>
        <v>0</v>
      </c>
      <c r="I11" s="399">
        <f t="shared" si="3"/>
        <v>0</v>
      </c>
      <c r="J11" s="395">
        <f t="shared" si="4"/>
        <v>0</v>
      </c>
      <c r="K11" s="395">
        <f>COUNTIFS('Все игры'!AH$3:AH950,A11,'Все игры'!AJ$3:AJ950,"&gt;0",'Все игры'!AI$3:AI950,"Мафия")</f>
        <v>0</v>
      </c>
      <c r="L11" s="395">
        <f>IFERROR(__xludf.DUMMYFUNCTION("COUNTBLANK(FILTER('Все игры'!AH$3:AJ950,'Все игры'!AH$3:AH950=A11,'Все игры'!AJ$3:AJ950 &lt; 1,'Все игры'!AI$3:AI950=""Мафия""))"),0.0)</f>
        <v>0</v>
      </c>
      <c r="M11" s="395">
        <f>COUNTIFS('Все игры'!AH$3:AH950,A11,'Все игры'!AJ$3:AJ950,"&gt;0",'Все игры'!AI$3:AI950,"Шериф")</f>
        <v>0</v>
      </c>
      <c r="N11" s="400">
        <f>IFERROR(__xludf.DUMMYFUNCTION("COUNTBLANK(FILTER('Все игры'!AH$3:AJ950,'Все игры'!AH$3:AH950=A11,'Все игры'!AJ$3:AJ950 &lt; 1,'Все игры'!AI$3:AI950=""Шериф""))"),0.0)</f>
        <v>0</v>
      </c>
      <c r="O11" s="395">
        <f>COUNTIFS('Все игры'!AH$3:AH950,A11,'Все игры'!AJ$3:AJ950,"&gt;0",'Все игры'!AI$3:AI950,"Дон")</f>
        <v>0</v>
      </c>
      <c r="P11" s="400">
        <f>IFERROR(__xludf.DUMMYFUNCTION("COUNTBLANK(FILTER('Все игры'!AH$3:AJ950,'Все игры'!AH$3:AH950=A11,'Все игры'!AJ$3:AJ950 &lt; 1,'Все игры'!AI$3:AI950=""Дон""))"),0.0)</f>
        <v>0</v>
      </c>
      <c r="Q11" s="395">
        <f>COUNTIFS('Все игры'!AH$3:AH950,A11,'Все игры'!AJ$3:AJ950,"&gt;0",'Все игры'!AI$3:AI950,"Мирный")</f>
        <v>0</v>
      </c>
      <c r="R11" s="400">
        <f>IFERROR(__xludf.DUMMYFUNCTION("COUNTBLANK(FILTER('Все игры'!AH$3:AJ950,'Все игры'!AH$3:AH950=A11,'Все игры'!AJ$3:AJ950 &lt; 1,'Все игры'!AI$3:AI950=""Мирный""))"),0.0)</f>
        <v>0</v>
      </c>
      <c r="S11" s="401">
        <f t="shared" si="16"/>
        <v>0</v>
      </c>
      <c r="T11" s="401">
        <f t="shared" si="5"/>
        <v>0</v>
      </c>
      <c r="U11" s="401">
        <f t="shared" si="6"/>
        <v>0</v>
      </c>
      <c r="V11" s="401">
        <f t="shared" si="7"/>
        <v>0</v>
      </c>
      <c r="W11" s="401">
        <f t="shared" si="8"/>
        <v>0</v>
      </c>
      <c r="X11" s="401">
        <f t="shared" si="9"/>
        <v>0</v>
      </c>
      <c r="Y11" s="402">
        <f t="shared" si="10"/>
        <v>0</v>
      </c>
      <c r="Z11" s="403">
        <f>SUMIFS('Все игры'!AK$3:AK950,'Все игры'!AH$3:AH950,A11)</f>
        <v>0</v>
      </c>
      <c r="AA11" s="403">
        <f>SUMIFS('Все игры'!AK$3:AK950,'Все игры'!AH$3:AH950,A11,'Все игры'!AI$3:AI950,"Мафия")</f>
        <v>0</v>
      </c>
      <c r="AB11" s="404">
        <f>SUMIFS('Все игры'!AK$3:AK950,'Все игры'!AH$3:AH950,A11,'Все игры'!AI$3:AI950,"Шериф")</f>
        <v>0</v>
      </c>
      <c r="AC11" s="403">
        <f>SUMIFS('Все игры'!AK$3:AK950,'Все игры'!AH$3:AH950,A11,'Все игры'!AI$3:AI950,"Дон")</f>
        <v>0</v>
      </c>
      <c r="AD11" s="405">
        <f>SUMIFS('Все игры'!AK$3:AK950,'Все игры'!AH$3:AH950,A11,'Все игры'!AI$3:AI950,"Мирный")</f>
        <v>0</v>
      </c>
      <c r="AE11" s="403">
        <f t="shared" si="11"/>
        <v>0</v>
      </c>
      <c r="AF11" s="403">
        <f t="shared" si="12"/>
        <v>0</v>
      </c>
      <c r="AG11" s="403">
        <f t="shared" si="13"/>
        <v>0</v>
      </c>
      <c r="AH11" s="403">
        <f t="shared" si="14"/>
        <v>0</v>
      </c>
      <c r="AI11" s="403">
        <f t="shared" si="15"/>
        <v>0</v>
      </c>
      <c r="AJ11" s="403"/>
      <c r="AK11" s="403"/>
      <c r="AL11" s="403"/>
      <c r="AM11" s="403"/>
      <c r="AN11" s="403"/>
      <c r="AO11" s="403"/>
      <c r="AP11" s="403"/>
      <c r="AQ11" s="403"/>
      <c r="AR11" s="403"/>
      <c r="AS11" s="403"/>
      <c r="AT11" s="403"/>
      <c r="AU11" s="403"/>
      <c r="AV11" s="403"/>
      <c r="AW11" s="403"/>
      <c r="AX11" s="403"/>
      <c r="AY11" s="403"/>
      <c r="AZ11" s="403"/>
      <c r="BA11" s="403"/>
      <c r="BB11" s="403"/>
      <c r="BC11" s="403"/>
      <c r="BD11" s="403"/>
      <c r="BE11" s="403"/>
      <c r="BF11" s="403"/>
      <c r="BG11" s="403"/>
      <c r="BH11" s="403"/>
      <c r="BI11" s="403"/>
      <c r="BJ11" s="403"/>
      <c r="BK11" s="403"/>
    </row>
    <row r="12">
      <c r="A12" s="393"/>
      <c r="B12" s="361">
        <f t="shared" si="1"/>
        <v>0</v>
      </c>
      <c r="C12" s="364">
        <f>COUNTIFS('Все игры'!AH$3:AH950,A12,'Все игры'!AM$3:AM950,"=1")</f>
        <v>0</v>
      </c>
      <c r="D12" s="364">
        <f>COUNTIFS('Все игры'!AH$3:AH950,A12,'Все игры'!AM$3:AM950,"=0,50")</f>
        <v>0</v>
      </c>
      <c r="E12" s="364">
        <f>COUNTIFS('Все игры'!AH$3:AH950,A12,'Все игры'!AN$3:AN950,"&gt;0")</f>
        <v>0</v>
      </c>
      <c r="F12" s="365">
        <f t="shared" si="2"/>
        <v>0</v>
      </c>
      <c r="G12" s="366">
        <f>COUNTIFS('Все игры'!AH$3:AH950,A12,'Все игры'!AL$3:AL950,"У/Победа")</f>
        <v>0</v>
      </c>
      <c r="H12" s="366">
        <f>COUNTIFS('Все игры'!AH$3:AH950,A12,'Все игры'!AL$3:AL950,"У/Проигрыш")</f>
        <v>0</v>
      </c>
      <c r="I12" s="367">
        <f t="shared" si="3"/>
        <v>0</v>
      </c>
      <c r="J12" s="361">
        <f t="shared" si="4"/>
        <v>0</v>
      </c>
      <c r="K12" s="361">
        <f>COUNTIFS('Все игры'!AH$3:AH950,A12,'Все игры'!AJ$3:AJ950,"&gt;0",'Все игры'!AI$3:AI950,"Мафия")</f>
        <v>0</v>
      </c>
      <c r="L12" s="361">
        <f>IFERROR(__xludf.DUMMYFUNCTION("COUNTBLANK(FILTER('Все игры'!AH$3:AJ950,'Все игры'!AH$3:AH950=A12,'Все игры'!AJ$3:AJ950 &lt; 1,'Все игры'!AI$3:AI950=""Мафия""))"),0.0)</f>
        <v>0</v>
      </c>
      <c r="M12" s="361">
        <f>COUNTIFS('Все игры'!AH$3:AH950,A12,'Все игры'!AJ$3:AJ950,"&gt;0",'Все игры'!AI$3:AI950,"Шериф")</f>
        <v>0</v>
      </c>
      <c r="N12" s="368">
        <f>IFERROR(__xludf.DUMMYFUNCTION("COUNTBLANK(FILTER('Все игры'!AH$3:AJ950,'Все игры'!AH$3:AH950=A12,'Все игры'!AJ$3:AJ950 &lt; 1,'Все игры'!AI$3:AI950=""Шериф""))"),0.0)</f>
        <v>0</v>
      </c>
      <c r="O12" s="361">
        <f>COUNTIFS('Все игры'!AH$3:AH950,A12,'Все игры'!AJ$3:AJ950,"&gt;0",'Все игры'!AI$3:AI950,"Дон")</f>
        <v>0</v>
      </c>
      <c r="P12" s="368">
        <f>IFERROR(__xludf.DUMMYFUNCTION("COUNTBLANK(FILTER('Все игры'!AH$3:AJ950,'Все игры'!AH$3:AH950=A12,'Все игры'!AJ$3:AJ950 &lt; 1,'Все игры'!AI$3:AI950=""Дон""))"),0.0)</f>
        <v>0</v>
      </c>
      <c r="Q12" s="361">
        <f>COUNTIFS('Все игры'!AH$3:AH950,A12,'Все игры'!AJ$3:AJ950,"&gt;0",'Все игры'!AI$3:AI950,"Мирный")</f>
        <v>0</v>
      </c>
      <c r="R12" s="368">
        <f>IFERROR(__xludf.DUMMYFUNCTION("COUNTBLANK(FILTER('Все игры'!AH$3:AJ950,'Все игры'!AH$3:AH950=A12,'Все игры'!AJ$3:AJ950 &lt; 1,'Все игры'!AI$3:AI950=""Мирный""))"),0.0)</f>
        <v>0</v>
      </c>
      <c r="S12" s="371">
        <f t="shared" si="16"/>
        <v>0</v>
      </c>
      <c r="T12" s="371">
        <f t="shared" si="5"/>
        <v>0</v>
      </c>
      <c r="U12" s="371">
        <f t="shared" si="6"/>
        <v>0</v>
      </c>
      <c r="V12" s="371">
        <f t="shared" si="7"/>
        <v>0</v>
      </c>
      <c r="W12" s="371">
        <f t="shared" si="8"/>
        <v>0</v>
      </c>
      <c r="X12" s="371">
        <f t="shared" si="9"/>
        <v>0</v>
      </c>
      <c r="Y12" s="372">
        <f t="shared" si="10"/>
        <v>0</v>
      </c>
      <c r="Z12" s="362">
        <f>SUMIFS('Все игры'!AK$3:AK950,'Все игры'!AH$3:AH950,A12)</f>
        <v>0</v>
      </c>
      <c r="AA12" s="362">
        <f>SUMIFS('Все игры'!AK$3:AK950,'Все игры'!AH$3:AH950,A12,'Все игры'!AI$3:AI950,"Мафия")</f>
        <v>0</v>
      </c>
      <c r="AB12" s="373">
        <f>SUMIFS('Все игры'!AK$3:AK950,'Все игры'!AH$3:AH950,A12,'Все игры'!AI$3:AI950,"Шериф")</f>
        <v>0</v>
      </c>
      <c r="AC12" s="362">
        <f>SUMIFS('Все игры'!AK$3:AK950,'Все игры'!AH$3:AH950,A12,'Все игры'!AI$3:AI950,"Дон")</f>
        <v>0</v>
      </c>
      <c r="AD12" s="363">
        <f>SUMIFS('Все игры'!AK$3:AK950,'Все игры'!AH$3:AH950,A12,'Все игры'!AI$3:AI950,"Мирный")</f>
        <v>0</v>
      </c>
      <c r="AE12" s="362">
        <f t="shared" si="11"/>
        <v>0</v>
      </c>
      <c r="AF12" s="362">
        <f t="shared" si="12"/>
        <v>0</v>
      </c>
      <c r="AG12" s="362">
        <f t="shared" si="13"/>
        <v>0</v>
      </c>
      <c r="AH12" s="362">
        <f t="shared" si="14"/>
        <v>0</v>
      </c>
      <c r="AI12" s="362">
        <f t="shared" si="15"/>
        <v>0</v>
      </c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</row>
    <row r="13">
      <c r="A13" s="394"/>
      <c r="B13" s="395">
        <f t="shared" si="1"/>
        <v>0</v>
      </c>
      <c r="C13" s="396">
        <f>COUNTIFS('Все игры'!AH$3:AH950,A13,'Все игры'!AM$3:AM950,"=1")</f>
        <v>0</v>
      </c>
      <c r="D13" s="396">
        <f>COUNTIFS('Все игры'!AH$3:AH950,A13,'Все игры'!AM$3:AM950,"=0,50")</f>
        <v>0</v>
      </c>
      <c r="E13" s="396">
        <f>COUNTIFS('Все игры'!AH$3:AH950,A13,'Все игры'!AN$3:AN950,"&gt;0")</f>
        <v>0</v>
      </c>
      <c r="F13" s="397">
        <f t="shared" si="2"/>
        <v>0</v>
      </c>
      <c r="G13" s="398">
        <f>COUNTIFS('Все игры'!AH$3:AH950,A13,'Все игры'!AL$3:AL950,"У/Победа")</f>
        <v>0</v>
      </c>
      <c r="H13" s="398">
        <f>COUNTIFS('Все игры'!AH$3:AH950,A13,'Все игры'!AL$3:AL950,"У/Проигрыш")</f>
        <v>0</v>
      </c>
      <c r="I13" s="399">
        <f t="shared" si="3"/>
        <v>0</v>
      </c>
      <c r="J13" s="395">
        <f t="shared" si="4"/>
        <v>0</v>
      </c>
      <c r="K13" s="395">
        <f>COUNTIFS('Все игры'!AH$3:AH950,A13,'Все игры'!AJ$3:AJ950,"&gt;0",'Все игры'!AI$3:AI950,"Мафия")</f>
        <v>0</v>
      </c>
      <c r="L13" s="395">
        <f>IFERROR(__xludf.DUMMYFUNCTION("COUNTBLANK(FILTER('Все игры'!AH$3:AJ950,'Все игры'!AH$3:AH950=A13,'Все игры'!AJ$3:AJ950 &lt; 1,'Все игры'!AI$3:AI950=""Мафия""))"),0.0)</f>
        <v>0</v>
      </c>
      <c r="M13" s="395">
        <f>COUNTIFS('Все игры'!AH$3:AH950,A13,'Все игры'!AJ$3:AJ950,"&gt;0",'Все игры'!AI$3:AI950,"Шериф")</f>
        <v>0</v>
      </c>
      <c r="N13" s="400">
        <f>IFERROR(__xludf.DUMMYFUNCTION("COUNTBLANK(FILTER('Все игры'!AH$3:AJ950,'Все игры'!AH$3:AH950=A13,'Все игры'!AJ$3:AJ950 &lt; 1,'Все игры'!AI$3:AI950=""Шериф""))"),0.0)</f>
        <v>0</v>
      </c>
      <c r="O13" s="395">
        <f>COUNTIFS('Все игры'!AH$3:AH950,A13,'Все игры'!AJ$3:AJ950,"&gt;0",'Все игры'!AI$3:AI950,"Дон")</f>
        <v>0</v>
      </c>
      <c r="P13" s="400">
        <f>IFERROR(__xludf.DUMMYFUNCTION("COUNTBLANK(FILTER('Все игры'!AH$3:AJ950,'Все игры'!AH$3:AH950=A13,'Все игры'!AJ$3:AJ950 &lt; 1,'Все игры'!AI$3:AI950=""Дон""))"),0.0)</f>
        <v>0</v>
      </c>
      <c r="Q13" s="395">
        <f>COUNTIFS('Все игры'!AH$3:AH950,A13,'Все игры'!AJ$3:AJ950,"&gt;0",'Все игры'!AI$3:AI950,"Мирный")</f>
        <v>0</v>
      </c>
      <c r="R13" s="400">
        <f>IFERROR(__xludf.DUMMYFUNCTION("COUNTBLANK(FILTER('Все игры'!AH$3:AJ950,'Все игры'!AH$3:AH950=A13,'Все игры'!AJ$3:AJ950 &lt; 1,'Все игры'!AI$3:AI950=""Мирный""))"),0.0)</f>
        <v>0</v>
      </c>
      <c r="S13" s="401">
        <f t="shared" si="16"/>
        <v>0</v>
      </c>
      <c r="T13" s="401">
        <f t="shared" si="5"/>
        <v>0</v>
      </c>
      <c r="U13" s="401">
        <f t="shared" si="6"/>
        <v>0</v>
      </c>
      <c r="V13" s="401">
        <f t="shared" si="7"/>
        <v>0</v>
      </c>
      <c r="W13" s="401">
        <f t="shared" si="8"/>
        <v>0</v>
      </c>
      <c r="X13" s="401">
        <f t="shared" si="9"/>
        <v>0</v>
      </c>
      <c r="Y13" s="402">
        <f t="shared" si="10"/>
        <v>0</v>
      </c>
      <c r="Z13" s="403">
        <f>SUMIFS('Все игры'!AK$3:AK950,'Все игры'!AH$3:AH950,A13)</f>
        <v>0</v>
      </c>
      <c r="AA13" s="403">
        <f>SUMIFS('Все игры'!AK$3:AK950,'Все игры'!AH$3:AH950,A13,'Все игры'!AI$3:AI950,"Мафия")</f>
        <v>0</v>
      </c>
      <c r="AB13" s="404">
        <f>SUMIFS('Все игры'!AK$3:AK950,'Все игры'!AH$3:AH950,A13,'Все игры'!AI$3:AI950,"Шериф")</f>
        <v>0</v>
      </c>
      <c r="AC13" s="403">
        <f>SUMIFS('Все игры'!AK$3:AK950,'Все игры'!AH$3:AH950,A13,'Все игры'!AI$3:AI950,"Дон")</f>
        <v>0</v>
      </c>
      <c r="AD13" s="405">
        <f>SUMIFS('Все игры'!AK$3:AK950,'Все игры'!AH$3:AH950,A13,'Все игры'!AI$3:AI950,"Мирный")</f>
        <v>0</v>
      </c>
      <c r="AE13" s="403">
        <f t="shared" si="11"/>
        <v>0</v>
      </c>
      <c r="AF13" s="403">
        <f t="shared" si="12"/>
        <v>0</v>
      </c>
      <c r="AG13" s="403">
        <f t="shared" si="13"/>
        <v>0</v>
      </c>
      <c r="AH13" s="403">
        <f t="shared" si="14"/>
        <v>0</v>
      </c>
      <c r="AI13" s="403">
        <f t="shared" si="15"/>
        <v>0</v>
      </c>
      <c r="AJ13" s="403"/>
      <c r="AK13" s="403"/>
      <c r="AL13" s="403"/>
      <c r="AM13" s="403"/>
      <c r="AN13" s="403"/>
      <c r="AO13" s="403"/>
      <c r="AP13" s="403"/>
      <c r="AQ13" s="403"/>
      <c r="AR13" s="403"/>
      <c r="AS13" s="403"/>
      <c r="AT13" s="403"/>
      <c r="AU13" s="403"/>
      <c r="AV13" s="403"/>
      <c r="AW13" s="403"/>
      <c r="AX13" s="403"/>
      <c r="AY13" s="403"/>
      <c r="AZ13" s="403"/>
      <c r="BA13" s="403"/>
      <c r="BB13" s="403"/>
      <c r="BC13" s="403"/>
      <c r="BD13" s="403"/>
      <c r="BE13" s="403"/>
      <c r="BF13" s="403"/>
      <c r="BG13" s="403"/>
      <c r="BH13" s="403"/>
      <c r="BI13" s="403"/>
      <c r="BJ13" s="403"/>
      <c r="BK13" s="403"/>
    </row>
    <row r="14">
      <c r="A14" s="406"/>
      <c r="B14" s="407">
        <f t="shared" si="1"/>
        <v>0</v>
      </c>
      <c r="C14" s="408">
        <f>COUNTIFS('Все игры'!AH$3:AH950,A14,'Все игры'!AM$3:AM950,"=1")</f>
        <v>0</v>
      </c>
      <c r="D14" s="408">
        <f>COUNTIFS('Все игры'!AH$3:AH950,A14,'Все игры'!AM$3:AM950,"=0,50")</f>
        <v>0</v>
      </c>
      <c r="E14" s="408">
        <f>COUNTIFS('Все игры'!AH$3:AH950,A14,'Все игры'!AN$3:AN950,"&gt;0")</f>
        <v>0</v>
      </c>
      <c r="F14" s="409">
        <f t="shared" si="2"/>
        <v>0</v>
      </c>
      <c r="G14" s="410">
        <f>COUNTIFS('Все игры'!AH$3:AH950,A14,'Все игры'!AL$3:AL950,"У/Победа")</f>
        <v>0</v>
      </c>
      <c r="H14" s="410">
        <f>COUNTIFS('Все игры'!AH$3:AH950,A14,'Все игры'!AL$3:AL950,"У/Проигрыш")</f>
        <v>0</v>
      </c>
      <c r="I14" s="411">
        <f t="shared" si="3"/>
        <v>0</v>
      </c>
      <c r="J14" s="407">
        <f t="shared" si="4"/>
        <v>0</v>
      </c>
      <c r="K14" s="407">
        <f>COUNTIFS('Все игры'!AH$3:AH950,A14,'Все игры'!AJ$3:AJ950,"&gt;0",'Все игры'!AI$3:AI950,"Мафия")</f>
        <v>0</v>
      </c>
      <c r="L14" s="407">
        <f>IFERROR(__xludf.DUMMYFUNCTION("COUNTBLANK(FILTER('Все игры'!AH$3:AJ950,'Все игры'!AH$3:AH950=A14,'Все игры'!AJ$3:AJ950 &lt; 1,'Все игры'!AI$3:AI950=""Мафия""))"),0.0)</f>
        <v>0</v>
      </c>
      <c r="M14" s="407">
        <f>COUNTIFS('Все игры'!AH$3:AH950,A14,'Все игры'!AJ$3:AJ950,"&gt;0",'Все игры'!AI$3:AI950,"Шериф")</f>
        <v>0</v>
      </c>
      <c r="N14" s="412">
        <f>IFERROR(__xludf.DUMMYFUNCTION("COUNTBLANK(FILTER('Все игры'!AH$3:AJ950,'Все игры'!AH$3:AH950=A14,'Все игры'!AJ$3:AJ950 &lt; 1,'Все игры'!AI$3:AI950=""Шериф""))"),0.0)</f>
        <v>0</v>
      </c>
      <c r="O14" s="407">
        <f>COUNTIFS('Все игры'!AH$3:AH950,A14,'Все игры'!AJ$3:AJ950,"&gt;0",'Все игры'!AI$3:AI950,"Дон")</f>
        <v>0</v>
      </c>
      <c r="P14" s="412">
        <f>IFERROR(__xludf.DUMMYFUNCTION("COUNTBLANK(FILTER('Все игры'!AH$3:AJ950,'Все игры'!AH$3:AH950=A14,'Все игры'!AJ$3:AJ950 &lt; 1,'Все игры'!AI$3:AI950=""Дон""))"),0.0)</f>
        <v>0</v>
      </c>
      <c r="Q14" s="407">
        <f>COUNTIFS('Все игры'!AH$3:AH950,A14,'Все игры'!AJ$3:AJ950,"&gt;0",'Все игры'!AI$3:AI950,"Мирный")</f>
        <v>0</v>
      </c>
      <c r="R14" s="412">
        <f>IFERROR(__xludf.DUMMYFUNCTION("COUNTBLANK(FILTER('Все игры'!AH$3:AJ950,'Все игры'!AH$3:AH950=A14,'Все игры'!AJ$3:AJ950 &lt; 1,'Все игры'!AI$3:AI950=""Мирный""))"),0.0)</f>
        <v>0</v>
      </c>
      <c r="S14" s="413">
        <f t="shared" si="16"/>
        <v>0</v>
      </c>
      <c r="T14" s="413">
        <f t="shared" si="5"/>
        <v>0</v>
      </c>
      <c r="U14" s="413">
        <f t="shared" si="6"/>
        <v>0</v>
      </c>
      <c r="V14" s="413">
        <f t="shared" si="7"/>
        <v>0</v>
      </c>
      <c r="W14" s="413">
        <f t="shared" si="8"/>
        <v>0</v>
      </c>
      <c r="X14" s="413">
        <f t="shared" si="9"/>
        <v>0</v>
      </c>
      <c r="Y14" s="414">
        <f t="shared" si="10"/>
        <v>0</v>
      </c>
      <c r="Z14" s="415">
        <f>SUMIFS('Все игры'!AK$3:AK950,'Все игры'!AH$3:AH950,A14)</f>
        <v>0</v>
      </c>
      <c r="AA14" s="415">
        <f>SUMIFS('Все игры'!AK$3:AK950,'Все игры'!AH$3:AH950,A14,'Все игры'!AI$3:AI950,"Мафия")</f>
        <v>0</v>
      </c>
      <c r="AB14" s="416">
        <f>SUMIFS('Все игры'!AK$3:AK950,'Все игры'!AH$3:AH950,A14,'Все игры'!AI$3:AI950,"Шериф")</f>
        <v>0</v>
      </c>
      <c r="AC14" s="415">
        <f>SUMIFS('Все игры'!AK$3:AK950,'Все игры'!AH$3:AH950,A14,'Все игры'!AI$3:AI950,"Дон")</f>
        <v>0</v>
      </c>
      <c r="AD14" s="417">
        <f>SUMIFS('Все игры'!AK$3:AK950,'Все игры'!AH$3:AH950,A14,'Все игры'!AI$3:AI950,"Мирный")</f>
        <v>0</v>
      </c>
      <c r="AE14" s="415">
        <f t="shared" si="11"/>
        <v>0</v>
      </c>
      <c r="AF14" s="415">
        <f t="shared" si="12"/>
        <v>0</v>
      </c>
      <c r="AG14" s="415">
        <f t="shared" si="13"/>
        <v>0</v>
      </c>
      <c r="AH14" s="415">
        <f t="shared" si="14"/>
        <v>0</v>
      </c>
      <c r="AI14" s="415">
        <f t="shared" si="15"/>
        <v>0</v>
      </c>
      <c r="AJ14" s="362"/>
      <c r="AK14" s="362"/>
      <c r="AL14" s="362"/>
      <c r="AM14" s="362"/>
      <c r="AN14" s="362"/>
      <c r="AO14" s="362"/>
      <c r="AP14" s="362"/>
      <c r="AQ14" s="362"/>
      <c r="AR14" s="362"/>
      <c r="AS14" s="362"/>
      <c r="AT14" s="362"/>
      <c r="AU14" s="362"/>
      <c r="AV14" s="362"/>
      <c r="AW14" s="362"/>
      <c r="AX14" s="362"/>
      <c r="AY14" s="362"/>
      <c r="AZ14" s="362"/>
      <c r="BA14" s="362"/>
      <c r="BB14" s="362"/>
      <c r="BC14" s="362"/>
      <c r="BD14" s="362"/>
      <c r="BE14" s="362"/>
      <c r="BF14" s="362"/>
      <c r="BG14" s="362"/>
      <c r="BH14" s="362"/>
      <c r="BI14" s="362"/>
      <c r="BJ14" s="362"/>
      <c r="BK14" s="362"/>
    </row>
    <row r="15">
      <c r="A15" s="375"/>
    </row>
    <row r="16">
      <c r="A16" s="375"/>
    </row>
    <row r="17">
      <c r="A17" s="375"/>
    </row>
    <row r="18">
      <c r="A18" s="375"/>
    </row>
    <row r="19">
      <c r="A19" s="375"/>
    </row>
    <row r="20">
      <c r="A20" s="375"/>
    </row>
    <row r="21">
      <c r="A21" s="375"/>
    </row>
    <row r="22">
      <c r="A22" s="375"/>
    </row>
    <row r="23">
      <c r="A23" s="375"/>
    </row>
    <row r="24">
      <c r="A24" s="375"/>
    </row>
    <row r="25">
      <c r="A25" s="375"/>
    </row>
    <row r="26">
      <c r="A26" s="375"/>
    </row>
    <row r="27">
      <c r="A27" s="375"/>
    </row>
    <row r="28">
      <c r="A28" s="375"/>
    </row>
    <row r="29">
      <c r="A29" s="375"/>
    </row>
    <row r="30">
      <c r="A30" s="375"/>
    </row>
    <row r="31">
      <c r="A31" s="375"/>
    </row>
    <row r="32">
      <c r="A32" s="375"/>
    </row>
    <row r="33">
      <c r="A33" s="375"/>
    </row>
    <row r="34">
      <c r="A34" s="375"/>
    </row>
    <row r="35">
      <c r="A35" s="375"/>
    </row>
    <row r="36">
      <c r="A36" s="375"/>
    </row>
    <row r="37">
      <c r="A37" s="375"/>
    </row>
    <row r="38">
      <c r="A38" s="375"/>
    </row>
    <row r="39">
      <c r="A39" s="375"/>
    </row>
    <row r="40">
      <c r="A40" s="375"/>
    </row>
    <row r="41">
      <c r="A41" s="375"/>
    </row>
    <row r="42">
      <c r="A42" s="375"/>
    </row>
    <row r="43">
      <c r="A43" s="375"/>
    </row>
    <row r="44">
      <c r="A44" s="375"/>
    </row>
    <row r="45">
      <c r="A45" s="375"/>
    </row>
    <row r="46">
      <c r="A46" s="375"/>
    </row>
    <row r="47">
      <c r="A47" s="375"/>
    </row>
    <row r="48">
      <c r="A48" s="375"/>
    </row>
    <row r="49">
      <c r="A49" s="375"/>
    </row>
    <row r="50">
      <c r="A50" s="375"/>
    </row>
    <row r="51">
      <c r="A51" s="375"/>
    </row>
    <row r="52">
      <c r="A52" s="375"/>
    </row>
    <row r="53">
      <c r="A53" s="375"/>
    </row>
    <row r="54">
      <c r="A54" s="375"/>
    </row>
    <row r="55">
      <c r="A55" s="375"/>
    </row>
    <row r="56">
      <c r="A56" s="375"/>
    </row>
    <row r="57">
      <c r="A57" s="375"/>
    </row>
    <row r="58">
      <c r="A58" s="375"/>
    </row>
    <row r="59">
      <c r="A59" s="375"/>
    </row>
    <row r="60">
      <c r="A60" s="375"/>
    </row>
    <row r="61">
      <c r="A61" s="375"/>
    </row>
    <row r="62">
      <c r="A62" s="375"/>
    </row>
    <row r="63">
      <c r="A63" s="375"/>
    </row>
    <row r="64">
      <c r="A64" s="375"/>
    </row>
    <row r="65">
      <c r="A65" s="375"/>
    </row>
    <row r="66">
      <c r="A66" s="375"/>
    </row>
    <row r="67">
      <c r="A67" s="375"/>
    </row>
    <row r="68">
      <c r="A68" s="375"/>
    </row>
    <row r="69">
      <c r="A69" s="375"/>
    </row>
    <row r="70">
      <c r="A70" s="375"/>
    </row>
    <row r="71">
      <c r="A71" s="375"/>
    </row>
    <row r="72">
      <c r="A72" s="375"/>
    </row>
    <row r="73">
      <c r="A73" s="375"/>
    </row>
    <row r="74">
      <c r="A74" s="375"/>
    </row>
    <row r="75">
      <c r="A75" s="375"/>
    </row>
    <row r="76">
      <c r="A76" s="375"/>
    </row>
    <row r="77">
      <c r="A77" s="375"/>
    </row>
    <row r="78">
      <c r="A78" s="375"/>
    </row>
    <row r="79">
      <c r="A79" s="375"/>
    </row>
    <row r="80">
      <c r="A80" s="375"/>
    </row>
    <row r="81">
      <c r="A81" s="375"/>
    </row>
    <row r="82">
      <c r="A82" s="375"/>
    </row>
    <row r="83">
      <c r="A83" s="375"/>
    </row>
    <row r="84">
      <c r="A84" s="375"/>
    </row>
    <row r="85">
      <c r="A85" s="375"/>
    </row>
    <row r="86">
      <c r="A86" s="375"/>
    </row>
    <row r="87">
      <c r="A87" s="375"/>
    </row>
    <row r="88">
      <c r="A88" s="375"/>
    </row>
    <row r="89">
      <c r="A89" s="375"/>
    </row>
    <row r="90">
      <c r="A90" s="375"/>
    </row>
    <row r="91">
      <c r="A91" s="375"/>
    </row>
    <row r="92">
      <c r="A92" s="375"/>
    </row>
    <row r="93">
      <c r="A93" s="375"/>
    </row>
    <row r="94">
      <c r="A94" s="375"/>
    </row>
    <row r="95">
      <c r="A95" s="375"/>
    </row>
    <row r="96">
      <c r="A96" s="375"/>
    </row>
    <row r="97">
      <c r="A97" s="375"/>
    </row>
    <row r="98">
      <c r="A98" s="375"/>
    </row>
    <row r="99">
      <c r="A99" s="375"/>
    </row>
    <row r="100">
      <c r="A100" s="375"/>
    </row>
    <row r="101">
      <c r="A101" s="375"/>
    </row>
    <row r="102">
      <c r="A102" s="375"/>
    </row>
    <row r="103">
      <c r="A103" s="375"/>
    </row>
    <row r="104">
      <c r="A104" s="375"/>
    </row>
    <row r="105">
      <c r="A105" s="375"/>
    </row>
    <row r="106">
      <c r="A106" s="375"/>
    </row>
    <row r="107">
      <c r="A107" s="375"/>
    </row>
    <row r="108">
      <c r="A108" s="375"/>
    </row>
    <row r="109">
      <c r="A109" s="375"/>
    </row>
    <row r="110">
      <c r="A110" s="375"/>
    </row>
    <row r="111">
      <c r="A111" s="375"/>
    </row>
    <row r="112">
      <c r="A112" s="375"/>
    </row>
    <row r="113">
      <c r="A113" s="375"/>
    </row>
    <row r="114">
      <c r="A114" s="375"/>
    </row>
    <row r="115">
      <c r="A115" s="375"/>
    </row>
    <row r="116">
      <c r="A116" s="375"/>
    </row>
    <row r="117">
      <c r="A117" s="375"/>
    </row>
    <row r="118">
      <c r="A118" s="375"/>
    </row>
    <row r="119">
      <c r="A119" s="375"/>
    </row>
    <row r="120">
      <c r="A120" s="375"/>
    </row>
    <row r="121">
      <c r="A121" s="375"/>
    </row>
    <row r="122">
      <c r="A122" s="375"/>
    </row>
    <row r="123">
      <c r="A123" s="375"/>
    </row>
    <row r="124">
      <c r="A124" s="375"/>
    </row>
    <row r="125">
      <c r="A125" s="375"/>
    </row>
    <row r="126">
      <c r="A126" s="375"/>
    </row>
    <row r="127">
      <c r="A127" s="375"/>
    </row>
    <row r="128">
      <c r="A128" s="375"/>
    </row>
    <row r="129">
      <c r="A129" s="375"/>
    </row>
    <row r="130">
      <c r="A130" s="375"/>
    </row>
    <row r="131">
      <c r="A131" s="375"/>
    </row>
    <row r="132">
      <c r="A132" s="375"/>
    </row>
    <row r="133">
      <c r="A133" s="375"/>
    </row>
    <row r="134">
      <c r="A134" s="375"/>
    </row>
    <row r="135">
      <c r="A135" s="375"/>
    </row>
    <row r="136">
      <c r="A136" s="375"/>
    </row>
    <row r="137">
      <c r="A137" s="375"/>
    </row>
    <row r="138">
      <c r="A138" s="375"/>
    </row>
    <row r="139">
      <c r="A139" s="375"/>
    </row>
    <row r="140">
      <c r="A140" s="375"/>
    </row>
    <row r="141">
      <c r="A141" s="375"/>
    </row>
    <row r="142">
      <c r="A142" s="375"/>
    </row>
    <row r="143">
      <c r="A143" s="375"/>
    </row>
    <row r="144">
      <c r="A144" s="375"/>
    </row>
    <row r="145">
      <c r="A145" s="375"/>
    </row>
    <row r="146">
      <c r="A146" s="375"/>
    </row>
    <row r="147">
      <c r="A147" s="375"/>
    </row>
    <row r="148">
      <c r="A148" s="375"/>
    </row>
    <row r="149">
      <c r="A149" s="375"/>
    </row>
    <row r="150">
      <c r="A150" s="375"/>
    </row>
    <row r="151">
      <c r="A151" s="375"/>
    </row>
    <row r="152">
      <c r="A152" s="375"/>
    </row>
    <row r="153">
      <c r="A153" s="375"/>
    </row>
    <row r="154">
      <c r="A154" s="375"/>
    </row>
    <row r="155">
      <c r="A155" s="375"/>
    </row>
    <row r="156">
      <c r="A156" s="375"/>
    </row>
    <row r="157">
      <c r="A157" s="375"/>
    </row>
    <row r="158">
      <c r="A158" s="375"/>
    </row>
    <row r="159">
      <c r="A159" s="375"/>
    </row>
    <row r="160">
      <c r="A160" s="375"/>
    </row>
    <row r="161">
      <c r="A161" s="375"/>
    </row>
    <row r="162">
      <c r="A162" s="375"/>
    </row>
    <row r="163">
      <c r="A163" s="375"/>
    </row>
    <row r="164">
      <c r="A164" s="375"/>
    </row>
    <row r="165">
      <c r="A165" s="375"/>
    </row>
    <row r="166">
      <c r="A166" s="375"/>
    </row>
    <row r="167">
      <c r="A167" s="375"/>
    </row>
    <row r="168">
      <c r="A168" s="375"/>
    </row>
    <row r="169">
      <c r="A169" s="375"/>
    </row>
    <row r="170">
      <c r="A170" s="375"/>
    </row>
    <row r="171">
      <c r="A171" s="375"/>
    </row>
    <row r="172">
      <c r="A172" s="375"/>
    </row>
    <row r="173">
      <c r="A173" s="375"/>
    </row>
    <row r="174">
      <c r="A174" s="375"/>
    </row>
    <row r="175">
      <c r="A175" s="375"/>
    </row>
    <row r="176">
      <c r="A176" s="375"/>
    </row>
    <row r="177">
      <c r="A177" s="375"/>
    </row>
    <row r="178">
      <c r="A178" s="375"/>
    </row>
    <row r="179">
      <c r="A179" s="375"/>
    </row>
    <row r="180">
      <c r="A180" s="375"/>
    </row>
    <row r="181">
      <c r="A181" s="375"/>
    </row>
    <row r="182">
      <c r="A182" s="375"/>
    </row>
    <row r="183">
      <c r="A183" s="375"/>
    </row>
    <row r="184">
      <c r="A184" s="375"/>
    </row>
    <row r="185">
      <c r="A185" s="375"/>
    </row>
    <row r="186">
      <c r="A186" s="375"/>
    </row>
    <row r="187">
      <c r="A187" s="375"/>
    </row>
    <row r="188">
      <c r="A188" s="375"/>
    </row>
    <row r="189">
      <c r="A189" s="375"/>
    </row>
    <row r="190">
      <c r="A190" s="375"/>
    </row>
    <row r="191">
      <c r="A191" s="375"/>
    </row>
    <row r="192">
      <c r="A192" s="375"/>
    </row>
    <row r="193">
      <c r="A193" s="375"/>
    </row>
    <row r="194">
      <c r="A194" s="375"/>
    </row>
    <row r="195">
      <c r="A195" s="375"/>
    </row>
    <row r="196">
      <c r="A196" s="375"/>
    </row>
    <row r="197">
      <c r="A197" s="375"/>
    </row>
    <row r="198">
      <c r="A198" s="375"/>
    </row>
    <row r="199">
      <c r="A199" s="375"/>
    </row>
    <row r="200">
      <c r="A200" s="375"/>
    </row>
    <row r="201">
      <c r="A201" s="375"/>
    </row>
    <row r="202">
      <c r="A202" s="375"/>
    </row>
    <row r="203">
      <c r="A203" s="375"/>
    </row>
    <row r="204">
      <c r="A204" s="375"/>
    </row>
    <row r="205">
      <c r="A205" s="375"/>
    </row>
    <row r="206">
      <c r="A206" s="375"/>
    </row>
    <row r="207">
      <c r="A207" s="375"/>
    </row>
    <row r="208">
      <c r="A208" s="375"/>
    </row>
    <row r="209">
      <c r="A209" s="375"/>
    </row>
    <row r="210">
      <c r="A210" s="375"/>
    </row>
    <row r="211">
      <c r="A211" s="375"/>
    </row>
    <row r="212">
      <c r="A212" s="375"/>
    </row>
    <row r="213">
      <c r="A213" s="375"/>
    </row>
    <row r="214">
      <c r="A214" s="375"/>
    </row>
    <row r="215">
      <c r="A215" s="375"/>
    </row>
    <row r="216">
      <c r="A216" s="375"/>
    </row>
    <row r="217">
      <c r="A217" s="375"/>
    </row>
    <row r="218">
      <c r="A218" s="375"/>
    </row>
    <row r="219">
      <c r="A219" s="375"/>
    </row>
    <row r="220">
      <c r="A220" s="375"/>
    </row>
    <row r="221">
      <c r="A221" s="375"/>
    </row>
    <row r="222">
      <c r="A222" s="375"/>
    </row>
    <row r="223">
      <c r="A223" s="375"/>
    </row>
    <row r="224">
      <c r="A224" s="375"/>
    </row>
    <row r="225">
      <c r="A225" s="375"/>
    </row>
    <row r="226">
      <c r="A226" s="375"/>
    </row>
    <row r="227">
      <c r="A227" s="375"/>
    </row>
    <row r="228">
      <c r="A228" s="375"/>
    </row>
    <row r="229">
      <c r="A229" s="375"/>
    </row>
    <row r="230">
      <c r="A230" s="375"/>
    </row>
    <row r="231">
      <c r="A231" s="375"/>
    </row>
    <row r="232">
      <c r="A232" s="375"/>
    </row>
    <row r="233">
      <c r="A233" s="375"/>
    </row>
    <row r="234">
      <c r="A234" s="375"/>
    </row>
    <row r="235">
      <c r="A235" s="375"/>
    </row>
    <row r="236">
      <c r="A236" s="375"/>
    </row>
    <row r="237">
      <c r="A237" s="375"/>
    </row>
    <row r="238">
      <c r="A238" s="375"/>
    </row>
    <row r="239">
      <c r="A239" s="375"/>
    </row>
    <row r="240">
      <c r="A240" s="375"/>
    </row>
    <row r="241">
      <c r="A241" s="375"/>
    </row>
    <row r="242">
      <c r="A242" s="375"/>
    </row>
    <row r="243">
      <c r="A243" s="375"/>
    </row>
    <row r="244">
      <c r="A244" s="375"/>
    </row>
    <row r="245">
      <c r="A245" s="375"/>
    </row>
    <row r="246">
      <c r="A246" s="375"/>
    </row>
    <row r="247">
      <c r="A247" s="375"/>
    </row>
    <row r="248">
      <c r="A248" s="375"/>
    </row>
    <row r="249">
      <c r="A249" s="375"/>
    </row>
    <row r="250">
      <c r="A250" s="375"/>
    </row>
    <row r="251">
      <c r="A251" s="375"/>
    </row>
    <row r="252">
      <c r="A252" s="375"/>
    </row>
    <row r="253">
      <c r="A253" s="375"/>
    </row>
    <row r="254">
      <c r="A254" s="375"/>
    </row>
    <row r="255">
      <c r="A255" s="375"/>
    </row>
    <row r="256">
      <c r="A256" s="375"/>
    </row>
    <row r="257">
      <c r="A257" s="375"/>
    </row>
    <row r="258">
      <c r="A258" s="375"/>
    </row>
    <row r="259">
      <c r="A259" s="375"/>
    </row>
    <row r="260">
      <c r="A260" s="375"/>
    </row>
    <row r="261">
      <c r="A261" s="375"/>
    </row>
    <row r="262">
      <c r="A262" s="375"/>
    </row>
    <row r="263">
      <c r="A263" s="375"/>
    </row>
    <row r="264">
      <c r="A264" s="375"/>
    </row>
    <row r="265">
      <c r="A265" s="375"/>
    </row>
    <row r="266">
      <c r="A266" s="375"/>
    </row>
    <row r="267">
      <c r="A267" s="375"/>
    </row>
    <row r="268">
      <c r="A268" s="375"/>
    </row>
    <row r="269">
      <c r="A269" s="375"/>
    </row>
    <row r="270">
      <c r="A270" s="375"/>
    </row>
    <row r="271">
      <c r="A271" s="375"/>
    </row>
    <row r="272">
      <c r="A272" s="375"/>
    </row>
    <row r="273">
      <c r="A273" s="375"/>
    </row>
    <row r="274">
      <c r="A274" s="375"/>
    </row>
    <row r="275">
      <c r="A275" s="375"/>
    </row>
    <row r="276">
      <c r="A276" s="375"/>
    </row>
    <row r="277">
      <c r="A277" s="375"/>
    </row>
    <row r="278">
      <c r="A278" s="375"/>
    </row>
    <row r="279">
      <c r="A279" s="375"/>
    </row>
    <row r="280">
      <c r="A280" s="375"/>
    </row>
    <row r="281">
      <c r="A281" s="375"/>
    </row>
    <row r="282">
      <c r="A282" s="375"/>
    </row>
    <row r="283">
      <c r="A283" s="375"/>
    </row>
    <row r="284">
      <c r="A284" s="375"/>
    </row>
    <row r="285">
      <c r="A285" s="375"/>
    </row>
    <row r="286">
      <c r="A286" s="375"/>
    </row>
    <row r="287">
      <c r="A287" s="375"/>
    </row>
    <row r="288">
      <c r="A288" s="375"/>
    </row>
    <row r="289">
      <c r="A289" s="375"/>
    </row>
    <row r="290">
      <c r="A290" s="375"/>
    </row>
    <row r="291">
      <c r="A291" s="375"/>
    </row>
    <row r="292">
      <c r="A292" s="375"/>
    </row>
    <row r="293">
      <c r="A293" s="375"/>
    </row>
    <row r="294">
      <c r="A294" s="375"/>
    </row>
    <row r="295">
      <c r="A295" s="375"/>
    </row>
    <row r="296">
      <c r="A296" s="375"/>
    </row>
    <row r="297">
      <c r="A297" s="375"/>
    </row>
    <row r="298">
      <c r="A298" s="375"/>
    </row>
    <row r="299">
      <c r="A299" s="375"/>
    </row>
    <row r="300">
      <c r="A300" s="375"/>
    </row>
    <row r="301">
      <c r="A301" s="375"/>
    </row>
    <row r="302">
      <c r="A302" s="375"/>
    </row>
    <row r="303">
      <c r="A303" s="375"/>
    </row>
    <row r="304">
      <c r="A304" s="375"/>
    </row>
    <row r="305">
      <c r="A305" s="375"/>
    </row>
    <row r="306">
      <c r="A306" s="375"/>
    </row>
    <row r="307">
      <c r="A307" s="375"/>
    </row>
    <row r="308">
      <c r="A308" s="375"/>
    </row>
    <row r="309">
      <c r="A309" s="375"/>
    </row>
    <row r="310">
      <c r="A310" s="375"/>
    </row>
    <row r="311">
      <c r="A311" s="375"/>
    </row>
    <row r="312">
      <c r="A312" s="375"/>
    </row>
    <row r="313">
      <c r="A313" s="375"/>
    </row>
    <row r="314">
      <c r="A314" s="375"/>
    </row>
    <row r="315">
      <c r="A315" s="375"/>
    </row>
    <row r="316">
      <c r="A316" s="375"/>
    </row>
    <row r="317">
      <c r="A317" s="375"/>
    </row>
    <row r="318">
      <c r="A318" s="375"/>
    </row>
    <row r="319">
      <c r="A319" s="375"/>
    </row>
    <row r="320">
      <c r="A320" s="375"/>
    </row>
    <row r="321">
      <c r="A321" s="375"/>
    </row>
    <row r="322">
      <c r="A322" s="375"/>
    </row>
    <row r="323">
      <c r="A323" s="375"/>
    </row>
    <row r="324">
      <c r="A324" s="375"/>
    </row>
    <row r="325">
      <c r="A325" s="375"/>
    </row>
    <row r="326">
      <c r="A326" s="375"/>
    </row>
    <row r="327">
      <c r="A327" s="375"/>
    </row>
    <row r="328">
      <c r="A328" s="375"/>
    </row>
    <row r="329">
      <c r="A329" s="375"/>
    </row>
    <row r="330">
      <c r="A330" s="375"/>
    </row>
    <row r="331">
      <c r="A331" s="375"/>
    </row>
    <row r="332">
      <c r="A332" s="375"/>
    </row>
    <row r="333">
      <c r="A333" s="375"/>
    </row>
    <row r="334">
      <c r="A334" s="375"/>
    </row>
    <row r="335">
      <c r="A335" s="375"/>
    </row>
    <row r="336">
      <c r="A336" s="375"/>
    </row>
    <row r="337">
      <c r="A337" s="375"/>
    </row>
    <row r="338">
      <c r="A338" s="375"/>
    </row>
    <row r="339">
      <c r="A339" s="375"/>
    </row>
    <row r="340">
      <c r="A340" s="375"/>
    </row>
    <row r="341">
      <c r="A341" s="375"/>
    </row>
    <row r="342">
      <c r="A342" s="375"/>
    </row>
    <row r="343">
      <c r="A343" s="375"/>
    </row>
    <row r="344">
      <c r="A344" s="375"/>
    </row>
    <row r="345">
      <c r="A345" s="375"/>
    </row>
    <row r="346">
      <c r="A346" s="375"/>
    </row>
    <row r="347">
      <c r="A347" s="375"/>
    </row>
    <row r="348">
      <c r="A348" s="375"/>
    </row>
    <row r="349">
      <c r="A349" s="375"/>
    </row>
    <row r="350">
      <c r="A350" s="375"/>
    </row>
    <row r="351">
      <c r="A351" s="375"/>
    </row>
    <row r="352">
      <c r="A352" s="375"/>
    </row>
    <row r="353">
      <c r="A353" s="375"/>
    </row>
    <row r="354">
      <c r="A354" s="375"/>
    </row>
    <row r="355">
      <c r="A355" s="375"/>
    </row>
    <row r="356">
      <c r="A356" s="375"/>
    </row>
    <row r="357">
      <c r="A357" s="375"/>
    </row>
    <row r="358">
      <c r="A358" s="375"/>
    </row>
    <row r="359">
      <c r="A359" s="375"/>
    </row>
    <row r="360">
      <c r="A360" s="375"/>
    </row>
    <row r="361">
      <c r="A361" s="375"/>
    </row>
    <row r="362">
      <c r="A362" s="375"/>
    </row>
    <row r="363">
      <c r="A363" s="375"/>
    </row>
    <row r="364">
      <c r="A364" s="375"/>
    </row>
    <row r="365">
      <c r="A365" s="375"/>
    </row>
    <row r="366">
      <c r="A366" s="375"/>
    </row>
    <row r="367">
      <c r="A367" s="375"/>
    </row>
    <row r="368">
      <c r="A368" s="375"/>
    </row>
    <row r="369">
      <c r="A369" s="375"/>
    </row>
    <row r="370">
      <c r="A370" s="375"/>
    </row>
    <row r="371">
      <c r="A371" s="375"/>
    </row>
    <row r="372">
      <c r="A372" s="375"/>
    </row>
    <row r="373">
      <c r="A373" s="375"/>
    </row>
    <row r="374">
      <c r="A374" s="375"/>
    </row>
    <row r="375">
      <c r="A375" s="375"/>
    </row>
    <row r="376">
      <c r="A376" s="375"/>
    </row>
    <row r="377">
      <c r="A377" s="375"/>
    </row>
    <row r="378">
      <c r="A378" s="375"/>
    </row>
    <row r="379">
      <c r="A379" s="375"/>
    </row>
    <row r="380">
      <c r="A380" s="375"/>
    </row>
    <row r="381">
      <c r="A381" s="375"/>
    </row>
    <row r="382">
      <c r="A382" s="375"/>
    </row>
    <row r="383">
      <c r="A383" s="375"/>
    </row>
    <row r="384">
      <c r="A384" s="375"/>
    </row>
    <row r="385">
      <c r="A385" s="375"/>
    </row>
    <row r="386">
      <c r="A386" s="375"/>
    </row>
    <row r="387">
      <c r="A387" s="375"/>
    </row>
    <row r="388">
      <c r="A388" s="375"/>
    </row>
    <row r="389">
      <c r="A389" s="375"/>
    </row>
    <row r="390">
      <c r="A390" s="375"/>
    </row>
    <row r="391">
      <c r="A391" s="375"/>
    </row>
    <row r="392">
      <c r="A392" s="375"/>
    </row>
    <row r="393">
      <c r="A393" s="375"/>
    </row>
    <row r="394">
      <c r="A394" s="375"/>
    </row>
    <row r="395">
      <c r="A395" s="375"/>
    </row>
    <row r="396">
      <c r="A396" s="375"/>
    </row>
    <row r="397">
      <c r="A397" s="375"/>
    </row>
    <row r="398">
      <c r="A398" s="375"/>
    </row>
    <row r="399">
      <c r="A399" s="375"/>
    </row>
    <row r="400">
      <c r="A400" s="375"/>
    </row>
    <row r="401">
      <c r="A401" s="375"/>
    </row>
    <row r="402">
      <c r="A402" s="375"/>
    </row>
    <row r="403">
      <c r="A403" s="375"/>
    </row>
    <row r="404">
      <c r="A404" s="375"/>
    </row>
    <row r="405">
      <c r="A405" s="375"/>
    </row>
    <row r="406">
      <c r="A406" s="375"/>
    </row>
    <row r="407">
      <c r="A407" s="375"/>
    </row>
    <row r="408">
      <c r="A408" s="375"/>
    </row>
    <row r="409">
      <c r="A409" s="375"/>
    </row>
    <row r="410">
      <c r="A410" s="375"/>
    </row>
    <row r="411">
      <c r="A411" s="375"/>
    </row>
    <row r="412">
      <c r="A412" s="375"/>
    </row>
    <row r="413">
      <c r="A413" s="375"/>
    </row>
    <row r="414">
      <c r="A414" s="375"/>
    </row>
    <row r="415">
      <c r="A415" s="375"/>
    </row>
    <row r="416">
      <c r="A416" s="375"/>
    </row>
    <row r="417">
      <c r="A417" s="375"/>
    </row>
    <row r="418">
      <c r="A418" s="375"/>
    </row>
    <row r="419">
      <c r="A419" s="375"/>
    </row>
    <row r="420">
      <c r="A420" s="375"/>
    </row>
    <row r="421">
      <c r="A421" s="375"/>
    </row>
    <row r="422">
      <c r="A422" s="375"/>
    </row>
    <row r="423">
      <c r="A423" s="375"/>
    </row>
    <row r="424">
      <c r="A424" s="375"/>
    </row>
    <row r="425">
      <c r="A425" s="375"/>
    </row>
    <row r="426">
      <c r="A426" s="375"/>
    </row>
    <row r="427">
      <c r="A427" s="375"/>
    </row>
    <row r="428">
      <c r="A428" s="375"/>
    </row>
    <row r="429">
      <c r="A429" s="375"/>
    </row>
    <row r="430">
      <c r="A430" s="375"/>
    </row>
    <row r="431">
      <c r="A431" s="375"/>
    </row>
    <row r="432">
      <c r="A432" s="375"/>
    </row>
    <row r="433">
      <c r="A433" s="375"/>
    </row>
    <row r="434">
      <c r="A434" s="375"/>
    </row>
    <row r="435">
      <c r="A435" s="375"/>
    </row>
    <row r="436">
      <c r="A436" s="375"/>
    </row>
    <row r="437">
      <c r="A437" s="375"/>
    </row>
    <row r="438">
      <c r="A438" s="375"/>
    </row>
    <row r="439">
      <c r="A439" s="375"/>
    </row>
    <row r="440">
      <c r="A440" s="375"/>
    </row>
    <row r="441">
      <c r="A441" s="375"/>
    </row>
    <row r="442">
      <c r="A442" s="375"/>
    </row>
    <row r="443">
      <c r="A443" s="375"/>
    </row>
    <row r="444">
      <c r="A444" s="375"/>
    </row>
    <row r="445">
      <c r="A445" s="375"/>
    </row>
    <row r="446">
      <c r="A446" s="375"/>
    </row>
    <row r="447">
      <c r="A447" s="375"/>
    </row>
    <row r="448">
      <c r="A448" s="375"/>
    </row>
    <row r="449">
      <c r="A449" s="375"/>
    </row>
    <row r="450">
      <c r="A450" s="375"/>
    </row>
    <row r="451">
      <c r="A451" s="375"/>
    </row>
    <row r="452">
      <c r="A452" s="375"/>
    </row>
    <row r="453">
      <c r="A453" s="375"/>
    </row>
    <row r="454">
      <c r="A454" s="375"/>
    </row>
    <row r="455">
      <c r="A455" s="375"/>
    </row>
    <row r="456">
      <c r="A456" s="375"/>
    </row>
    <row r="457">
      <c r="A457" s="375"/>
    </row>
    <row r="458">
      <c r="A458" s="375"/>
    </row>
    <row r="459">
      <c r="A459" s="375"/>
    </row>
    <row r="460">
      <c r="A460" s="375"/>
    </row>
    <row r="461">
      <c r="A461" s="375"/>
    </row>
    <row r="462">
      <c r="A462" s="375"/>
    </row>
    <row r="463">
      <c r="A463" s="375"/>
    </row>
    <row r="464">
      <c r="A464" s="375"/>
    </row>
    <row r="465">
      <c r="A465" s="375"/>
    </row>
    <row r="466">
      <c r="A466" s="375"/>
    </row>
    <row r="467">
      <c r="A467" s="375"/>
    </row>
    <row r="468">
      <c r="A468" s="375"/>
    </row>
    <row r="469">
      <c r="A469" s="375"/>
    </row>
    <row r="470">
      <c r="A470" s="375"/>
    </row>
    <row r="471">
      <c r="A471" s="375"/>
    </row>
    <row r="472">
      <c r="A472" s="375"/>
    </row>
    <row r="473">
      <c r="A473" s="375"/>
    </row>
    <row r="474">
      <c r="A474" s="375"/>
    </row>
    <row r="475">
      <c r="A475" s="375"/>
    </row>
    <row r="476">
      <c r="A476" s="375"/>
    </row>
    <row r="477">
      <c r="A477" s="375"/>
    </row>
    <row r="478">
      <c r="A478" s="375"/>
    </row>
    <row r="479">
      <c r="A479" s="375"/>
    </row>
    <row r="480">
      <c r="A480" s="375"/>
    </row>
    <row r="481">
      <c r="A481" s="375"/>
    </row>
    <row r="482">
      <c r="A482" s="375"/>
    </row>
    <row r="483">
      <c r="A483" s="375"/>
    </row>
    <row r="484">
      <c r="A484" s="375"/>
    </row>
    <row r="485">
      <c r="A485" s="375"/>
    </row>
    <row r="486">
      <c r="A486" s="375"/>
    </row>
    <row r="487">
      <c r="A487" s="375"/>
    </row>
    <row r="488">
      <c r="A488" s="375"/>
    </row>
    <row r="489">
      <c r="A489" s="375"/>
    </row>
    <row r="490">
      <c r="A490" s="375"/>
    </row>
    <row r="491">
      <c r="A491" s="375"/>
    </row>
    <row r="492">
      <c r="A492" s="375"/>
    </row>
    <row r="493">
      <c r="A493" s="375"/>
    </row>
    <row r="494">
      <c r="A494" s="375"/>
    </row>
    <row r="495">
      <c r="A495" s="375"/>
    </row>
    <row r="496">
      <c r="A496" s="375"/>
    </row>
    <row r="497">
      <c r="A497" s="375"/>
    </row>
    <row r="498">
      <c r="A498" s="375"/>
    </row>
    <row r="499">
      <c r="A499" s="375"/>
    </row>
    <row r="500">
      <c r="A500" s="375"/>
    </row>
    <row r="501">
      <c r="A501" s="375"/>
    </row>
    <row r="502">
      <c r="A502" s="375"/>
    </row>
    <row r="503">
      <c r="A503" s="375"/>
    </row>
    <row r="504">
      <c r="A504" s="375"/>
    </row>
    <row r="505">
      <c r="A505" s="375"/>
    </row>
    <row r="506">
      <c r="A506" s="375"/>
    </row>
    <row r="507">
      <c r="A507" s="375"/>
    </row>
    <row r="508">
      <c r="A508" s="375"/>
    </row>
    <row r="509">
      <c r="A509" s="375"/>
    </row>
    <row r="510">
      <c r="A510" s="375"/>
    </row>
    <row r="511">
      <c r="A511" s="375"/>
    </row>
    <row r="512">
      <c r="A512" s="375"/>
    </row>
    <row r="513">
      <c r="A513" s="375"/>
    </row>
    <row r="514">
      <c r="A514" s="375"/>
    </row>
    <row r="515">
      <c r="A515" s="375"/>
    </row>
    <row r="516">
      <c r="A516" s="375"/>
    </row>
    <row r="517">
      <c r="A517" s="375"/>
    </row>
    <row r="518">
      <c r="A518" s="375"/>
    </row>
    <row r="519">
      <c r="A519" s="375"/>
    </row>
    <row r="520">
      <c r="A520" s="375"/>
    </row>
    <row r="521">
      <c r="A521" s="375"/>
    </row>
    <row r="522">
      <c r="A522" s="375"/>
    </row>
    <row r="523">
      <c r="A523" s="375"/>
    </row>
    <row r="524">
      <c r="A524" s="375"/>
    </row>
    <row r="525">
      <c r="A525" s="375"/>
    </row>
    <row r="526">
      <c r="A526" s="375"/>
    </row>
    <row r="527">
      <c r="A527" s="375"/>
    </row>
    <row r="528">
      <c r="A528" s="375"/>
    </row>
    <row r="529">
      <c r="A529" s="375"/>
    </row>
    <row r="530">
      <c r="A530" s="375"/>
    </row>
    <row r="531">
      <c r="A531" s="375"/>
    </row>
    <row r="532">
      <c r="A532" s="375"/>
    </row>
    <row r="533">
      <c r="A533" s="375"/>
    </row>
    <row r="534">
      <c r="A534" s="375"/>
    </row>
    <row r="535">
      <c r="A535" s="375"/>
    </row>
    <row r="536">
      <c r="A536" s="375"/>
    </row>
    <row r="537">
      <c r="A537" s="375"/>
    </row>
    <row r="538">
      <c r="A538" s="375"/>
    </row>
    <row r="539">
      <c r="A539" s="375"/>
    </row>
    <row r="540">
      <c r="A540" s="375"/>
    </row>
    <row r="541">
      <c r="A541" s="375"/>
    </row>
    <row r="542">
      <c r="A542" s="375"/>
    </row>
    <row r="543">
      <c r="A543" s="375"/>
    </row>
    <row r="544">
      <c r="A544" s="375"/>
    </row>
    <row r="545">
      <c r="A545" s="375"/>
    </row>
    <row r="546">
      <c r="A546" s="375"/>
    </row>
    <row r="547">
      <c r="A547" s="375"/>
    </row>
    <row r="548">
      <c r="A548" s="375"/>
    </row>
    <row r="549">
      <c r="A549" s="375"/>
    </row>
    <row r="550">
      <c r="A550" s="375"/>
    </row>
    <row r="551">
      <c r="A551" s="375"/>
    </row>
    <row r="552">
      <c r="A552" s="375"/>
    </row>
    <row r="553">
      <c r="A553" s="375"/>
    </row>
    <row r="554">
      <c r="A554" s="375"/>
    </row>
    <row r="555">
      <c r="A555" s="375"/>
    </row>
    <row r="556">
      <c r="A556" s="375"/>
    </row>
    <row r="557">
      <c r="A557" s="375"/>
    </row>
    <row r="558">
      <c r="A558" s="375"/>
    </row>
    <row r="559">
      <c r="A559" s="375"/>
    </row>
    <row r="560">
      <c r="A560" s="375"/>
    </row>
    <row r="561">
      <c r="A561" s="375"/>
    </row>
    <row r="562">
      <c r="A562" s="375"/>
    </row>
    <row r="563">
      <c r="A563" s="375"/>
    </row>
    <row r="564">
      <c r="A564" s="375"/>
    </row>
    <row r="565">
      <c r="A565" s="375"/>
    </row>
    <row r="566">
      <c r="A566" s="375"/>
    </row>
    <row r="567">
      <c r="A567" s="375"/>
    </row>
    <row r="568">
      <c r="A568" s="375"/>
    </row>
    <row r="569">
      <c r="A569" s="375"/>
    </row>
    <row r="570">
      <c r="A570" s="375"/>
    </row>
    <row r="571">
      <c r="A571" s="375"/>
    </row>
    <row r="572">
      <c r="A572" s="375"/>
    </row>
    <row r="573">
      <c r="A573" s="375"/>
    </row>
    <row r="574">
      <c r="A574" s="375"/>
    </row>
    <row r="575">
      <c r="A575" s="375"/>
    </row>
    <row r="576">
      <c r="A576" s="375"/>
    </row>
    <row r="577">
      <c r="A577" s="375"/>
    </row>
    <row r="578">
      <c r="A578" s="375"/>
    </row>
    <row r="579">
      <c r="A579" s="375"/>
    </row>
    <row r="580">
      <c r="A580" s="375"/>
    </row>
    <row r="581">
      <c r="A581" s="375"/>
    </row>
    <row r="582">
      <c r="A582" s="375"/>
    </row>
    <row r="583">
      <c r="A583" s="375"/>
    </row>
    <row r="584">
      <c r="A584" s="375"/>
    </row>
    <row r="585">
      <c r="A585" s="375"/>
    </row>
    <row r="586">
      <c r="A586" s="375"/>
    </row>
    <row r="587">
      <c r="A587" s="375"/>
    </row>
    <row r="588">
      <c r="A588" s="375"/>
    </row>
    <row r="589">
      <c r="A589" s="375"/>
    </row>
    <row r="590">
      <c r="A590" s="375"/>
    </row>
    <row r="591">
      <c r="A591" s="375"/>
    </row>
    <row r="592">
      <c r="A592" s="375"/>
    </row>
    <row r="593">
      <c r="A593" s="375"/>
    </row>
    <row r="594">
      <c r="A594" s="375"/>
    </row>
    <row r="595">
      <c r="A595" s="375"/>
    </row>
    <row r="596">
      <c r="A596" s="375"/>
    </row>
    <row r="597">
      <c r="A597" s="375"/>
    </row>
    <row r="598">
      <c r="A598" s="375"/>
    </row>
    <row r="599">
      <c r="A599" s="375"/>
    </row>
    <row r="600">
      <c r="A600" s="375"/>
    </row>
    <row r="601">
      <c r="A601" s="375"/>
    </row>
    <row r="602">
      <c r="A602" s="375"/>
    </row>
    <row r="603">
      <c r="A603" s="375"/>
    </row>
    <row r="604">
      <c r="A604" s="375"/>
    </row>
    <row r="605">
      <c r="A605" s="375"/>
    </row>
    <row r="606">
      <c r="A606" s="375"/>
    </row>
    <row r="607">
      <c r="A607" s="375"/>
    </row>
    <row r="608">
      <c r="A608" s="375"/>
    </row>
    <row r="609">
      <c r="A609" s="375"/>
    </row>
    <row r="610">
      <c r="A610" s="375"/>
    </row>
    <row r="611">
      <c r="A611" s="375"/>
    </row>
    <row r="612">
      <c r="A612" s="375"/>
    </row>
    <row r="613">
      <c r="A613" s="375"/>
    </row>
    <row r="614">
      <c r="A614" s="375"/>
    </row>
    <row r="615">
      <c r="A615" s="375"/>
    </row>
    <row r="616">
      <c r="A616" s="375"/>
    </row>
    <row r="617">
      <c r="A617" s="375"/>
    </row>
    <row r="618">
      <c r="A618" s="375"/>
    </row>
    <row r="619">
      <c r="A619" s="375"/>
    </row>
    <row r="620">
      <c r="A620" s="375"/>
    </row>
    <row r="621">
      <c r="A621" s="375"/>
    </row>
    <row r="622">
      <c r="A622" s="375"/>
    </row>
    <row r="623">
      <c r="A623" s="375"/>
    </row>
    <row r="624">
      <c r="A624" s="375"/>
    </row>
    <row r="625">
      <c r="A625" s="375"/>
    </row>
    <row r="626">
      <c r="A626" s="375"/>
    </row>
    <row r="627">
      <c r="A627" s="375"/>
    </row>
    <row r="628">
      <c r="A628" s="375"/>
    </row>
    <row r="629">
      <c r="A629" s="375"/>
    </row>
    <row r="630">
      <c r="A630" s="375"/>
    </row>
    <row r="631">
      <c r="A631" s="375"/>
    </row>
    <row r="632">
      <c r="A632" s="375"/>
    </row>
    <row r="633">
      <c r="A633" s="375"/>
    </row>
    <row r="634">
      <c r="A634" s="375"/>
    </row>
    <row r="635">
      <c r="A635" s="375"/>
    </row>
    <row r="636">
      <c r="A636" s="375"/>
    </row>
    <row r="637">
      <c r="A637" s="375"/>
    </row>
    <row r="638">
      <c r="A638" s="375"/>
    </row>
    <row r="639">
      <c r="A639" s="375"/>
    </row>
    <row r="640">
      <c r="A640" s="375"/>
    </row>
    <row r="641">
      <c r="A641" s="375"/>
    </row>
    <row r="642">
      <c r="A642" s="375"/>
    </row>
    <row r="643">
      <c r="A643" s="375"/>
    </row>
    <row r="644">
      <c r="A644" s="375"/>
    </row>
    <row r="645">
      <c r="A645" s="375"/>
    </row>
    <row r="646">
      <c r="A646" s="375"/>
    </row>
    <row r="647">
      <c r="A647" s="375"/>
    </row>
    <row r="648">
      <c r="A648" s="375"/>
    </row>
    <row r="649">
      <c r="A649" s="375"/>
    </row>
    <row r="650">
      <c r="A650" s="375"/>
    </row>
    <row r="651">
      <c r="A651" s="375"/>
    </row>
    <row r="652">
      <c r="A652" s="375"/>
    </row>
    <row r="653">
      <c r="A653" s="375"/>
    </row>
    <row r="654">
      <c r="A654" s="375"/>
    </row>
    <row r="655">
      <c r="A655" s="375"/>
    </row>
    <row r="656">
      <c r="A656" s="375"/>
    </row>
    <row r="657">
      <c r="A657" s="375"/>
    </row>
    <row r="658">
      <c r="A658" s="375"/>
    </row>
    <row r="659">
      <c r="A659" s="375"/>
    </row>
    <row r="660">
      <c r="A660" s="375"/>
    </row>
    <row r="661">
      <c r="A661" s="375"/>
    </row>
    <row r="662">
      <c r="A662" s="375"/>
    </row>
    <row r="663">
      <c r="A663" s="375"/>
    </row>
    <row r="664">
      <c r="A664" s="375"/>
    </row>
    <row r="665">
      <c r="A665" s="375"/>
    </row>
    <row r="666">
      <c r="A666" s="375"/>
    </row>
    <row r="667">
      <c r="A667" s="375"/>
    </row>
    <row r="668">
      <c r="A668" s="375"/>
    </row>
    <row r="669">
      <c r="A669" s="375"/>
    </row>
    <row r="670">
      <c r="A670" s="375"/>
    </row>
    <row r="671">
      <c r="A671" s="375"/>
    </row>
    <row r="672">
      <c r="A672" s="375"/>
    </row>
    <row r="673">
      <c r="A673" s="375"/>
    </row>
    <row r="674">
      <c r="A674" s="375"/>
    </row>
    <row r="675">
      <c r="A675" s="375"/>
    </row>
    <row r="676">
      <c r="A676" s="375"/>
    </row>
    <row r="677">
      <c r="A677" s="375"/>
    </row>
    <row r="678">
      <c r="A678" s="375"/>
    </row>
    <row r="679">
      <c r="A679" s="375"/>
    </row>
    <row r="680">
      <c r="A680" s="375"/>
    </row>
    <row r="681">
      <c r="A681" s="375"/>
    </row>
    <row r="682">
      <c r="A682" s="375"/>
    </row>
    <row r="683">
      <c r="A683" s="375"/>
    </row>
    <row r="684">
      <c r="A684" s="375"/>
    </row>
    <row r="685">
      <c r="A685" s="375"/>
    </row>
    <row r="686">
      <c r="A686" s="375"/>
    </row>
    <row r="687">
      <c r="A687" s="375"/>
    </row>
    <row r="688">
      <c r="A688" s="375"/>
    </row>
    <row r="689">
      <c r="A689" s="375"/>
    </row>
    <row r="690">
      <c r="A690" s="375"/>
    </row>
    <row r="691">
      <c r="A691" s="375"/>
    </row>
    <row r="692">
      <c r="A692" s="375"/>
    </row>
    <row r="693">
      <c r="A693" s="375"/>
    </row>
    <row r="694">
      <c r="A694" s="375"/>
    </row>
    <row r="695">
      <c r="A695" s="375"/>
    </row>
    <row r="696">
      <c r="A696" s="375"/>
    </row>
    <row r="697">
      <c r="A697" s="375"/>
    </row>
    <row r="698">
      <c r="A698" s="375"/>
    </row>
    <row r="699">
      <c r="A699" s="375"/>
    </row>
    <row r="700">
      <c r="A700" s="375"/>
    </row>
    <row r="701">
      <c r="A701" s="375"/>
    </row>
    <row r="702">
      <c r="A702" s="375"/>
    </row>
    <row r="703">
      <c r="A703" s="375"/>
    </row>
    <row r="704">
      <c r="A704" s="375"/>
    </row>
    <row r="705">
      <c r="A705" s="375"/>
    </row>
    <row r="706">
      <c r="A706" s="375"/>
    </row>
    <row r="707">
      <c r="A707" s="375"/>
    </row>
    <row r="708">
      <c r="A708" s="375"/>
    </row>
    <row r="709">
      <c r="A709" s="375"/>
    </row>
    <row r="710">
      <c r="A710" s="375"/>
    </row>
    <row r="711">
      <c r="A711" s="375"/>
    </row>
    <row r="712">
      <c r="A712" s="375"/>
    </row>
    <row r="713">
      <c r="A713" s="375"/>
    </row>
    <row r="714">
      <c r="A714" s="375"/>
    </row>
    <row r="715">
      <c r="A715" s="375"/>
    </row>
    <row r="716">
      <c r="A716" s="375"/>
    </row>
    <row r="717">
      <c r="A717" s="375"/>
    </row>
    <row r="718">
      <c r="A718" s="375"/>
    </row>
    <row r="719">
      <c r="A719" s="375"/>
    </row>
    <row r="720">
      <c r="A720" s="375"/>
    </row>
    <row r="721">
      <c r="A721" s="375"/>
    </row>
    <row r="722">
      <c r="A722" s="375"/>
    </row>
    <row r="723">
      <c r="A723" s="375"/>
    </row>
    <row r="724">
      <c r="A724" s="375"/>
    </row>
    <row r="725">
      <c r="A725" s="375"/>
    </row>
    <row r="726">
      <c r="A726" s="375"/>
    </row>
    <row r="727">
      <c r="A727" s="375"/>
    </row>
    <row r="728">
      <c r="A728" s="375"/>
    </row>
    <row r="729">
      <c r="A729" s="375"/>
    </row>
    <row r="730">
      <c r="A730" s="375"/>
    </row>
    <row r="731">
      <c r="A731" s="375"/>
    </row>
    <row r="732">
      <c r="A732" s="375"/>
    </row>
    <row r="733">
      <c r="A733" s="375"/>
    </row>
    <row r="734">
      <c r="A734" s="375"/>
    </row>
    <row r="735">
      <c r="A735" s="375"/>
    </row>
    <row r="736">
      <c r="A736" s="375"/>
    </row>
    <row r="737">
      <c r="A737" s="375"/>
    </row>
    <row r="738">
      <c r="A738" s="375"/>
    </row>
    <row r="739">
      <c r="A739" s="375"/>
    </row>
    <row r="740">
      <c r="A740" s="375"/>
    </row>
    <row r="741">
      <c r="A741" s="375"/>
    </row>
    <row r="742">
      <c r="A742" s="375"/>
    </row>
    <row r="743">
      <c r="A743" s="375"/>
    </row>
    <row r="744">
      <c r="A744" s="375"/>
    </row>
    <row r="745">
      <c r="A745" s="375"/>
    </row>
    <row r="746">
      <c r="A746" s="375"/>
    </row>
    <row r="747">
      <c r="A747" s="375"/>
    </row>
    <row r="748">
      <c r="A748" s="375"/>
    </row>
    <row r="749">
      <c r="A749" s="375"/>
    </row>
    <row r="750">
      <c r="A750" s="375"/>
    </row>
    <row r="751">
      <c r="A751" s="375"/>
    </row>
    <row r="752">
      <c r="A752" s="375"/>
    </row>
    <row r="753">
      <c r="A753" s="375"/>
    </row>
    <row r="754">
      <c r="A754" s="375"/>
    </row>
    <row r="755">
      <c r="A755" s="375"/>
    </row>
    <row r="756">
      <c r="A756" s="375"/>
    </row>
    <row r="757">
      <c r="A757" s="375"/>
    </row>
    <row r="758">
      <c r="A758" s="375"/>
    </row>
    <row r="759">
      <c r="A759" s="375"/>
    </row>
    <row r="760">
      <c r="A760" s="375"/>
    </row>
    <row r="761">
      <c r="A761" s="375"/>
    </row>
    <row r="762">
      <c r="A762" s="375"/>
    </row>
    <row r="763">
      <c r="A763" s="375"/>
    </row>
    <row r="764">
      <c r="A764" s="375"/>
    </row>
    <row r="765">
      <c r="A765" s="375"/>
    </row>
    <row r="766">
      <c r="A766" s="375"/>
    </row>
    <row r="767">
      <c r="A767" s="375"/>
    </row>
    <row r="768">
      <c r="A768" s="375"/>
    </row>
    <row r="769">
      <c r="A769" s="375"/>
    </row>
    <row r="770">
      <c r="A770" s="375"/>
    </row>
    <row r="771">
      <c r="A771" s="375"/>
    </row>
    <row r="772">
      <c r="A772" s="375"/>
    </row>
    <row r="773">
      <c r="A773" s="375"/>
    </row>
    <row r="774">
      <c r="A774" s="375"/>
    </row>
    <row r="775">
      <c r="A775" s="375"/>
    </row>
    <row r="776">
      <c r="A776" s="375"/>
    </row>
    <row r="777">
      <c r="A777" s="375"/>
    </row>
    <row r="778">
      <c r="A778" s="375"/>
    </row>
    <row r="779">
      <c r="A779" s="375"/>
    </row>
    <row r="780">
      <c r="A780" s="375"/>
    </row>
    <row r="781">
      <c r="A781" s="375"/>
    </row>
    <row r="782">
      <c r="A782" s="375"/>
    </row>
    <row r="783">
      <c r="A783" s="375"/>
    </row>
    <row r="784">
      <c r="A784" s="375"/>
    </row>
    <row r="785">
      <c r="A785" s="375"/>
    </row>
    <row r="786">
      <c r="A786" s="375"/>
    </row>
    <row r="787">
      <c r="A787" s="375"/>
    </row>
    <row r="788">
      <c r="A788" s="375"/>
    </row>
    <row r="789">
      <c r="A789" s="375"/>
    </row>
    <row r="790">
      <c r="A790" s="375"/>
    </row>
    <row r="791">
      <c r="A791" s="375"/>
    </row>
    <row r="792">
      <c r="A792" s="375"/>
    </row>
    <row r="793">
      <c r="A793" s="375"/>
    </row>
    <row r="794">
      <c r="A794" s="375"/>
    </row>
    <row r="795">
      <c r="A795" s="375"/>
    </row>
    <row r="796">
      <c r="A796" s="375"/>
    </row>
    <row r="797">
      <c r="A797" s="375"/>
    </row>
    <row r="798">
      <c r="A798" s="375"/>
    </row>
    <row r="799">
      <c r="A799" s="375"/>
    </row>
    <row r="800">
      <c r="A800" s="375"/>
    </row>
    <row r="801">
      <c r="A801" s="375"/>
    </row>
    <row r="802">
      <c r="A802" s="375"/>
    </row>
    <row r="803">
      <c r="A803" s="375"/>
    </row>
    <row r="804">
      <c r="A804" s="375"/>
    </row>
    <row r="805">
      <c r="A805" s="375"/>
    </row>
    <row r="806">
      <c r="A806" s="375"/>
    </row>
    <row r="807">
      <c r="A807" s="375"/>
    </row>
    <row r="808">
      <c r="A808" s="375"/>
    </row>
    <row r="809">
      <c r="A809" s="375"/>
    </row>
    <row r="810">
      <c r="A810" s="375"/>
    </row>
    <row r="811">
      <c r="A811" s="375"/>
    </row>
    <row r="812">
      <c r="A812" s="375"/>
    </row>
    <row r="813">
      <c r="A813" s="375"/>
    </row>
    <row r="814">
      <c r="A814" s="375"/>
    </row>
    <row r="815">
      <c r="A815" s="375"/>
    </row>
    <row r="816">
      <c r="A816" s="375"/>
    </row>
    <row r="817">
      <c r="A817" s="375"/>
    </row>
    <row r="818">
      <c r="A818" s="375"/>
    </row>
    <row r="819">
      <c r="A819" s="375"/>
    </row>
    <row r="820">
      <c r="A820" s="375"/>
    </row>
    <row r="821">
      <c r="A821" s="375"/>
    </row>
    <row r="822">
      <c r="A822" s="375"/>
    </row>
    <row r="823">
      <c r="A823" s="375"/>
    </row>
    <row r="824">
      <c r="A824" s="375"/>
    </row>
    <row r="825">
      <c r="A825" s="375"/>
    </row>
    <row r="826">
      <c r="A826" s="375"/>
    </row>
    <row r="827">
      <c r="A827" s="375"/>
    </row>
    <row r="828">
      <c r="A828" s="375"/>
    </row>
    <row r="829">
      <c r="A829" s="375"/>
    </row>
    <row r="830">
      <c r="A830" s="375"/>
    </row>
    <row r="831">
      <c r="A831" s="375"/>
    </row>
    <row r="832">
      <c r="A832" s="375"/>
    </row>
    <row r="833">
      <c r="A833" s="375"/>
    </row>
    <row r="834">
      <c r="A834" s="375"/>
    </row>
    <row r="835">
      <c r="A835" s="375"/>
    </row>
    <row r="836">
      <c r="A836" s="375"/>
    </row>
    <row r="837">
      <c r="A837" s="375"/>
    </row>
    <row r="838">
      <c r="A838" s="375"/>
    </row>
    <row r="839">
      <c r="A839" s="375"/>
    </row>
    <row r="840">
      <c r="A840" s="375"/>
    </row>
    <row r="841">
      <c r="A841" s="375"/>
    </row>
    <row r="842">
      <c r="A842" s="375"/>
    </row>
    <row r="843">
      <c r="A843" s="375"/>
    </row>
    <row r="844">
      <c r="A844" s="375"/>
    </row>
    <row r="845">
      <c r="A845" s="375"/>
    </row>
    <row r="846">
      <c r="A846" s="375"/>
    </row>
    <row r="847">
      <c r="A847" s="375"/>
    </row>
    <row r="848">
      <c r="A848" s="375"/>
    </row>
    <row r="849">
      <c r="A849" s="375"/>
    </row>
    <row r="850">
      <c r="A850" s="375"/>
    </row>
    <row r="851">
      <c r="A851" s="375"/>
    </row>
    <row r="852">
      <c r="A852" s="375"/>
    </row>
    <row r="853">
      <c r="A853" s="375"/>
    </row>
    <row r="854">
      <c r="A854" s="375"/>
    </row>
    <row r="855">
      <c r="A855" s="375"/>
    </row>
    <row r="856">
      <c r="A856" s="375"/>
    </row>
    <row r="857">
      <c r="A857" s="375"/>
    </row>
    <row r="858">
      <c r="A858" s="375"/>
    </row>
    <row r="859">
      <c r="A859" s="375"/>
    </row>
    <row r="860">
      <c r="A860" s="375"/>
    </row>
    <row r="861">
      <c r="A861" s="375"/>
    </row>
    <row r="862">
      <c r="A862" s="375"/>
    </row>
    <row r="863">
      <c r="A863" s="375"/>
    </row>
    <row r="864">
      <c r="A864" s="375"/>
    </row>
    <row r="865">
      <c r="A865" s="375"/>
    </row>
    <row r="866">
      <c r="A866" s="375"/>
    </row>
    <row r="867">
      <c r="A867" s="375"/>
    </row>
    <row r="868">
      <c r="A868" s="375"/>
    </row>
    <row r="869">
      <c r="A869" s="375"/>
    </row>
    <row r="870">
      <c r="A870" s="375"/>
    </row>
    <row r="871">
      <c r="A871" s="375"/>
    </row>
    <row r="872">
      <c r="A872" s="375"/>
    </row>
    <row r="873">
      <c r="A873" s="375"/>
    </row>
    <row r="874">
      <c r="A874" s="375"/>
    </row>
    <row r="875">
      <c r="A875" s="375"/>
    </row>
    <row r="876">
      <c r="A876" s="375"/>
    </row>
    <row r="877">
      <c r="A877" s="375"/>
    </row>
    <row r="878">
      <c r="A878" s="375"/>
    </row>
    <row r="879">
      <c r="A879" s="375"/>
    </row>
    <row r="880">
      <c r="A880" s="375"/>
    </row>
    <row r="881">
      <c r="A881" s="375"/>
    </row>
    <row r="882">
      <c r="A882" s="375"/>
    </row>
    <row r="883">
      <c r="A883" s="375"/>
    </row>
    <row r="884">
      <c r="A884" s="375"/>
    </row>
    <row r="885">
      <c r="A885" s="375"/>
    </row>
    <row r="886">
      <c r="A886" s="375"/>
    </row>
    <row r="887">
      <c r="A887" s="375"/>
    </row>
    <row r="888">
      <c r="A888" s="375"/>
    </row>
    <row r="889">
      <c r="A889" s="375"/>
    </row>
    <row r="890">
      <c r="A890" s="375"/>
    </row>
    <row r="891">
      <c r="A891" s="375"/>
    </row>
    <row r="892">
      <c r="A892" s="375"/>
    </row>
    <row r="893">
      <c r="A893" s="375"/>
    </row>
    <row r="894">
      <c r="A894" s="375"/>
    </row>
    <row r="895">
      <c r="A895" s="375"/>
    </row>
    <row r="896">
      <c r="A896" s="375"/>
    </row>
    <row r="897">
      <c r="A897" s="375"/>
    </row>
    <row r="898">
      <c r="A898" s="375"/>
    </row>
    <row r="899">
      <c r="A899" s="375"/>
    </row>
    <row r="900">
      <c r="A900" s="375"/>
    </row>
    <row r="901">
      <c r="A901" s="375"/>
    </row>
    <row r="902">
      <c r="A902" s="375"/>
    </row>
    <row r="903">
      <c r="A903" s="375"/>
    </row>
    <row r="904">
      <c r="A904" s="375"/>
    </row>
    <row r="905">
      <c r="A905" s="375"/>
    </row>
    <row r="906">
      <c r="A906" s="375"/>
    </row>
    <row r="907">
      <c r="A907" s="375"/>
    </row>
    <row r="908">
      <c r="A908" s="375"/>
    </row>
    <row r="909">
      <c r="A909" s="375"/>
    </row>
    <row r="910">
      <c r="A910" s="375"/>
    </row>
    <row r="911">
      <c r="A911" s="375"/>
    </row>
    <row r="912">
      <c r="A912" s="375"/>
    </row>
    <row r="913">
      <c r="A913" s="375"/>
    </row>
    <row r="914">
      <c r="A914" s="375"/>
    </row>
    <row r="915">
      <c r="A915" s="375"/>
    </row>
    <row r="916">
      <c r="A916" s="375"/>
    </row>
    <row r="917">
      <c r="A917" s="375"/>
    </row>
    <row r="918">
      <c r="A918" s="375"/>
    </row>
    <row r="919">
      <c r="A919" s="375"/>
    </row>
    <row r="920">
      <c r="A920" s="375"/>
    </row>
    <row r="921">
      <c r="A921" s="375"/>
    </row>
    <row r="922">
      <c r="A922" s="375"/>
    </row>
    <row r="923">
      <c r="A923" s="375"/>
    </row>
    <row r="924">
      <c r="A924" s="375"/>
    </row>
    <row r="925">
      <c r="A925" s="375"/>
    </row>
    <row r="926">
      <c r="A926" s="375"/>
    </row>
    <row r="927">
      <c r="A927" s="375"/>
    </row>
    <row r="928">
      <c r="A928" s="375"/>
    </row>
    <row r="929">
      <c r="A929" s="375"/>
    </row>
    <row r="930">
      <c r="A930" s="375"/>
    </row>
    <row r="931">
      <c r="A931" s="375"/>
    </row>
    <row r="932">
      <c r="A932" s="375"/>
    </row>
    <row r="933">
      <c r="A933" s="375"/>
    </row>
    <row r="934">
      <c r="A934" s="375"/>
    </row>
    <row r="935">
      <c r="A935" s="375"/>
    </row>
    <row r="936">
      <c r="A936" s="375"/>
    </row>
    <row r="937">
      <c r="A937" s="375"/>
    </row>
    <row r="938">
      <c r="A938" s="375"/>
    </row>
    <row r="939">
      <c r="A939" s="375"/>
    </row>
    <row r="940">
      <c r="A940" s="375"/>
    </row>
    <row r="941">
      <c r="A941" s="375"/>
    </row>
    <row r="942">
      <c r="A942" s="375"/>
    </row>
    <row r="943">
      <c r="A943" s="375"/>
    </row>
    <row r="944">
      <c r="A944" s="375"/>
    </row>
    <row r="945">
      <c r="A945" s="375"/>
    </row>
    <row r="946">
      <c r="A946" s="375"/>
    </row>
    <row r="947">
      <c r="A947" s="375"/>
    </row>
    <row r="948">
      <c r="A948" s="375"/>
    </row>
    <row r="949">
      <c r="A949" s="375"/>
    </row>
    <row r="950">
      <c r="A950" s="375"/>
    </row>
  </sheetData>
  <mergeCells count="5">
    <mergeCell ref="B1:B3"/>
    <mergeCell ref="I1:R3"/>
    <mergeCell ref="S1:Y3"/>
    <mergeCell ref="Z1:AD3"/>
    <mergeCell ref="AE1:AI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0"/>
    <col customWidth="1" min="2" max="2" width="11.5"/>
    <col customWidth="1" min="3" max="3" width="9.88"/>
    <col customWidth="1" min="4" max="4" width="9.38"/>
    <col customWidth="1" min="5" max="5" width="9.0"/>
    <col customWidth="1" min="6" max="6" width="10.5"/>
    <col customWidth="1" min="7" max="7" width="11.88"/>
    <col customWidth="1" min="8" max="8" width="13.25"/>
  </cols>
  <sheetData>
    <row r="1">
      <c r="A1" s="319"/>
      <c r="B1" s="320"/>
      <c r="C1" s="322"/>
      <c r="D1" s="322"/>
      <c r="E1" s="322"/>
      <c r="F1" s="322"/>
      <c r="G1" s="322"/>
      <c r="H1" s="322"/>
      <c r="I1" s="323" t="s">
        <v>3</v>
      </c>
      <c r="S1" s="324" t="s">
        <v>214</v>
      </c>
      <c r="Z1" s="325" t="s">
        <v>215</v>
      </c>
      <c r="AE1" s="326" t="s">
        <v>216</v>
      </c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</row>
    <row r="2">
      <c r="A2" s="328"/>
      <c r="C2" s="322"/>
      <c r="D2" s="322"/>
      <c r="E2" s="322"/>
      <c r="F2" s="322"/>
      <c r="G2" s="322"/>
      <c r="H2" s="322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</row>
    <row r="3">
      <c r="A3" s="328"/>
      <c r="B3" s="189"/>
      <c r="C3" s="322"/>
      <c r="D3" s="322"/>
      <c r="E3" s="322"/>
      <c r="F3" s="322"/>
      <c r="G3" s="322"/>
      <c r="H3" s="322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</row>
    <row r="4">
      <c r="A4" s="329" t="s">
        <v>2</v>
      </c>
      <c r="B4" s="330" t="s">
        <v>3</v>
      </c>
      <c r="C4" s="332" t="s">
        <v>217</v>
      </c>
      <c r="D4" s="332" t="s">
        <v>218</v>
      </c>
      <c r="E4" s="332" t="s">
        <v>11</v>
      </c>
      <c r="F4" s="332" t="s">
        <v>219</v>
      </c>
      <c r="G4" s="333" t="s">
        <v>220</v>
      </c>
      <c r="H4" s="333" t="s">
        <v>221</v>
      </c>
      <c r="I4" s="334" t="s">
        <v>222</v>
      </c>
      <c r="J4" s="335" t="s">
        <v>223</v>
      </c>
      <c r="K4" s="336" t="s">
        <v>224</v>
      </c>
      <c r="L4" s="336" t="s">
        <v>225</v>
      </c>
      <c r="M4" s="337" t="s">
        <v>226</v>
      </c>
      <c r="N4" s="337" t="s">
        <v>227</v>
      </c>
      <c r="O4" s="335" t="s">
        <v>228</v>
      </c>
      <c r="P4" s="335" t="s">
        <v>229</v>
      </c>
      <c r="Q4" s="338" t="s">
        <v>230</v>
      </c>
      <c r="R4" s="338" t="s">
        <v>231</v>
      </c>
      <c r="S4" s="339" t="s">
        <v>232</v>
      </c>
      <c r="T4" s="339" t="s">
        <v>233</v>
      </c>
      <c r="U4" s="339" t="s">
        <v>234</v>
      </c>
      <c r="V4" s="336" t="s">
        <v>235</v>
      </c>
      <c r="W4" s="337" t="s">
        <v>236</v>
      </c>
      <c r="X4" s="335" t="s">
        <v>237</v>
      </c>
      <c r="Y4" s="338" t="s">
        <v>238</v>
      </c>
      <c r="Z4" s="339" t="s">
        <v>239</v>
      </c>
      <c r="AA4" s="340" t="s">
        <v>240</v>
      </c>
      <c r="AB4" s="341" t="s">
        <v>241</v>
      </c>
      <c r="AC4" s="342" t="s">
        <v>242</v>
      </c>
      <c r="AD4" s="343" t="s">
        <v>243</v>
      </c>
      <c r="AE4" s="339" t="s">
        <v>244</v>
      </c>
      <c r="AF4" s="340" t="s">
        <v>245</v>
      </c>
      <c r="AG4" s="337" t="s">
        <v>246</v>
      </c>
      <c r="AH4" s="342" t="s">
        <v>247</v>
      </c>
      <c r="AI4" s="343" t="s">
        <v>248</v>
      </c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345"/>
      <c r="BJ4" s="345"/>
      <c r="BK4" s="345"/>
    </row>
    <row r="5">
      <c r="A5" s="418"/>
      <c r="B5" s="395">
        <f t="shared" ref="B5:B14" si="1">SUM(I5:J5)</f>
        <v>0</v>
      </c>
      <c r="C5" s="396">
        <f>COUNTIFS('Все игры'!AH$3:AH940,A5,'Все игры'!AM$3:AM940,"=1")</f>
        <v>0</v>
      </c>
      <c r="D5" s="396">
        <f>COUNTIFS('Все игры'!AH$3:AH940,A5,'Все игры'!AM$3:AM940,"=0,50")</f>
        <v>0</v>
      </c>
      <c r="E5" s="396">
        <f>COUNTIFS('Все игры'!AH$3:AH940,A5,'Все игры'!AN$3:AN940,"&gt;0")</f>
        <v>0</v>
      </c>
      <c r="F5" s="397">
        <f t="shared" ref="F5:F14" si="2">IFERROR(E5/I5,0)</f>
        <v>0</v>
      </c>
      <c r="G5" s="398">
        <f>COUNTIFS('Все игры'!AH$3:AH940,A5,'Все игры'!AL$3:AL940,"У/Победа")</f>
        <v>0</v>
      </c>
      <c r="H5" s="398">
        <f>COUNTIFS('Все игры'!AH$3:AH940,A5,'Все игры'!AL$3:AL940,"У/Проигрыш")</f>
        <v>0</v>
      </c>
      <c r="I5" s="399">
        <f t="shared" ref="I5:I14" si="3">M5+N5+Q5+R5</f>
        <v>0</v>
      </c>
      <c r="J5" s="395">
        <f t="shared" ref="J5:J14" si="4">K5+L5+O5+P5</f>
        <v>0</v>
      </c>
      <c r="K5" s="395">
        <f>COUNTIFS('Все игры'!Z$3:Z940,A5,'Все игры'!AB$3:AB940,"&gt;0",'Все игры'!AA$3:AA940,"Мафия")</f>
        <v>0</v>
      </c>
      <c r="L5" s="395">
        <f>IFERROR(__xludf.DUMMYFUNCTION("COUNTBLANK(FILTER('Все игры'!Z$3:AB940,'Все игры'!Z$3:Z940=A5,'Все игры'!AB$3:AB940 &lt; 1,'Все игры'!AA$3:AA940=""Мафия""))"),0.0)</f>
        <v>0</v>
      </c>
      <c r="M5" s="395">
        <f>COUNTIFS('Все игры'!Z$3:Z940,A5,'Все игры'!AB$3:AB940,"&gt;0",'Все игры'!AA$3:AA940,"Шериф")</f>
        <v>0</v>
      </c>
      <c r="N5" s="400">
        <f>IFERROR(__xludf.DUMMYFUNCTION("COUNTBLANK(FILTER('Все игры'!Z$3:AB940,'Все игры'!Z$3:Z940=A5,'Все игры'!AB$3:AB940 &lt; 1,'Все игры'!AA$3:AA940=""Шериф""))"),0.0)</f>
        <v>0</v>
      </c>
      <c r="O5" s="395">
        <f>COUNTIFS('Все игры'!Z$3:Z940,A5,'Все игры'!AB$3:AB940,"&gt;0",'Все игры'!AA$3:AA940,"Дон")</f>
        <v>0</v>
      </c>
      <c r="P5" s="400">
        <f>IFERROR(__xludf.DUMMYFUNCTION("COUNTBLANK(FILTER('Все игры'!Z$3:AB940,'Все игры'!Z$3:Z940=A5,'Все игры'!AB$3:AB940 &lt; 1,'Все игры'!AA$3:AA940=""Дон""))"),0.0)</f>
        <v>0</v>
      </c>
      <c r="Q5" s="395">
        <f>COUNTIFS('Все игры'!Z$3:Z940,A5,'Все игры'!AB$3:AB940,"&gt;0",'Все игры'!AA$3:AA940,"Мирный")</f>
        <v>0</v>
      </c>
      <c r="R5" s="400">
        <f>IFERROR(__xludf.DUMMYFUNCTION("COUNTBLANK(FILTER('Все игры'!Z$3:AB940,'Все игры'!Z$3:Z940=A5,'Все игры'!AB$3:AB940 &lt; 1,'Все игры'!AA$3:AA940=""Мирный""))"),0.0)</f>
        <v>0</v>
      </c>
      <c r="S5" s="401" t="str">
        <f>IFERROR((K5+M5+O5+Q5)/B5, )</f>
        <v/>
      </c>
      <c r="T5" s="401">
        <f t="shared" ref="T5:T14" si="5">IFERROR(((M5+Q5)/I5),0)</f>
        <v>0</v>
      </c>
      <c r="U5" s="401">
        <f t="shared" ref="U5:U14" si="6">IFERROR(((K5+O5)/J5),0)</f>
        <v>0</v>
      </c>
      <c r="V5" s="401">
        <f t="shared" ref="V5:V14" si="7">IFERROR((K5/(K5+L5)),0)</f>
        <v>0</v>
      </c>
      <c r="W5" s="401">
        <f t="shared" ref="W5:W14" si="8">IFERROR((M5/(M5+N5)),0)</f>
        <v>0</v>
      </c>
      <c r="X5" s="401">
        <f t="shared" ref="X5:X14" si="9">IFERROR((O5/(O5+P5)),0)</f>
        <v>0</v>
      </c>
      <c r="Y5" s="402">
        <f t="shared" ref="Y5:Y14" si="10">IFERROR((Q5/(Q5+R5)),0)</f>
        <v>0</v>
      </c>
      <c r="Z5" s="403">
        <f>SUMIFS('Все игры'!AC$3:AC940,'Все игры'!Z$3:Z940,A5)</f>
        <v>0</v>
      </c>
      <c r="AA5" s="403">
        <f>SUMIFS('Все игры'!AC$3:AC940,'Все игры'!Z$3:Z940,A5,'Все игры'!AA$3:AA940,"Мафия")</f>
        <v>0</v>
      </c>
      <c r="AB5" s="404">
        <f>SUMIFS('Все игры'!AC$3:AC940,'Все игры'!Z$3:Z940,A5,'Все игры'!AA$3:AA940,"Шериф")</f>
        <v>0</v>
      </c>
      <c r="AC5" s="403">
        <f>SUMIFS('Все игры'!AC$3:AC940,'Все игры'!Z$3:Z940,A5,'Все игры'!AA$3:AA940,"Дон")</f>
        <v>0</v>
      </c>
      <c r="AD5" s="405">
        <f>SUMIFS('Все игры'!AC$3:AC940,'Все игры'!Z$3:Z940,A5,'Все игры'!AA$3:AA940,"Мирный")</f>
        <v>0</v>
      </c>
      <c r="AE5" s="403">
        <f t="shared" ref="AE5:AE14" si="11">IFERROR(Z5/B5,0)</f>
        <v>0</v>
      </c>
      <c r="AF5" s="403">
        <f t="shared" ref="AF5:AF14" si="12">IFERROR(AA5/(K5+L5),0)</f>
        <v>0</v>
      </c>
      <c r="AG5" s="403">
        <f t="shared" ref="AG5:AG14" si="13">IFERROR(AB5/(M5+N5),0)</f>
        <v>0</v>
      </c>
      <c r="AH5" s="403">
        <f t="shared" ref="AH5:AH14" si="14">IFERROR(AC5/(O5+P5),0)</f>
        <v>0</v>
      </c>
      <c r="AI5" s="403">
        <f t="shared" ref="AI5:AI14" si="15">IFERROR(AD5/(Q5+R5),0)</f>
        <v>0</v>
      </c>
      <c r="AJ5" s="403"/>
      <c r="AK5" s="403"/>
      <c r="AL5" s="403"/>
      <c r="AM5" s="403"/>
      <c r="AN5" s="403"/>
      <c r="AO5" s="403"/>
      <c r="AP5" s="403"/>
      <c r="AQ5" s="403"/>
      <c r="AR5" s="403"/>
      <c r="AS5" s="403"/>
      <c r="AT5" s="403"/>
      <c r="AU5" s="403"/>
      <c r="AV5" s="403"/>
      <c r="AW5" s="403"/>
      <c r="AX5" s="403"/>
      <c r="AY5" s="403"/>
      <c r="AZ5" s="403"/>
      <c r="BA5" s="403"/>
      <c r="BB5" s="403"/>
      <c r="BC5" s="403"/>
      <c r="BD5" s="403"/>
      <c r="BE5" s="403"/>
      <c r="BF5" s="403"/>
      <c r="BG5" s="403"/>
      <c r="BH5" s="403"/>
      <c r="BI5" s="403"/>
      <c r="BJ5" s="403"/>
      <c r="BK5" s="403"/>
    </row>
    <row r="6">
      <c r="A6" s="419"/>
      <c r="B6" s="361">
        <f t="shared" si="1"/>
        <v>0</v>
      </c>
      <c r="C6" s="364">
        <f>COUNTIFS('Все игры'!AH$3:AH940,A6,'Все игры'!AM$3:AM940,"=1")</f>
        <v>0</v>
      </c>
      <c r="D6" s="364">
        <f>COUNTIFS('Все игры'!AH$3:AH940,A6,'Все игры'!AM$3:AM940,"=0,50")</f>
        <v>0</v>
      </c>
      <c r="E6" s="364">
        <f>COUNTIFS('Все игры'!AH$3:AH940,A6,'Все игры'!AN$3:AN940,"&gt;0")</f>
        <v>0</v>
      </c>
      <c r="F6" s="365">
        <f t="shared" si="2"/>
        <v>0</v>
      </c>
      <c r="G6" s="366">
        <f>COUNTIFS('Все игры'!AH$3:AH940,A6,'Все игры'!AL$3:AL940,"У/Победа")</f>
        <v>0</v>
      </c>
      <c r="H6" s="366">
        <f>COUNTIFS('Все игры'!AH$3:AH940,A6,'Все игры'!AL$3:AL940,"У/Проигрыш")</f>
        <v>0</v>
      </c>
      <c r="I6" s="367">
        <f t="shared" si="3"/>
        <v>0</v>
      </c>
      <c r="J6" s="361">
        <f t="shared" si="4"/>
        <v>0</v>
      </c>
      <c r="K6" s="361">
        <f>COUNTIFS('Все игры'!Z$3:Z940,A6,'Все игры'!AB$3:AB940,"&gt;0",'Все игры'!AA$3:AA940,"Мафия")</f>
        <v>0</v>
      </c>
      <c r="L6" s="361">
        <f>IFERROR(__xludf.DUMMYFUNCTION("COUNTBLANK(FILTER('Все игры'!Z$3:AB940,'Все игры'!Z$3:Z940=A6,'Все игры'!AB$3:AB940 &lt; 1,'Все игры'!AA$3:AA940=""Мафия""))"),0.0)</f>
        <v>0</v>
      </c>
      <c r="M6" s="361">
        <f>COUNTIFS('Все игры'!Z$3:Z940,A6,'Все игры'!AB$3:AB940,"&gt;0",'Все игры'!AA$3:AA940,"Шериф")</f>
        <v>0</v>
      </c>
      <c r="N6" s="368">
        <f>IFERROR(__xludf.DUMMYFUNCTION("COUNTBLANK(FILTER('Все игры'!Z$3:AB940,'Все игры'!Z$3:Z940=A6,'Все игры'!AB$3:AB940 &lt; 1,'Все игры'!AA$3:AA940=""Шериф""))"),0.0)</f>
        <v>0</v>
      </c>
      <c r="O6" s="361">
        <f>COUNTIFS('Все игры'!Z$3:Z940,A6,'Все игры'!AB$3:AB940,"&gt;0",'Все игры'!AA$3:AA940,"Дон")</f>
        <v>0</v>
      </c>
      <c r="P6" s="368">
        <f>IFERROR(__xludf.DUMMYFUNCTION("COUNTBLANK(FILTER('Все игры'!Z$3:AB940,'Все игры'!Z$3:Z940=A6,'Все игры'!AB$3:AB940 &lt; 1,'Все игры'!AA$3:AA940=""Дон""))"),0.0)</f>
        <v>0</v>
      </c>
      <c r="Q6" s="361">
        <f>COUNTIFS('Все игры'!Z$3:Z940,A6,'Все игры'!AB$3:AB940,"&gt;0",'Все игры'!AA$3:AA940,"Мирный")</f>
        <v>0</v>
      </c>
      <c r="R6" s="368">
        <f>IFERROR(__xludf.DUMMYFUNCTION("COUNTBLANK(FILTER('Все игры'!Z$3:AB940,'Все игры'!Z$3:Z940=A6,'Все игры'!AB$3:AB940 &lt; 1,'Все игры'!AA$3:AA940=""Мирный""))"),0.0)</f>
        <v>0</v>
      </c>
      <c r="S6" s="371">
        <f t="shared" ref="S6:S14" si="16">IFERROR((K6+M6+O6+Q6)/B6,0)</f>
        <v>0</v>
      </c>
      <c r="T6" s="371">
        <f t="shared" si="5"/>
        <v>0</v>
      </c>
      <c r="U6" s="371">
        <f t="shared" si="6"/>
        <v>0</v>
      </c>
      <c r="V6" s="371">
        <f t="shared" si="7"/>
        <v>0</v>
      </c>
      <c r="W6" s="371">
        <f t="shared" si="8"/>
        <v>0</v>
      </c>
      <c r="X6" s="371">
        <f t="shared" si="9"/>
        <v>0</v>
      </c>
      <c r="Y6" s="372">
        <f t="shared" si="10"/>
        <v>0</v>
      </c>
      <c r="Z6" s="362">
        <f>SUMIFS('Все игры'!AC$3:AC940,'Все игры'!Z$3:Z940,A6)</f>
        <v>0</v>
      </c>
      <c r="AA6" s="362">
        <f>SUMIFS('Все игры'!AC$3:AC940,'Все игры'!Z$3:Z940,A6,'Все игры'!AA$3:AA940,"Мафия")</f>
        <v>0</v>
      </c>
      <c r="AB6" s="373">
        <f>SUMIFS('Все игры'!AC$3:AC940,'Все игры'!Z$3:Z940,A6,'Все игры'!AA$3:AA940,"Шериф")</f>
        <v>0</v>
      </c>
      <c r="AC6" s="362">
        <f>SUMIFS('Все игры'!AC$3:AC940,'Все игры'!Z$3:Z940,A6,'Все игры'!AA$3:AA940,"Дон")</f>
        <v>0</v>
      </c>
      <c r="AD6" s="363">
        <f>SUMIFS('Все игры'!AC$3:AC940,'Все игры'!Z$3:Z940,A6,'Все игры'!AA$3:AA940,"Мирный")</f>
        <v>0</v>
      </c>
      <c r="AE6" s="362">
        <f t="shared" si="11"/>
        <v>0</v>
      </c>
      <c r="AF6" s="362">
        <f t="shared" si="12"/>
        <v>0</v>
      </c>
      <c r="AG6" s="362">
        <f t="shared" si="13"/>
        <v>0</v>
      </c>
      <c r="AH6" s="362">
        <f t="shared" si="14"/>
        <v>0</v>
      </c>
      <c r="AI6" s="362">
        <f t="shared" si="15"/>
        <v>0</v>
      </c>
      <c r="AJ6" s="362"/>
      <c r="AK6" s="362"/>
      <c r="AL6" s="362"/>
      <c r="AM6" s="362"/>
      <c r="AN6" s="362"/>
      <c r="AO6" s="362"/>
      <c r="AP6" s="362"/>
      <c r="AQ6" s="362"/>
      <c r="AR6" s="362"/>
      <c r="AS6" s="362"/>
      <c r="AT6" s="362"/>
      <c r="AU6" s="362"/>
      <c r="AV6" s="362"/>
      <c r="AW6" s="362"/>
      <c r="AX6" s="362"/>
      <c r="AY6" s="362"/>
      <c r="AZ6" s="362"/>
      <c r="BA6" s="362"/>
      <c r="BB6" s="362"/>
      <c r="BC6" s="362"/>
      <c r="BD6" s="362"/>
      <c r="BE6" s="362"/>
      <c r="BF6" s="362"/>
      <c r="BG6" s="362"/>
      <c r="BH6" s="362"/>
      <c r="BI6" s="362"/>
      <c r="BJ6" s="362"/>
      <c r="BK6" s="362"/>
    </row>
    <row r="7">
      <c r="A7" s="418"/>
      <c r="B7" s="395">
        <f t="shared" si="1"/>
        <v>0</v>
      </c>
      <c r="C7" s="396">
        <f>COUNTIFS('Все игры'!AH$3:AH940,A7,'Все игры'!AM$3:AM940,"=1")</f>
        <v>0</v>
      </c>
      <c r="D7" s="396">
        <f>COUNTIFS('Все игры'!AH$3:AH940,A7,'Все игры'!AM$3:AM940,"=0,50")</f>
        <v>0</v>
      </c>
      <c r="E7" s="396">
        <f>COUNTIFS('Все игры'!AH$3:AH940,A7,'Все игры'!AN$3:AN940,"&gt;0")</f>
        <v>0</v>
      </c>
      <c r="F7" s="397">
        <f t="shared" si="2"/>
        <v>0</v>
      </c>
      <c r="G7" s="398">
        <f>COUNTIFS('Все игры'!AH$3:AH940,A7,'Все игры'!AL$3:AL940,"У/Победа")</f>
        <v>0</v>
      </c>
      <c r="H7" s="398">
        <f>COUNTIFS('Все игры'!AH$3:AH940,A7,'Все игры'!AL$3:AL940,"У/Проигрыш")</f>
        <v>0</v>
      </c>
      <c r="I7" s="399">
        <f t="shared" si="3"/>
        <v>0</v>
      </c>
      <c r="J7" s="395">
        <f t="shared" si="4"/>
        <v>0</v>
      </c>
      <c r="K7" s="395">
        <f>COUNTIFS('Все игры'!Z$3:Z940,A7,'Все игры'!AB$3:AB940,"&gt;0",'Все игры'!AA$3:AA940,"Мафия")</f>
        <v>0</v>
      </c>
      <c r="L7" s="395">
        <f>IFERROR(__xludf.DUMMYFUNCTION("COUNTBLANK(FILTER('Все игры'!Z$3:AB940,'Все игры'!Z$3:Z940=A7,'Все игры'!AB$3:AB940 &lt; 1,'Все игры'!AA$3:AA940=""Мафия""))"),0.0)</f>
        <v>0</v>
      </c>
      <c r="M7" s="395">
        <f>COUNTIFS('Все игры'!Z$3:Z940,A7,'Все игры'!AB$3:AB940,"&gt;0",'Все игры'!AA$3:AA940,"Шериф")</f>
        <v>0</v>
      </c>
      <c r="N7" s="400">
        <f>IFERROR(__xludf.DUMMYFUNCTION("COUNTBLANK(FILTER('Все игры'!Z$3:AB940,'Все игры'!Z$3:Z940=A7,'Все игры'!AB$3:AB940 &lt; 1,'Все игры'!AA$3:AA940=""Шериф""))"),0.0)</f>
        <v>0</v>
      </c>
      <c r="O7" s="395">
        <f>COUNTIFS('Все игры'!Z$3:Z940,A7,'Все игры'!AB$3:AB940,"&gt;0",'Все игры'!AA$3:AA940,"Дон")</f>
        <v>0</v>
      </c>
      <c r="P7" s="400">
        <f>IFERROR(__xludf.DUMMYFUNCTION("COUNTBLANK(FILTER('Все игры'!Z$3:AB940,'Все игры'!Z$3:Z940=A7,'Все игры'!AB$3:AB940 &lt; 1,'Все игры'!AA$3:AA940=""Дон""))"),0.0)</f>
        <v>0</v>
      </c>
      <c r="Q7" s="395">
        <f>COUNTIFS('Все игры'!Z$3:Z940,A7,'Все игры'!AB$3:AB940,"&gt;0",'Все игры'!AA$3:AA940,"Мирный")</f>
        <v>0</v>
      </c>
      <c r="R7" s="400">
        <f>IFERROR(__xludf.DUMMYFUNCTION("COUNTBLANK(FILTER('Все игры'!Z$3:AB940,'Все игры'!Z$3:Z940=A7,'Все игры'!AB$3:AB940 &lt; 1,'Все игры'!AA$3:AA940=""Мирный""))"),0.0)</f>
        <v>0</v>
      </c>
      <c r="S7" s="401">
        <f t="shared" si="16"/>
        <v>0</v>
      </c>
      <c r="T7" s="401">
        <f t="shared" si="5"/>
        <v>0</v>
      </c>
      <c r="U7" s="401">
        <f t="shared" si="6"/>
        <v>0</v>
      </c>
      <c r="V7" s="401">
        <f t="shared" si="7"/>
        <v>0</v>
      </c>
      <c r="W7" s="401">
        <f t="shared" si="8"/>
        <v>0</v>
      </c>
      <c r="X7" s="401">
        <f t="shared" si="9"/>
        <v>0</v>
      </c>
      <c r="Y7" s="402">
        <f t="shared" si="10"/>
        <v>0</v>
      </c>
      <c r="Z7" s="403">
        <f>SUMIFS('Все игры'!AC$3:AC940,'Все игры'!Z$3:Z940,A7)</f>
        <v>0</v>
      </c>
      <c r="AA7" s="403">
        <f>SUMIFS('Все игры'!AC$3:AC940,'Все игры'!Z$3:Z940,A7,'Все игры'!AA$3:AA940,"Мафия")</f>
        <v>0</v>
      </c>
      <c r="AB7" s="404">
        <f>SUMIFS('Все игры'!AC$3:AC940,'Все игры'!Z$3:Z940,A7,'Все игры'!AA$3:AA940,"Шериф")</f>
        <v>0</v>
      </c>
      <c r="AC7" s="403">
        <f>SUMIFS('Все игры'!AC$3:AC940,'Все игры'!Z$3:Z940,A7,'Все игры'!AA$3:AA940,"Дон")</f>
        <v>0</v>
      </c>
      <c r="AD7" s="405">
        <f>SUMIFS('Все игры'!AC$3:AC940,'Все игры'!Z$3:Z940,A7,'Все игры'!AA$3:AA940,"Мирный")</f>
        <v>0</v>
      </c>
      <c r="AE7" s="403">
        <f t="shared" si="11"/>
        <v>0</v>
      </c>
      <c r="AF7" s="403">
        <f t="shared" si="12"/>
        <v>0</v>
      </c>
      <c r="AG7" s="403">
        <f t="shared" si="13"/>
        <v>0</v>
      </c>
      <c r="AH7" s="403">
        <f t="shared" si="14"/>
        <v>0</v>
      </c>
      <c r="AI7" s="403">
        <f t="shared" si="15"/>
        <v>0</v>
      </c>
      <c r="AJ7" s="403"/>
      <c r="AK7" s="403"/>
      <c r="AL7" s="403"/>
      <c r="AM7" s="403"/>
      <c r="AN7" s="403"/>
      <c r="AO7" s="403"/>
      <c r="AP7" s="403"/>
      <c r="AQ7" s="403"/>
      <c r="AR7" s="403"/>
      <c r="AS7" s="403"/>
      <c r="AT7" s="403"/>
      <c r="AU7" s="403"/>
      <c r="AV7" s="403"/>
      <c r="AW7" s="403"/>
      <c r="AX7" s="403"/>
      <c r="AY7" s="403"/>
      <c r="AZ7" s="403"/>
      <c r="BA7" s="403"/>
      <c r="BB7" s="403"/>
      <c r="BC7" s="403"/>
      <c r="BD7" s="403"/>
      <c r="BE7" s="403"/>
      <c r="BF7" s="403"/>
      <c r="BG7" s="403"/>
      <c r="BH7" s="403"/>
      <c r="BI7" s="403"/>
      <c r="BJ7" s="403"/>
      <c r="BK7" s="403"/>
    </row>
    <row r="8">
      <c r="A8" s="419"/>
      <c r="B8" s="361">
        <f t="shared" si="1"/>
        <v>0</v>
      </c>
      <c r="C8" s="364">
        <f>COUNTIFS('Все игры'!AH$3:AH940,A8,'Все игры'!AM$3:AM940,"=1")</f>
        <v>0</v>
      </c>
      <c r="D8" s="364">
        <f>COUNTIFS('Все игры'!AH$3:AH940,A8,'Все игры'!AM$3:AM940,"=0,50")</f>
        <v>0</v>
      </c>
      <c r="E8" s="364">
        <f>COUNTIFS('Все игры'!AH$3:AH940,A8,'Все игры'!AN$3:AN940,"&gt;0")</f>
        <v>0</v>
      </c>
      <c r="F8" s="365">
        <f t="shared" si="2"/>
        <v>0</v>
      </c>
      <c r="G8" s="366">
        <f>COUNTIFS('Все игры'!AH$3:AH940,A8,'Все игры'!AL$3:AL940,"У/Победа")</f>
        <v>0</v>
      </c>
      <c r="H8" s="366">
        <f>COUNTIFS('Все игры'!AH$3:AH940,A8,'Все игры'!AL$3:AL940,"У/Проигрыш")</f>
        <v>0</v>
      </c>
      <c r="I8" s="367">
        <f t="shared" si="3"/>
        <v>0</v>
      </c>
      <c r="J8" s="361">
        <f t="shared" si="4"/>
        <v>0</v>
      </c>
      <c r="K8" s="361">
        <f>COUNTIFS('Все игры'!Z$3:Z940,A8,'Все игры'!AB$3:AB940,"&gt;0",'Все игры'!AA$3:AA940,"Мафия")</f>
        <v>0</v>
      </c>
      <c r="L8" s="361">
        <f>IFERROR(__xludf.DUMMYFUNCTION("COUNTBLANK(FILTER('Все игры'!Z$3:AB940,'Все игры'!Z$3:Z940=A8,'Все игры'!AB$3:AB940 &lt; 1,'Все игры'!AA$3:AA940=""Мафия""))"),0.0)</f>
        <v>0</v>
      </c>
      <c r="M8" s="361">
        <f>COUNTIFS('Все игры'!Z$3:Z940,A8,'Все игры'!AB$3:AB940,"&gt;0",'Все игры'!AA$3:AA940,"Шериф")</f>
        <v>0</v>
      </c>
      <c r="N8" s="368">
        <f>IFERROR(__xludf.DUMMYFUNCTION("COUNTBLANK(FILTER('Все игры'!Z$3:AB940,'Все игры'!Z$3:Z940=A8,'Все игры'!AB$3:AB940 &lt; 1,'Все игры'!AA$3:AA940=""Шериф""))"),0.0)</f>
        <v>0</v>
      </c>
      <c r="O8" s="361">
        <f>COUNTIFS('Все игры'!Z$3:Z940,A8,'Все игры'!AB$3:AB940,"&gt;0",'Все игры'!AA$3:AA940,"Дон")</f>
        <v>0</v>
      </c>
      <c r="P8" s="368">
        <f>IFERROR(__xludf.DUMMYFUNCTION("COUNTBLANK(FILTER('Все игры'!Z$3:AB940,'Все игры'!Z$3:Z940=A8,'Все игры'!AB$3:AB940 &lt; 1,'Все игры'!AA$3:AA940=""Дон""))"),0.0)</f>
        <v>0</v>
      </c>
      <c r="Q8" s="361">
        <f>COUNTIFS('Все игры'!Z$3:Z940,A8,'Все игры'!AB$3:AB940,"&gt;0",'Все игры'!AA$3:AA940,"Мирный")</f>
        <v>0</v>
      </c>
      <c r="R8" s="368">
        <f>IFERROR(__xludf.DUMMYFUNCTION("COUNTBLANK(FILTER('Все игры'!Z$3:AB940,'Все игры'!Z$3:Z940=A8,'Все игры'!AB$3:AB940 &lt; 1,'Все игры'!AA$3:AA940=""Мирный""))"),0.0)</f>
        <v>0</v>
      </c>
      <c r="S8" s="371">
        <f t="shared" si="16"/>
        <v>0</v>
      </c>
      <c r="T8" s="371">
        <f t="shared" si="5"/>
        <v>0</v>
      </c>
      <c r="U8" s="371">
        <f t="shared" si="6"/>
        <v>0</v>
      </c>
      <c r="V8" s="371">
        <f t="shared" si="7"/>
        <v>0</v>
      </c>
      <c r="W8" s="371">
        <f t="shared" si="8"/>
        <v>0</v>
      </c>
      <c r="X8" s="371">
        <f t="shared" si="9"/>
        <v>0</v>
      </c>
      <c r="Y8" s="372">
        <f t="shared" si="10"/>
        <v>0</v>
      </c>
      <c r="Z8" s="362">
        <f>SUMIFS('Все игры'!AC$3:AC940,'Все игры'!Z$3:Z940,A8)</f>
        <v>0</v>
      </c>
      <c r="AA8" s="362">
        <f>SUMIFS('Все игры'!AC$3:AC940,'Все игры'!Z$3:Z940,A8,'Все игры'!AA$3:AA940,"Мафия")</f>
        <v>0</v>
      </c>
      <c r="AB8" s="373">
        <f>SUMIFS('Все игры'!AC$3:AC940,'Все игры'!Z$3:Z940,A8,'Все игры'!AA$3:AA940,"Шериф")</f>
        <v>0</v>
      </c>
      <c r="AC8" s="362">
        <f>SUMIFS('Все игры'!AC$3:AC940,'Все игры'!Z$3:Z940,A8,'Все игры'!AA$3:AA940,"Дон")</f>
        <v>0</v>
      </c>
      <c r="AD8" s="363">
        <f>SUMIFS('Все игры'!AC$3:AC940,'Все игры'!Z$3:Z940,A8,'Все игры'!AA$3:AA940,"Мирный")</f>
        <v>0</v>
      </c>
      <c r="AE8" s="362">
        <f t="shared" si="11"/>
        <v>0</v>
      </c>
      <c r="AF8" s="362">
        <f t="shared" si="12"/>
        <v>0</v>
      </c>
      <c r="AG8" s="362">
        <f t="shared" si="13"/>
        <v>0</v>
      </c>
      <c r="AH8" s="362">
        <f t="shared" si="14"/>
        <v>0</v>
      </c>
      <c r="AI8" s="362">
        <f t="shared" si="15"/>
        <v>0</v>
      </c>
      <c r="AJ8" s="362"/>
      <c r="AK8" s="362"/>
      <c r="AL8" s="362"/>
      <c r="AM8" s="362"/>
      <c r="AN8" s="362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AY8" s="362"/>
      <c r="AZ8" s="362"/>
      <c r="BA8" s="362"/>
      <c r="BB8" s="362"/>
      <c r="BC8" s="362"/>
      <c r="BD8" s="362"/>
      <c r="BE8" s="362"/>
      <c r="BF8" s="362"/>
      <c r="BG8" s="362"/>
      <c r="BH8" s="362"/>
      <c r="BI8" s="362"/>
      <c r="BJ8" s="362"/>
      <c r="BK8" s="362"/>
    </row>
    <row r="9">
      <c r="A9" s="418"/>
      <c r="B9" s="395">
        <f t="shared" si="1"/>
        <v>0</v>
      </c>
      <c r="C9" s="396">
        <f>COUNTIFS('Все игры'!AH$3:AH940,A9,'Все игры'!AM$3:AM940,"=1")</f>
        <v>0</v>
      </c>
      <c r="D9" s="396">
        <f>COUNTIFS('Все игры'!AH$3:AH940,A9,'Все игры'!AM$3:AM940,"=0,50")</f>
        <v>0</v>
      </c>
      <c r="E9" s="396">
        <f>COUNTIFS('Все игры'!AH$3:AH940,A9,'Все игры'!AN$3:AN940,"&gt;0")</f>
        <v>0</v>
      </c>
      <c r="F9" s="397">
        <f t="shared" si="2"/>
        <v>0</v>
      </c>
      <c r="G9" s="398">
        <f>COUNTIFS('Все игры'!AH$3:AH940,A9,'Все игры'!AL$3:AL940,"У/Победа")</f>
        <v>0</v>
      </c>
      <c r="H9" s="398">
        <f>COUNTIFS('Все игры'!AH$3:AH940,A9,'Все игры'!AL$3:AL940,"У/Проигрыш")</f>
        <v>0</v>
      </c>
      <c r="I9" s="399">
        <f t="shared" si="3"/>
        <v>0</v>
      </c>
      <c r="J9" s="395">
        <f t="shared" si="4"/>
        <v>0</v>
      </c>
      <c r="K9" s="395">
        <f>COUNTIFS('Все игры'!Z$3:Z940,A9,'Все игры'!AB$3:AB940,"&gt;0",'Все игры'!AA$3:AA940,"Мафия")</f>
        <v>0</v>
      </c>
      <c r="L9" s="395">
        <f>IFERROR(__xludf.DUMMYFUNCTION("COUNTBLANK(FILTER('Все игры'!Z$3:AB940,'Все игры'!Z$3:Z940=A9,'Все игры'!AB$3:AB940 &lt; 1,'Все игры'!AA$3:AA940=""Мафия""))"),0.0)</f>
        <v>0</v>
      </c>
      <c r="M9" s="395">
        <f>COUNTIFS('Все игры'!Z$3:Z940,A9,'Все игры'!AB$3:AB940,"&gt;0",'Все игры'!AA$3:AA940,"Шериф")</f>
        <v>0</v>
      </c>
      <c r="N9" s="400">
        <f>IFERROR(__xludf.DUMMYFUNCTION("COUNTBLANK(FILTER('Все игры'!Z$3:AB940,'Все игры'!Z$3:Z940=A9,'Все игры'!AB$3:AB940 &lt; 1,'Все игры'!AA$3:AA940=""Шериф""))"),0.0)</f>
        <v>0</v>
      </c>
      <c r="O9" s="395">
        <f>COUNTIFS('Все игры'!Z$3:Z940,A9,'Все игры'!AB$3:AB940,"&gt;0",'Все игры'!AA$3:AA940,"Дон")</f>
        <v>0</v>
      </c>
      <c r="P9" s="400">
        <f>IFERROR(__xludf.DUMMYFUNCTION("COUNTBLANK(FILTER('Все игры'!Z$3:AB940,'Все игры'!Z$3:Z940=A9,'Все игры'!AB$3:AB940 &lt; 1,'Все игры'!AA$3:AA940=""Дон""))"),0.0)</f>
        <v>0</v>
      </c>
      <c r="Q9" s="395">
        <f>COUNTIFS('Все игры'!Z$3:Z940,A9,'Все игры'!AB$3:AB940,"&gt;0",'Все игры'!AA$3:AA940,"Мирный")</f>
        <v>0</v>
      </c>
      <c r="R9" s="400">
        <f>IFERROR(__xludf.DUMMYFUNCTION("COUNTBLANK(FILTER('Все игры'!Z$3:AB940,'Все игры'!Z$3:Z940=A9,'Все игры'!AB$3:AB940 &lt; 1,'Все игры'!AA$3:AA940=""Мирный""))"),0.0)</f>
        <v>0</v>
      </c>
      <c r="S9" s="401">
        <f t="shared" si="16"/>
        <v>0</v>
      </c>
      <c r="T9" s="401">
        <f t="shared" si="5"/>
        <v>0</v>
      </c>
      <c r="U9" s="401">
        <f t="shared" si="6"/>
        <v>0</v>
      </c>
      <c r="V9" s="401">
        <f t="shared" si="7"/>
        <v>0</v>
      </c>
      <c r="W9" s="401">
        <f t="shared" si="8"/>
        <v>0</v>
      </c>
      <c r="X9" s="401">
        <f t="shared" si="9"/>
        <v>0</v>
      </c>
      <c r="Y9" s="402">
        <f t="shared" si="10"/>
        <v>0</v>
      </c>
      <c r="Z9" s="403">
        <f>SUMIFS('Все игры'!AC$3:AC940,'Все игры'!Z$3:Z940,A9)</f>
        <v>0</v>
      </c>
      <c r="AA9" s="403">
        <f>SUMIFS('Все игры'!AC$3:AC940,'Все игры'!Z$3:Z940,A9,'Все игры'!AA$3:AA940,"Мафия")</f>
        <v>0</v>
      </c>
      <c r="AB9" s="404">
        <f>SUMIFS('Все игры'!AC$3:AC940,'Все игры'!Z$3:Z940,A9,'Все игры'!AA$3:AA940,"Шериф")</f>
        <v>0</v>
      </c>
      <c r="AC9" s="403">
        <f>SUMIFS('Все игры'!AC$3:AC940,'Все игры'!Z$3:Z940,A9,'Все игры'!AA$3:AA940,"Дон")</f>
        <v>0</v>
      </c>
      <c r="AD9" s="405">
        <f>SUMIFS('Все игры'!AC$3:AC940,'Все игры'!Z$3:Z940,A9,'Все игры'!AA$3:AA940,"Мирный")</f>
        <v>0</v>
      </c>
      <c r="AE9" s="403">
        <f t="shared" si="11"/>
        <v>0</v>
      </c>
      <c r="AF9" s="403">
        <f t="shared" si="12"/>
        <v>0</v>
      </c>
      <c r="AG9" s="403">
        <f t="shared" si="13"/>
        <v>0</v>
      </c>
      <c r="AH9" s="403">
        <f t="shared" si="14"/>
        <v>0</v>
      </c>
      <c r="AI9" s="403">
        <f t="shared" si="15"/>
        <v>0</v>
      </c>
      <c r="AJ9" s="403"/>
      <c r="AK9" s="403"/>
      <c r="AL9" s="403"/>
      <c r="AM9" s="403"/>
      <c r="AN9" s="403"/>
      <c r="AO9" s="403"/>
      <c r="AP9" s="403"/>
      <c r="AQ9" s="403"/>
      <c r="AR9" s="403"/>
      <c r="AS9" s="403"/>
      <c r="AT9" s="403"/>
      <c r="AU9" s="403"/>
      <c r="AV9" s="403"/>
      <c r="AW9" s="403"/>
      <c r="AX9" s="403"/>
      <c r="AY9" s="403"/>
      <c r="AZ9" s="403"/>
      <c r="BA9" s="403"/>
      <c r="BB9" s="403"/>
      <c r="BC9" s="403"/>
      <c r="BD9" s="403"/>
      <c r="BE9" s="403"/>
      <c r="BF9" s="403"/>
      <c r="BG9" s="403"/>
      <c r="BH9" s="403"/>
      <c r="BI9" s="403"/>
      <c r="BJ9" s="403"/>
      <c r="BK9" s="403"/>
    </row>
    <row r="10">
      <c r="A10" s="419"/>
      <c r="B10" s="361">
        <f t="shared" si="1"/>
        <v>0</v>
      </c>
      <c r="C10" s="364">
        <f>COUNTIFS('Все игры'!AH$3:AH940,A10,'Все игры'!AM$3:AM940,"=1")</f>
        <v>0</v>
      </c>
      <c r="D10" s="364">
        <f>COUNTIFS('Все игры'!AH$3:AH940,A10,'Все игры'!AM$3:AM940,"=0,50")</f>
        <v>0</v>
      </c>
      <c r="E10" s="364">
        <f>COUNTIFS('Все игры'!AH$3:AH940,A10,'Все игры'!AN$3:AN940,"&gt;0")</f>
        <v>0</v>
      </c>
      <c r="F10" s="365">
        <f t="shared" si="2"/>
        <v>0</v>
      </c>
      <c r="G10" s="366">
        <f>COUNTIFS('Все игры'!AH$3:AH940,A10,'Все игры'!AL$3:AL940,"У/Победа")</f>
        <v>0</v>
      </c>
      <c r="H10" s="366">
        <f>COUNTIFS('Все игры'!AH$3:AH940,A10,'Все игры'!AL$3:AL940,"У/Проигрыш")</f>
        <v>0</v>
      </c>
      <c r="I10" s="367">
        <f t="shared" si="3"/>
        <v>0</v>
      </c>
      <c r="J10" s="361">
        <f t="shared" si="4"/>
        <v>0</v>
      </c>
      <c r="K10" s="361">
        <f>COUNTIFS('Все игры'!Z$3:Z940,A10,'Все игры'!AB$3:AB940,"&gt;0",'Все игры'!AA$3:AA940,"Мафия")</f>
        <v>0</v>
      </c>
      <c r="L10" s="361">
        <f>IFERROR(__xludf.DUMMYFUNCTION("COUNTBLANK(FILTER('Все игры'!Z$3:AB940,'Все игры'!Z$3:Z940=A10,'Все игры'!AB$3:AB940 &lt; 1,'Все игры'!AA$3:AA940=""Мафия""))"),0.0)</f>
        <v>0</v>
      </c>
      <c r="M10" s="361">
        <f>COUNTIFS('Все игры'!Z$3:Z940,A10,'Все игры'!AB$3:AB940,"&gt;0",'Все игры'!AA$3:AA940,"Шериф")</f>
        <v>0</v>
      </c>
      <c r="N10" s="368">
        <f>IFERROR(__xludf.DUMMYFUNCTION("COUNTBLANK(FILTER('Все игры'!Z$3:AB940,'Все игры'!Z$3:Z940=A10,'Все игры'!AB$3:AB940 &lt; 1,'Все игры'!AA$3:AA940=""Шериф""))"),0.0)</f>
        <v>0</v>
      </c>
      <c r="O10" s="361">
        <f>COUNTIFS('Все игры'!Z$3:Z940,A10,'Все игры'!AB$3:AB940,"&gt;0",'Все игры'!AA$3:AA940,"Дон")</f>
        <v>0</v>
      </c>
      <c r="P10" s="368">
        <f>IFERROR(__xludf.DUMMYFUNCTION("COUNTBLANK(FILTER('Все игры'!Z$3:AB940,'Все игры'!Z$3:Z940=A10,'Все игры'!AB$3:AB940 &lt; 1,'Все игры'!AA$3:AA940=""Дон""))"),0.0)</f>
        <v>0</v>
      </c>
      <c r="Q10" s="361">
        <f>COUNTIFS('Все игры'!Z$3:Z940,A10,'Все игры'!AB$3:AB940,"&gt;0",'Все игры'!AA$3:AA940,"Мирный")</f>
        <v>0</v>
      </c>
      <c r="R10" s="368">
        <f>IFERROR(__xludf.DUMMYFUNCTION("COUNTBLANK(FILTER('Все игры'!Z$3:AB940,'Все игры'!Z$3:Z940=A10,'Все игры'!AB$3:AB940 &lt; 1,'Все игры'!AA$3:AA940=""Мирный""))"),0.0)</f>
        <v>0</v>
      </c>
      <c r="S10" s="371">
        <f t="shared" si="16"/>
        <v>0</v>
      </c>
      <c r="T10" s="371">
        <f t="shared" si="5"/>
        <v>0</v>
      </c>
      <c r="U10" s="371">
        <f t="shared" si="6"/>
        <v>0</v>
      </c>
      <c r="V10" s="371">
        <f t="shared" si="7"/>
        <v>0</v>
      </c>
      <c r="W10" s="371">
        <f t="shared" si="8"/>
        <v>0</v>
      </c>
      <c r="X10" s="371">
        <f t="shared" si="9"/>
        <v>0</v>
      </c>
      <c r="Y10" s="372">
        <f t="shared" si="10"/>
        <v>0</v>
      </c>
      <c r="Z10" s="362">
        <f>SUMIFS('Все игры'!AC$3:AC940,'Все игры'!Z$3:Z940,A10)</f>
        <v>0</v>
      </c>
      <c r="AA10" s="362">
        <f>SUMIFS('Все игры'!AC$3:AC940,'Все игры'!Z$3:Z940,A10,'Все игры'!AA$3:AA940,"Мафия")</f>
        <v>0</v>
      </c>
      <c r="AB10" s="373">
        <f>SUMIFS('Все игры'!AC$3:AC940,'Все игры'!Z$3:Z940,A10,'Все игры'!AA$3:AA940,"Шериф")</f>
        <v>0</v>
      </c>
      <c r="AC10" s="362">
        <f>SUMIFS('Все игры'!AC$3:AC940,'Все игры'!Z$3:Z940,A10,'Все игры'!AA$3:AA940,"Дон")</f>
        <v>0</v>
      </c>
      <c r="AD10" s="363">
        <f>SUMIFS('Все игры'!AC$3:AC940,'Все игры'!Z$3:Z940,A10,'Все игры'!AA$3:AA940,"Мирный")</f>
        <v>0</v>
      </c>
      <c r="AE10" s="362">
        <f t="shared" si="11"/>
        <v>0</v>
      </c>
      <c r="AF10" s="362">
        <f t="shared" si="12"/>
        <v>0</v>
      </c>
      <c r="AG10" s="362">
        <f t="shared" si="13"/>
        <v>0</v>
      </c>
      <c r="AH10" s="362">
        <f t="shared" si="14"/>
        <v>0</v>
      </c>
      <c r="AI10" s="362">
        <f t="shared" si="15"/>
        <v>0</v>
      </c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2"/>
      <c r="BD10" s="362"/>
      <c r="BE10" s="362"/>
      <c r="BF10" s="362"/>
      <c r="BG10" s="362"/>
      <c r="BH10" s="362"/>
      <c r="BI10" s="362"/>
      <c r="BJ10" s="362"/>
      <c r="BK10" s="362"/>
    </row>
    <row r="11">
      <c r="A11" s="418"/>
      <c r="B11" s="395">
        <f t="shared" si="1"/>
        <v>0</v>
      </c>
      <c r="C11" s="396">
        <f>COUNTIFS('Все игры'!AH$3:AH940,A11,'Все игры'!AM$3:AM940,"=1")</f>
        <v>0</v>
      </c>
      <c r="D11" s="396">
        <f>COUNTIFS('Все игры'!AH$3:AH940,A11,'Все игры'!AM$3:AM940,"=0,50")</f>
        <v>0</v>
      </c>
      <c r="E11" s="396">
        <f>COUNTIFS('Все игры'!AH$3:AH940,A11,'Все игры'!AN$3:AN940,"&gt;0")</f>
        <v>0</v>
      </c>
      <c r="F11" s="397">
        <f t="shared" si="2"/>
        <v>0</v>
      </c>
      <c r="G11" s="398">
        <f>COUNTIFS('Все игры'!AH$3:AH940,A11,'Все игры'!AL$3:AL940,"У/Победа")</f>
        <v>0</v>
      </c>
      <c r="H11" s="398">
        <f>COUNTIFS('Все игры'!AH$3:AH940,A11,'Все игры'!AL$3:AL940,"У/Проигрыш")</f>
        <v>0</v>
      </c>
      <c r="I11" s="399">
        <f t="shared" si="3"/>
        <v>0</v>
      </c>
      <c r="J11" s="395">
        <f t="shared" si="4"/>
        <v>0</v>
      </c>
      <c r="K11" s="395">
        <f>COUNTIFS('Все игры'!Z$3:Z940,A11,'Все игры'!AB$3:AB940,"&gt;0",'Все игры'!AA$3:AA940,"Мафия")</f>
        <v>0</v>
      </c>
      <c r="L11" s="395">
        <f>IFERROR(__xludf.DUMMYFUNCTION("COUNTBLANK(FILTER('Все игры'!Z$3:AB940,'Все игры'!Z$3:Z940=A11,'Все игры'!AB$3:AB940 &lt; 1,'Все игры'!AA$3:AA940=""Мафия""))"),0.0)</f>
        <v>0</v>
      </c>
      <c r="M11" s="395">
        <f>COUNTIFS('Все игры'!Z$3:Z940,A11,'Все игры'!AB$3:AB940,"&gt;0",'Все игры'!AA$3:AA940,"Шериф")</f>
        <v>0</v>
      </c>
      <c r="N11" s="400">
        <f>IFERROR(__xludf.DUMMYFUNCTION("COUNTBLANK(FILTER('Все игры'!Z$3:AB940,'Все игры'!Z$3:Z940=A11,'Все игры'!AB$3:AB940 &lt; 1,'Все игры'!AA$3:AA940=""Шериф""))"),0.0)</f>
        <v>0</v>
      </c>
      <c r="O11" s="395">
        <f>COUNTIFS('Все игры'!Z$3:Z940,A11,'Все игры'!AB$3:AB940,"&gt;0",'Все игры'!AA$3:AA940,"Дон")</f>
        <v>0</v>
      </c>
      <c r="P11" s="400">
        <f>IFERROR(__xludf.DUMMYFUNCTION("COUNTBLANK(FILTER('Все игры'!Z$3:AB940,'Все игры'!Z$3:Z940=A11,'Все игры'!AB$3:AB940 &lt; 1,'Все игры'!AA$3:AA940=""Дон""))"),0.0)</f>
        <v>0</v>
      </c>
      <c r="Q11" s="395">
        <f>COUNTIFS('Все игры'!Z$3:Z940,A11,'Все игры'!AB$3:AB940,"&gt;0",'Все игры'!AA$3:AA940,"Мирный")</f>
        <v>0</v>
      </c>
      <c r="R11" s="400">
        <f>IFERROR(__xludf.DUMMYFUNCTION("COUNTBLANK(FILTER('Все игры'!Z$3:AB940,'Все игры'!Z$3:Z940=A11,'Все игры'!AB$3:AB940 &lt; 1,'Все игры'!AA$3:AA940=""Мирный""))"),0.0)</f>
        <v>0</v>
      </c>
      <c r="S11" s="401">
        <f t="shared" si="16"/>
        <v>0</v>
      </c>
      <c r="T11" s="401">
        <f t="shared" si="5"/>
        <v>0</v>
      </c>
      <c r="U11" s="401">
        <f t="shared" si="6"/>
        <v>0</v>
      </c>
      <c r="V11" s="401">
        <f t="shared" si="7"/>
        <v>0</v>
      </c>
      <c r="W11" s="401">
        <f t="shared" si="8"/>
        <v>0</v>
      </c>
      <c r="X11" s="401">
        <f t="shared" si="9"/>
        <v>0</v>
      </c>
      <c r="Y11" s="402">
        <f t="shared" si="10"/>
        <v>0</v>
      </c>
      <c r="Z11" s="403">
        <f>SUMIFS('Все игры'!AC$3:AC940,'Все игры'!Z$3:Z940,A11)</f>
        <v>0</v>
      </c>
      <c r="AA11" s="403">
        <f>SUMIFS('Все игры'!AC$3:AC940,'Все игры'!Z$3:Z940,A11,'Все игры'!AA$3:AA940,"Мафия")</f>
        <v>0</v>
      </c>
      <c r="AB11" s="404">
        <f>SUMIFS('Все игры'!AC$3:AC940,'Все игры'!Z$3:Z940,A11,'Все игры'!AA$3:AA940,"Шериф")</f>
        <v>0</v>
      </c>
      <c r="AC11" s="403">
        <f>SUMIFS('Все игры'!AC$3:AC940,'Все игры'!Z$3:Z940,A11,'Все игры'!AA$3:AA940,"Дон")</f>
        <v>0</v>
      </c>
      <c r="AD11" s="405">
        <f>SUMIFS('Все игры'!AC$3:AC940,'Все игры'!Z$3:Z940,A11,'Все игры'!AA$3:AA940,"Мирный")</f>
        <v>0</v>
      </c>
      <c r="AE11" s="403">
        <f t="shared" si="11"/>
        <v>0</v>
      </c>
      <c r="AF11" s="403">
        <f t="shared" si="12"/>
        <v>0</v>
      </c>
      <c r="AG11" s="403">
        <f t="shared" si="13"/>
        <v>0</v>
      </c>
      <c r="AH11" s="403">
        <f t="shared" si="14"/>
        <v>0</v>
      </c>
      <c r="AI11" s="403">
        <f t="shared" si="15"/>
        <v>0</v>
      </c>
      <c r="AJ11" s="403"/>
      <c r="AK11" s="403"/>
      <c r="AL11" s="403"/>
      <c r="AM11" s="403"/>
      <c r="AN11" s="403"/>
      <c r="AO11" s="403"/>
      <c r="AP11" s="403"/>
      <c r="AQ11" s="403"/>
      <c r="AR11" s="403"/>
      <c r="AS11" s="403"/>
      <c r="AT11" s="403"/>
      <c r="AU11" s="403"/>
      <c r="AV11" s="403"/>
      <c r="AW11" s="403"/>
      <c r="AX11" s="403"/>
      <c r="AY11" s="403"/>
      <c r="AZ11" s="403"/>
      <c r="BA11" s="403"/>
      <c r="BB11" s="403"/>
      <c r="BC11" s="403"/>
      <c r="BD11" s="403"/>
      <c r="BE11" s="403"/>
      <c r="BF11" s="403"/>
      <c r="BG11" s="403"/>
      <c r="BH11" s="403"/>
      <c r="BI11" s="403"/>
      <c r="BJ11" s="403"/>
      <c r="BK11" s="403"/>
    </row>
    <row r="12">
      <c r="A12" s="419"/>
      <c r="B12" s="361">
        <f t="shared" si="1"/>
        <v>0</v>
      </c>
      <c r="C12" s="364">
        <f>COUNTIFS('Все игры'!AH$3:AH940,A12,'Все игры'!AM$3:AM940,"=1")</f>
        <v>0</v>
      </c>
      <c r="D12" s="364">
        <f>COUNTIFS('Все игры'!AH$3:AH940,A12,'Все игры'!AM$3:AM940,"=0,50")</f>
        <v>0</v>
      </c>
      <c r="E12" s="364">
        <f>COUNTIFS('Все игры'!AH$3:AH940,A12,'Все игры'!AN$3:AN940,"&gt;0")</f>
        <v>0</v>
      </c>
      <c r="F12" s="365">
        <f t="shared" si="2"/>
        <v>0</v>
      </c>
      <c r="G12" s="366">
        <f>COUNTIFS('Все игры'!AH$3:AH940,A12,'Все игры'!AL$3:AL940,"У/Победа")</f>
        <v>0</v>
      </c>
      <c r="H12" s="366">
        <f>COUNTIFS('Все игры'!AH$3:AH940,A12,'Все игры'!AL$3:AL940,"У/Проигрыш")</f>
        <v>0</v>
      </c>
      <c r="I12" s="367">
        <f t="shared" si="3"/>
        <v>0</v>
      </c>
      <c r="J12" s="361">
        <f t="shared" si="4"/>
        <v>0</v>
      </c>
      <c r="K12" s="361">
        <f>COUNTIFS('Все игры'!Z$3:Z940,A12,'Все игры'!AB$3:AB940,"&gt;0",'Все игры'!AA$3:AA940,"Мафия")</f>
        <v>0</v>
      </c>
      <c r="L12" s="361">
        <f>IFERROR(__xludf.DUMMYFUNCTION("COUNTBLANK(FILTER('Все игры'!Z$3:AB940,'Все игры'!Z$3:Z940=A12,'Все игры'!AB$3:AB940 &lt; 1,'Все игры'!AA$3:AA940=""Мафия""))"),0.0)</f>
        <v>0</v>
      </c>
      <c r="M12" s="361">
        <f>COUNTIFS('Все игры'!Z$3:Z940,A12,'Все игры'!AB$3:AB940,"&gt;0",'Все игры'!AA$3:AA940,"Шериф")</f>
        <v>0</v>
      </c>
      <c r="N12" s="368">
        <f>IFERROR(__xludf.DUMMYFUNCTION("COUNTBLANK(FILTER('Все игры'!Z$3:AB940,'Все игры'!Z$3:Z940=A12,'Все игры'!AB$3:AB940 &lt; 1,'Все игры'!AA$3:AA940=""Шериф""))"),0.0)</f>
        <v>0</v>
      </c>
      <c r="O12" s="361">
        <f>COUNTIFS('Все игры'!Z$3:Z940,A12,'Все игры'!AB$3:AB940,"&gt;0",'Все игры'!AA$3:AA940,"Дон")</f>
        <v>0</v>
      </c>
      <c r="P12" s="368">
        <f>IFERROR(__xludf.DUMMYFUNCTION("COUNTBLANK(FILTER('Все игры'!Z$3:AB940,'Все игры'!Z$3:Z940=A12,'Все игры'!AB$3:AB940 &lt; 1,'Все игры'!AA$3:AA940=""Дон""))"),0.0)</f>
        <v>0</v>
      </c>
      <c r="Q12" s="361">
        <f>COUNTIFS('Все игры'!Z$3:Z940,A12,'Все игры'!AB$3:AB940,"&gt;0",'Все игры'!AA$3:AA940,"Мирный")</f>
        <v>0</v>
      </c>
      <c r="R12" s="368">
        <f>IFERROR(__xludf.DUMMYFUNCTION("COUNTBLANK(FILTER('Все игры'!Z$3:AB940,'Все игры'!Z$3:Z940=A12,'Все игры'!AB$3:AB940 &lt; 1,'Все игры'!AA$3:AA940=""Мирный""))"),0.0)</f>
        <v>0</v>
      </c>
      <c r="S12" s="371">
        <f t="shared" si="16"/>
        <v>0</v>
      </c>
      <c r="T12" s="371">
        <f t="shared" si="5"/>
        <v>0</v>
      </c>
      <c r="U12" s="371">
        <f t="shared" si="6"/>
        <v>0</v>
      </c>
      <c r="V12" s="371">
        <f t="shared" si="7"/>
        <v>0</v>
      </c>
      <c r="W12" s="371">
        <f t="shared" si="8"/>
        <v>0</v>
      </c>
      <c r="X12" s="371">
        <f t="shared" si="9"/>
        <v>0</v>
      </c>
      <c r="Y12" s="372">
        <f t="shared" si="10"/>
        <v>0</v>
      </c>
      <c r="Z12" s="362">
        <f>SUMIFS('Все игры'!AC$3:AC940,'Все игры'!Z$3:Z940,A12)</f>
        <v>0</v>
      </c>
      <c r="AA12" s="362">
        <f>SUMIFS('Все игры'!AC$3:AC940,'Все игры'!Z$3:Z940,A12,'Все игры'!AA$3:AA940,"Мафия")</f>
        <v>0</v>
      </c>
      <c r="AB12" s="373">
        <f>SUMIFS('Все игры'!AC$3:AC940,'Все игры'!Z$3:Z940,A12,'Все игры'!AA$3:AA940,"Шериф")</f>
        <v>0</v>
      </c>
      <c r="AC12" s="362">
        <f>SUMIFS('Все игры'!AC$3:AC940,'Все игры'!Z$3:Z940,A12,'Все игры'!AA$3:AA940,"Дон")</f>
        <v>0</v>
      </c>
      <c r="AD12" s="363">
        <f>SUMIFS('Все игры'!AC$3:AC940,'Все игры'!Z$3:Z940,A12,'Все игры'!AA$3:AA940,"Мирный")</f>
        <v>0</v>
      </c>
      <c r="AE12" s="362">
        <f t="shared" si="11"/>
        <v>0</v>
      </c>
      <c r="AF12" s="362">
        <f t="shared" si="12"/>
        <v>0</v>
      </c>
      <c r="AG12" s="362">
        <f t="shared" si="13"/>
        <v>0</v>
      </c>
      <c r="AH12" s="362">
        <f t="shared" si="14"/>
        <v>0</v>
      </c>
      <c r="AI12" s="362">
        <f t="shared" si="15"/>
        <v>0</v>
      </c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</row>
    <row r="13">
      <c r="A13" s="418"/>
      <c r="B13" s="395">
        <f t="shared" si="1"/>
        <v>0</v>
      </c>
      <c r="C13" s="396">
        <f>COUNTIFS('Все игры'!AH$3:AH940,A13,'Все игры'!AM$3:AM940,"=1")</f>
        <v>0</v>
      </c>
      <c r="D13" s="396">
        <f>COUNTIFS('Все игры'!AH$3:AH940,A13,'Все игры'!AM$3:AM940,"=0,50")</f>
        <v>0</v>
      </c>
      <c r="E13" s="396">
        <f>COUNTIFS('Все игры'!AH$3:AH940,A13,'Все игры'!AN$3:AN940,"&gt;0")</f>
        <v>0</v>
      </c>
      <c r="F13" s="397">
        <f t="shared" si="2"/>
        <v>0</v>
      </c>
      <c r="G13" s="398">
        <f>COUNTIFS('Все игры'!AH$3:AH940,A13,'Все игры'!AL$3:AL940,"У/Победа")</f>
        <v>0</v>
      </c>
      <c r="H13" s="398">
        <f>COUNTIFS('Все игры'!AH$3:AH940,A13,'Все игры'!AL$3:AL940,"У/Проигрыш")</f>
        <v>0</v>
      </c>
      <c r="I13" s="399">
        <f t="shared" si="3"/>
        <v>0</v>
      </c>
      <c r="J13" s="395">
        <f t="shared" si="4"/>
        <v>0</v>
      </c>
      <c r="K13" s="395">
        <f>COUNTIFS('Все игры'!Z$3:Z940,A13,'Все игры'!AB$3:AB940,"&gt;0",'Все игры'!AA$3:AA940,"Мафия")</f>
        <v>0</v>
      </c>
      <c r="L13" s="395">
        <f>IFERROR(__xludf.DUMMYFUNCTION("COUNTBLANK(FILTER('Все игры'!Z$3:AB940,'Все игры'!Z$3:Z940=A13,'Все игры'!AB$3:AB940 &lt; 1,'Все игры'!AA$3:AA940=""Мафия""))"),0.0)</f>
        <v>0</v>
      </c>
      <c r="M13" s="395">
        <f>COUNTIFS('Все игры'!Z$3:Z940,A13,'Все игры'!AB$3:AB940,"&gt;0",'Все игры'!AA$3:AA940,"Шериф")</f>
        <v>0</v>
      </c>
      <c r="N13" s="400">
        <f>IFERROR(__xludf.DUMMYFUNCTION("COUNTBLANK(FILTER('Все игры'!Z$3:AB940,'Все игры'!Z$3:Z940=A13,'Все игры'!AB$3:AB940 &lt; 1,'Все игры'!AA$3:AA940=""Шериф""))"),0.0)</f>
        <v>0</v>
      </c>
      <c r="O13" s="395">
        <f>COUNTIFS('Все игры'!Z$3:Z940,A13,'Все игры'!AB$3:AB940,"&gt;0",'Все игры'!AA$3:AA940,"Дон")</f>
        <v>0</v>
      </c>
      <c r="P13" s="400">
        <f>IFERROR(__xludf.DUMMYFUNCTION("COUNTBLANK(FILTER('Все игры'!Z$3:AB940,'Все игры'!Z$3:Z940=A13,'Все игры'!AB$3:AB940 &lt; 1,'Все игры'!AA$3:AA940=""Дон""))"),0.0)</f>
        <v>0</v>
      </c>
      <c r="Q13" s="395">
        <f>COUNTIFS('Все игры'!Z$3:Z940,A13,'Все игры'!AB$3:AB940,"&gt;0",'Все игры'!AA$3:AA940,"Мирный")</f>
        <v>0</v>
      </c>
      <c r="R13" s="400">
        <f>IFERROR(__xludf.DUMMYFUNCTION("COUNTBLANK(FILTER('Все игры'!Z$3:AB940,'Все игры'!Z$3:Z940=A13,'Все игры'!AB$3:AB940 &lt; 1,'Все игры'!AA$3:AA940=""Мирный""))"),0.0)</f>
        <v>0</v>
      </c>
      <c r="S13" s="401">
        <f t="shared" si="16"/>
        <v>0</v>
      </c>
      <c r="T13" s="401">
        <f t="shared" si="5"/>
        <v>0</v>
      </c>
      <c r="U13" s="401">
        <f t="shared" si="6"/>
        <v>0</v>
      </c>
      <c r="V13" s="401">
        <f t="shared" si="7"/>
        <v>0</v>
      </c>
      <c r="W13" s="401">
        <f t="shared" si="8"/>
        <v>0</v>
      </c>
      <c r="X13" s="401">
        <f t="shared" si="9"/>
        <v>0</v>
      </c>
      <c r="Y13" s="402">
        <f t="shared" si="10"/>
        <v>0</v>
      </c>
      <c r="Z13" s="403">
        <f>SUMIFS('Все игры'!AC$3:AC940,'Все игры'!Z$3:Z940,A13)</f>
        <v>0</v>
      </c>
      <c r="AA13" s="403">
        <f>SUMIFS('Все игры'!AC$3:AC940,'Все игры'!Z$3:Z940,A13,'Все игры'!AA$3:AA940,"Мафия")</f>
        <v>0</v>
      </c>
      <c r="AB13" s="404">
        <f>SUMIFS('Все игры'!AC$3:AC940,'Все игры'!Z$3:Z940,A13,'Все игры'!AA$3:AA940,"Шериф")</f>
        <v>0</v>
      </c>
      <c r="AC13" s="403">
        <f>SUMIFS('Все игры'!AC$3:AC940,'Все игры'!Z$3:Z940,A13,'Все игры'!AA$3:AA940,"Дон")</f>
        <v>0</v>
      </c>
      <c r="AD13" s="405">
        <f>SUMIFS('Все игры'!AC$3:AC940,'Все игры'!Z$3:Z940,A13,'Все игры'!AA$3:AA940,"Мирный")</f>
        <v>0</v>
      </c>
      <c r="AE13" s="403">
        <f t="shared" si="11"/>
        <v>0</v>
      </c>
      <c r="AF13" s="403">
        <f t="shared" si="12"/>
        <v>0</v>
      </c>
      <c r="AG13" s="403">
        <f t="shared" si="13"/>
        <v>0</v>
      </c>
      <c r="AH13" s="403">
        <f t="shared" si="14"/>
        <v>0</v>
      </c>
      <c r="AI13" s="403">
        <f t="shared" si="15"/>
        <v>0</v>
      </c>
      <c r="AJ13" s="403"/>
      <c r="AK13" s="403"/>
      <c r="AL13" s="403"/>
      <c r="AM13" s="403"/>
      <c r="AN13" s="403"/>
      <c r="AO13" s="403"/>
      <c r="AP13" s="403"/>
      <c r="AQ13" s="403"/>
      <c r="AR13" s="403"/>
      <c r="AS13" s="403"/>
      <c r="AT13" s="403"/>
      <c r="AU13" s="403"/>
      <c r="AV13" s="403"/>
      <c r="AW13" s="403"/>
      <c r="AX13" s="403"/>
      <c r="AY13" s="403"/>
      <c r="AZ13" s="403"/>
      <c r="BA13" s="403"/>
      <c r="BB13" s="403"/>
      <c r="BC13" s="403"/>
      <c r="BD13" s="403"/>
      <c r="BE13" s="403"/>
      <c r="BF13" s="403"/>
      <c r="BG13" s="403"/>
      <c r="BH13" s="403"/>
      <c r="BI13" s="403"/>
      <c r="BJ13" s="403"/>
      <c r="BK13" s="403"/>
    </row>
    <row r="14">
      <c r="A14" s="420"/>
      <c r="B14" s="407">
        <f t="shared" si="1"/>
        <v>0</v>
      </c>
      <c r="C14" s="408">
        <f>COUNTIFS('Все игры'!AH$3:AH940,A14,'Все игры'!AM$3:AM940,"=1")</f>
        <v>0</v>
      </c>
      <c r="D14" s="408">
        <f>COUNTIFS('Все игры'!AH$3:AH940,A14,'Все игры'!AM$3:AM940,"=0,50")</f>
        <v>0</v>
      </c>
      <c r="E14" s="408">
        <f>COUNTIFS('Все игры'!AH$3:AH940,A14,'Все игры'!AN$3:AN940,"&gt;0")</f>
        <v>0</v>
      </c>
      <c r="F14" s="409">
        <f t="shared" si="2"/>
        <v>0</v>
      </c>
      <c r="G14" s="410">
        <f>COUNTIFS('Все игры'!AH$3:AH940,A14,'Все игры'!AL$3:AL940,"У/Победа")</f>
        <v>0</v>
      </c>
      <c r="H14" s="410">
        <f>COUNTIFS('Все игры'!AH$3:AH940,A14,'Все игры'!AL$3:AL940,"У/Проигрыш")</f>
        <v>0</v>
      </c>
      <c r="I14" s="411">
        <f t="shared" si="3"/>
        <v>0</v>
      </c>
      <c r="J14" s="407">
        <f t="shared" si="4"/>
        <v>0</v>
      </c>
      <c r="K14" s="407">
        <f>COUNTIFS('Все игры'!Z$3:Z940,A14,'Все игры'!AB$3:AB940,"&gt;0",'Все игры'!AA$3:AA940,"Мафия")</f>
        <v>0</v>
      </c>
      <c r="L14" s="407">
        <f>IFERROR(__xludf.DUMMYFUNCTION("COUNTBLANK(FILTER('Все игры'!Z$3:AB940,'Все игры'!Z$3:Z940=A14,'Все игры'!AB$3:AB940 &lt; 1,'Все игры'!AA$3:AA940=""Мафия""))"),0.0)</f>
        <v>0</v>
      </c>
      <c r="M14" s="407">
        <f>COUNTIFS('Все игры'!Z$3:Z940,A14,'Все игры'!AB$3:AB940,"&gt;0",'Все игры'!AA$3:AA940,"Шериф")</f>
        <v>0</v>
      </c>
      <c r="N14" s="412">
        <f>IFERROR(__xludf.DUMMYFUNCTION("COUNTBLANK(FILTER('Все игры'!Z$3:AB940,'Все игры'!Z$3:Z940=A14,'Все игры'!AB$3:AB940 &lt; 1,'Все игры'!AA$3:AA940=""Шериф""))"),0.0)</f>
        <v>0</v>
      </c>
      <c r="O14" s="407">
        <f>COUNTIFS('Все игры'!Z$3:Z940,A14,'Все игры'!AB$3:AB940,"&gt;0",'Все игры'!AA$3:AA940,"Дон")</f>
        <v>0</v>
      </c>
      <c r="P14" s="412">
        <f>IFERROR(__xludf.DUMMYFUNCTION("COUNTBLANK(FILTER('Все игры'!Z$3:AB940,'Все игры'!Z$3:Z940=A14,'Все игры'!AB$3:AB940 &lt; 1,'Все игры'!AA$3:AA940=""Дон""))"),0.0)</f>
        <v>0</v>
      </c>
      <c r="Q14" s="407">
        <f>COUNTIFS('Все игры'!Z$3:Z940,A14,'Все игры'!AB$3:AB940,"&gt;0",'Все игры'!AA$3:AA940,"Мирный")</f>
        <v>0</v>
      </c>
      <c r="R14" s="412">
        <f>IFERROR(__xludf.DUMMYFUNCTION("COUNTBLANK(FILTER('Все игры'!Z$3:AB940,'Все игры'!Z$3:Z940=A14,'Все игры'!AB$3:AB940 &lt; 1,'Все игры'!AA$3:AA940=""Мирный""))"),0.0)</f>
        <v>0</v>
      </c>
      <c r="S14" s="413">
        <f t="shared" si="16"/>
        <v>0</v>
      </c>
      <c r="T14" s="413">
        <f t="shared" si="5"/>
        <v>0</v>
      </c>
      <c r="U14" s="413">
        <f t="shared" si="6"/>
        <v>0</v>
      </c>
      <c r="V14" s="413">
        <f t="shared" si="7"/>
        <v>0</v>
      </c>
      <c r="W14" s="413">
        <f t="shared" si="8"/>
        <v>0</v>
      </c>
      <c r="X14" s="413">
        <f t="shared" si="9"/>
        <v>0</v>
      </c>
      <c r="Y14" s="414">
        <f t="shared" si="10"/>
        <v>0</v>
      </c>
      <c r="Z14" s="415">
        <f>SUMIFS('Все игры'!AC$3:AC940,'Все игры'!Z$3:Z940,A14)</f>
        <v>0</v>
      </c>
      <c r="AA14" s="415">
        <f>SUMIFS('Все игры'!AC$3:AC940,'Все игры'!Z$3:Z940,A14,'Все игры'!AA$3:AA940,"Мафия")</f>
        <v>0</v>
      </c>
      <c r="AB14" s="416">
        <f>SUMIFS('Все игры'!AC$3:AC940,'Все игры'!Z$3:Z940,A14,'Все игры'!AA$3:AA940,"Шериф")</f>
        <v>0</v>
      </c>
      <c r="AC14" s="415">
        <f>SUMIFS('Все игры'!AC$3:AC940,'Все игры'!Z$3:Z940,A14,'Все игры'!AA$3:AA940,"Дон")</f>
        <v>0</v>
      </c>
      <c r="AD14" s="417">
        <f>SUMIFS('Все игры'!AC$3:AC940,'Все игры'!Z$3:Z940,A14,'Все игры'!AA$3:AA940,"Мирный")</f>
        <v>0</v>
      </c>
      <c r="AE14" s="415">
        <f t="shared" si="11"/>
        <v>0</v>
      </c>
      <c r="AF14" s="415">
        <f t="shared" si="12"/>
        <v>0</v>
      </c>
      <c r="AG14" s="415">
        <f t="shared" si="13"/>
        <v>0</v>
      </c>
      <c r="AH14" s="415">
        <f t="shared" si="14"/>
        <v>0</v>
      </c>
      <c r="AI14" s="415">
        <f t="shared" si="15"/>
        <v>0</v>
      </c>
      <c r="AJ14" s="415"/>
      <c r="AK14" s="415"/>
      <c r="AL14" s="415"/>
      <c r="AM14" s="415"/>
      <c r="AN14" s="415"/>
      <c r="AO14" s="415"/>
      <c r="AP14" s="415"/>
      <c r="AQ14" s="415"/>
      <c r="AR14" s="415"/>
      <c r="AS14" s="415"/>
      <c r="AT14" s="415"/>
      <c r="AU14" s="415"/>
      <c r="AV14" s="415"/>
      <c r="AW14" s="415"/>
      <c r="AX14" s="415"/>
      <c r="AY14" s="415"/>
      <c r="AZ14" s="415"/>
      <c r="BA14" s="415"/>
      <c r="BB14" s="415"/>
      <c r="BC14" s="415"/>
      <c r="BD14" s="415"/>
      <c r="BE14" s="415"/>
      <c r="BF14" s="415"/>
      <c r="BG14" s="415"/>
      <c r="BH14" s="415"/>
      <c r="BI14" s="415"/>
      <c r="BJ14" s="415"/>
      <c r="BK14" s="415"/>
    </row>
    <row r="15">
      <c r="A15" s="375"/>
    </row>
    <row r="16">
      <c r="A16" s="375"/>
    </row>
    <row r="17">
      <c r="A17" s="375"/>
    </row>
    <row r="18">
      <c r="A18" s="375"/>
    </row>
    <row r="19">
      <c r="A19" s="375"/>
    </row>
    <row r="20">
      <c r="A20" s="375"/>
    </row>
    <row r="21">
      <c r="A21" s="375"/>
    </row>
    <row r="22">
      <c r="A22" s="375"/>
    </row>
    <row r="23">
      <c r="A23" s="375"/>
    </row>
    <row r="24">
      <c r="A24" s="375"/>
    </row>
    <row r="25">
      <c r="A25" s="375"/>
    </row>
    <row r="26">
      <c r="A26" s="375"/>
    </row>
    <row r="27">
      <c r="A27" s="375"/>
    </row>
    <row r="28">
      <c r="A28" s="375"/>
    </row>
    <row r="29">
      <c r="A29" s="375"/>
    </row>
    <row r="30">
      <c r="A30" s="375"/>
    </row>
    <row r="31">
      <c r="A31" s="375"/>
    </row>
    <row r="32">
      <c r="A32" s="375"/>
    </row>
    <row r="33">
      <c r="A33" s="375"/>
    </row>
    <row r="34">
      <c r="A34" s="375"/>
    </row>
    <row r="35">
      <c r="A35" s="375"/>
    </row>
    <row r="36">
      <c r="A36" s="375"/>
    </row>
    <row r="37">
      <c r="A37" s="375"/>
    </row>
    <row r="38">
      <c r="A38" s="375"/>
    </row>
    <row r="39">
      <c r="A39" s="375"/>
    </row>
    <row r="40">
      <c r="A40" s="375"/>
    </row>
    <row r="41">
      <c r="A41" s="375"/>
    </row>
    <row r="42">
      <c r="A42" s="375"/>
    </row>
    <row r="43">
      <c r="A43" s="375"/>
    </row>
    <row r="44">
      <c r="A44" s="375"/>
    </row>
    <row r="45">
      <c r="A45" s="375"/>
    </row>
    <row r="46">
      <c r="A46" s="375"/>
    </row>
    <row r="47">
      <c r="A47" s="375"/>
    </row>
    <row r="48">
      <c r="A48" s="375"/>
    </row>
    <row r="49">
      <c r="A49" s="375"/>
    </row>
    <row r="50">
      <c r="A50" s="375"/>
    </row>
    <row r="51">
      <c r="A51" s="375"/>
    </row>
    <row r="52">
      <c r="A52" s="375"/>
    </row>
    <row r="53">
      <c r="A53" s="375"/>
    </row>
    <row r="54">
      <c r="A54" s="375"/>
    </row>
    <row r="55">
      <c r="A55" s="375"/>
    </row>
    <row r="56">
      <c r="A56" s="375"/>
    </row>
    <row r="57">
      <c r="A57" s="375"/>
    </row>
    <row r="58">
      <c r="A58" s="375"/>
    </row>
    <row r="59">
      <c r="A59" s="375"/>
    </row>
    <row r="60">
      <c r="A60" s="375"/>
    </row>
    <row r="61">
      <c r="A61" s="375"/>
    </row>
    <row r="62">
      <c r="A62" s="375"/>
    </row>
    <row r="63">
      <c r="A63" s="375"/>
    </row>
    <row r="64">
      <c r="A64" s="375"/>
    </row>
    <row r="65">
      <c r="A65" s="375"/>
    </row>
    <row r="66">
      <c r="A66" s="375"/>
    </row>
    <row r="67">
      <c r="A67" s="375"/>
    </row>
    <row r="68">
      <c r="A68" s="375"/>
    </row>
    <row r="69">
      <c r="A69" s="375"/>
    </row>
    <row r="70">
      <c r="A70" s="375"/>
    </row>
    <row r="71">
      <c r="A71" s="375"/>
    </row>
    <row r="72">
      <c r="A72" s="375"/>
    </row>
    <row r="73">
      <c r="A73" s="375"/>
    </row>
    <row r="74">
      <c r="A74" s="375"/>
    </row>
    <row r="75">
      <c r="A75" s="375"/>
    </row>
    <row r="76">
      <c r="A76" s="375"/>
    </row>
    <row r="77">
      <c r="A77" s="375"/>
    </row>
    <row r="78">
      <c r="A78" s="375"/>
    </row>
    <row r="79">
      <c r="A79" s="375"/>
    </row>
    <row r="80">
      <c r="A80" s="375"/>
    </row>
    <row r="81">
      <c r="A81" s="375"/>
    </row>
    <row r="82">
      <c r="A82" s="375"/>
    </row>
    <row r="83">
      <c r="A83" s="375"/>
    </row>
    <row r="84">
      <c r="A84" s="375"/>
    </row>
    <row r="85">
      <c r="A85" s="375"/>
    </row>
    <row r="86">
      <c r="A86" s="375"/>
    </row>
    <row r="87">
      <c r="A87" s="375"/>
    </row>
    <row r="88">
      <c r="A88" s="375"/>
    </row>
    <row r="89">
      <c r="A89" s="375"/>
    </row>
    <row r="90">
      <c r="A90" s="375"/>
    </row>
    <row r="91">
      <c r="A91" s="375"/>
    </row>
    <row r="92">
      <c r="A92" s="375"/>
    </row>
    <row r="93">
      <c r="A93" s="375"/>
    </row>
    <row r="94">
      <c r="A94" s="375"/>
    </row>
    <row r="95">
      <c r="A95" s="375"/>
    </row>
    <row r="96">
      <c r="A96" s="375"/>
    </row>
    <row r="97">
      <c r="A97" s="375"/>
    </row>
    <row r="98">
      <c r="A98" s="375"/>
    </row>
    <row r="99">
      <c r="A99" s="375"/>
    </row>
    <row r="100">
      <c r="A100" s="375"/>
    </row>
    <row r="101">
      <c r="A101" s="375"/>
    </row>
    <row r="102">
      <c r="A102" s="375"/>
    </row>
    <row r="103">
      <c r="A103" s="375"/>
    </row>
    <row r="104">
      <c r="A104" s="375"/>
    </row>
    <row r="105">
      <c r="A105" s="375"/>
    </row>
    <row r="106">
      <c r="A106" s="375"/>
    </row>
    <row r="107">
      <c r="A107" s="375"/>
    </row>
    <row r="108">
      <c r="A108" s="375"/>
    </row>
    <row r="109">
      <c r="A109" s="375"/>
    </row>
    <row r="110">
      <c r="A110" s="375"/>
    </row>
    <row r="111">
      <c r="A111" s="375"/>
    </row>
    <row r="112">
      <c r="A112" s="375"/>
    </row>
    <row r="113">
      <c r="A113" s="375"/>
    </row>
    <row r="114">
      <c r="A114" s="375"/>
    </row>
    <row r="115">
      <c r="A115" s="375"/>
    </row>
    <row r="116">
      <c r="A116" s="375"/>
    </row>
    <row r="117">
      <c r="A117" s="375"/>
    </row>
    <row r="118">
      <c r="A118" s="375"/>
    </row>
    <row r="119">
      <c r="A119" s="375"/>
    </row>
    <row r="120">
      <c r="A120" s="375"/>
    </row>
    <row r="121">
      <c r="A121" s="375"/>
    </row>
    <row r="122">
      <c r="A122" s="375"/>
    </row>
    <row r="123">
      <c r="A123" s="375"/>
    </row>
    <row r="124">
      <c r="A124" s="375"/>
    </row>
    <row r="125">
      <c r="A125" s="375"/>
    </row>
    <row r="126">
      <c r="A126" s="375"/>
    </row>
    <row r="127">
      <c r="A127" s="375"/>
    </row>
    <row r="128">
      <c r="A128" s="375"/>
    </row>
    <row r="129">
      <c r="A129" s="375"/>
    </row>
    <row r="130">
      <c r="A130" s="375"/>
    </row>
    <row r="131">
      <c r="A131" s="375"/>
    </row>
    <row r="132">
      <c r="A132" s="375"/>
    </row>
    <row r="133">
      <c r="A133" s="375"/>
    </row>
    <row r="134">
      <c r="A134" s="375"/>
    </row>
    <row r="135">
      <c r="A135" s="375"/>
    </row>
    <row r="136">
      <c r="A136" s="375"/>
    </row>
    <row r="137">
      <c r="A137" s="375"/>
    </row>
    <row r="138">
      <c r="A138" s="375"/>
    </row>
    <row r="139">
      <c r="A139" s="375"/>
    </row>
    <row r="140">
      <c r="A140" s="375"/>
    </row>
    <row r="141">
      <c r="A141" s="375"/>
    </row>
    <row r="142">
      <c r="A142" s="375"/>
    </row>
    <row r="143">
      <c r="A143" s="375"/>
    </row>
    <row r="144">
      <c r="A144" s="375"/>
    </row>
    <row r="145">
      <c r="A145" s="375"/>
    </row>
    <row r="146">
      <c r="A146" s="375"/>
    </row>
    <row r="147">
      <c r="A147" s="375"/>
    </row>
    <row r="148">
      <c r="A148" s="375"/>
    </row>
    <row r="149">
      <c r="A149" s="375"/>
    </row>
    <row r="150">
      <c r="A150" s="375"/>
    </row>
    <row r="151">
      <c r="A151" s="375"/>
    </row>
    <row r="152">
      <c r="A152" s="375"/>
    </row>
    <row r="153">
      <c r="A153" s="375"/>
    </row>
    <row r="154">
      <c r="A154" s="375"/>
    </row>
    <row r="155">
      <c r="A155" s="375"/>
    </row>
    <row r="156">
      <c r="A156" s="375"/>
    </row>
    <row r="157">
      <c r="A157" s="375"/>
    </row>
    <row r="158">
      <c r="A158" s="375"/>
    </row>
    <row r="159">
      <c r="A159" s="375"/>
    </row>
    <row r="160">
      <c r="A160" s="375"/>
    </row>
    <row r="161">
      <c r="A161" s="375"/>
    </row>
    <row r="162">
      <c r="A162" s="375"/>
    </row>
    <row r="163">
      <c r="A163" s="375"/>
    </row>
    <row r="164">
      <c r="A164" s="375"/>
    </row>
    <row r="165">
      <c r="A165" s="375"/>
    </row>
    <row r="166">
      <c r="A166" s="375"/>
    </row>
    <row r="167">
      <c r="A167" s="375"/>
    </row>
    <row r="168">
      <c r="A168" s="375"/>
    </row>
    <row r="169">
      <c r="A169" s="375"/>
    </row>
    <row r="170">
      <c r="A170" s="375"/>
    </row>
    <row r="171">
      <c r="A171" s="375"/>
    </row>
    <row r="172">
      <c r="A172" s="375"/>
    </row>
    <row r="173">
      <c r="A173" s="375"/>
    </row>
    <row r="174">
      <c r="A174" s="375"/>
    </row>
    <row r="175">
      <c r="A175" s="375"/>
    </row>
    <row r="176">
      <c r="A176" s="375"/>
    </row>
    <row r="177">
      <c r="A177" s="375"/>
    </row>
    <row r="178">
      <c r="A178" s="375"/>
    </row>
    <row r="179">
      <c r="A179" s="375"/>
    </row>
    <row r="180">
      <c r="A180" s="375"/>
    </row>
    <row r="181">
      <c r="A181" s="375"/>
    </row>
    <row r="182">
      <c r="A182" s="375"/>
    </row>
    <row r="183">
      <c r="A183" s="375"/>
    </row>
    <row r="184">
      <c r="A184" s="375"/>
    </row>
    <row r="185">
      <c r="A185" s="375"/>
    </row>
    <row r="186">
      <c r="A186" s="375"/>
    </row>
    <row r="187">
      <c r="A187" s="375"/>
    </row>
    <row r="188">
      <c r="A188" s="375"/>
    </row>
    <row r="189">
      <c r="A189" s="375"/>
    </row>
    <row r="190">
      <c r="A190" s="375"/>
    </row>
    <row r="191">
      <c r="A191" s="375"/>
    </row>
    <row r="192">
      <c r="A192" s="375"/>
    </row>
    <row r="193">
      <c r="A193" s="375"/>
    </row>
    <row r="194">
      <c r="A194" s="375"/>
    </row>
    <row r="195">
      <c r="A195" s="375"/>
    </row>
    <row r="196">
      <c r="A196" s="375"/>
    </row>
    <row r="197">
      <c r="A197" s="375"/>
    </row>
    <row r="198">
      <c r="A198" s="375"/>
    </row>
    <row r="199">
      <c r="A199" s="375"/>
    </row>
    <row r="200">
      <c r="A200" s="375"/>
    </row>
    <row r="201">
      <c r="A201" s="375"/>
    </row>
    <row r="202">
      <c r="A202" s="375"/>
    </row>
    <row r="203">
      <c r="A203" s="375"/>
    </row>
    <row r="204">
      <c r="A204" s="375"/>
    </row>
    <row r="205">
      <c r="A205" s="375"/>
    </row>
    <row r="206">
      <c r="A206" s="375"/>
    </row>
    <row r="207">
      <c r="A207" s="375"/>
    </row>
    <row r="208">
      <c r="A208" s="375"/>
    </row>
    <row r="209">
      <c r="A209" s="375"/>
    </row>
    <row r="210">
      <c r="A210" s="375"/>
    </row>
    <row r="211">
      <c r="A211" s="375"/>
    </row>
    <row r="212">
      <c r="A212" s="375"/>
    </row>
    <row r="213">
      <c r="A213" s="375"/>
    </row>
    <row r="214">
      <c r="A214" s="375"/>
    </row>
    <row r="215">
      <c r="A215" s="375"/>
    </row>
    <row r="216">
      <c r="A216" s="375"/>
    </row>
    <row r="217">
      <c r="A217" s="375"/>
    </row>
    <row r="218">
      <c r="A218" s="375"/>
    </row>
    <row r="219">
      <c r="A219" s="375"/>
    </row>
    <row r="220">
      <c r="A220" s="375"/>
    </row>
    <row r="221">
      <c r="A221" s="375"/>
    </row>
    <row r="222">
      <c r="A222" s="375"/>
    </row>
    <row r="223">
      <c r="A223" s="375"/>
    </row>
    <row r="224">
      <c r="A224" s="375"/>
    </row>
    <row r="225">
      <c r="A225" s="375"/>
    </row>
    <row r="226">
      <c r="A226" s="375"/>
    </row>
    <row r="227">
      <c r="A227" s="375"/>
    </row>
    <row r="228">
      <c r="A228" s="375"/>
    </row>
    <row r="229">
      <c r="A229" s="375"/>
    </row>
    <row r="230">
      <c r="A230" s="375"/>
    </row>
    <row r="231">
      <c r="A231" s="375"/>
    </row>
    <row r="232">
      <c r="A232" s="375"/>
    </row>
    <row r="233">
      <c r="A233" s="375"/>
    </row>
    <row r="234">
      <c r="A234" s="375"/>
    </row>
    <row r="235">
      <c r="A235" s="375"/>
    </row>
    <row r="236">
      <c r="A236" s="375"/>
    </row>
    <row r="237">
      <c r="A237" s="375"/>
    </row>
    <row r="238">
      <c r="A238" s="375"/>
    </row>
    <row r="239">
      <c r="A239" s="375"/>
    </row>
    <row r="240">
      <c r="A240" s="375"/>
    </row>
    <row r="241">
      <c r="A241" s="375"/>
    </row>
    <row r="242">
      <c r="A242" s="375"/>
    </row>
    <row r="243">
      <c r="A243" s="375"/>
    </row>
    <row r="244">
      <c r="A244" s="375"/>
    </row>
    <row r="245">
      <c r="A245" s="375"/>
    </row>
    <row r="246">
      <c r="A246" s="375"/>
    </row>
    <row r="247">
      <c r="A247" s="375"/>
    </row>
    <row r="248">
      <c r="A248" s="375"/>
    </row>
    <row r="249">
      <c r="A249" s="375"/>
    </row>
    <row r="250">
      <c r="A250" s="375"/>
    </row>
    <row r="251">
      <c r="A251" s="375"/>
    </row>
    <row r="252">
      <c r="A252" s="375"/>
    </row>
    <row r="253">
      <c r="A253" s="375"/>
    </row>
    <row r="254">
      <c r="A254" s="375"/>
    </row>
    <row r="255">
      <c r="A255" s="375"/>
    </row>
    <row r="256">
      <c r="A256" s="375"/>
    </row>
    <row r="257">
      <c r="A257" s="375"/>
    </row>
    <row r="258">
      <c r="A258" s="375"/>
    </row>
    <row r="259">
      <c r="A259" s="375"/>
    </row>
    <row r="260">
      <c r="A260" s="375"/>
    </row>
    <row r="261">
      <c r="A261" s="375"/>
    </row>
    <row r="262">
      <c r="A262" s="375"/>
    </row>
    <row r="263">
      <c r="A263" s="375"/>
    </row>
    <row r="264">
      <c r="A264" s="375"/>
    </row>
    <row r="265">
      <c r="A265" s="375"/>
    </row>
    <row r="266">
      <c r="A266" s="375"/>
    </row>
    <row r="267">
      <c r="A267" s="375"/>
    </row>
    <row r="268">
      <c r="A268" s="375"/>
    </row>
    <row r="269">
      <c r="A269" s="375"/>
    </row>
    <row r="270">
      <c r="A270" s="375"/>
    </row>
    <row r="271">
      <c r="A271" s="375"/>
    </row>
    <row r="272">
      <c r="A272" s="375"/>
    </row>
    <row r="273">
      <c r="A273" s="375"/>
    </row>
    <row r="274">
      <c r="A274" s="375"/>
    </row>
    <row r="275">
      <c r="A275" s="375"/>
    </row>
    <row r="276">
      <c r="A276" s="375"/>
    </row>
    <row r="277">
      <c r="A277" s="375"/>
    </row>
    <row r="278">
      <c r="A278" s="375"/>
    </row>
    <row r="279">
      <c r="A279" s="375"/>
    </row>
    <row r="280">
      <c r="A280" s="375"/>
    </row>
    <row r="281">
      <c r="A281" s="375"/>
    </row>
    <row r="282">
      <c r="A282" s="375"/>
    </row>
    <row r="283">
      <c r="A283" s="375"/>
    </row>
    <row r="284">
      <c r="A284" s="375"/>
    </row>
    <row r="285">
      <c r="A285" s="375"/>
    </row>
    <row r="286">
      <c r="A286" s="375"/>
    </row>
    <row r="287">
      <c r="A287" s="375"/>
    </row>
    <row r="288">
      <c r="A288" s="375"/>
    </row>
    <row r="289">
      <c r="A289" s="375"/>
    </row>
    <row r="290">
      <c r="A290" s="375"/>
    </row>
    <row r="291">
      <c r="A291" s="375"/>
    </row>
    <row r="292">
      <c r="A292" s="375"/>
    </row>
    <row r="293">
      <c r="A293" s="375"/>
    </row>
    <row r="294">
      <c r="A294" s="375"/>
    </row>
    <row r="295">
      <c r="A295" s="375"/>
    </row>
    <row r="296">
      <c r="A296" s="375"/>
    </row>
    <row r="297">
      <c r="A297" s="375"/>
    </row>
    <row r="298">
      <c r="A298" s="375"/>
    </row>
    <row r="299">
      <c r="A299" s="375"/>
    </row>
    <row r="300">
      <c r="A300" s="375"/>
    </row>
    <row r="301">
      <c r="A301" s="375"/>
    </row>
    <row r="302">
      <c r="A302" s="375"/>
    </row>
    <row r="303">
      <c r="A303" s="375"/>
    </row>
    <row r="304">
      <c r="A304" s="375"/>
    </row>
    <row r="305">
      <c r="A305" s="375"/>
    </row>
    <row r="306">
      <c r="A306" s="375"/>
    </row>
    <row r="307">
      <c r="A307" s="375"/>
    </row>
    <row r="308">
      <c r="A308" s="375"/>
    </row>
    <row r="309">
      <c r="A309" s="375"/>
    </row>
    <row r="310">
      <c r="A310" s="375"/>
    </row>
    <row r="311">
      <c r="A311" s="375"/>
    </row>
    <row r="312">
      <c r="A312" s="375"/>
    </row>
    <row r="313">
      <c r="A313" s="375"/>
    </row>
    <row r="314">
      <c r="A314" s="375"/>
    </row>
    <row r="315">
      <c r="A315" s="375"/>
    </row>
    <row r="316">
      <c r="A316" s="375"/>
    </row>
    <row r="317">
      <c r="A317" s="375"/>
    </row>
    <row r="318">
      <c r="A318" s="375"/>
    </row>
    <row r="319">
      <c r="A319" s="375"/>
    </row>
    <row r="320">
      <c r="A320" s="375"/>
    </row>
    <row r="321">
      <c r="A321" s="375"/>
    </row>
    <row r="322">
      <c r="A322" s="375"/>
    </row>
    <row r="323">
      <c r="A323" s="375"/>
    </row>
    <row r="324">
      <c r="A324" s="375"/>
    </row>
    <row r="325">
      <c r="A325" s="375"/>
    </row>
    <row r="326">
      <c r="A326" s="375"/>
    </row>
    <row r="327">
      <c r="A327" s="375"/>
    </row>
    <row r="328">
      <c r="A328" s="375"/>
    </row>
    <row r="329">
      <c r="A329" s="375"/>
    </row>
    <row r="330">
      <c r="A330" s="375"/>
    </row>
    <row r="331">
      <c r="A331" s="375"/>
    </row>
    <row r="332">
      <c r="A332" s="375"/>
    </row>
    <row r="333">
      <c r="A333" s="375"/>
    </row>
    <row r="334">
      <c r="A334" s="375"/>
    </row>
    <row r="335">
      <c r="A335" s="375"/>
    </row>
    <row r="336">
      <c r="A336" s="375"/>
    </row>
    <row r="337">
      <c r="A337" s="375"/>
    </row>
    <row r="338">
      <c r="A338" s="375"/>
    </row>
    <row r="339">
      <c r="A339" s="375"/>
    </row>
    <row r="340">
      <c r="A340" s="375"/>
    </row>
    <row r="341">
      <c r="A341" s="375"/>
    </row>
    <row r="342">
      <c r="A342" s="375"/>
    </row>
    <row r="343">
      <c r="A343" s="375"/>
    </row>
    <row r="344">
      <c r="A344" s="375"/>
    </row>
    <row r="345">
      <c r="A345" s="375"/>
    </row>
    <row r="346">
      <c r="A346" s="375"/>
    </row>
    <row r="347">
      <c r="A347" s="375"/>
    </row>
    <row r="348">
      <c r="A348" s="375"/>
    </row>
    <row r="349">
      <c r="A349" s="375"/>
    </row>
    <row r="350">
      <c r="A350" s="375"/>
    </row>
    <row r="351">
      <c r="A351" s="375"/>
    </row>
    <row r="352">
      <c r="A352" s="375"/>
    </row>
    <row r="353">
      <c r="A353" s="375"/>
    </row>
    <row r="354">
      <c r="A354" s="375"/>
    </row>
    <row r="355">
      <c r="A355" s="375"/>
    </row>
    <row r="356">
      <c r="A356" s="375"/>
    </row>
    <row r="357">
      <c r="A357" s="375"/>
    </row>
    <row r="358">
      <c r="A358" s="375"/>
    </row>
    <row r="359">
      <c r="A359" s="375"/>
    </row>
    <row r="360">
      <c r="A360" s="375"/>
    </row>
    <row r="361">
      <c r="A361" s="375"/>
    </row>
    <row r="362">
      <c r="A362" s="375"/>
    </row>
    <row r="363">
      <c r="A363" s="375"/>
    </row>
    <row r="364">
      <c r="A364" s="375"/>
    </row>
    <row r="365">
      <c r="A365" s="375"/>
    </row>
    <row r="366">
      <c r="A366" s="375"/>
    </row>
    <row r="367">
      <c r="A367" s="375"/>
    </row>
    <row r="368">
      <c r="A368" s="375"/>
    </row>
    <row r="369">
      <c r="A369" s="375"/>
    </row>
    <row r="370">
      <c r="A370" s="375"/>
    </row>
    <row r="371">
      <c r="A371" s="375"/>
    </row>
    <row r="372">
      <c r="A372" s="375"/>
    </row>
    <row r="373">
      <c r="A373" s="375"/>
    </row>
    <row r="374">
      <c r="A374" s="375"/>
    </row>
    <row r="375">
      <c r="A375" s="375"/>
    </row>
    <row r="376">
      <c r="A376" s="375"/>
    </row>
    <row r="377">
      <c r="A377" s="375"/>
    </row>
    <row r="378">
      <c r="A378" s="375"/>
    </row>
    <row r="379">
      <c r="A379" s="375"/>
    </row>
    <row r="380">
      <c r="A380" s="375"/>
    </row>
    <row r="381">
      <c r="A381" s="375"/>
    </row>
    <row r="382">
      <c r="A382" s="375"/>
    </row>
    <row r="383">
      <c r="A383" s="375"/>
    </row>
    <row r="384">
      <c r="A384" s="375"/>
    </row>
    <row r="385">
      <c r="A385" s="375"/>
    </row>
    <row r="386">
      <c r="A386" s="375"/>
    </row>
    <row r="387">
      <c r="A387" s="375"/>
    </row>
    <row r="388">
      <c r="A388" s="375"/>
    </row>
    <row r="389">
      <c r="A389" s="375"/>
    </row>
    <row r="390">
      <c r="A390" s="375"/>
    </row>
    <row r="391">
      <c r="A391" s="375"/>
    </row>
    <row r="392">
      <c r="A392" s="375"/>
    </row>
    <row r="393">
      <c r="A393" s="375"/>
    </row>
    <row r="394">
      <c r="A394" s="375"/>
    </row>
    <row r="395">
      <c r="A395" s="375"/>
    </row>
    <row r="396">
      <c r="A396" s="375"/>
    </row>
    <row r="397">
      <c r="A397" s="375"/>
    </row>
    <row r="398">
      <c r="A398" s="375"/>
    </row>
    <row r="399">
      <c r="A399" s="375"/>
    </row>
    <row r="400">
      <c r="A400" s="375"/>
    </row>
    <row r="401">
      <c r="A401" s="375"/>
    </row>
    <row r="402">
      <c r="A402" s="375"/>
    </row>
    <row r="403">
      <c r="A403" s="375"/>
    </row>
    <row r="404">
      <c r="A404" s="375"/>
    </row>
    <row r="405">
      <c r="A405" s="375"/>
    </row>
    <row r="406">
      <c r="A406" s="375"/>
    </row>
    <row r="407">
      <c r="A407" s="375"/>
    </row>
    <row r="408">
      <c r="A408" s="375"/>
    </row>
    <row r="409">
      <c r="A409" s="375"/>
    </row>
    <row r="410">
      <c r="A410" s="375"/>
    </row>
    <row r="411">
      <c r="A411" s="375"/>
    </row>
    <row r="412">
      <c r="A412" s="375"/>
    </row>
    <row r="413">
      <c r="A413" s="375"/>
    </row>
    <row r="414">
      <c r="A414" s="375"/>
    </row>
    <row r="415">
      <c r="A415" s="375"/>
    </row>
    <row r="416">
      <c r="A416" s="375"/>
    </row>
    <row r="417">
      <c r="A417" s="375"/>
    </row>
    <row r="418">
      <c r="A418" s="375"/>
    </row>
    <row r="419">
      <c r="A419" s="375"/>
    </row>
    <row r="420">
      <c r="A420" s="375"/>
    </row>
    <row r="421">
      <c r="A421" s="375"/>
    </row>
    <row r="422">
      <c r="A422" s="375"/>
    </row>
    <row r="423">
      <c r="A423" s="375"/>
    </row>
    <row r="424">
      <c r="A424" s="375"/>
    </row>
    <row r="425">
      <c r="A425" s="375"/>
    </row>
    <row r="426">
      <c r="A426" s="375"/>
    </row>
    <row r="427">
      <c r="A427" s="375"/>
    </row>
    <row r="428">
      <c r="A428" s="375"/>
    </row>
    <row r="429">
      <c r="A429" s="375"/>
    </row>
    <row r="430">
      <c r="A430" s="375"/>
    </row>
    <row r="431">
      <c r="A431" s="375"/>
    </row>
    <row r="432">
      <c r="A432" s="375"/>
    </row>
    <row r="433">
      <c r="A433" s="375"/>
    </row>
    <row r="434">
      <c r="A434" s="375"/>
    </row>
    <row r="435">
      <c r="A435" s="375"/>
    </row>
    <row r="436">
      <c r="A436" s="375"/>
    </row>
    <row r="437">
      <c r="A437" s="375"/>
    </row>
    <row r="438">
      <c r="A438" s="375"/>
    </row>
    <row r="439">
      <c r="A439" s="375"/>
    </row>
    <row r="440">
      <c r="A440" s="375"/>
    </row>
    <row r="441">
      <c r="A441" s="375"/>
    </row>
    <row r="442">
      <c r="A442" s="375"/>
    </row>
    <row r="443">
      <c r="A443" s="375"/>
    </row>
    <row r="444">
      <c r="A444" s="375"/>
    </row>
    <row r="445">
      <c r="A445" s="375"/>
    </row>
    <row r="446">
      <c r="A446" s="375"/>
    </row>
    <row r="447">
      <c r="A447" s="375"/>
    </row>
    <row r="448">
      <c r="A448" s="375"/>
    </row>
    <row r="449">
      <c r="A449" s="375"/>
    </row>
    <row r="450">
      <c r="A450" s="375"/>
    </row>
    <row r="451">
      <c r="A451" s="375"/>
    </row>
    <row r="452">
      <c r="A452" s="375"/>
    </row>
    <row r="453">
      <c r="A453" s="375"/>
    </row>
    <row r="454">
      <c r="A454" s="375"/>
    </row>
    <row r="455">
      <c r="A455" s="375"/>
    </row>
    <row r="456">
      <c r="A456" s="375"/>
    </row>
    <row r="457">
      <c r="A457" s="375"/>
    </row>
    <row r="458">
      <c r="A458" s="375"/>
    </row>
    <row r="459">
      <c r="A459" s="375"/>
    </row>
    <row r="460">
      <c r="A460" s="375"/>
    </row>
    <row r="461">
      <c r="A461" s="375"/>
    </row>
    <row r="462">
      <c r="A462" s="375"/>
    </row>
    <row r="463">
      <c r="A463" s="375"/>
    </row>
    <row r="464">
      <c r="A464" s="375"/>
    </row>
    <row r="465">
      <c r="A465" s="375"/>
    </row>
    <row r="466">
      <c r="A466" s="375"/>
    </row>
    <row r="467">
      <c r="A467" s="375"/>
    </row>
    <row r="468">
      <c r="A468" s="375"/>
    </row>
    <row r="469">
      <c r="A469" s="375"/>
    </row>
    <row r="470">
      <c r="A470" s="375"/>
    </row>
    <row r="471">
      <c r="A471" s="375"/>
    </row>
    <row r="472">
      <c r="A472" s="375"/>
    </row>
    <row r="473">
      <c r="A473" s="375"/>
    </row>
    <row r="474">
      <c r="A474" s="375"/>
    </row>
    <row r="475">
      <c r="A475" s="375"/>
    </row>
    <row r="476">
      <c r="A476" s="375"/>
    </row>
    <row r="477">
      <c r="A477" s="375"/>
    </row>
    <row r="478">
      <c r="A478" s="375"/>
    </row>
    <row r="479">
      <c r="A479" s="375"/>
    </row>
    <row r="480">
      <c r="A480" s="375"/>
    </row>
    <row r="481">
      <c r="A481" s="375"/>
    </row>
    <row r="482">
      <c r="A482" s="375"/>
    </row>
    <row r="483">
      <c r="A483" s="375"/>
    </row>
    <row r="484">
      <c r="A484" s="375"/>
    </row>
    <row r="485">
      <c r="A485" s="375"/>
    </row>
    <row r="486">
      <c r="A486" s="375"/>
    </row>
    <row r="487">
      <c r="A487" s="375"/>
    </row>
    <row r="488">
      <c r="A488" s="375"/>
    </row>
    <row r="489">
      <c r="A489" s="375"/>
    </row>
    <row r="490">
      <c r="A490" s="375"/>
    </row>
    <row r="491">
      <c r="A491" s="375"/>
    </row>
    <row r="492">
      <c r="A492" s="375"/>
    </row>
    <row r="493">
      <c r="A493" s="375"/>
    </row>
    <row r="494">
      <c r="A494" s="375"/>
    </row>
    <row r="495">
      <c r="A495" s="375"/>
    </row>
    <row r="496">
      <c r="A496" s="375"/>
    </row>
    <row r="497">
      <c r="A497" s="375"/>
    </row>
    <row r="498">
      <c r="A498" s="375"/>
    </row>
    <row r="499">
      <c r="A499" s="375"/>
    </row>
    <row r="500">
      <c r="A500" s="375"/>
    </row>
    <row r="501">
      <c r="A501" s="375"/>
    </row>
    <row r="502">
      <c r="A502" s="375"/>
    </row>
    <row r="503">
      <c r="A503" s="375"/>
    </row>
    <row r="504">
      <c r="A504" s="375"/>
    </row>
    <row r="505">
      <c r="A505" s="375"/>
    </row>
    <row r="506">
      <c r="A506" s="375"/>
    </row>
    <row r="507">
      <c r="A507" s="375"/>
    </row>
    <row r="508">
      <c r="A508" s="375"/>
    </row>
    <row r="509">
      <c r="A509" s="375"/>
    </row>
    <row r="510">
      <c r="A510" s="375"/>
    </row>
    <row r="511">
      <c r="A511" s="375"/>
    </row>
    <row r="512">
      <c r="A512" s="375"/>
    </row>
    <row r="513">
      <c r="A513" s="375"/>
    </row>
    <row r="514">
      <c r="A514" s="375"/>
    </row>
    <row r="515">
      <c r="A515" s="375"/>
    </row>
    <row r="516">
      <c r="A516" s="375"/>
    </row>
    <row r="517">
      <c r="A517" s="375"/>
    </row>
    <row r="518">
      <c r="A518" s="375"/>
    </row>
    <row r="519">
      <c r="A519" s="375"/>
    </row>
    <row r="520">
      <c r="A520" s="375"/>
    </row>
    <row r="521">
      <c r="A521" s="375"/>
    </row>
    <row r="522">
      <c r="A522" s="375"/>
    </row>
    <row r="523">
      <c r="A523" s="375"/>
    </row>
    <row r="524">
      <c r="A524" s="375"/>
    </row>
    <row r="525">
      <c r="A525" s="375"/>
    </row>
    <row r="526">
      <c r="A526" s="375"/>
    </row>
    <row r="527">
      <c r="A527" s="375"/>
    </row>
    <row r="528">
      <c r="A528" s="375"/>
    </row>
    <row r="529">
      <c r="A529" s="375"/>
    </row>
    <row r="530">
      <c r="A530" s="375"/>
    </row>
    <row r="531">
      <c r="A531" s="375"/>
    </row>
    <row r="532">
      <c r="A532" s="375"/>
    </row>
    <row r="533">
      <c r="A533" s="375"/>
    </row>
    <row r="534">
      <c r="A534" s="375"/>
    </row>
    <row r="535">
      <c r="A535" s="375"/>
    </row>
    <row r="536">
      <c r="A536" s="375"/>
    </row>
    <row r="537">
      <c r="A537" s="375"/>
    </row>
    <row r="538">
      <c r="A538" s="375"/>
    </row>
    <row r="539">
      <c r="A539" s="375"/>
    </row>
    <row r="540">
      <c r="A540" s="375"/>
    </row>
    <row r="541">
      <c r="A541" s="375"/>
    </row>
    <row r="542">
      <c r="A542" s="375"/>
    </row>
    <row r="543">
      <c r="A543" s="375"/>
    </row>
    <row r="544">
      <c r="A544" s="375"/>
    </row>
    <row r="545">
      <c r="A545" s="375"/>
    </row>
    <row r="546">
      <c r="A546" s="375"/>
    </row>
    <row r="547">
      <c r="A547" s="375"/>
    </row>
    <row r="548">
      <c r="A548" s="375"/>
    </row>
    <row r="549">
      <c r="A549" s="375"/>
    </row>
    <row r="550">
      <c r="A550" s="375"/>
    </row>
    <row r="551">
      <c r="A551" s="375"/>
    </row>
    <row r="552">
      <c r="A552" s="375"/>
    </row>
    <row r="553">
      <c r="A553" s="375"/>
    </row>
    <row r="554">
      <c r="A554" s="375"/>
    </row>
    <row r="555">
      <c r="A555" s="375"/>
    </row>
    <row r="556">
      <c r="A556" s="375"/>
    </row>
    <row r="557">
      <c r="A557" s="375"/>
    </row>
    <row r="558">
      <c r="A558" s="375"/>
    </row>
    <row r="559">
      <c r="A559" s="375"/>
    </row>
    <row r="560">
      <c r="A560" s="375"/>
    </row>
    <row r="561">
      <c r="A561" s="375"/>
    </row>
    <row r="562">
      <c r="A562" s="375"/>
    </row>
    <row r="563">
      <c r="A563" s="375"/>
    </row>
    <row r="564">
      <c r="A564" s="375"/>
    </row>
    <row r="565">
      <c r="A565" s="375"/>
    </row>
    <row r="566">
      <c r="A566" s="375"/>
    </row>
    <row r="567">
      <c r="A567" s="375"/>
    </row>
    <row r="568">
      <c r="A568" s="375"/>
    </row>
    <row r="569">
      <c r="A569" s="375"/>
    </row>
    <row r="570">
      <c r="A570" s="375"/>
    </row>
    <row r="571">
      <c r="A571" s="375"/>
    </row>
    <row r="572">
      <c r="A572" s="375"/>
    </row>
    <row r="573">
      <c r="A573" s="375"/>
    </row>
    <row r="574">
      <c r="A574" s="375"/>
    </row>
    <row r="575">
      <c r="A575" s="375"/>
    </row>
    <row r="576">
      <c r="A576" s="375"/>
    </row>
    <row r="577">
      <c r="A577" s="375"/>
    </row>
    <row r="578">
      <c r="A578" s="375"/>
    </row>
    <row r="579">
      <c r="A579" s="375"/>
    </row>
    <row r="580">
      <c r="A580" s="375"/>
    </row>
    <row r="581">
      <c r="A581" s="375"/>
    </row>
    <row r="582">
      <c r="A582" s="375"/>
    </row>
    <row r="583">
      <c r="A583" s="375"/>
    </row>
    <row r="584">
      <c r="A584" s="375"/>
    </row>
    <row r="585">
      <c r="A585" s="375"/>
    </row>
    <row r="586">
      <c r="A586" s="375"/>
    </row>
    <row r="587">
      <c r="A587" s="375"/>
    </row>
    <row r="588">
      <c r="A588" s="375"/>
    </row>
    <row r="589">
      <c r="A589" s="375"/>
    </row>
    <row r="590">
      <c r="A590" s="375"/>
    </row>
    <row r="591">
      <c r="A591" s="375"/>
    </row>
    <row r="592">
      <c r="A592" s="375"/>
    </row>
    <row r="593">
      <c r="A593" s="375"/>
    </row>
    <row r="594">
      <c r="A594" s="375"/>
    </row>
    <row r="595">
      <c r="A595" s="375"/>
    </row>
    <row r="596">
      <c r="A596" s="375"/>
    </row>
    <row r="597">
      <c r="A597" s="375"/>
    </row>
    <row r="598">
      <c r="A598" s="375"/>
    </row>
    <row r="599">
      <c r="A599" s="375"/>
    </row>
    <row r="600">
      <c r="A600" s="375"/>
    </row>
    <row r="601">
      <c r="A601" s="375"/>
    </row>
    <row r="602">
      <c r="A602" s="375"/>
    </row>
    <row r="603">
      <c r="A603" s="375"/>
    </row>
    <row r="604">
      <c r="A604" s="375"/>
    </row>
    <row r="605">
      <c r="A605" s="375"/>
    </row>
    <row r="606">
      <c r="A606" s="375"/>
    </row>
    <row r="607">
      <c r="A607" s="375"/>
    </row>
    <row r="608">
      <c r="A608" s="375"/>
    </row>
    <row r="609">
      <c r="A609" s="375"/>
    </row>
    <row r="610">
      <c r="A610" s="375"/>
    </row>
    <row r="611">
      <c r="A611" s="375"/>
    </row>
    <row r="612">
      <c r="A612" s="375"/>
    </row>
    <row r="613">
      <c r="A613" s="375"/>
    </row>
    <row r="614">
      <c r="A614" s="375"/>
    </row>
    <row r="615">
      <c r="A615" s="375"/>
    </row>
    <row r="616">
      <c r="A616" s="375"/>
    </row>
    <row r="617">
      <c r="A617" s="375"/>
    </row>
    <row r="618">
      <c r="A618" s="375"/>
    </row>
    <row r="619">
      <c r="A619" s="375"/>
    </row>
    <row r="620">
      <c r="A620" s="375"/>
    </row>
    <row r="621">
      <c r="A621" s="375"/>
    </row>
    <row r="622">
      <c r="A622" s="375"/>
    </row>
    <row r="623">
      <c r="A623" s="375"/>
    </row>
    <row r="624">
      <c r="A624" s="375"/>
    </row>
    <row r="625">
      <c r="A625" s="375"/>
    </row>
    <row r="626">
      <c r="A626" s="375"/>
    </row>
    <row r="627">
      <c r="A627" s="375"/>
    </row>
    <row r="628">
      <c r="A628" s="375"/>
    </row>
    <row r="629">
      <c r="A629" s="375"/>
    </row>
    <row r="630">
      <c r="A630" s="375"/>
    </row>
    <row r="631">
      <c r="A631" s="375"/>
    </row>
    <row r="632">
      <c r="A632" s="375"/>
    </row>
    <row r="633">
      <c r="A633" s="375"/>
    </row>
    <row r="634">
      <c r="A634" s="375"/>
    </row>
    <row r="635">
      <c r="A635" s="375"/>
    </row>
    <row r="636">
      <c r="A636" s="375"/>
    </row>
    <row r="637">
      <c r="A637" s="375"/>
    </row>
    <row r="638">
      <c r="A638" s="375"/>
    </row>
    <row r="639">
      <c r="A639" s="375"/>
    </row>
    <row r="640">
      <c r="A640" s="375"/>
    </row>
    <row r="641">
      <c r="A641" s="375"/>
    </row>
    <row r="642">
      <c r="A642" s="375"/>
    </row>
    <row r="643">
      <c r="A643" s="375"/>
    </row>
    <row r="644">
      <c r="A644" s="375"/>
    </row>
    <row r="645">
      <c r="A645" s="375"/>
    </row>
    <row r="646">
      <c r="A646" s="375"/>
    </row>
    <row r="647">
      <c r="A647" s="375"/>
    </row>
    <row r="648">
      <c r="A648" s="375"/>
    </row>
    <row r="649">
      <c r="A649" s="375"/>
    </row>
    <row r="650">
      <c r="A650" s="375"/>
    </row>
    <row r="651">
      <c r="A651" s="375"/>
    </row>
    <row r="652">
      <c r="A652" s="375"/>
    </row>
    <row r="653">
      <c r="A653" s="375"/>
    </row>
    <row r="654">
      <c r="A654" s="375"/>
    </row>
    <row r="655">
      <c r="A655" s="375"/>
    </row>
    <row r="656">
      <c r="A656" s="375"/>
    </row>
    <row r="657">
      <c r="A657" s="375"/>
    </row>
    <row r="658">
      <c r="A658" s="375"/>
    </row>
    <row r="659">
      <c r="A659" s="375"/>
    </row>
    <row r="660">
      <c r="A660" s="375"/>
    </row>
    <row r="661">
      <c r="A661" s="375"/>
    </row>
    <row r="662">
      <c r="A662" s="375"/>
    </row>
    <row r="663">
      <c r="A663" s="375"/>
    </row>
    <row r="664">
      <c r="A664" s="375"/>
    </row>
    <row r="665">
      <c r="A665" s="375"/>
    </row>
    <row r="666">
      <c r="A666" s="375"/>
    </row>
    <row r="667">
      <c r="A667" s="375"/>
    </row>
    <row r="668">
      <c r="A668" s="375"/>
    </row>
    <row r="669">
      <c r="A669" s="375"/>
    </row>
    <row r="670">
      <c r="A670" s="375"/>
    </row>
    <row r="671">
      <c r="A671" s="375"/>
    </row>
    <row r="672">
      <c r="A672" s="375"/>
    </row>
    <row r="673">
      <c r="A673" s="375"/>
    </row>
    <row r="674">
      <c r="A674" s="375"/>
    </row>
    <row r="675">
      <c r="A675" s="375"/>
    </row>
    <row r="676">
      <c r="A676" s="375"/>
    </row>
    <row r="677">
      <c r="A677" s="375"/>
    </row>
    <row r="678">
      <c r="A678" s="375"/>
    </row>
    <row r="679">
      <c r="A679" s="375"/>
    </row>
    <row r="680">
      <c r="A680" s="375"/>
    </row>
    <row r="681">
      <c r="A681" s="375"/>
    </row>
    <row r="682">
      <c r="A682" s="375"/>
    </row>
    <row r="683">
      <c r="A683" s="375"/>
    </row>
    <row r="684">
      <c r="A684" s="375"/>
    </row>
    <row r="685">
      <c r="A685" s="375"/>
    </row>
    <row r="686">
      <c r="A686" s="375"/>
    </row>
    <row r="687">
      <c r="A687" s="375"/>
    </row>
    <row r="688">
      <c r="A688" s="375"/>
    </row>
    <row r="689">
      <c r="A689" s="375"/>
    </row>
    <row r="690">
      <c r="A690" s="375"/>
    </row>
    <row r="691">
      <c r="A691" s="375"/>
    </row>
    <row r="692">
      <c r="A692" s="375"/>
    </row>
    <row r="693">
      <c r="A693" s="375"/>
    </row>
    <row r="694">
      <c r="A694" s="375"/>
    </row>
    <row r="695">
      <c r="A695" s="375"/>
    </row>
    <row r="696">
      <c r="A696" s="375"/>
    </row>
    <row r="697">
      <c r="A697" s="375"/>
    </row>
    <row r="698">
      <c r="A698" s="375"/>
    </row>
    <row r="699">
      <c r="A699" s="375"/>
    </row>
    <row r="700">
      <c r="A700" s="375"/>
    </row>
    <row r="701">
      <c r="A701" s="375"/>
    </row>
    <row r="702">
      <c r="A702" s="375"/>
    </row>
    <row r="703">
      <c r="A703" s="375"/>
    </row>
    <row r="704">
      <c r="A704" s="375"/>
    </row>
    <row r="705">
      <c r="A705" s="375"/>
    </row>
    <row r="706">
      <c r="A706" s="375"/>
    </row>
    <row r="707">
      <c r="A707" s="375"/>
    </row>
    <row r="708">
      <c r="A708" s="375"/>
    </row>
    <row r="709">
      <c r="A709" s="375"/>
    </row>
    <row r="710">
      <c r="A710" s="375"/>
    </row>
    <row r="711">
      <c r="A711" s="375"/>
    </row>
    <row r="712">
      <c r="A712" s="375"/>
    </row>
    <row r="713">
      <c r="A713" s="375"/>
    </row>
    <row r="714">
      <c r="A714" s="375"/>
    </row>
    <row r="715">
      <c r="A715" s="375"/>
    </row>
    <row r="716">
      <c r="A716" s="375"/>
    </row>
    <row r="717">
      <c r="A717" s="375"/>
    </row>
    <row r="718">
      <c r="A718" s="375"/>
    </row>
    <row r="719">
      <c r="A719" s="375"/>
    </row>
    <row r="720">
      <c r="A720" s="375"/>
    </row>
    <row r="721">
      <c r="A721" s="375"/>
    </row>
    <row r="722">
      <c r="A722" s="375"/>
    </row>
    <row r="723">
      <c r="A723" s="375"/>
    </row>
    <row r="724">
      <c r="A724" s="375"/>
    </row>
    <row r="725">
      <c r="A725" s="375"/>
    </row>
    <row r="726">
      <c r="A726" s="375"/>
    </row>
    <row r="727">
      <c r="A727" s="375"/>
    </row>
    <row r="728">
      <c r="A728" s="375"/>
    </row>
    <row r="729">
      <c r="A729" s="375"/>
    </row>
    <row r="730">
      <c r="A730" s="375"/>
    </row>
    <row r="731">
      <c r="A731" s="375"/>
    </row>
    <row r="732">
      <c r="A732" s="375"/>
    </row>
    <row r="733">
      <c r="A733" s="375"/>
    </row>
    <row r="734">
      <c r="A734" s="375"/>
    </row>
    <row r="735">
      <c r="A735" s="375"/>
    </row>
    <row r="736">
      <c r="A736" s="375"/>
    </row>
    <row r="737">
      <c r="A737" s="375"/>
    </row>
    <row r="738">
      <c r="A738" s="375"/>
    </row>
    <row r="739">
      <c r="A739" s="375"/>
    </row>
    <row r="740">
      <c r="A740" s="375"/>
    </row>
    <row r="741">
      <c r="A741" s="375"/>
    </row>
    <row r="742">
      <c r="A742" s="375"/>
    </row>
    <row r="743">
      <c r="A743" s="375"/>
    </row>
    <row r="744">
      <c r="A744" s="375"/>
    </row>
    <row r="745">
      <c r="A745" s="375"/>
    </row>
    <row r="746">
      <c r="A746" s="375"/>
    </row>
    <row r="747">
      <c r="A747" s="375"/>
    </row>
    <row r="748">
      <c r="A748" s="375"/>
    </row>
    <row r="749">
      <c r="A749" s="375"/>
    </row>
    <row r="750">
      <c r="A750" s="375"/>
    </row>
    <row r="751">
      <c r="A751" s="375"/>
    </row>
    <row r="752">
      <c r="A752" s="375"/>
    </row>
    <row r="753">
      <c r="A753" s="375"/>
    </row>
    <row r="754">
      <c r="A754" s="375"/>
    </row>
    <row r="755">
      <c r="A755" s="375"/>
    </row>
    <row r="756">
      <c r="A756" s="375"/>
    </row>
    <row r="757">
      <c r="A757" s="375"/>
    </row>
    <row r="758">
      <c r="A758" s="375"/>
    </row>
    <row r="759">
      <c r="A759" s="375"/>
    </row>
    <row r="760">
      <c r="A760" s="375"/>
    </row>
    <row r="761">
      <c r="A761" s="375"/>
    </row>
    <row r="762">
      <c r="A762" s="375"/>
    </row>
    <row r="763">
      <c r="A763" s="375"/>
    </row>
    <row r="764">
      <c r="A764" s="375"/>
    </row>
    <row r="765">
      <c r="A765" s="375"/>
    </row>
    <row r="766">
      <c r="A766" s="375"/>
    </row>
    <row r="767">
      <c r="A767" s="375"/>
    </row>
    <row r="768">
      <c r="A768" s="375"/>
    </row>
    <row r="769">
      <c r="A769" s="375"/>
    </row>
    <row r="770">
      <c r="A770" s="375"/>
    </row>
    <row r="771">
      <c r="A771" s="375"/>
    </row>
    <row r="772">
      <c r="A772" s="375"/>
    </row>
    <row r="773">
      <c r="A773" s="375"/>
    </row>
    <row r="774">
      <c r="A774" s="375"/>
    </row>
    <row r="775">
      <c r="A775" s="375"/>
    </row>
    <row r="776">
      <c r="A776" s="375"/>
    </row>
    <row r="777">
      <c r="A777" s="375"/>
    </row>
    <row r="778">
      <c r="A778" s="375"/>
    </row>
    <row r="779">
      <c r="A779" s="375"/>
    </row>
    <row r="780">
      <c r="A780" s="375"/>
    </row>
    <row r="781">
      <c r="A781" s="375"/>
    </row>
    <row r="782">
      <c r="A782" s="375"/>
    </row>
    <row r="783">
      <c r="A783" s="375"/>
    </row>
    <row r="784">
      <c r="A784" s="375"/>
    </row>
    <row r="785">
      <c r="A785" s="375"/>
    </row>
    <row r="786">
      <c r="A786" s="375"/>
    </row>
    <row r="787">
      <c r="A787" s="375"/>
    </row>
    <row r="788">
      <c r="A788" s="375"/>
    </row>
    <row r="789">
      <c r="A789" s="375"/>
    </row>
    <row r="790">
      <c r="A790" s="375"/>
    </row>
    <row r="791">
      <c r="A791" s="375"/>
    </row>
    <row r="792">
      <c r="A792" s="375"/>
    </row>
    <row r="793">
      <c r="A793" s="375"/>
    </row>
    <row r="794">
      <c r="A794" s="375"/>
    </row>
    <row r="795">
      <c r="A795" s="375"/>
    </row>
    <row r="796">
      <c r="A796" s="375"/>
    </row>
    <row r="797">
      <c r="A797" s="375"/>
    </row>
    <row r="798">
      <c r="A798" s="375"/>
    </row>
    <row r="799">
      <c r="A799" s="375"/>
    </row>
    <row r="800">
      <c r="A800" s="375"/>
    </row>
    <row r="801">
      <c r="A801" s="375"/>
    </row>
    <row r="802">
      <c r="A802" s="375"/>
    </row>
    <row r="803">
      <c r="A803" s="375"/>
    </row>
    <row r="804">
      <c r="A804" s="375"/>
    </row>
    <row r="805">
      <c r="A805" s="375"/>
    </row>
    <row r="806">
      <c r="A806" s="375"/>
    </row>
    <row r="807">
      <c r="A807" s="375"/>
    </row>
    <row r="808">
      <c r="A808" s="375"/>
    </row>
    <row r="809">
      <c r="A809" s="375"/>
    </row>
    <row r="810">
      <c r="A810" s="375"/>
    </row>
    <row r="811">
      <c r="A811" s="375"/>
    </row>
    <row r="812">
      <c r="A812" s="375"/>
    </row>
    <row r="813">
      <c r="A813" s="375"/>
    </row>
    <row r="814">
      <c r="A814" s="375"/>
    </row>
    <row r="815">
      <c r="A815" s="375"/>
    </row>
    <row r="816">
      <c r="A816" s="375"/>
    </row>
    <row r="817">
      <c r="A817" s="375"/>
    </row>
    <row r="818">
      <c r="A818" s="375"/>
    </row>
    <row r="819">
      <c r="A819" s="375"/>
    </row>
    <row r="820">
      <c r="A820" s="375"/>
    </row>
    <row r="821">
      <c r="A821" s="375"/>
    </row>
    <row r="822">
      <c r="A822" s="375"/>
    </row>
    <row r="823">
      <c r="A823" s="375"/>
    </row>
    <row r="824">
      <c r="A824" s="375"/>
    </row>
    <row r="825">
      <c r="A825" s="375"/>
    </row>
    <row r="826">
      <c r="A826" s="375"/>
    </row>
    <row r="827">
      <c r="A827" s="375"/>
    </row>
    <row r="828">
      <c r="A828" s="375"/>
    </row>
    <row r="829">
      <c r="A829" s="375"/>
    </row>
    <row r="830">
      <c r="A830" s="375"/>
    </row>
    <row r="831">
      <c r="A831" s="375"/>
    </row>
    <row r="832">
      <c r="A832" s="375"/>
    </row>
    <row r="833">
      <c r="A833" s="375"/>
    </row>
    <row r="834">
      <c r="A834" s="375"/>
    </row>
    <row r="835">
      <c r="A835" s="375"/>
    </row>
    <row r="836">
      <c r="A836" s="375"/>
    </row>
    <row r="837">
      <c r="A837" s="375"/>
    </row>
    <row r="838">
      <c r="A838" s="375"/>
    </row>
    <row r="839">
      <c r="A839" s="375"/>
    </row>
    <row r="840">
      <c r="A840" s="375"/>
    </row>
    <row r="841">
      <c r="A841" s="375"/>
    </row>
    <row r="842">
      <c r="A842" s="375"/>
    </row>
    <row r="843">
      <c r="A843" s="375"/>
    </row>
    <row r="844">
      <c r="A844" s="375"/>
    </row>
    <row r="845">
      <c r="A845" s="375"/>
    </row>
    <row r="846">
      <c r="A846" s="375"/>
    </row>
    <row r="847">
      <c r="A847" s="375"/>
    </row>
    <row r="848">
      <c r="A848" s="375"/>
    </row>
    <row r="849">
      <c r="A849" s="375"/>
    </row>
    <row r="850">
      <c r="A850" s="375"/>
    </row>
    <row r="851">
      <c r="A851" s="375"/>
    </row>
    <row r="852">
      <c r="A852" s="375"/>
    </row>
    <row r="853">
      <c r="A853" s="375"/>
    </row>
    <row r="854">
      <c r="A854" s="375"/>
    </row>
    <row r="855">
      <c r="A855" s="375"/>
    </row>
    <row r="856">
      <c r="A856" s="375"/>
    </row>
    <row r="857">
      <c r="A857" s="375"/>
    </row>
    <row r="858">
      <c r="A858" s="375"/>
    </row>
    <row r="859">
      <c r="A859" s="375"/>
    </row>
    <row r="860">
      <c r="A860" s="375"/>
    </row>
    <row r="861">
      <c r="A861" s="375"/>
    </row>
    <row r="862">
      <c r="A862" s="375"/>
    </row>
    <row r="863">
      <c r="A863" s="375"/>
    </row>
    <row r="864">
      <c r="A864" s="375"/>
    </row>
    <row r="865">
      <c r="A865" s="375"/>
    </row>
    <row r="866">
      <c r="A866" s="375"/>
    </row>
    <row r="867">
      <c r="A867" s="375"/>
    </row>
    <row r="868">
      <c r="A868" s="375"/>
    </row>
    <row r="869">
      <c r="A869" s="375"/>
    </row>
    <row r="870">
      <c r="A870" s="375"/>
    </row>
    <row r="871">
      <c r="A871" s="375"/>
    </row>
    <row r="872">
      <c r="A872" s="375"/>
    </row>
    <row r="873">
      <c r="A873" s="375"/>
    </row>
    <row r="874">
      <c r="A874" s="375"/>
    </row>
    <row r="875">
      <c r="A875" s="375"/>
    </row>
    <row r="876">
      <c r="A876" s="375"/>
    </row>
    <row r="877">
      <c r="A877" s="375"/>
    </row>
    <row r="878">
      <c r="A878" s="375"/>
    </row>
    <row r="879">
      <c r="A879" s="375"/>
    </row>
    <row r="880">
      <c r="A880" s="375"/>
    </row>
    <row r="881">
      <c r="A881" s="375"/>
    </row>
    <row r="882">
      <c r="A882" s="375"/>
    </row>
    <row r="883">
      <c r="A883" s="375"/>
    </row>
    <row r="884">
      <c r="A884" s="375"/>
    </row>
    <row r="885">
      <c r="A885" s="375"/>
    </row>
    <row r="886">
      <c r="A886" s="375"/>
    </row>
    <row r="887">
      <c r="A887" s="375"/>
    </row>
    <row r="888">
      <c r="A888" s="375"/>
    </row>
    <row r="889">
      <c r="A889" s="375"/>
    </row>
    <row r="890">
      <c r="A890" s="375"/>
    </row>
    <row r="891">
      <c r="A891" s="375"/>
    </row>
    <row r="892">
      <c r="A892" s="375"/>
    </row>
    <row r="893">
      <c r="A893" s="375"/>
    </row>
    <row r="894">
      <c r="A894" s="375"/>
    </row>
    <row r="895">
      <c r="A895" s="375"/>
    </row>
    <row r="896">
      <c r="A896" s="375"/>
    </row>
    <row r="897">
      <c r="A897" s="375"/>
    </row>
    <row r="898">
      <c r="A898" s="375"/>
    </row>
    <row r="899">
      <c r="A899" s="375"/>
    </row>
    <row r="900">
      <c r="A900" s="375"/>
    </row>
    <row r="901">
      <c r="A901" s="375"/>
    </row>
    <row r="902">
      <c r="A902" s="375"/>
    </row>
    <row r="903">
      <c r="A903" s="375"/>
    </row>
    <row r="904">
      <c r="A904" s="375"/>
    </row>
    <row r="905">
      <c r="A905" s="375"/>
    </row>
    <row r="906">
      <c r="A906" s="375"/>
    </row>
    <row r="907">
      <c r="A907" s="375"/>
    </row>
    <row r="908">
      <c r="A908" s="375"/>
    </row>
    <row r="909">
      <c r="A909" s="375"/>
    </row>
    <row r="910">
      <c r="A910" s="375"/>
    </row>
    <row r="911">
      <c r="A911" s="375"/>
    </row>
    <row r="912">
      <c r="A912" s="375"/>
    </row>
    <row r="913">
      <c r="A913" s="375"/>
    </row>
    <row r="914">
      <c r="A914" s="375"/>
    </row>
    <row r="915">
      <c r="A915" s="375"/>
    </row>
    <row r="916">
      <c r="A916" s="375"/>
    </row>
    <row r="917">
      <c r="A917" s="375"/>
    </row>
    <row r="918">
      <c r="A918" s="375"/>
    </row>
    <row r="919">
      <c r="A919" s="375"/>
    </row>
    <row r="920">
      <c r="A920" s="375"/>
    </row>
    <row r="921">
      <c r="A921" s="375"/>
    </row>
    <row r="922">
      <c r="A922" s="375"/>
    </row>
    <row r="923">
      <c r="A923" s="375"/>
    </row>
    <row r="924">
      <c r="A924" s="375"/>
    </row>
    <row r="925">
      <c r="A925" s="375"/>
    </row>
    <row r="926">
      <c r="A926" s="375"/>
    </row>
    <row r="927">
      <c r="A927" s="375"/>
    </row>
    <row r="928">
      <c r="A928" s="375"/>
    </row>
    <row r="929">
      <c r="A929" s="375"/>
    </row>
    <row r="930">
      <c r="A930" s="375"/>
    </row>
    <row r="931">
      <c r="A931" s="375"/>
    </row>
    <row r="932">
      <c r="A932" s="375"/>
    </row>
    <row r="933">
      <c r="A933" s="375"/>
    </row>
    <row r="934">
      <c r="A934" s="375"/>
    </row>
    <row r="935">
      <c r="A935" s="375"/>
    </row>
    <row r="936">
      <c r="A936" s="375"/>
    </row>
    <row r="937">
      <c r="A937" s="375"/>
    </row>
    <row r="938">
      <c r="A938" s="375"/>
    </row>
    <row r="939">
      <c r="A939" s="375"/>
    </row>
    <row r="940">
      <c r="A940" s="375"/>
    </row>
  </sheetData>
  <mergeCells count="5">
    <mergeCell ref="B1:B3"/>
    <mergeCell ref="I1:R3"/>
    <mergeCell ref="S1:Y3"/>
    <mergeCell ref="Z1:AD3"/>
    <mergeCell ref="AE1:AI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9.38"/>
    <col customWidth="1" min="4" max="4" width="17.75"/>
    <col customWidth="1" min="5" max="5" width="23.0"/>
    <col customWidth="1" min="6" max="6" width="18.5"/>
    <col customWidth="1" min="8" max="8" width="25.88"/>
    <col customWidth="1" min="10" max="10" width="21.0"/>
  </cols>
  <sheetData>
    <row r="1">
      <c r="A1" s="421"/>
      <c r="B1" s="422"/>
      <c r="C1" s="422"/>
      <c r="D1" s="422"/>
      <c r="E1" s="421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</row>
    <row r="2">
      <c r="A2" s="423" t="s">
        <v>286</v>
      </c>
      <c r="B2" s="424">
        <f>'Все игры'!P19</f>
        <v>300</v>
      </c>
      <c r="C2" s="422"/>
      <c r="D2" s="422"/>
      <c r="E2" s="423" t="s">
        <v>287</v>
      </c>
      <c r="F2" s="424"/>
      <c r="G2" s="422"/>
      <c r="H2" s="421"/>
      <c r="I2" s="421"/>
      <c r="J2" s="425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</row>
    <row r="3">
      <c r="A3" s="426" t="str">
        <f>'Все игры'!N17</f>
        <v>Победы красные</v>
      </c>
      <c r="B3" s="426">
        <f>'Все игры'!P17</f>
        <v>137</v>
      </c>
      <c r="E3" s="427" t="str">
        <f t="array" ref="E3:F12">'Все игры'!W3:X12</f>
        <v>BWDMoscow</v>
      </c>
      <c r="F3" s="428">
        <v>31.5</v>
      </c>
      <c r="H3" s="421"/>
      <c r="I3" s="421"/>
      <c r="J3" s="429"/>
    </row>
    <row r="4">
      <c r="A4" s="430" t="str">
        <f>'Все игры'!N18</f>
        <v>Победы черные</v>
      </c>
      <c r="B4" s="430">
        <f>'Все игры'!P18</f>
        <v>163</v>
      </c>
      <c r="E4" s="431" t="s">
        <v>107</v>
      </c>
      <c r="F4" s="432">
        <v>30.75</v>
      </c>
      <c r="H4" s="433"/>
      <c r="I4" s="433"/>
      <c r="J4" s="434"/>
    </row>
    <row r="5">
      <c r="E5" s="431" t="s">
        <v>93</v>
      </c>
      <c r="F5" s="432">
        <v>30.5</v>
      </c>
    </row>
    <row r="6">
      <c r="E6" s="431" t="s">
        <v>82</v>
      </c>
      <c r="F6" s="432">
        <v>29.25</v>
      </c>
    </row>
    <row r="7">
      <c r="E7" s="431" t="s">
        <v>116</v>
      </c>
      <c r="F7" s="432">
        <v>29.0</v>
      </c>
    </row>
    <row r="8">
      <c r="E8" s="431" t="s">
        <v>107</v>
      </c>
      <c r="F8" s="432">
        <v>29.0</v>
      </c>
    </row>
    <row r="9">
      <c r="E9" s="431" t="s">
        <v>114</v>
      </c>
      <c r="F9" s="432">
        <v>29.0</v>
      </c>
    </row>
    <row r="10">
      <c r="E10" s="431" t="s">
        <v>109</v>
      </c>
      <c r="F10" s="432">
        <v>29.0</v>
      </c>
    </row>
    <row r="11">
      <c r="E11" s="431" t="s">
        <v>124</v>
      </c>
      <c r="F11" s="432">
        <v>28.75</v>
      </c>
    </row>
    <row r="12">
      <c r="E12" s="435" t="s">
        <v>87</v>
      </c>
      <c r="F12" s="436">
        <v>28.5</v>
      </c>
    </row>
    <row r="16">
      <c r="E16" s="423" t="s">
        <v>5</v>
      </c>
    </row>
    <row r="17">
      <c r="E17" s="437">
        <f>'Все игры'!I7</f>
        <v>19.86460102</v>
      </c>
    </row>
    <row r="20">
      <c r="C20" s="438"/>
    </row>
    <row r="21">
      <c r="C21" s="438"/>
    </row>
    <row r="25">
      <c r="C25" s="439"/>
    </row>
    <row r="26">
      <c r="C26" s="439"/>
    </row>
    <row r="27">
      <c r="C27" s="439"/>
    </row>
    <row r="28">
      <c r="C28" s="439"/>
    </row>
    <row r="29">
      <c r="C29" s="4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0" t="s">
        <v>2</v>
      </c>
      <c r="B1" s="339" t="s">
        <v>232</v>
      </c>
      <c r="C1" s="440" t="s">
        <v>2</v>
      </c>
      <c r="D1" s="339" t="s">
        <v>233</v>
      </c>
      <c r="E1" s="440" t="s">
        <v>2</v>
      </c>
      <c r="F1" s="339" t="s">
        <v>234</v>
      </c>
      <c r="G1" s="440" t="s">
        <v>2</v>
      </c>
      <c r="H1" s="336" t="s">
        <v>235</v>
      </c>
      <c r="I1" s="440" t="s">
        <v>2</v>
      </c>
      <c r="J1" s="337" t="s">
        <v>236</v>
      </c>
      <c r="K1" s="440" t="s">
        <v>2</v>
      </c>
      <c r="L1" s="335" t="s">
        <v>237</v>
      </c>
      <c r="M1" s="440" t="s">
        <v>2</v>
      </c>
      <c r="N1" s="338" t="s">
        <v>238</v>
      </c>
      <c r="O1" s="339"/>
      <c r="P1" s="441"/>
      <c r="Q1" s="442"/>
      <c r="R1" s="441"/>
      <c r="S1" s="345"/>
      <c r="T1" s="339"/>
      <c r="U1" s="441"/>
      <c r="V1" s="339"/>
      <c r="W1" s="441"/>
      <c r="X1" s="345"/>
      <c r="Y1" s="345"/>
      <c r="Z1" s="345"/>
      <c r="AA1" s="345"/>
      <c r="AB1" s="345"/>
      <c r="AC1" s="345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</row>
    <row r="2">
      <c r="A2" s="443" t="str">
        <f>IFERROR(__xludf.DUMMYFUNCTION("QUERY('Игроки статистика'!A5:AA65,""select A, U order by U desc"")"),"Артик")</f>
        <v>Артик</v>
      </c>
      <c r="B2" s="438">
        <f>IFERROR(__xludf.DUMMYFUNCTION("""COMPUTED_VALUE"""),0.64)</f>
        <v>0.64</v>
      </c>
      <c r="C2" s="388" t="str">
        <f>IFERROR(__xludf.DUMMYFUNCTION("QUERY('Игроки статистика'!A5:AA65,""select A, V order by V desc"")"),"Физик")</f>
        <v>Физик</v>
      </c>
      <c r="D2" s="438">
        <f>IFERROR(__xludf.DUMMYFUNCTION("""COMPUTED_VALUE"""),0.6176470588235294)</f>
        <v>0.6176470588</v>
      </c>
      <c r="E2" s="388" t="str">
        <f>IFERROR(__xludf.DUMMYFUNCTION("QUERY('Игроки статистика'!A5:AA65,""select A, W order by W desc"")"),"Шпиц")</f>
        <v>Шпиц</v>
      </c>
      <c r="F2" s="438">
        <f>IFERROR(__xludf.DUMMYFUNCTION("""COMPUTED_VALUE"""),0.8333333333333334)</f>
        <v>0.8333333333</v>
      </c>
      <c r="G2" s="388" t="str">
        <f>IFERROR(__xludf.DUMMYFUNCTION("QUERY('Игроки статистика'!A5:AA65,""select A, X order by X desc"")"),"Артик")</f>
        <v>Артик</v>
      </c>
      <c r="H2" s="438">
        <f>IFERROR(__xludf.DUMMYFUNCTION("""COMPUTED_VALUE"""),0.8888888888888888)</f>
        <v>0.8888888889</v>
      </c>
      <c r="I2" s="388" t="str">
        <f>IFERROR(__xludf.DUMMYFUNCTION("QUERY('Игроки статистика'!A5:AA65,""select A, Y order by Y desc"")"),"Тихий закат")</f>
        <v>Тихий закат</v>
      </c>
      <c r="J2" s="438">
        <f>IFERROR(__xludf.DUMMYFUNCTION("""COMPUTED_VALUE"""),1.0)</f>
        <v>1</v>
      </c>
      <c r="K2" s="388" t="str">
        <f>IFERROR(__xludf.DUMMYFUNCTION("QUERY('Игроки статистика'!A5:AA65,""select A, Z order by Z desc"")"),"Градиент")</f>
        <v>Градиент</v>
      </c>
      <c r="L2" s="438">
        <f>IFERROR(__xludf.DUMMYFUNCTION("""COMPUTED_VALUE"""),1.0)</f>
        <v>1</v>
      </c>
      <c r="M2" s="388" t="str">
        <f>IFERROR(__xludf.DUMMYFUNCTION("QUERY('Игроки статистика'!A5:AA65,""select A, AA order by AA desc"")"),"Физик")</f>
        <v>Физик</v>
      </c>
      <c r="N2" s="438">
        <f>IFERROR(__xludf.DUMMYFUNCTION("""COMPUTED_VALUE"""),0.6923076923076923)</f>
        <v>0.6923076923</v>
      </c>
    </row>
    <row r="3">
      <c r="A3" s="443" t="str">
        <f>IFERROR(__xludf.DUMMYFUNCTION("""COMPUTED_VALUE"""),"Физик")</f>
        <v>Физик</v>
      </c>
      <c r="B3" s="438">
        <f>IFERROR(__xludf.DUMMYFUNCTION("""COMPUTED_VALUE"""),0.58)</f>
        <v>0.58</v>
      </c>
      <c r="C3" s="384" t="str">
        <f>IFERROR(__xludf.DUMMYFUNCTION("""COMPUTED_VALUE"""),"Артик")</f>
        <v>Артик</v>
      </c>
      <c r="D3" s="438">
        <f>IFERROR(__xludf.DUMMYFUNCTION("""COMPUTED_VALUE"""),0.6111111111111112)</f>
        <v>0.6111111111</v>
      </c>
      <c r="E3" s="384" t="str">
        <f>IFERROR(__xludf.DUMMYFUNCTION("""COMPUTED_VALUE"""),"Марго")</f>
        <v>Марго</v>
      </c>
      <c r="F3" s="438">
        <f>IFERROR(__xludf.DUMMYFUNCTION("""COMPUTED_VALUE"""),0.8181818181818182)</f>
        <v>0.8181818182</v>
      </c>
      <c r="G3" s="384" t="str">
        <f>IFERROR(__xludf.DUMMYFUNCTION("""COMPUTED_VALUE"""),"Старый")</f>
        <v>Старый</v>
      </c>
      <c r="H3" s="438">
        <f>IFERROR(__xludf.DUMMYFUNCTION("""COMPUTED_VALUE"""),0.8888888888888888)</f>
        <v>0.8888888889</v>
      </c>
      <c r="I3" s="384" t="str">
        <f>IFERROR(__xludf.DUMMYFUNCTION("""COMPUTED_VALUE"""),"Bublik")</f>
        <v>Bublik</v>
      </c>
      <c r="J3" s="438">
        <f>IFERROR(__xludf.DUMMYFUNCTION("""COMPUTED_VALUE"""),1.0)</f>
        <v>1</v>
      </c>
      <c r="K3" s="384" t="str">
        <f>IFERROR(__xludf.DUMMYFUNCTION("""COMPUTED_VALUE"""),"Инсомнич")</f>
        <v>Инсомнич</v>
      </c>
      <c r="L3" s="438">
        <f>IFERROR(__xludf.DUMMYFUNCTION("""COMPUTED_VALUE"""),1.0)</f>
        <v>1</v>
      </c>
      <c r="M3" s="384" t="str">
        <f>IFERROR(__xludf.DUMMYFUNCTION("""COMPUTED_VALUE"""),"Фокс")</f>
        <v>Фокс</v>
      </c>
      <c r="N3" s="438">
        <f>IFERROR(__xludf.DUMMYFUNCTION("""COMPUTED_VALUE"""),0.5757575757575758)</f>
        <v>0.5757575758</v>
      </c>
    </row>
    <row r="4">
      <c r="A4" s="443" t="str">
        <f>IFERROR(__xludf.DUMMYFUNCTION("""COMPUTED_VALUE"""),"Cristo")</f>
        <v>Cristo</v>
      </c>
      <c r="B4" s="438">
        <f>IFERROR(__xludf.DUMMYFUNCTION("""COMPUTED_VALUE"""),0.58)</f>
        <v>0.58</v>
      </c>
      <c r="C4" s="384" t="str">
        <f>IFERROR(__xludf.DUMMYFUNCTION("""COMPUTED_VALUE"""),"Панда из Руанды")</f>
        <v>Панда из Руанды</v>
      </c>
      <c r="D4" s="438">
        <f>IFERROR(__xludf.DUMMYFUNCTION("""COMPUTED_VALUE"""),0.575)</f>
        <v>0.575</v>
      </c>
      <c r="E4" s="384" t="str">
        <f>IFERROR(__xludf.DUMMYFUNCTION("""COMPUTED_VALUE"""),"Stacy")</f>
        <v>Stacy</v>
      </c>
      <c r="F4" s="438">
        <f>IFERROR(__xludf.DUMMYFUNCTION("""COMPUTED_VALUE"""),0.8181818181818182)</f>
        <v>0.8181818182</v>
      </c>
      <c r="G4" s="384" t="str">
        <f>IFERROR(__xludf.DUMMYFUNCTION("""COMPUTED_VALUE"""),"MSR")</f>
        <v>MSR</v>
      </c>
      <c r="H4" s="438">
        <f>IFERROR(__xludf.DUMMYFUNCTION("""COMPUTED_VALUE"""),0.8333333333333334)</f>
        <v>0.8333333333</v>
      </c>
      <c r="I4" s="384" t="str">
        <f>IFERROR(__xludf.DUMMYFUNCTION("""COMPUTED_VALUE"""),"Шоу Бой")</f>
        <v>Шоу Бой</v>
      </c>
      <c r="J4" s="438">
        <f>IFERROR(__xludf.DUMMYFUNCTION("""COMPUTED_VALUE"""),0.875)</f>
        <v>0.875</v>
      </c>
      <c r="K4" s="384" t="str">
        <f>IFERROR(__xludf.DUMMYFUNCTION("""COMPUTED_VALUE"""),"Марго")</f>
        <v>Марго</v>
      </c>
      <c r="L4" s="438">
        <f>IFERROR(__xludf.DUMMYFUNCTION("""COMPUTED_VALUE"""),1.0)</f>
        <v>1</v>
      </c>
      <c r="M4" s="384" t="str">
        <f>IFERROR(__xludf.DUMMYFUNCTION("""COMPUTED_VALUE"""),"Панда из Руанды")</f>
        <v>Панда из Руанды</v>
      </c>
      <c r="N4" s="438">
        <f>IFERROR(__xludf.DUMMYFUNCTION("""COMPUTED_VALUE"""),0.5714285714285714)</f>
        <v>0.5714285714</v>
      </c>
    </row>
    <row r="5">
      <c r="A5" s="443" t="str">
        <f>IFERROR(__xludf.DUMMYFUNCTION("""COMPUTED_VALUE"""),"Зверюга")</f>
        <v>Зверюга</v>
      </c>
      <c r="B5" s="438">
        <f>IFERROR(__xludf.DUMMYFUNCTION("""COMPUTED_VALUE"""),0.56)</f>
        <v>0.56</v>
      </c>
      <c r="C5" s="384" t="str">
        <f>IFERROR(__xludf.DUMMYFUNCTION("""COMPUTED_VALUE"""),"Инсомнич")</f>
        <v>Инсомнич</v>
      </c>
      <c r="D5" s="438">
        <f>IFERROR(__xludf.DUMMYFUNCTION("""COMPUTED_VALUE"""),0.5555555555555556)</f>
        <v>0.5555555556</v>
      </c>
      <c r="E5" s="384" t="str">
        <f>IFERROR(__xludf.DUMMYFUNCTION("""COMPUTED_VALUE"""),"Старый")</f>
        <v>Старый</v>
      </c>
      <c r="F5" s="438">
        <f>IFERROR(__xludf.DUMMYFUNCTION("""COMPUTED_VALUE"""),0.8)</f>
        <v>0.8</v>
      </c>
      <c r="G5" s="384" t="str">
        <f>IFERROR(__xludf.DUMMYFUNCTION("""COMPUTED_VALUE"""),"Шпиц")</f>
        <v>Шпиц</v>
      </c>
      <c r="H5" s="438">
        <f>IFERROR(__xludf.DUMMYFUNCTION("""COMPUTED_VALUE"""),0.8)</f>
        <v>0.8</v>
      </c>
      <c r="I5" s="384" t="str">
        <f>IFERROR(__xludf.DUMMYFUNCTION("""COMPUTED_VALUE"""),"Артик")</f>
        <v>Артик</v>
      </c>
      <c r="J5" s="438">
        <f>IFERROR(__xludf.DUMMYFUNCTION("""COMPUTED_VALUE"""),0.8333333333333334)</f>
        <v>0.8333333333</v>
      </c>
      <c r="K5" s="384" t="str">
        <f>IFERROR(__xludf.DUMMYFUNCTION("""COMPUTED_VALUE"""),"Фокс")</f>
        <v>Фокс</v>
      </c>
      <c r="L5" s="438">
        <f>IFERROR(__xludf.DUMMYFUNCTION("""COMPUTED_VALUE"""),1.0)</f>
        <v>1</v>
      </c>
      <c r="M5" s="384" t="str">
        <f>IFERROR(__xludf.DUMMYFUNCTION("""COMPUTED_VALUE"""),"Артик")</f>
        <v>Артик</v>
      </c>
      <c r="N5" s="438">
        <f>IFERROR(__xludf.DUMMYFUNCTION("""COMPUTED_VALUE"""),0.5666666666666667)</f>
        <v>0.5666666667</v>
      </c>
    </row>
    <row r="6">
      <c r="A6" s="443" t="str">
        <f>IFERROR(__xludf.DUMMYFUNCTION("""COMPUTED_VALUE"""),"Инсомнич")</f>
        <v>Инсомнич</v>
      </c>
      <c r="B6" s="438">
        <f>IFERROR(__xludf.DUMMYFUNCTION("""COMPUTED_VALUE"""),0.56)</f>
        <v>0.56</v>
      </c>
      <c r="C6" s="384" t="str">
        <f>IFERROR(__xludf.DUMMYFUNCTION("""COMPUTED_VALUE"""),"Coach")</f>
        <v>Coach</v>
      </c>
      <c r="D6" s="438">
        <f>IFERROR(__xludf.DUMMYFUNCTION("""COMPUTED_VALUE"""),0.5405405405405406)</f>
        <v>0.5405405405</v>
      </c>
      <c r="E6" s="384" t="str">
        <f>IFERROR(__xludf.DUMMYFUNCTION("""COMPUTED_VALUE"""),"MSR")</f>
        <v>MSR</v>
      </c>
      <c r="F6" s="438">
        <f>IFERROR(__xludf.DUMMYFUNCTION("""COMPUTED_VALUE"""),0.8)</f>
        <v>0.8</v>
      </c>
      <c r="G6" s="384" t="str">
        <f>IFERROR(__xludf.DUMMYFUNCTION("""COMPUTED_VALUE"""),"Марго")</f>
        <v>Марго</v>
      </c>
      <c r="H6" s="438">
        <f>IFERROR(__xludf.DUMMYFUNCTION("""COMPUTED_VALUE"""),0.75)</f>
        <v>0.75</v>
      </c>
      <c r="I6" s="384" t="str">
        <f>IFERROR(__xludf.DUMMYFUNCTION("""COMPUTED_VALUE"""),"Писатель ")</f>
        <v>Писатель </v>
      </c>
      <c r="J6" s="438">
        <f>IFERROR(__xludf.DUMMYFUNCTION("""COMPUTED_VALUE"""),0.8333333333333334)</f>
        <v>0.8333333333</v>
      </c>
      <c r="K6" s="384" t="str">
        <f>IFERROR(__xludf.DUMMYFUNCTION("""COMPUTED_VALUE"""),"Шоу Бой")</f>
        <v>Шоу Бой</v>
      </c>
      <c r="L6" s="438">
        <f>IFERROR(__xludf.DUMMYFUNCTION("""COMPUTED_VALUE"""),1.0)</f>
        <v>1</v>
      </c>
      <c r="M6" s="384" t="str">
        <f>IFERROR(__xludf.DUMMYFUNCTION("""COMPUTED_VALUE"""),"Coach")</f>
        <v>Coach</v>
      </c>
      <c r="N6" s="438">
        <f>IFERROR(__xludf.DUMMYFUNCTION("""COMPUTED_VALUE"""),0.5666666666666667)</f>
        <v>0.5666666667</v>
      </c>
    </row>
    <row r="7">
      <c r="A7" s="443" t="str">
        <f>IFERROR(__xludf.DUMMYFUNCTION("""COMPUTED_VALUE"""),"Крестный отец (BLR)")</f>
        <v>Крестный отец (BLR)</v>
      </c>
      <c r="B7" s="438">
        <f>IFERROR(__xludf.DUMMYFUNCTION("""COMPUTED_VALUE"""),0.56)</f>
        <v>0.56</v>
      </c>
      <c r="C7" s="384" t="str">
        <f>IFERROR(__xludf.DUMMYFUNCTION("""COMPUTED_VALUE"""),"Крот")</f>
        <v>Крот</v>
      </c>
      <c r="D7" s="438">
        <f>IFERROR(__xludf.DUMMYFUNCTION("""COMPUTED_VALUE"""),0.5333333333333333)</f>
        <v>0.5333333333</v>
      </c>
      <c r="E7" s="384" t="str">
        <f>IFERROR(__xludf.DUMMYFUNCTION("""COMPUTED_VALUE"""),"Админ")</f>
        <v>Админ</v>
      </c>
      <c r="F7" s="438">
        <f>IFERROR(__xludf.DUMMYFUNCTION("""COMPUTED_VALUE"""),0.75)</f>
        <v>0.75</v>
      </c>
      <c r="G7" s="384" t="str">
        <f>IFERROR(__xludf.DUMMYFUNCTION("""COMPUTED_VALUE"""),"Админ")</f>
        <v>Админ</v>
      </c>
      <c r="H7" s="438">
        <f>IFERROR(__xludf.DUMMYFUNCTION("""COMPUTED_VALUE"""),0.7272727272727273)</f>
        <v>0.7272727273</v>
      </c>
      <c r="I7" s="384" t="str">
        <f>IFERROR(__xludf.DUMMYFUNCTION("""COMPUTED_VALUE"""),"Cristo")</f>
        <v>Cristo</v>
      </c>
      <c r="J7" s="438">
        <f>IFERROR(__xludf.DUMMYFUNCTION("""COMPUTED_VALUE"""),0.8333333333333334)</f>
        <v>0.8333333333</v>
      </c>
      <c r="K7" s="384" t="str">
        <f>IFERROR(__xludf.DUMMYFUNCTION("""COMPUTED_VALUE"""),"Curly")</f>
        <v>Curly</v>
      </c>
      <c r="L7" s="438">
        <f>IFERROR(__xludf.DUMMYFUNCTION("""COMPUTED_VALUE"""),1.0)</f>
        <v>1</v>
      </c>
      <c r="M7" s="384" t="str">
        <f>IFERROR(__xludf.DUMMYFUNCTION("""COMPUTED_VALUE"""),"Инсомнич")</f>
        <v>Инсомнич</v>
      </c>
      <c r="N7" s="438">
        <f>IFERROR(__xludf.DUMMYFUNCTION("""COMPUTED_VALUE"""),0.5555555555555556)</f>
        <v>0.5555555556</v>
      </c>
    </row>
    <row r="8">
      <c r="A8" s="443" t="str">
        <f>IFERROR(__xludf.DUMMYFUNCTION("""COMPUTED_VALUE"""),"Coach")</f>
        <v>Coach</v>
      </c>
      <c r="B8" s="438">
        <f>IFERROR(__xludf.DUMMYFUNCTION("""COMPUTED_VALUE"""),0.56)</f>
        <v>0.56</v>
      </c>
      <c r="C8" s="384" t="str">
        <f>IFERROR(__xludf.DUMMYFUNCTION("""COMPUTED_VALUE"""),"Крёстный Отец (RU)")</f>
        <v>Крёстный Отец (RU)</v>
      </c>
      <c r="D8" s="438">
        <f>IFERROR(__xludf.DUMMYFUNCTION("""COMPUTED_VALUE"""),0.53125)</f>
        <v>0.53125</v>
      </c>
      <c r="E8" s="384" t="str">
        <f>IFERROR(__xludf.DUMMYFUNCTION("""COMPUTED_VALUE"""),"Cristo")</f>
        <v>Cristo</v>
      </c>
      <c r="F8" s="438">
        <f>IFERROR(__xludf.DUMMYFUNCTION("""COMPUTED_VALUE"""),0.75)</f>
        <v>0.75</v>
      </c>
      <c r="G8" s="384" t="str">
        <f>IFERROR(__xludf.DUMMYFUNCTION("""COMPUTED_VALUE"""),"Alice ")</f>
        <v>Alice </v>
      </c>
      <c r="H8" s="438">
        <f>IFERROR(__xludf.DUMMYFUNCTION("""COMPUTED_VALUE"""),0.7272727272727273)</f>
        <v>0.7272727273</v>
      </c>
      <c r="I8" s="384" t="str">
        <f>IFERROR(__xludf.DUMMYFUNCTION("""COMPUTED_VALUE"""),"Продюсер")</f>
        <v>Продюсер</v>
      </c>
      <c r="J8" s="438">
        <f>IFERROR(__xludf.DUMMYFUNCTION("""COMPUTED_VALUE"""),0.75)</f>
        <v>0.75</v>
      </c>
      <c r="K8" s="384" t="str">
        <f>IFERROR(__xludf.DUMMYFUNCTION("""COMPUTED_VALUE"""),"Stacy")</f>
        <v>Stacy</v>
      </c>
      <c r="L8" s="438">
        <f>IFERROR(__xludf.DUMMYFUNCTION("""COMPUTED_VALUE"""),1.0)</f>
        <v>1</v>
      </c>
      <c r="M8" s="384" t="str">
        <f>IFERROR(__xludf.DUMMYFUNCTION("""COMPUTED_VALUE"""),"Крот")</f>
        <v>Крот</v>
      </c>
      <c r="N8" s="438">
        <f>IFERROR(__xludf.DUMMYFUNCTION("""COMPUTED_VALUE"""),0.5454545454545454)</f>
        <v>0.5454545455</v>
      </c>
    </row>
    <row r="9">
      <c r="A9" s="443" t="str">
        <f>IFERROR(__xludf.DUMMYFUNCTION("""COMPUTED_VALUE"""),"Фокс")</f>
        <v>Фокс</v>
      </c>
      <c r="B9" s="438">
        <f>IFERROR(__xludf.DUMMYFUNCTION("""COMPUTED_VALUE"""),0.56)</f>
        <v>0.56</v>
      </c>
      <c r="C9" s="384" t="str">
        <f>IFERROR(__xludf.DUMMYFUNCTION("""COMPUTED_VALUE"""),"Продюсер")</f>
        <v>Продюсер</v>
      </c>
      <c r="D9" s="438">
        <f>IFERROR(__xludf.DUMMYFUNCTION("""COMPUTED_VALUE"""),0.53125)</f>
        <v>0.53125</v>
      </c>
      <c r="E9" s="384" t="str">
        <f>IFERROR(__xludf.DUMMYFUNCTION("""COMPUTED_VALUE"""),"Градиент")</f>
        <v>Градиент</v>
      </c>
      <c r="F9" s="438">
        <f>IFERROR(__xludf.DUMMYFUNCTION("""COMPUTED_VALUE"""),0.7272727272727273)</f>
        <v>0.7272727273</v>
      </c>
      <c r="G9" s="384" t="str">
        <f>IFERROR(__xludf.DUMMYFUNCTION("""COMPUTED_VALUE"""),"Cristo")</f>
        <v>Cristo</v>
      </c>
      <c r="H9" s="438">
        <f>IFERROR(__xludf.DUMMYFUNCTION("""COMPUTED_VALUE"""),0.7272727272727273)</f>
        <v>0.7272727273</v>
      </c>
      <c r="I9" s="384" t="str">
        <f>IFERROR(__xludf.DUMMYFUNCTION("""COMPUTED_VALUE"""),"Юрия")</f>
        <v>Юрия</v>
      </c>
      <c r="J9" s="438">
        <f>IFERROR(__xludf.DUMMYFUNCTION("""COMPUTED_VALUE"""),0.75)</f>
        <v>0.75</v>
      </c>
      <c r="K9" s="384" t="str">
        <f>IFERROR(__xludf.DUMMYFUNCTION("""COMPUTED_VALUE"""),"Young")</f>
        <v>Young</v>
      </c>
      <c r="L9" s="438">
        <f>IFERROR(__xludf.DUMMYFUNCTION("""COMPUTED_VALUE"""),1.0)</f>
        <v>1</v>
      </c>
      <c r="M9" s="384" t="str">
        <f>IFERROR(__xludf.DUMMYFUNCTION("""COMPUTED_VALUE"""),"Зверюга")</f>
        <v>Зверюга</v>
      </c>
      <c r="N9" s="438">
        <f>IFERROR(__xludf.DUMMYFUNCTION("""COMPUTED_VALUE"""),0.5384615384615384)</f>
        <v>0.5384615385</v>
      </c>
    </row>
    <row r="10">
      <c r="A10" s="443" t="str">
        <f>IFERROR(__xludf.DUMMYFUNCTION("""COMPUTED_VALUE"""),"Админ")</f>
        <v>Админ</v>
      </c>
      <c r="B10" s="438">
        <f>IFERROR(__xludf.DUMMYFUNCTION("""COMPUTED_VALUE"""),0.54)</f>
        <v>0.54</v>
      </c>
      <c r="C10" s="384" t="str">
        <f>IFERROR(__xludf.DUMMYFUNCTION("""COMPUTED_VALUE"""),"Фокс")</f>
        <v>Фокс</v>
      </c>
      <c r="D10" s="438">
        <f>IFERROR(__xludf.DUMMYFUNCTION("""COMPUTED_VALUE"""),0.5263157894736842)</f>
        <v>0.5263157895</v>
      </c>
      <c r="E10" s="384" t="str">
        <f>IFERROR(__xludf.DUMMYFUNCTION("""COMPUTED_VALUE"""),"Артик")</f>
        <v>Артик</v>
      </c>
      <c r="F10" s="438">
        <f>IFERROR(__xludf.DUMMYFUNCTION("""COMPUTED_VALUE"""),0.7142857142857143)</f>
        <v>0.7142857143</v>
      </c>
      <c r="G10" s="384" t="str">
        <f>IFERROR(__xludf.DUMMYFUNCTION("""COMPUTED_VALUE"""),"Тихий закат")</f>
        <v>Тихий закат</v>
      </c>
      <c r="H10" s="438">
        <f>IFERROR(__xludf.DUMMYFUNCTION("""COMPUTED_VALUE"""),0.7142857142857143)</f>
        <v>0.7142857143</v>
      </c>
      <c r="I10" s="384" t="str">
        <f>IFERROR(__xludf.DUMMYFUNCTION("""COMPUTED_VALUE"""),"Rocket woman ")</f>
        <v>Rocket woman </v>
      </c>
      <c r="J10" s="438">
        <f>IFERROR(__xludf.DUMMYFUNCTION("""COMPUTED_VALUE"""),0.7142857142857143)</f>
        <v>0.7142857143</v>
      </c>
      <c r="K10" s="384" t="str">
        <f>IFERROR(__xludf.DUMMYFUNCTION("""COMPUTED_VALUE"""),"Шпиц")</f>
        <v>Шпиц</v>
      </c>
      <c r="L10" s="438">
        <f>IFERROR(__xludf.DUMMYFUNCTION("""COMPUTED_VALUE"""),0.875)</f>
        <v>0.875</v>
      </c>
      <c r="M10" s="384" t="str">
        <f>IFERROR(__xludf.DUMMYFUNCTION("""COMPUTED_VALUE"""),"Крёстный Отец (RU)")</f>
        <v>Крёстный Отец (RU)</v>
      </c>
      <c r="N10" s="438">
        <f>IFERROR(__xludf.DUMMYFUNCTION("""COMPUTED_VALUE"""),0.5357142857142857)</f>
        <v>0.5357142857</v>
      </c>
    </row>
    <row r="11">
      <c r="A11" s="443" t="str">
        <f>IFERROR(__xludf.DUMMYFUNCTION("""COMPUTED_VALUE"""),"Крёстный Отец (RU)")</f>
        <v>Крёстный Отец (RU)</v>
      </c>
      <c r="B11" s="438">
        <f>IFERROR(__xludf.DUMMYFUNCTION("""COMPUTED_VALUE"""),0.54)</f>
        <v>0.54</v>
      </c>
      <c r="C11" s="384" t="str">
        <f>IFERROR(__xludf.DUMMYFUNCTION("""COMPUTED_VALUE"""),"Писатель ")</f>
        <v>Писатель </v>
      </c>
      <c r="D11" s="438">
        <f>IFERROR(__xludf.DUMMYFUNCTION("""COMPUTED_VALUE"""),0.525)</f>
        <v>0.525</v>
      </c>
      <c r="E11" s="384" t="str">
        <f>IFERROR(__xludf.DUMMYFUNCTION("""COMPUTED_VALUE"""),"Крестный отец (BLR)")</f>
        <v>Крестный отец (BLR)</v>
      </c>
      <c r="F11" s="438">
        <f>IFERROR(__xludf.DUMMYFUNCTION("""COMPUTED_VALUE"""),0.6842105263157895)</f>
        <v>0.6842105263</v>
      </c>
      <c r="G11" s="384" t="str">
        <f>IFERROR(__xludf.DUMMYFUNCTION("""COMPUTED_VALUE"""),"Зверюга")</f>
        <v>Зверюга</v>
      </c>
      <c r="H11" s="438">
        <f>IFERROR(__xludf.DUMMYFUNCTION("""COMPUTED_VALUE"""),0.6923076923076923)</f>
        <v>0.6923076923</v>
      </c>
      <c r="I11" s="384" t="str">
        <f>IFERROR(__xludf.DUMMYFUNCTION("""COMPUTED_VALUE"""),"Маваши")</f>
        <v>Маваши</v>
      </c>
      <c r="J11" s="438">
        <f>IFERROR(__xludf.DUMMYFUNCTION("""COMPUTED_VALUE"""),0.6666666666666666)</f>
        <v>0.6666666667</v>
      </c>
      <c r="K11" s="384" t="str">
        <f>IFERROR(__xludf.DUMMYFUNCTION("""COMPUTED_VALUE"""),"Админ")</f>
        <v>Админ</v>
      </c>
      <c r="L11" s="438">
        <f>IFERROR(__xludf.DUMMYFUNCTION("""COMPUTED_VALUE"""),0.8)</f>
        <v>0.8</v>
      </c>
      <c r="M11" s="384" t="str">
        <f>IFERROR(__xludf.DUMMYFUNCTION("""COMPUTED_VALUE"""),"Young")</f>
        <v>Young</v>
      </c>
      <c r="N11" s="438">
        <f>IFERROR(__xludf.DUMMYFUNCTION("""COMPUTED_VALUE"""),0.52)</f>
        <v>0.52</v>
      </c>
    </row>
    <row r="12">
      <c r="A12" s="443" t="str">
        <f>IFERROR(__xludf.DUMMYFUNCTION("""COMPUTED_VALUE"""),"Панда из Руанды")</f>
        <v>Панда из Руанды</v>
      </c>
      <c r="B12" s="438">
        <f>IFERROR(__xludf.DUMMYFUNCTION("""COMPUTED_VALUE"""),0.54)</f>
        <v>0.54</v>
      </c>
      <c r="C12" s="384" t="str">
        <f>IFERROR(__xludf.DUMMYFUNCTION("""COMPUTED_VALUE"""),"Bublik")</f>
        <v>Bublik</v>
      </c>
      <c r="D12" s="438">
        <f>IFERROR(__xludf.DUMMYFUNCTION("""COMPUTED_VALUE"""),0.5161290322580645)</f>
        <v>0.5161290323</v>
      </c>
      <c r="E12" s="384" t="str">
        <f>IFERROR(__xludf.DUMMYFUNCTION("""COMPUTED_VALUE"""),"Зверюга")</f>
        <v>Зверюга</v>
      </c>
      <c r="F12" s="438">
        <f>IFERROR(__xludf.DUMMYFUNCTION("""COMPUTED_VALUE"""),0.6666666666666666)</f>
        <v>0.6666666667</v>
      </c>
      <c r="G12" s="384" t="str">
        <f>IFERROR(__xludf.DUMMYFUNCTION("""COMPUTED_VALUE"""),"Крестный отец (BLR)")</f>
        <v>Крестный отец (BLR)</v>
      </c>
      <c r="H12" s="438">
        <f>IFERROR(__xludf.DUMMYFUNCTION("""COMPUTED_VALUE"""),0.6666666666666666)</f>
        <v>0.6666666667</v>
      </c>
      <c r="I12" s="384" t="str">
        <f>IFERROR(__xludf.DUMMYFUNCTION("""COMPUTED_VALUE"""),"Morti")</f>
        <v>Morti</v>
      </c>
      <c r="J12" s="438">
        <f>IFERROR(__xludf.DUMMYFUNCTION("""COMPUTED_VALUE"""),0.6666666666666666)</f>
        <v>0.6666666667</v>
      </c>
      <c r="K12" s="384" t="str">
        <f>IFERROR(__xludf.DUMMYFUNCTION("""COMPUTED_VALUE"""),"Cristo")</f>
        <v>Cristo</v>
      </c>
      <c r="L12" s="438">
        <f>IFERROR(__xludf.DUMMYFUNCTION("""COMPUTED_VALUE"""),0.8)</f>
        <v>0.8</v>
      </c>
      <c r="M12" s="384" t="str">
        <f>IFERROR(__xludf.DUMMYFUNCTION("""COMPUTED_VALUE"""),"Андерсен")</f>
        <v>Андерсен</v>
      </c>
      <c r="N12" s="438">
        <f>IFERROR(__xludf.DUMMYFUNCTION("""COMPUTED_VALUE"""),0.5172413793103449)</f>
        <v>0.5172413793</v>
      </c>
    </row>
    <row r="13">
      <c r="A13" s="443" t="str">
        <f>IFERROR(__xludf.DUMMYFUNCTION("""COMPUTED_VALUE"""),"Шпиц")</f>
        <v>Шпиц</v>
      </c>
      <c r="B13" s="438">
        <f>IFERROR(__xludf.DUMMYFUNCTION("""COMPUTED_VALUE"""),0.54)</f>
        <v>0.54</v>
      </c>
      <c r="C13" s="384" t="str">
        <f>IFERROR(__xludf.DUMMYFUNCTION("""COMPUTED_VALUE"""),"Ketamin")</f>
        <v>Ketamin</v>
      </c>
      <c r="D13" s="438">
        <f>IFERROR(__xludf.DUMMYFUNCTION("""COMPUTED_VALUE"""),0.5161290322580645)</f>
        <v>0.5161290323</v>
      </c>
      <c r="E13" s="384" t="str">
        <f>IFERROR(__xludf.DUMMYFUNCTION("""COMPUTED_VALUE"""),"Лисичка")</f>
        <v>Лисичка</v>
      </c>
      <c r="F13" s="438">
        <f>IFERROR(__xludf.DUMMYFUNCTION("""COMPUTED_VALUE"""),0.6666666666666666)</f>
        <v>0.6666666667</v>
      </c>
      <c r="G13" s="384" t="str">
        <f>IFERROR(__xludf.DUMMYFUNCTION("""COMPUTED_VALUE"""),"Лисичка")</f>
        <v>Лисичка</v>
      </c>
      <c r="H13" s="438">
        <f>IFERROR(__xludf.DUMMYFUNCTION("""COMPUTED_VALUE"""),0.6666666666666666)</f>
        <v>0.6666666667</v>
      </c>
      <c r="I13" s="384" t="str">
        <f>IFERROR(__xludf.DUMMYFUNCTION("""COMPUTED_VALUE"""),"Манекен")</f>
        <v>Манекен</v>
      </c>
      <c r="J13" s="438">
        <f>IFERROR(__xludf.DUMMYFUNCTION("""COMPUTED_VALUE"""),0.625)</f>
        <v>0.625</v>
      </c>
      <c r="K13" s="384" t="str">
        <f>IFERROR(__xludf.DUMMYFUNCTION("""COMPUTED_VALUE"""),"SOVEST")</f>
        <v>SOVEST</v>
      </c>
      <c r="L13" s="438">
        <f>IFERROR(__xludf.DUMMYFUNCTION("""COMPUTED_VALUE"""),0.8)</f>
        <v>0.8</v>
      </c>
      <c r="M13" s="384" t="str">
        <f>IFERROR(__xludf.DUMMYFUNCTION("""COMPUTED_VALUE"""),"Крестный отец (BLR)")</f>
        <v>Крестный отец (BLR)</v>
      </c>
      <c r="N13" s="438">
        <f>IFERROR(__xludf.DUMMYFUNCTION("""COMPUTED_VALUE"""),0.5172413793103449)</f>
        <v>0.5172413793</v>
      </c>
    </row>
    <row r="14">
      <c r="A14" s="443" t="str">
        <f>IFERROR(__xludf.DUMMYFUNCTION("""COMPUTED_VALUE"""),"Астория")</f>
        <v>Астория</v>
      </c>
      <c r="B14" s="438">
        <f>IFERROR(__xludf.DUMMYFUNCTION("""COMPUTED_VALUE"""),0.52)</f>
        <v>0.52</v>
      </c>
      <c r="C14" s="384" t="str">
        <f>IFERROR(__xludf.DUMMYFUNCTION("""COMPUTED_VALUE"""),"Астория")</f>
        <v>Астория</v>
      </c>
      <c r="D14" s="438">
        <f>IFERROR(__xludf.DUMMYFUNCTION("""COMPUTED_VALUE"""),0.5)</f>
        <v>0.5</v>
      </c>
      <c r="E14" s="384" t="str">
        <f>IFERROR(__xludf.DUMMYFUNCTION("""COMPUTED_VALUE"""),"Фокс")</f>
        <v>Фокс</v>
      </c>
      <c r="F14" s="438">
        <f>IFERROR(__xludf.DUMMYFUNCTION("""COMPUTED_VALUE"""),0.6666666666666666)</f>
        <v>0.6666666667</v>
      </c>
      <c r="G14" s="384" t="str">
        <f>IFERROR(__xludf.DUMMYFUNCTION("""COMPUTED_VALUE"""),"Stacy")</f>
        <v>Stacy</v>
      </c>
      <c r="H14" s="438">
        <f>IFERROR(__xludf.DUMMYFUNCTION("""COMPUTED_VALUE"""),0.6666666666666666)</f>
        <v>0.6666666667</v>
      </c>
      <c r="I14" s="384" t="str">
        <f>IFERROR(__xludf.DUMMYFUNCTION("""COMPUTED_VALUE"""),"Панда из Руанды")</f>
        <v>Панда из Руанды</v>
      </c>
      <c r="J14" s="438">
        <f>IFERROR(__xludf.DUMMYFUNCTION("""COMPUTED_VALUE"""),0.6)</f>
        <v>0.6</v>
      </c>
      <c r="K14" s="384" t="str">
        <f>IFERROR(__xludf.DUMMYFUNCTION("""COMPUTED_VALUE"""),"Coach")</f>
        <v>Coach</v>
      </c>
      <c r="L14" s="438">
        <f>IFERROR(__xludf.DUMMYFUNCTION("""COMPUTED_VALUE"""),0.75)</f>
        <v>0.75</v>
      </c>
      <c r="M14" s="384" t="str">
        <f>IFERROR(__xludf.DUMMYFUNCTION("""COMPUTED_VALUE"""),"Ketamin")</f>
        <v>Ketamin</v>
      </c>
      <c r="N14" s="438">
        <f>IFERROR(__xludf.DUMMYFUNCTION("""COMPUTED_VALUE"""),0.5161290322580645)</f>
        <v>0.5161290323</v>
      </c>
    </row>
    <row r="15">
      <c r="A15" s="443" t="str">
        <f>IFERROR(__xludf.DUMMYFUNCTION("""COMPUTED_VALUE"""),"Градиент")</f>
        <v>Градиент</v>
      </c>
      <c r="B15" s="438">
        <f>IFERROR(__xludf.DUMMYFUNCTION("""COMPUTED_VALUE"""),0.52)</f>
        <v>0.52</v>
      </c>
      <c r="C15" s="384" t="str">
        <f>IFERROR(__xludf.DUMMYFUNCTION("""COMPUTED_VALUE"""),"Зверюга")</f>
        <v>Зверюга</v>
      </c>
      <c r="D15" s="438">
        <f>IFERROR(__xludf.DUMMYFUNCTION("""COMPUTED_VALUE"""),0.5)</f>
        <v>0.5</v>
      </c>
      <c r="E15" s="384" t="str">
        <f>IFERROR(__xludf.DUMMYFUNCTION("""COMPUTED_VALUE"""),"SOVEST")</f>
        <v>SOVEST</v>
      </c>
      <c r="F15" s="438">
        <f>IFERROR(__xludf.DUMMYFUNCTION("""COMPUTED_VALUE"""),0.6470588235294118)</f>
        <v>0.6470588235</v>
      </c>
      <c r="G15" s="384" t="str">
        <f>IFERROR(__xludf.DUMMYFUNCTION("""COMPUTED_VALUE"""),"Маваши")</f>
        <v>Маваши</v>
      </c>
      <c r="H15" s="438">
        <f>IFERROR(__xludf.DUMMYFUNCTION("""COMPUTED_VALUE"""),0.6363636363636364)</f>
        <v>0.6363636364</v>
      </c>
      <c r="I15" s="384" t="str">
        <f>IFERROR(__xludf.DUMMYFUNCTION("""COMPUTED_VALUE"""),"A1 ")</f>
        <v>A1 </v>
      </c>
      <c r="J15" s="438">
        <f>IFERROR(__xludf.DUMMYFUNCTION("""COMPUTED_VALUE"""),0.6)</f>
        <v>0.6</v>
      </c>
      <c r="K15" s="384" t="str">
        <f>IFERROR(__xludf.DUMMYFUNCTION("""COMPUTED_VALUE"""),"MSR")</f>
        <v>MSR</v>
      </c>
      <c r="L15" s="438">
        <f>IFERROR(__xludf.DUMMYFUNCTION("""COMPUTED_VALUE"""),0.75)</f>
        <v>0.75</v>
      </c>
      <c r="M15" s="384" t="str">
        <f>IFERROR(__xludf.DUMMYFUNCTION("""COMPUTED_VALUE"""),"Астория")</f>
        <v>Астория</v>
      </c>
      <c r="N15" s="438">
        <f>IFERROR(__xludf.DUMMYFUNCTION("""COMPUTED_VALUE"""),0.5151515151515151)</f>
        <v>0.5151515152</v>
      </c>
    </row>
    <row r="16">
      <c r="A16" s="443" t="str">
        <f>IFERROR(__xludf.DUMMYFUNCTION("""COMPUTED_VALUE"""),"Писатель ")</f>
        <v>Писатель </v>
      </c>
      <c r="B16" s="438">
        <f>IFERROR(__xludf.DUMMYFUNCTION("""COMPUTED_VALUE"""),0.52)</f>
        <v>0.52</v>
      </c>
      <c r="C16" s="384" t="str">
        <f>IFERROR(__xludf.DUMMYFUNCTION("""COMPUTED_VALUE"""),"РФ")</f>
        <v>РФ</v>
      </c>
      <c r="D16" s="438">
        <f>IFERROR(__xludf.DUMMYFUNCTION("""COMPUTED_VALUE"""),0.5)</f>
        <v>0.5</v>
      </c>
      <c r="E16" s="384" t="str">
        <f>IFERROR(__xludf.DUMMYFUNCTION("""COMPUTED_VALUE"""),"Curly")</f>
        <v>Curly</v>
      </c>
      <c r="F16" s="438">
        <f>IFERROR(__xludf.DUMMYFUNCTION("""COMPUTED_VALUE"""),0.6363636363636364)</f>
        <v>0.6363636364</v>
      </c>
      <c r="G16" s="384" t="str">
        <f>IFERROR(__xludf.DUMMYFUNCTION("""COMPUTED_VALUE"""),"Астория")</f>
        <v>Астория</v>
      </c>
      <c r="H16" s="438">
        <f>IFERROR(__xludf.DUMMYFUNCTION("""COMPUTED_VALUE"""),0.625)</f>
        <v>0.625</v>
      </c>
      <c r="I16" s="384" t="str">
        <f>IFERROR(__xludf.DUMMYFUNCTION("""COMPUTED_VALUE"""),"NLIP")</f>
        <v>NLIP</v>
      </c>
      <c r="J16" s="438">
        <f>IFERROR(__xludf.DUMMYFUNCTION("""COMPUTED_VALUE"""),0.6)</f>
        <v>0.6</v>
      </c>
      <c r="K16" s="384" t="str">
        <f>IFERROR(__xludf.DUMMYFUNCTION("""COMPUTED_VALUE"""),"Волга")</f>
        <v>Волга</v>
      </c>
      <c r="L16" s="438">
        <f>IFERROR(__xludf.DUMMYFUNCTION("""COMPUTED_VALUE"""),0.7142857142857143)</f>
        <v>0.7142857143</v>
      </c>
      <c r="M16" s="384" t="str">
        <f>IFERROR(__xludf.DUMMYFUNCTION("""COMPUTED_VALUE"""),"Castor Troy ")</f>
        <v>Castor Troy </v>
      </c>
      <c r="N16" s="438">
        <f>IFERROR(__xludf.DUMMYFUNCTION("""COMPUTED_VALUE"""),0.5142857142857142)</f>
        <v>0.5142857143</v>
      </c>
    </row>
    <row r="17">
      <c r="A17" s="443" t="str">
        <f>IFERROR(__xludf.DUMMYFUNCTION("""COMPUTED_VALUE"""),"РФ")</f>
        <v>РФ</v>
      </c>
      <c r="B17" s="438">
        <f>IFERROR(__xludf.DUMMYFUNCTION("""COMPUTED_VALUE"""),0.52)</f>
        <v>0.52</v>
      </c>
      <c r="C17" s="384" t="str">
        <f>IFERROR(__xludf.DUMMYFUNCTION("""COMPUTED_VALUE"""),"Cristo")</f>
        <v>Cristo</v>
      </c>
      <c r="D17" s="438">
        <f>IFERROR(__xludf.DUMMYFUNCTION("""COMPUTED_VALUE"""),0.5)</f>
        <v>0.5</v>
      </c>
      <c r="E17" s="384" t="str">
        <f>IFERROR(__xludf.DUMMYFUNCTION("""COMPUTED_VALUE"""),"Coach")</f>
        <v>Coach</v>
      </c>
      <c r="F17" s="438">
        <f>IFERROR(__xludf.DUMMYFUNCTION("""COMPUTED_VALUE"""),0.6153846153846154)</f>
        <v>0.6153846154</v>
      </c>
      <c r="G17" s="384" t="str">
        <f>IFERROR(__xludf.DUMMYFUNCTION("""COMPUTED_VALUE"""),"Light")</f>
        <v>Light</v>
      </c>
      <c r="H17" s="438">
        <f>IFERROR(__xludf.DUMMYFUNCTION("""COMPUTED_VALUE"""),0.625)</f>
        <v>0.625</v>
      </c>
      <c r="I17" s="384" t="str">
        <f>IFERROR(__xludf.DUMMYFUNCTION("""COMPUTED_VALUE"""),"Stacy")</f>
        <v>Stacy</v>
      </c>
      <c r="J17" s="438">
        <f>IFERROR(__xludf.DUMMYFUNCTION("""COMPUTED_VALUE"""),0.5714285714285714)</f>
        <v>0.5714285714</v>
      </c>
      <c r="K17" s="384" t="str">
        <f>IFERROR(__xludf.DUMMYFUNCTION("""COMPUTED_VALUE"""),"Крестный отец (BLR)")</f>
        <v>Крестный отец (BLR)</v>
      </c>
      <c r="L17" s="438">
        <f>IFERROR(__xludf.DUMMYFUNCTION("""COMPUTED_VALUE"""),0.7142857142857143)</f>
        <v>0.7142857143</v>
      </c>
      <c r="M17" s="384" t="str">
        <f>IFERROR(__xludf.DUMMYFUNCTION("""COMPUTED_VALUE"""),"Продюсер")</f>
        <v>Продюсер</v>
      </c>
      <c r="N17" s="438">
        <f>IFERROR(__xludf.DUMMYFUNCTION("""COMPUTED_VALUE"""),0.5)</f>
        <v>0.5</v>
      </c>
    </row>
    <row r="18">
      <c r="A18" s="443" t="str">
        <f>IFERROR(__xludf.DUMMYFUNCTION("""COMPUTED_VALUE"""),"Curly")</f>
        <v>Curly</v>
      </c>
      <c r="B18" s="438">
        <f>IFERROR(__xludf.DUMMYFUNCTION("""COMPUTED_VALUE"""),0.52)</f>
        <v>0.52</v>
      </c>
      <c r="C18" s="384" t="str">
        <f>IFERROR(__xludf.DUMMYFUNCTION("""COMPUTED_VALUE"""),"Шоу Бой")</f>
        <v>Шоу Бой</v>
      </c>
      <c r="D18" s="438">
        <f>IFERROR(__xludf.DUMMYFUNCTION("""COMPUTED_VALUE"""),0.48717948717948717)</f>
        <v>0.4871794872</v>
      </c>
      <c r="E18" s="384" t="str">
        <f>IFERROR(__xludf.DUMMYFUNCTION("""COMPUTED_VALUE"""),"Красавчик")</f>
        <v>Красавчик</v>
      </c>
      <c r="F18" s="438">
        <f>IFERROR(__xludf.DUMMYFUNCTION("""COMPUTED_VALUE"""),0.6)</f>
        <v>0.6</v>
      </c>
      <c r="G18" s="384" t="str">
        <f>IFERROR(__xludf.DUMMYFUNCTION("""COMPUTED_VALUE"""),"BWDMoscow")</f>
        <v>BWDMoscow</v>
      </c>
      <c r="H18" s="438">
        <f>IFERROR(__xludf.DUMMYFUNCTION("""COMPUTED_VALUE"""),0.6153846153846154)</f>
        <v>0.6153846154</v>
      </c>
      <c r="I18" s="384" t="str">
        <f>IFERROR(__xludf.DUMMYFUNCTION("""COMPUTED_VALUE"""),"Авраам")</f>
        <v>Авраам</v>
      </c>
      <c r="J18" s="438">
        <f>IFERROR(__xludf.DUMMYFUNCTION("""COMPUTED_VALUE"""),0.5)</f>
        <v>0.5</v>
      </c>
      <c r="K18" s="384" t="str">
        <f>IFERROR(__xludf.DUMMYFUNCTION("""COMPUTED_VALUE"""),"Ментик")</f>
        <v>Ментик</v>
      </c>
      <c r="L18" s="438">
        <f>IFERROR(__xludf.DUMMYFUNCTION("""COMPUTED_VALUE"""),0.7142857142857143)</f>
        <v>0.7142857143</v>
      </c>
      <c r="M18" s="384" t="str">
        <f>IFERROR(__xludf.DUMMYFUNCTION("""COMPUTED_VALUE"""),"РФ")</f>
        <v>РФ</v>
      </c>
      <c r="N18" s="438">
        <f>IFERROR(__xludf.DUMMYFUNCTION("""COMPUTED_VALUE"""),0.5)</f>
        <v>0.5</v>
      </c>
    </row>
    <row r="19">
      <c r="A19" s="443" t="str">
        <f>IFERROR(__xludf.DUMMYFUNCTION("""COMPUTED_VALUE"""),"Волга")</f>
        <v>Волга</v>
      </c>
      <c r="B19" s="438">
        <f>IFERROR(__xludf.DUMMYFUNCTION("""COMPUTED_VALUE"""),0.5)</f>
        <v>0.5</v>
      </c>
      <c r="C19" s="384" t="str">
        <f>IFERROR(__xludf.DUMMYFUNCTION("""COMPUTED_VALUE"""),"Castor Troy ")</f>
        <v>Castor Troy </v>
      </c>
      <c r="D19" s="438">
        <f>IFERROR(__xludf.DUMMYFUNCTION("""COMPUTED_VALUE"""),0.48717948717948717)</f>
        <v>0.4871794872</v>
      </c>
      <c r="E19" s="384" t="str">
        <f>IFERROR(__xludf.DUMMYFUNCTION("""COMPUTED_VALUE"""),"Волга")</f>
        <v>Волга</v>
      </c>
      <c r="F19" s="438">
        <f>IFERROR(__xludf.DUMMYFUNCTION("""COMPUTED_VALUE"""),0.5833333333333334)</f>
        <v>0.5833333333</v>
      </c>
      <c r="G19" s="384" t="str">
        <f>IFERROR(__xludf.DUMMYFUNCTION("""COMPUTED_VALUE"""),"Манекен")</f>
        <v>Манекен</v>
      </c>
      <c r="H19" s="438">
        <f>IFERROR(__xludf.DUMMYFUNCTION("""COMPUTED_VALUE"""),0.6)</f>
        <v>0.6</v>
      </c>
      <c r="I19" s="384" t="str">
        <f>IFERROR(__xludf.DUMMYFUNCTION("""COMPUTED_VALUE"""),"Аш")</f>
        <v>Аш</v>
      </c>
      <c r="J19" s="438">
        <f>IFERROR(__xludf.DUMMYFUNCTION("""COMPUTED_VALUE"""),0.5)</f>
        <v>0.5</v>
      </c>
      <c r="K19" s="384" t="str">
        <f>IFERROR(__xludf.DUMMYFUNCTION("""COMPUTED_VALUE"""),"Красавчик")</f>
        <v>Красавчик</v>
      </c>
      <c r="L19" s="438">
        <f>IFERROR(__xludf.DUMMYFUNCTION("""COMPUTED_VALUE"""),0.6666666666666666)</f>
        <v>0.6666666667</v>
      </c>
      <c r="M19" s="384" t="str">
        <f>IFERROR(__xludf.DUMMYFUNCTION("""COMPUTED_VALUE"""),"Alice ")</f>
        <v>Alice </v>
      </c>
      <c r="N19" s="438">
        <f>IFERROR(__xludf.DUMMYFUNCTION("""COMPUTED_VALUE"""),0.5)</f>
        <v>0.5</v>
      </c>
    </row>
    <row r="20">
      <c r="A20" s="443" t="str">
        <f>IFERROR(__xludf.DUMMYFUNCTION("""COMPUTED_VALUE"""),"Крот")</f>
        <v>Крот</v>
      </c>
      <c r="B20" s="438">
        <f>IFERROR(__xludf.DUMMYFUNCTION("""COMPUTED_VALUE"""),0.5)</f>
        <v>0.5</v>
      </c>
      <c r="C20" s="384" t="str">
        <f>IFERROR(__xludf.DUMMYFUNCTION("""COMPUTED_VALUE"""),"Curly")</f>
        <v>Curly</v>
      </c>
      <c r="D20" s="438">
        <f>IFERROR(__xludf.DUMMYFUNCTION("""COMPUTED_VALUE"""),0.48717948717948717)</f>
        <v>0.4871794872</v>
      </c>
      <c r="E20" s="384" t="str">
        <f>IFERROR(__xludf.DUMMYFUNCTION("""COMPUTED_VALUE"""),"РФ")</f>
        <v>РФ</v>
      </c>
      <c r="F20" s="438">
        <f>IFERROR(__xludf.DUMMYFUNCTION("""COMPUTED_VALUE"""),0.5833333333333334)</f>
        <v>0.5833333333</v>
      </c>
      <c r="G20" s="384" t="str">
        <f>IFERROR(__xludf.DUMMYFUNCTION("""COMPUTED_VALUE"""),"Castor Troy ")</f>
        <v>Castor Troy </v>
      </c>
      <c r="H20" s="438">
        <f>IFERROR(__xludf.DUMMYFUNCTION("""COMPUTED_VALUE"""),0.6)</f>
        <v>0.6</v>
      </c>
      <c r="I20" s="384" t="str">
        <f>IFERROR(__xludf.DUMMYFUNCTION("""COMPUTED_VALUE"""),"Градиент")</f>
        <v>Градиент</v>
      </c>
      <c r="J20" s="438">
        <f>IFERROR(__xludf.DUMMYFUNCTION("""COMPUTED_VALUE"""),0.5)</f>
        <v>0.5</v>
      </c>
      <c r="K20" s="384" t="str">
        <f>IFERROR(__xludf.DUMMYFUNCTION("""COMPUTED_VALUE"""),"Лисичка")</f>
        <v>Лисичка</v>
      </c>
      <c r="L20" s="438">
        <f>IFERROR(__xludf.DUMMYFUNCTION("""COMPUTED_VALUE"""),0.6666666666666666)</f>
        <v>0.6666666667</v>
      </c>
      <c r="M20" s="384" t="str">
        <f>IFERROR(__xludf.DUMMYFUNCTION("""COMPUTED_VALUE"""),"Curly")</f>
        <v>Curly</v>
      </c>
      <c r="N20" s="438">
        <f>IFERROR(__xludf.DUMMYFUNCTION("""COMPUTED_VALUE"""),0.5)</f>
        <v>0.5</v>
      </c>
    </row>
    <row r="21">
      <c r="A21" s="443" t="str">
        <f>IFERROR(__xludf.DUMMYFUNCTION("""COMPUTED_VALUE"""),"Маваши")</f>
        <v>Маваши</v>
      </c>
      <c r="B21" s="438">
        <f>IFERROR(__xludf.DUMMYFUNCTION("""COMPUTED_VALUE"""),0.5)</f>
        <v>0.5</v>
      </c>
      <c r="C21" s="384" t="str">
        <f>IFERROR(__xludf.DUMMYFUNCTION("""COMPUTED_VALUE"""),"Андерсен")</f>
        <v>Андерсен</v>
      </c>
      <c r="D21" s="438">
        <f>IFERROR(__xludf.DUMMYFUNCTION("""COMPUTED_VALUE"""),0.48484848484848486)</f>
        <v>0.4848484848</v>
      </c>
      <c r="E21" s="384" t="str">
        <f>IFERROR(__xludf.DUMMYFUNCTION("""COMPUTED_VALUE"""),"Астория")</f>
        <v>Астория</v>
      </c>
      <c r="F21" s="438">
        <f>IFERROR(__xludf.DUMMYFUNCTION("""COMPUTED_VALUE"""),0.5714285714285714)</f>
        <v>0.5714285714</v>
      </c>
      <c r="G21" s="384" t="str">
        <f>IFERROR(__xludf.DUMMYFUNCTION("""COMPUTED_VALUE"""),"Красавчик")</f>
        <v>Красавчик</v>
      </c>
      <c r="H21" s="438">
        <f>IFERROR(__xludf.DUMMYFUNCTION("""COMPUTED_VALUE"""),0.5833333333333334)</f>
        <v>0.5833333333</v>
      </c>
      <c r="I21" s="384" t="str">
        <f>IFERROR(__xludf.DUMMYFUNCTION("""COMPUTED_VALUE"""),"Крёстный Отец (RU)")</f>
        <v>Крёстный Отец (RU)</v>
      </c>
      <c r="J21" s="438">
        <f>IFERROR(__xludf.DUMMYFUNCTION("""COMPUTED_VALUE"""),0.5)</f>
        <v>0.5</v>
      </c>
      <c r="K21" s="384" t="str">
        <f>IFERROR(__xludf.DUMMYFUNCTION("""COMPUTED_VALUE"""),"Старый")</f>
        <v>Старый</v>
      </c>
      <c r="L21" s="438">
        <f>IFERROR(__xludf.DUMMYFUNCTION("""COMPUTED_VALUE"""),0.6666666666666666)</f>
        <v>0.6666666667</v>
      </c>
      <c r="M21" s="384" t="str">
        <f>IFERROR(__xludf.DUMMYFUNCTION("""COMPUTED_VALUE"""),"СЭНСЭЙ")</f>
        <v>СЭНСЭЙ</v>
      </c>
      <c r="N21" s="438">
        <f>IFERROR(__xludf.DUMMYFUNCTION("""COMPUTED_VALUE"""),0.4857142857142857)</f>
        <v>0.4857142857</v>
      </c>
    </row>
    <row r="22">
      <c r="A22" s="443" t="str">
        <f>IFERROR(__xludf.DUMMYFUNCTION("""COMPUTED_VALUE"""),"Марго")</f>
        <v>Марго</v>
      </c>
      <c r="B22" s="438">
        <f>IFERROR(__xludf.DUMMYFUNCTION("""COMPUTED_VALUE"""),0.5)</f>
        <v>0.5</v>
      </c>
      <c r="C22" s="384" t="str">
        <f>IFERROR(__xludf.DUMMYFUNCTION("""COMPUTED_VALUE"""),"Крестный отец (BLR)")</f>
        <v>Крестный отец (BLR)</v>
      </c>
      <c r="D22" s="438">
        <f>IFERROR(__xludf.DUMMYFUNCTION("""COMPUTED_VALUE"""),0.4838709677419355)</f>
        <v>0.4838709677</v>
      </c>
      <c r="E22" s="384" t="str">
        <f>IFERROR(__xludf.DUMMYFUNCTION("""COMPUTED_VALUE"""),"Инсомнич")</f>
        <v>Инсомнич</v>
      </c>
      <c r="F22" s="438">
        <f>IFERROR(__xludf.DUMMYFUNCTION("""COMPUTED_VALUE"""),0.5714285714285714)</f>
        <v>0.5714285714</v>
      </c>
      <c r="G22" s="384" t="str">
        <f>IFERROR(__xludf.DUMMYFUNCTION("""COMPUTED_VALUE"""),"Infinity ")</f>
        <v>Infinity </v>
      </c>
      <c r="H22" s="438">
        <f>IFERROR(__xludf.DUMMYFUNCTION("""COMPUTED_VALUE"""),0.5833333333333334)</f>
        <v>0.5833333333</v>
      </c>
      <c r="I22" s="384" t="str">
        <f>IFERROR(__xludf.DUMMYFUNCTION("""COMPUTED_VALUE"""),"Крот")</f>
        <v>Крот</v>
      </c>
      <c r="J22" s="438">
        <f>IFERROR(__xludf.DUMMYFUNCTION("""COMPUTED_VALUE"""),0.5)</f>
        <v>0.5</v>
      </c>
      <c r="K22" s="384" t="str">
        <f>IFERROR(__xludf.DUMMYFUNCTION("""COMPUTED_VALUE"""),"Юрия")</f>
        <v>Юрия</v>
      </c>
      <c r="L22" s="438">
        <f>IFERROR(__xludf.DUMMYFUNCTION("""COMPUTED_VALUE"""),0.6666666666666666)</f>
        <v>0.6666666667</v>
      </c>
      <c r="M22" s="384" t="str">
        <f>IFERROR(__xludf.DUMMYFUNCTION("""COMPUTED_VALUE"""),"Волга")</f>
        <v>Волга</v>
      </c>
      <c r="N22" s="438">
        <f>IFERROR(__xludf.DUMMYFUNCTION("""COMPUTED_VALUE"""),0.4838709677419355)</f>
        <v>0.4838709677</v>
      </c>
    </row>
    <row r="23">
      <c r="A23" s="443" t="str">
        <f>IFERROR(__xludf.DUMMYFUNCTION("""COMPUTED_VALUE"""),"Продюсер")</f>
        <v>Продюсер</v>
      </c>
      <c r="B23" s="438">
        <f>IFERROR(__xludf.DUMMYFUNCTION("""COMPUTED_VALUE"""),0.5)</f>
        <v>0.5</v>
      </c>
      <c r="C23" s="384" t="str">
        <f>IFERROR(__xludf.DUMMYFUNCTION("""COMPUTED_VALUE"""),"Young")</f>
        <v>Young</v>
      </c>
      <c r="D23" s="438">
        <f>IFERROR(__xludf.DUMMYFUNCTION("""COMPUTED_VALUE"""),0.4838709677419355)</f>
        <v>0.4838709677</v>
      </c>
      <c r="E23" s="384" t="str">
        <f>IFERROR(__xludf.DUMMYFUNCTION("""COMPUTED_VALUE"""),"NLIP")</f>
        <v>NLIP</v>
      </c>
      <c r="F23" s="438">
        <f>IFERROR(__xludf.DUMMYFUNCTION("""COMPUTED_VALUE"""),0.5714285714285714)</f>
        <v>0.5714285714</v>
      </c>
      <c r="G23" s="384" t="str">
        <f>IFERROR(__xludf.DUMMYFUNCTION("""COMPUTED_VALUE"""),"SOVEST")</f>
        <v>SOVEST</v>
      </c>
      <c r="H23" s="438">
        <f>IFERROR(__xludf.DUMMYFUNCTION("""COMPUTED_VALUE"""),0.5833333333333334)</f>
        <v>0.5833333333</v>
      </c>
      <c r="I23" s="384" t="str">
        <f>IFERROR(__xludf.DUMMYFUNCTION("""COMPUTED_VALUE"""),"Марго")</f>
        <v>Марго</v>
      </c>
      <c r="J23" s="438">
        <f>IFERROR(__xludf.DUMMYFUNCTION("""COMPUTED_VALUE"""),0.5)</f>
        <v>0.5</v>
      </c>
      <c r="K23" s="384" t="str">
        <f>IFERROR(__xludf.DUMMYFUNCTION("""COMPUTED_VALUE"""),"Наполеон")</f>
        <v>Наполеон</v>
      </c>
      <c r="L23" s="438">
        <f>IFERROR(__xludf.DUMMYFUNCTION("""COMPUTED_VALUE"""),0.6363636363636364)</f>
        <v>0.6363636364</v>
      </c>
      <c r="M23" s="384" t="str">
        <f>IFERROR(__xludf.DUMMYFUNCTION("""COMPUTED_VALUE"""),"Мишель ")</f>
        <v>Мишель </v>
      </c>
      <c r="N23" s="438">
        <f>IFERROR(__xludf.DUMMYFUNCTION("""COMPUTED_VALUE"""),0.4838709677419355)</f>
        <v>0.4838709677</v>
      </c>
    </row>
    <row r="24">
      <c r="A24" s="443" t="str">
        <f>IFERROR(__xludf.DUMMYFUNCTION("""COMPUTED_VALUE"""),"Старый")</f>
        <v>Старый</v>
      </c>
      <c r="B24" s="438">
        <f>IFERROR(__xludf.DUMMYFUNCTION("""COMPUTED_VALUE"""),0.5)</f>
        <v>0.5</v>
      </c>
      <c r="C24" s="384" t="str">
        <f>IFERROR(__xludf.DUMMYFUNCTION("""COMPUTED_VALUE"""),"Волга")</f>
        <v>Волга</v>
      </c>
      <c r="D24" s="438">
        <f>IFERROR(__xludf.DUMMYFUNCTION("""COMPUTED_VALUE"""),0.47368421052631576)</f>
        <v>0.4736842105</v>
      </c>
      <c r="E24" s="384" t="str">
        <f>IFERROR(__xludf.DUMMYFUNCTION("""COMPUTED_VALUE"""),"Маваши")</f>
        <v>Маваши</v>
      </c>
      <c r="F24" s="438">
        <f>IFERROR(__xludf.DUMMYFUNCTION("""COMPUTED_VALUE"""),0.5625)</f>
        <v>0.5625</v>
      </c>
      <c r="G24" s="384" t="str">
        <f>IFERROR(__xludf.DUMMYFUNCTION("""COMPUTED_VALUE"""),"Градиент")</f>
        <v>Градиент</v>
      </c>
      <c r="H24" s="438">
        <f>IFERROR(__xludf.DUMMYFUNCTION("""COMPUTED_VALUE"""),0.5714285714285714)</f>
        <v>0.5714285714</v>
      </c>
      <c r="I24" s="384" t="str">
        <f>IFERROR(__xludf.DUMMYFUNCTION("""COMPUTED_VALUE"""),"РФ")</f>
        <v>РФ</v>
      </c>
      <c r="J24" s="438">
        <f>IFERROR(__xludf.DUMMYFUNCTION("""COMPUTED_VALUE"""),0.5)</f>
        <v>0.5</v>
      </c>
      <c r="K24" s="384" t="str">
        <f>IFERROR(__xludf.DUMMYFUNCTION("""COMPUTED_VALUE"""),"Дровосек")</f>
        <v>Дровосек</v>
      </c>
      <c r="L24" s="438">
        <f>IFERROR(__xludf.DUMMYFUNCTION("""COMPUTED_VALUE"""),0.6)</f>
        <v>0.6</v>
      </c>
      <c r="M24" s="384" t="str">
        <f>IFERROR(__xludf.DUMMYFUNCTION("""COMPUTED_VALUE"""),"Админ")</f>
        <v>Админ</v>
      </c>
      <c r="N24" s="438">
        <f>IFERROR(__xludf.DUMMYFUNCTION("""COMPUTED_VALUE"""),0.48148148148148145)</f>
        <v>0.4814814815</v>
      </c>
    </row>
    <row r="25">
      <c r="A25" s="443" t="str">
        <f>IFERROR(__xludf.DUMMYFUNCTION("""COMPUTED_VALUE"""),"Шоу Бой")</f>
        <v>Шоу Бой</v>
      </c>
      <c r="B25" s="438">
        <f>IFERROR(__xludf.DUMMYFUNCTION("""COMPUTED_VALUE"""),0.5)</f>
        <v>0.5</v>
      </c>
      <c r="C25" s="384" t="str">
        <f>IFERROR(__xludf.DUMMYFUNCTION("""COMPUTED_VALUE"""),"Мишель ")</f>
        <v>Мишель </v>
      </c>
      <c r="D25" s="438">
        <f>IFERROR(__xludf.DUMMYFUNCTION("""COMPUTED_VALUE"""),0.47368421052631576)</f>
        <v>0.4736842105</v>
      </c>
      <c r="E25" s="384" t="str">
        <f>IFERROR(__xludf.DUMMYFUNCTION("""COMPUTED_VALUE"""),"BWDMoscow")</f>
        <v>BWDMoscow</v>
      </c>
      <c r="F25" s="438">
        <f>IFERROR(__xludf.DUMMYFUNCTION("""COMPUTED_VALUE"""),0.5625)</f>
        <v>0.5625</v>
      </c>
      <c r="G25" s="384" t="str">
        <f>IFERROR(__xludf.DUMMYFUNCTION("""COMPUTED_VALUE"""),"Писатель ")</f>
        <v>Писатель </v>
      </c>
      <c r="H25" s="438">
        <f>IFERROR(__xludf.DUMMYFUNCTION("""COMPUTED_VALUE"""),0.5714285714285714)</f>
        <v>0.5714285714</v>
      </c>
      <c r="I25" s="384" t="str">
        <f>IFERROR(__xludf.DUMMYFUNCTION("""COMPUTED_VALUE"""),"GALAY")</f>
        <v>GALAY</v>
      </c>
      <c r="J25" s="438">
        <f>IFERROR(__xludf.DUMMYFUNCTION("""COMPUTED_VALUE"""),0.5)</f>
        <v>0.5</v>
      </c>
      <c r="K25" s="384" t="str">
        <f>IFERROR(__xludf.DUMMYFUNCTION("""COMPUTED_VALUE"""),"Зверюга")</f>
        <v>Зверюга</v>
      </c>
      <c r="L25" s="438">
        <f>IFERROR(__xludf.DUMMYFUNCTION("""COMPUTED_VALUE"""),0.6)</f>
        <v>0.6</v>
      </c>
      <c r="M25" s="384" t="str">
        <f>IFERROR(__xludf.DUMMYFUNCTION("""COMPUTED_VALUE"""),"BWDMoscow")</f>
        <v>BWDMoscow</v>
      </c>
      <c r="N25" s="438">
        <f>IFERROR(__xludf.DUMMYFUNCTION("""COMPUTED_VALUE"""),0.48148148148148145)</f>
        <v>0.4814814815</v>
      </c>
    </row>
    <row r="26">
      <c r="A26" s="443" t="str">
        <f>IFERROR(__xludf.DUMMYFUNCTION("""COMPUTED_VALUE"""),"Alice ")</f>
        <v>Alice </v>
      </c>
      <c r="B26" s="438">
        <f>IFERROR(__xludf.DUMMYFUNCTION("""COMPUTED_VALUE"""),0.5)</f>
        <v>0.5</v>
      </c>
      <c r="C26" s="384" t="str">
        <f>IFERROR(__xludf.DUMMYFUNCTION("""COMPUTED_VALUE"""),"Rocket woman ")</f>
        <v>Rocket woman </v>
      </c>
      <c r="D26" s="438">
        <f>IFERROR(__xludf.DUMMYFUNCTION("""COMPUTED_VALUE"""),0.4722222222222222)</f>
        <v>0.4722222222</v>
      </c>
      <c r="E26" s="384" t="str">
        <f>IFERROR(__xludf.DUMMYFUNCTION("""COMPUTED_VALUE"""),"Крёстный Отец (RU)")</f>
        <v>Крёстный Отец (RU)</v>
      </c>
      <c r="F26" s="438">
        <f>IFERROR(__xludf.DUMMYFUNCTION("""COMPUTED_VALUE"""),0.5555555555555556)</f>
        <v>0.5555555556</v>
      </c>
      <c r="G26" s="384" t="str">
        <f>IFERROR(__xludf.DUMMYFUNCTION("""COMPUTED_VALUE"""),"Правда ")</f>
        <v>Правда </v>
      </c>
      <c r="H26" s="438">
        <f>IFERROR(__xludf.DUMMYFUNCTION("""COMPUTED_VALUE"""),0.5714285714285714)</f>
        <v>0.5714285714</v>
      </c>
      <c r="I26" s="384" t="str">
        <f>IFERROR(__xludf.DUMMYFUNCTION("""COMPUTED_VALUE"""),"SCHOKK ")</f>
        <v>SCHOKK </v>
      </c>
      <c r="J26" s="438">
        <f>IFERROR(__xludf.DUMMYFUNCTION("""COMPUTED_VALUE"""),0.5)</f>
        <v>0.5</v>
      </c>
      <c r="K26" s="384" t="str">
        <f>IFERROR(__xludf.DUMMYFUNCTION("""COMPUTED_VALUE"""),"РФ")</f>
        <v>РФ</v>
      </c>
      <c r="L26" s="438">
        <f>IFERROR(__xludf.DUMMYFUNCTION("""COMPUTED_VALUE"""),0.6)</f>
        <v>0.6</v>
      </c>
      <c r="M26" s="384" t="str">
        <f>IFERROR(__xludf.DUMMYFUNCTION("""COMPUTED_VALUE"""),"Ментик")</f>
        <v>Ментик</v>
      </c>
      <c r="N26" s="438">
        <f>IFERROR(__xludf.DUMMYFUNCTION("""COMPUTED_VALUE"""),0.48)</f>
        <v>0.48</v>
      </c>
    </row>
    <row r="27">
      <c r="A27" s="443" t="str">
        <f>IFERROR(__xludf.DUMMYFUNCTION("""COMPUTED_VALUE"""),"Bublik")</f>
        <v>Bublik</v>
      </c>
      <c r="B27" s="438">
        <f>IFERROR(__xludf.DUMMYFUNCTION("""COMPUTED_VALUE"""),0.5)</f>
        <v>0.5</v>
      </c>
      <c r="C27" s="384" t="str">
        <f>IFERROR(__xludf.DUMMYFUNCTION("""COMPUTED_VALUE"""),"Маваши")</f>
        <v>Маваши</v>
      </c>
      <c r="D27" s="438">
        <f>IFERROR(__xludf.DUMMYFUNCTION("""COMPUTED_VALUE"""),0.47058823529411764)</f>
        <v>0.4705882353</v>
      </c>
      <c r="E27" s="384" t="str">
        <f>IFERROR(__xludf.DUMMYFUNCTION("""COMPUTED_VALUE"""),"Alice ")</f>
        <v>Alice </v>
      </c>
      <c r="F27" s="438">
        <f>IFERROR(__xludf.DUMMYFUNCTION("""COMPUTED_VALUE"""),0.5555555555555556)</f>
        <v>0.5555555556</v>
      </c>
      <c r="G27" s="384" t="str">
        <f>IFERROR(__xludf.DUMMYFUNCTION("""COMPUTED_VALUE"""),"РФ")</f>
        <v>РФ</v>
      </c>
      <c r="H27" s="438">
        <f>IFERROR(__xludf.DUMMYFUNCTION("""COMPUTED_VALUE"""),0.5714285714285714)</f>
        <v>0.5714285714</v>
      </c>
      <c r="I27" s="384" t="str">
        <f>IFERROR(__xludf.DUMMYFUNCTION("""COMPUTED_VALUE"""),"Curly")</f>
        <v>Curly</v>
      </c>
      <c r="J27" s="438">
        <f>IFERROR(__xludf.DUMMYFUNCTION("""COMPUTED_VALUE"""),0.4444444444444444)</f>
        <v>0.4444444444</v>
      </c>
      <c r="K27" s="384" t="str">
        <f>IFERROR(__xludf.DUMMYFUNCTION("""COMPUTED_VALUE"""),"NLIP")</f>
        <v>NLIP</v>
      </c>
      <c r="L27" s="438">
        <f>IFERROR(__xludf.DUMMYFUNCTION("""COMPUTED_VALUE"""),0.6)</f>
        <v>0.6</v>
      </c>
      <c r="M27" s="384" t="str">
        <f>IFERROR(__xludf.DUMMYFUNCTION("""COMPUTED_VALUE"""),"Писатель ")</f>
        <v>Писатель </v>
      </c>
      <c r="N27" s="438">
        <f>IFERROR(__xludf.DUMMYFUNCTION("""COMPUTED_VALUE"""),0.47058823529411764)</f>
        <v>0.4705882353</v>
      </c>
    </row>
    <row r="28">
      <c r="A28" s="443" t="str">
        <f>IFERROR(__xludf.DUMMYFUNCTION("""COMPUTED_VALUE"""),"BWDMoscow")</f>
        <v>BWDMoscow</v>
      </c>
      <c r="B28" s="438">
        <f>IFERROR(__xludf.DUMMYFUNCTION("""COMPUTED_VALUE"""),0.5)</f>
        <v>0.5</v>
      </c>
      <c r="C28" s="384" t="str">
        <f>IFERROR(__xludf.DUMMYFUNCTION("""COMPUTED_VALUE"""),"BWDMoscow")</f>
        <v>BWDMoscow</v>
      </c>
      <c r="D28" s="438">
        <f>IFERROR(__xludf.DUMMYFUNCTION("""COMPUTED_VALUE"""),0.47058823529411764)</f>
        <v>0.4705882353</v>
      </c>
      <c r="E28" s="384" t="str">
        <f>IFERROR(__xludf.DUMMYFUNCTION("""COMPUTED_VALUE"""),"Аш")</f>
        <v>Аш</v>
      </c>
      <c r="F28" s="438">
        <f>IFERROR(__xludf.DUMMYFUNCTION("""COMPUTED_VALUE"""),0.55)</f>
        <v>0.55</v>
      </c>
      <c r="G28" s="384" t="str">
        <f>IFERROR(__xludf.DUMMYFUNCTION("""COMPUTED_VALUE"""),"Coach")</f>
        <v>Coach</v>
      </c>
      <c r="H28" s="438">
        <f>IFERROR(__xludf.DUMMYFUNCTION("""COMPUTED_VALUE"""),0.5555555555555556)</f>
        <v>0.5555555556</v>
      </c>
      <c r="I28" s="384" t="str">
        <f>IFERROR(__xludf.DUMMYFUNCTION("""COMPUTED_VALUE"""),"Волга")</f>
        <v>Волга</v>
      </c>
      <c r="J28" s="438">
        <f>IFERROR(__xludf.DUMMYFUNCTION("""COMPUTED_VALUE"""),0.42857142857142855)</f>
        <v>0.4285714286</v>
      </c>
      <c r="K28" s="384" t="str">
        <f>IFERROR(__xludf.DUMMYFUNCTION("""COMPUTED_VALUE"""),"Авраам")</f>
        <v>Авраам</v>
      </c>
      <c r="L28" s="438">
        <f>IFERROR(__xludf.DUMMYFUNCTION("""COMPUTED_VALUE"""),0.5714285714285714)</f>
        <v>0.5714285714</v>
      </c>
      <c r="M28" s="384" t="str">
        <f>IFERROR(__xludf.DUMMYFUNCTION("""COMPUTED_VALUE"""),"Красавчик")</f>
        <v>Красавчик</v>
      </c>
      <c r="N28" s="438">
        <f>IFERROR(__xludf.DUMMYFUNCTION("""COMPUTED_VALUE"""),0.46875)</f>
        <v>0.46875</v>
      </c>
    </row>
    <row r="29">
      <c r="A29" s="443" t="str">
        <f>IFERROR(__xludf.DUMMYFUNCTION("""COMPUTED_VALUE"""),"Castor Troy ")</f>
        <v>Castor Troy </v>
      </c>
      <c r="B29" s="438">
        <f>IFERROR(__xludf.DUMMYFUNCTION("""COMPUTED_VALUE"""),0.5)</f>
        <v>0.5</v>
      </c>
      <c r="C29" s="384" t="str">
        <f>IFERROR(__xludf.DUMMYFUNCTION("""COMPUTED_VALUE"""),"Alice ")</f>
        <v>Alice </v>
      </c>
      <c r="D29" s="438">
        <f>IFERROR(__xludf.DUMMYFUNCTION("""COMPUTED_VALUE"""),0.46875)</f>
        <v>0.46875</v>
      </c>
      <c r="E29" s="384" t="str">
        <f>IFERROR(__xludf.DUMMYFUNCTION("""COMPUTED_VALUE"""),"Ментик")</f>
        <v>Ментик</v>
      </c>
      <c r="F29" s="438">
        <f>IFERROR(__xludf.DUMMYFUNCTION("""COMPUTED_VALUE"""),0.55)</f>
        <v>0.55</v>
      </c>
      <c r="G29" s="384" t="str">
        <f>IFERROR(__xludf.DUMMYFUNCTION("""COMPUTED_VALUE"""),"NLIP")</f>
        <v>NLIP</v>
      </c>
      <c r="H29" s="438">
        <f>IFERROR(__xludf.DUMMYFUNCTION("""COMPUTED_VALUE"""),0.5555555555555556)</f>
        <v>0.5555555556</v>
      </c>
      <c r="I29" s="384" t="str">
        <f>IFERROR(__xludf.DUMMYFUNCTION("""COMPUTED_VALUE"""),"Мишель ")</f>
        <v>Мишель </v>
      </c>
      <c r="J29" s="438">
        <f>IFERROR(__xludf.DUMMYFUNCTION("""COMPUTED_VALUE"""),0.42857142857142855)</f>
        <v>0.4285714286</v>
      </c>
      <c r="K29" s="384" t="str">
        <f>IFERROR(__xludf.DUMMYFUNCTION("""COMPUTED_VALUE"""),"Аш")</f>
        <v>Аш</v>
      </c>
      <c r="L29" s="438">
        <f>IFERROR(__xludf.DUMMYFUNCTION("""COMPUTED_VALUE"""),0.5714285714285714)</f>
        <v>0.5714285714</v>
      </c>
      <c r="M29" s="384" t="str">
        <f>IFERROR(__xludf.DUMMYFUNCTION("""COMPUTED_VALUE"""),"Infinity ")</f>
        <v>Infinity </v>
      </c>
      <c r="N29" s="438">
        <f>IFERROR(__xludf.DUMMYFUNCTION("""COMPUTED_VALUE"""),0.4666666666666667)</f>
        <v>0.4666666667</v>
      </c>
    </row>
    <row r="30">
      <c r="A30" s="443" t="str">
        <f>IFERROR(__xludf.DUMMYFUNCTION("""COMPUTED_VALUE"""),"Ketamin")</f>
        <v>Ketamin</v>
      </c>
      <c r="B30" s="438">
        <f>IFERROR(__xludf.DUMMYFUNCTION("""COMPUTED_VALUE"""),0.5)</f>
        <v>0.5</v>
      </c>
      <c r="C30" s="384" t="str">
        <f>IFERROR(__xludf.DUMMYFUNCTION("""COMPUTED_VALUE"""),"Градиент")</f>
        <v>Градиент</v>
      </c>
      <c r="D30" s="438">
        <f>IFERROR(__xludf.DUMMYFUNCTION("""COMPUTED_VALUE"""),0.46153846153846156)</f>
        <v>0.4615384615</v>
      </c>
      <c r="E30" s="384" t="str">
        <f>IFERROR(__xludf.DUMMYFUNCTION("""COMPUTED_VALUE"""),"Шоу Бой")</f>
        <v>Шоу Бой</v>
      </c>
      <c r="F30" s="438">
        <f>IFERROR(__xludf.DUMMYFUNCTION("""COMPUTED_VALUE"""),0.5454545454545454)</f>
        <v>0.5454545455</v>
      </c>
      <c r="G30" s="384" t="str">
        <f>IFERROR(__xludf.DUMMYFUNCTION("""COMPUTED_VALUE"""),"Крёстный Отец (RU)")</f>
        <v>Крёстный Отец (RU)</v>
      </c>
      <c r="H30" s="438">
        <f>IFERROR(__xludf.DUMMYFUNCTION("""COMPUTED_VALUE"""),0.5454545454545454)</f>
        <v>0.5454545455</v>
      </c>
      <c r="I30" s="384" t="str">
        <f>IFERROR(__xludf.DUMMYFUNCTION("""COMPUTED_VALUE"""),"Coach")</f>
        <v>Coach</v>
      </c>
      <c r="J30" s="438">
        <f>IFERROR(__xludf.DUMMYFUNCTION("""COMPUTED_VALUE"""),0.42857142857142855)</f>
        <v>0.4285714286</v>
      </c>
      <c r="K30" s="384" t="str">
        <f>IFERROR(__xludf.DUMMYFUNCTION("""COMPUTED_VALUE"""),"Крёстный Отец (RU)")</f>
        <v>Крёстный Отец (RU)</v>
      </c>
      <c r="L30" s="438">
        <f>IFERROR(__xludf.DUMMYFUNCTION("""COMPUTED_VALUE"""),0.5714285714285714)</f>
        <v>0.5714285714</v>
      </c>
      <c r="M30" s="384" t="str">
        <f>IFERROR(__xludf.DUMMYFUNCTION("""COMPUTED_VALUE"""),"Градиент")</f>
        <v>Градиент</v>
      </c>
      <c r="N30" s="438">
        <f>IFERROR(__xludf.DUMMYFUNCTION("""COMPUTED_VALUE"""),0.4594594594594595)</f>
        <v>0.4594594595</v>
      </c>
    </row>
    <row r="31">
      <c r="A31" s="443" t="str">
        <f>IFERROR(__xludf.DUMMYFUNCTION("""COMPUTED_VALUE"""),"SOVEST")</f>
        <v>SOVEST</v>
      </c>
      <c r="B31" s="438">
        <f>IFERROR(__xludf.DUMMYFUNCTION("""COMPUTED_VALUE"""),0.5)</f>
        <v>0.5</v>
      </c>
      <c r="C31" s="384" t="str">
        <f>IFERROR(__xludf.DUMMYFUNCTION("""COMPUTED_VALUE"""),"Авраам")</f>
        <v>Авраам</v>
      </c>
      <c r="D31" s="438">
        <f>IFERROR(__xludf.DUMMYFUNCTION("""COMPUTED_VALUE"""),0.4594594594594595)</f>
        <v>0.4594594595</v>
      </c>
      <c r="E31" s="384" t="str">
        <f>IFERROR(__xludf.DUMMYFUNCTION("""COMPUTED_VALUE"""),"Castor Troy ")</f>
        <v>Castor Troy </v>
      </c>
      <c r="F31" s="438">
        <f>IFERROR(__xludf.DUMMYFUNCTION("""COMPUTED_VALUE"""),0.5454545454545454)</f>
        <v>0.5454545455</v>
      </c>
      <c r="G31" s="384" t="str">
        <f>IFERROR(__xludf.DUMMYFUNCTION("""COMPUTED_VALUE"""),"Физик")</f>
        <v>Физик</v>
      </c>
      <c r="H31" s="438">
        <f>IFERROR(__xludf.DUMMYFUNCTION("""COMPUTED_VALUE"""),0.5454545454545454)</f>
        <v>0.5454545455</v>
      </c>
      <c r="I31" s="384" t="str">
        <f>IFERROR(__xludf.DUMMYFUNCTION("""COMPUTED_VALUE"""),"Флэш")</f>
        <v>Флэш</v>
      </c>
      <c r="J31" s="438">
        <f>IFERROR(__xludf.DUMMYFUNCTION("""COMPUTED_VALUE"""),0.42857142857142855)</f>
        <v>0.4285714286</v>
      </c>
      <c r="K31" s="384" t="str">
        <f>IFERROR(__xludf.DUMMYFUNCTION("""COMPUTED_VALUE"""),"Андерсен")</f>
        <v>Андерсен</v>
      </c>
      <c r="L31" s="438">
        <f>IFERROR(__xludf.DUMMYFUNCTION("""COMPUTED_VALUE"""),0.5)</f>
        <v>0.5</v>
      </c>
      <c r="M31" s="384" t="str">
        <f>IFERROR(__xludf.DUMMYFUNCTION("""COMPUTED_VALUE"""),"Авраам")</f>
        <v>Авраам</v>
      </c>
      <c r="N31" s="438">
        <f>IFERROR(__xludf.DUMMYFUNCTION("""COMPUTED_VALUE"""),0.45714285714285713)</f>
        <v>0.4571428571</v>
      </c>
    </row>
    <row r="32">
      <c r="A32" s="443" t="str">
        <f>IFERROR(__xludf.DUMMYFUNCTION("""COMPUTED_VALUE"""),"Stacy")</f>
        <v>Stacy</v>
      </c>
      <c r="B32" s="438">
        <f>IFERROR(__xludf.DUMMYFUNCTION("""COMPUTED_VALUE"""),0.5)</f>
        <v>0.5</v>
      </c>
      <c r="C32" s="384" t="str">
        <f>IFERROR(__xludf.DUMMYFUNCTION("""COMPUTED_VALUE"""),"Тихий закат")</f>
        <v>Тихий закат</v>
      </c>
      <c r="D32" s="438">
        <f>IFERROR(__xludf.DUMMYFUNCTION("""COMPUTED_VALUE"""),0.45454545454545453)</f>
        <v>0.4545454545</v>
      </c>
      <c r="E32" s="384" t="str">
        <f>IFERROR(__xludf.DUMMYFUNCTION("""COMPUTED_VALUE"""),"Авраам")</f>
        <v>Авраам</v>
      </c>
      <c r="F32" s="438">
        <f>IFERROR(__xludf.DUMMYFUNCTION("""COMPUTED_VALUE"""),0.5384615384615384)</f>
        <v>0.5384615385</v>
      </c>
      <c r="G32" s="384" t="str">
        <f>IFERROR(__xludf.DUMMYFUNCTION("""COMPUTED_VALUE"""),"Аш")</f>
        <v>Аш</v>
      </c>
      <c r="H32" s="438">
        <f>IFERROR(__xludf.DUMMYFUNCTION("""COMPUTED_VALUE"""),0.5384615384615384)</f>
        <v>0.5384615385</v>
      </c>
      <c r="I32" s="384" t="str">
        <f>IFERROR(__xludf.DUMMYFUNCTION("""COMPUTED_VALUE"""),"BWDMoscow")</f>
        <v>BWDMoscow</v>
      </c>
      <c r="J32" s="438">
        <f>IFERROR(__xludf.DUMMYFUNCTION("""COMPUTED_VALUE"""),0.42857142857142855)</f>
        <v>0.4285714286</v>
      </c>
      <c r="K32" s="384" t="str">
        <f>IFERROR(__xludf.DUMMYFUNCTION("""COMPUTED_VALUE"""),"Астория")</f>
        <v>Астория</v>
      </c>
      <c r="L32" s="438">
        <f>IFERROR(__xludf.DUMMYFUNCTION("""COMPUTED_VALUE"""),0.5)</f>
        <v>0.5</v>
      </c>
      <c r="M32" s="384" t="str">
        <f>IFERROR(__xludf.DUMMYFUNCTION("""COMPUTED_VALUE"""),"Правда ")</f>
        <v>Правда </v>
      </c>
      <c r="N32" s="438">
        <f>IFERROR(__xludf.DUMMYFUNCTION("""COMPUTED_VALUE"""),0.45454545454545453)</f>
        <v>0.4545454545</v>
      </c>
    </row>
    <row r="33">
      <c r="A33" s="443" t="str">
        <f>IFERROR(__xludf.DUMMYFUNCTION("""COMPUTED_VALUE"""),"Young")</f>
        <v>Young</v>
      </c>
      <c r="B33" s="438">
        <f>IFERROR(__xludf.DUMMYFUNCTION("""COMPUTED_VALUE"""),0.5)</f>
        <v>0.5</v>
      </c>
      <c r="C33" s="384" t="str">
        <f>IFERROR(__xludf.DUMMYFUNCTION("""COMPUTED_VALUE"""),"Юрия")</f>
        <v>Юрия</v>
      </c>
      <c r="D33" s="438">
        <f>IFERROR(__xludf.DUMMYFUNCTION("""COMPUTED_VALUE"""),0.45)</f>
        <v>0.45</v>
      </c>
      <c r="E33" s="384" t="str">
        <f>IFERROR(__xludf.DUMMYFUNCTION("""COMPUTED_VALUE"""),"Дровосек")</f>
        <v>Дровосек</v>
      </c>
      <c r="F33" s="438">
        <f>IFERROR(__xludf.DUMMYFUNCTION("""COMPUTED_VALUE"""),0.5384615384615384)</f>
        <v>0.5384615385</v>
      </c>
      <c r="G33" s="384" t="str">
        <f>IFERROR(__xludf.DUMMYFUNCTION("""COMPUTED_VALUE"""),"Ketamin")</f>
        <v>Ketamin</v>
      </c>
      <c r="H33" s="438">
        <f>IFERROR(__xludf.DUMMYFUNCTION("""COMPUTED_VALUE"""),0.5384615384615384)</f>
        <v>0.5384615385</v>
      </c>
      <c r="I33" s="384" t="str">
        <f>IFERROR(__xludf.DUMMYFUNCTION("""COMPUTED_VALUE"""),"Лисичка")</f>
        <v>Лисичка</v>
      </c>
      <c r="J33" s="438">
        <f>IFERROR(__xludf.DUMMYFUNCTION("""COMPUTED_VALUE"""),0.4)</f>
        <v>0.4</v>
      </c>
      <c r="K33" s="384" t="str">
        <f>IFERROR(__xludf.DUMMYFUNCTION("""COMPUTED_VALUE"""),"Бамблби")</f>
        <v>Бамблби</v>
      </c>
      <c r="L33" s="438">
        <f>IFERROR(__xludf.DUMMYFUNCTION("""COMPUTED_VALUE"""),0.5)</f>
        <v>0.5</v>
      </c>
      <c r="M33" s="384" t="str">
        <f>IFERROR(__xludf.DUMMYFUNCTION("""COMPUTED_VALUE"""),"Дровосек")</f>
        <v>Дровосек</v>
      </c>
      <c r="N33" s="438">
        <f>IFERROR(__xludf.DUMMYFUNCTION("""COMPUTED_VALUE"""),0.45161290322580644)</f>
        <v>0.4516129032</v>
      </c>
    </row>
    <row r="34">
      <c r="A34" s="443" t="str">
        <f>IFERROR(__xludf.DUMMYFUNCTION("""COMPUTED_VALUE"""),"Авраам")</f>
        <v>Авраам</v>
      </c>
      <c r="B34" s="438">
        <f>IFERROR(__xludf.DUMMYFUNCTION("""COMPUTED_VALUE"""),0.48)</f>
        <v>0.48</v>
      </c>
      <c r="C34" s="384" t="str">
        <f>IFERROR(__xludf.DUMMYFUNCTION("""COMPUTED_VALUE"""),"СЭНСЭЙ")</f>
        <v>СЭНСЭЙ</v>
      </c>
      <c r="D34" s="438">
        <f>IFERROR(__xludf.DUMMYFUNCTION("""COMPUTED_VALUE"""),0.4473684210526316)</f>
        <v>0.4473684211</v>
      </c>
      <c r="E34" s="384" t="str">
        <f>IFERROR(__xludf.DUMMYFUNCTION("""COMPUTED_VALUE"""),"Манекен")</f>
        <v>Манекен</v>
      </c>
      <c r="F34" s="438">
        <f>IFERROR(__xludf.DUMMYFUNCTION("""COMPUTED_VALUE"""),0.5384615384615384)</f>
        <v>0.5384615385</v>
      </c>
      <c r="G34" s="384" t="str">
        <f>IFERROR(__xludf.DUMMYFUNCTION("""COMPUTED_VALUE"""),"Авраам")</f>
        <v>Авраам</v>
      </c>
      <c r="H34" s="438">
        <f>IFERROR(__xludf.DUMMYFUNCTION("""COMPUTED_VALUE"""),0.5)</f>
        <v>0.5</v>
      </c>
      <c r="I34" s="384" t="str">
        <f>IFERROR(__xludf.DUMMYFUNCTION("""COMPUTED_VALUE"""),"Helga")</f>
        <v>Helga</v>
      </c>
      <c r="J34" s="438">
        <f>IFERROR(__xludf.DUMMYFUNCTION("""COMPUTED_VALUE"""),0.4)</f>
        <v>0.4</v>
      </c>
      <c r="K34" s="384" t="str">
        <f>IFERROR(__xludf.DUMMYFUNCTION("""COMPUTED_VALUE"""),"Манекен")</f>
        <v>Манекен</v>
      </c>
      <c r="L34" s="438">
        <f>IFERROR(__xludf.DUMMYFUNCTION("""COMPUTED_VALUE"""),0.5)</f>
        <v>0.5</v>
      </c>
      <c r="M34" s="384" t="str">
        <f>IFERROR(__xludf.DUMMYFUNCTION("""COMPUTED_VALUE"""),"Маваши")</f>
        <v>Маваши</v>
      </c>
      <c r="N34" s="438">
        <f>IFERROR(__xludf.DUMMYFUNCTION("""COMPUTED_VALUE"""),0.45161290322580644)</f>
        <v>0.4516129032</v>
      </c>
    </row>
    <row r="35">
      <c r="A35" s="443" t="str">
        <f>IFERROR(__xludf.DUMMYFUNCTION("""COMPUTED_VALUE"""),"Андерсен")</f>
        <v>Андерсен</v>
      </c>
      <c r="B35" s="438">
        <f>IFERROR(__xludf.DUMMYFUNCTION("""COMPUTED_VALUE"""),0.48)</f>
        <v>0.48</v>
      </c>
      <c r="C35" s="384" t="str">
        <f>IFERROR(__xludf.DUMMYFUNCTION("""COMPUTED_VALUE"""),"Правда ")</f>
        <v>Правда </v>
      </c>
      <c r="D35" s="438">
        <f>IFERROR(__xludf.DUMMYFUNCTION("""COMPUTED_VALUE"""),0.4444444444444444)</f>
        <v>0.4444444444</v>
      </c>
      <c r="E35" s="384" t="str">
        <f>IFERROR(__xludf.DUMMYFUNCTION("""COMPUTED_VALUE"""),"Наполеон")</f>
        <v>Наполеон</v>
      </c>
      <c r="F35" s="438">
        <f>IFERROR(__xludf.DUMMYFUNCTION("""COMPUTED_VALUE"""),0.5294117647058824)</f>
        <v>0.5294117647</v>
      </c>
      <c r="G35" s="384" t="str">
        <f>IFERROR(__xludf.DUMMYFUNCTION("""COMPUTED_VALUE"""),"Дровосек")</f>
        <v>Дровосек</v>
      </c>
      <c r="H35" s="438">
        <f>IFERROR(__xludf.DUMMYFUNCTION("""COMPUTED_VALUE"""),0.5)</f>
        <v>0.5</v>
      </c>
      <c r="I35" s="384" t="str">
        <f>IFERROR(__xludf.DUMMYFUNCTION("""COMPUTED_VALUE"""),"Физик")</f>
        <v>Физик</v>
      </c>
      <c r="J35" s="438">
        <f>IFERROR(__xludf.DUMMYFUNCTION("""COMPUTED_VALUE"""),0.375)</f>
        <v>0.375</v>
      </c>
      <c r="K35" s="384" t="str">
        <f>IFERROR(__xludf.DUMMYFUNCTION("""COMPUTED_VALUE"""),"Флэш")</f>
        <v>Флэш</v>
      </c>
      <c r="L35" s="438">
        <f>IFERROR(__xludf.DUMMYFUNCTION("""COMPUTED_VALUE"""),0.5)</f>
        <v>0.5</v>
      </c>
      <c r="M35" s="384" t="str">
        <f>IFERROR(__xludf.DUMMYFUNCTION("""COMPUTED_VALUE"""),"Bublik")</f>
        <v>Bublik</v>
      </c>
      <c r="N35" s="438">
        <f>IFERROR(__xludf.DUMMYFUNCTION("""COMPUTED_VALUE"""),0.4444444444444444)</f>
        <v>0.4444444444</v>
      </c>
    </row>
    <row r="36">
      <c r="A36" s="443" t="str">
        <f>IFERROR(__xludf.DUMMYFUNCTION("""COMPUTED_VALUE"""),"Красавчик")</f>
        <v>Красавчик</v>
      </c>
      <c r="B36" s="438">
        <f>IFERROR(__xludf.DUMMYFUNCTION("""COMPUTED_VALUE"""),0.48)</f>
        <v>0.48</v>
      </c>
      <c r="C36" s="384" t="str">
        <f>IFERROR(__xludf.DUMMYFUNCTION("""COMPUTED_VALUE"""),"Админ")</f>
        <v>Админ</v>
      </c>
      <c r="D36" s="438">
        <f>IFERROR(__xludf.DUMMYFUNCTION("""COMPUTED_VALUE"""),0.4411764705882353)</f>
        <v>0.4411764706</v>
      </c>
      <c r="E36" s="384" t="str">
        <f>IFERROR(__xludf.DUMMYFUNCTION("""COMPUTED_VALUE"""),"Тихий закат")</f>
        <v>Тихий закат</v>
      </c>
      <c r="F36" s="438">
        <f>IFERROR(__xludf.DUMMYFUNCTION("""COMPUTED_VALUE"""),0.5294117647058824)</f>
        <v>0.5294117647</v>
      </c>
      <c r="G36" s="384" t="str">
        <f>IFERROR(__xludf.DUMMYFUNCTION("""COMPUTED_VALUE"""),"Инсомнич")</f>
        <v>Инсомнич</v>
      </c>
      <c r="H36" s="438">
        <f>IFERROR(__xludf.DUMMYFUNCTION("""COMPUTED_VALUE"""),0.5)</f>
        <v>0.5</v>
      </c>
      <c r="I36" s="384" t="str">
        <f>IFERROR(__xludf.DUMMYFUNCTION("""COMPUTED_VALUE"""),"SOVEST")</f>
        <v>SOVEST</v>
      </c>
      <c r="J36" s="438">
        <f>IFERROR(__xludf.DUMMYFUNCTION("""COMPUTED_VALUE"""),0.375)</f>
        <v>0.375</v>
      </c>
      <c r="K36" s="384" t="str">
        <f>IFERROR(__xludf.DUMMYFUNCTION("""COMPUTED_VALUE"""),"A1 ")</f>
        <v>A1 </v>
      </c>
      <c r="L36" s="438">
        <f>IFERROR(__xludf.DUMMYFUNCTION("""COMPUTED_VALUE"""),0.5)</f>
        <v>0.5</v>
      </c>
      <c r="M36" s="384" t="str">
        <f>IFERROR(__xludf.DUMMYFUNCTION("""COMPUTED_VALUE"""),"Левша")</f>
        <v>Левша</v>
      </c>
      <c r="N36" s="438">
        <f>IFERROR(__xludf.DUMMYFUNCTION("""COMPUTED_VALUE"""),0.44)</f>
        <v>0.44</v>
      </c>
    </row>
    <row r="37">
      <c r="A37" s="443" t="str">
        <f>IFERROR(__xludf.DUMMYFUNCTION("""COMPUTED_VALUE"""),"Ментик")</f>
        <v>Ментик</v>
      </c>
      <c r="B37" s="438">
        <f>IFERROR(__xludf.DUMMYFUNCTION("""COMPUTED_VALUE"""),0.48)</f>
        <v>0.48</v>
      </c>
      <c r="C37" s="384" t="str">
        <f>IFERROR(__xludf.DUMMYFUNCTION("""COMPUTED_VALUE"""),"Infinity ")</f>
        <v>Infinity </v>
      </c>
      <c r="D37" s="438">
        <f>IFERROR(__xludf.DUMMYFUNCTION("""COMPUTED_VALUE"""),0.4411764705882353)</f>
        <v>0.4411764706</v>
      </c>
      <c r="E37" s="384" t="str">
        <f>IFERROR(__xludf.DUMMYFUNCTION("""COMPUTED_VALUE"""),"Young")</f>
        <v>Young</v>
      </c>
      <c r="F37" s="438">
        <f>IFERROR(__xludf.DUMMYFUNCTION("""COMPUTED_VALUE"""),0.5263157894736842)</f>
        <v>0.5263157895</v>
      </c>
      <c r="G37" s="384" t="str">
        <f>IFERROR(__xludf.DUMMYFUNCTION("""COMPUTED_VALUE"""),"Мишель ")</f>
        <v>Мишель </v>
      </c>
      <c r="H37" s="438">
        <f>IFERROR(__xludf.DUMMYFUNCTION("""COMPUTED_VALUE"""),0.5)</f>
        <v>0.5</v>
      </c>
      <c r="I37" s="384" t="str">
        <f>IFERROR(__xludf.DUMMYFUNCTION("""COMPUTED_VALUE"""),"Астория")</f>
        <v>Астория</v>
      </c>
      <c r="J37" s="438">
        <f>IFERROR(__xludf.DUMMYFUNCTION("""COMPUTED_VALUE"""),0.3333333333333333)</f>
        <v>0.3333333333</v>
      </c>
      <c r="K37" s="384" t="str">
        <f>IFERROR(__xludf.DUMMYFUNCTION("""COMPUTED_VALUE"""),"SCHOKK ")</f>
        <v>SCHOKK </v>
      </c>
      <c r="L37" s="438">
        <f>IFERROR(__xludf.DUMMYFUNCTION("""COMPUTED_VALUE"""),0.5)</f>
        <v>0.5</v>
      </c>
      <c r="M37" s="384" t="str">
        <f>IFERROR(__xludf.DUMMYFUNCTION("""COMPUTED_VALUE"""),"SOVEST")</f>
        <v>SOVEST</v>
      </c>
      <c r="N37" s="438">
        <f>IFERROR(__xludf.DUMMYFUNCTION("""COMPUTED_VALUE"""),0.44)</f>
        <v>0.44</v>
      </c>
    </row>
    <row r="38">
      <c r="A38" s="443" t="str">
        <f>IFERROR(__xludf.DUMMYFUNCTION("""COMPUTED_VALUE"""),"Тихий закат")</f>
        <v>Тихий закат</v>
      </c>
      <c r="B38" s="438">
        <f>IFERROR(__xludf.DUMMYFUNCTION("""COMPUTED_VALUE"""),0.48)</f>
        <v>0.48</v>
      </c>
      <c r="C38" s="384" t="str">
        <f>IFERROR(__xludf.DUMMYFUNCTION("""COMPUTED_VALUE"""),"Ментик")</f>
        <v>Ментик</v>
      </c>
      <c r="D38" s="438">
        <f>IFERROR(__xludf.DUMMYFUNCTION("""COMPUTED_VALUE"""),0.43333333333333335)</f>
        <v>0.4333333333</v>
      </c>
      <c r="E38" s="384" t="str">
        <f>IFERROR(__xludf.DUMMYFUNCTION("""COMPUTED_VALUE"""),"Писатель ")</f>
        <v>Писатель </v>
      </c>
      <c r="F38" s="438">
        <f>IFERROR(__xludf.DUMMYFUNCTION("""COMPUTED_VALUE"""),0.5)</f>
        <v>0.5</v>
      </c>
      <c r="G38" s="384" t="str">
        <f>IFERROR(__xludf.DUMMYFUNCTION("""COMPUTED_VALUE"""),"Фокс")</f>
        <v>Фокс</v>
      </c>
      <c r="H38" s="438">
        <f>IFERROR(__xludf.DUMMYFUNCTION("""COMPUTED_VALUE"""),0.5)</f>
        <v>0.5</v>
      </c>
      <c r="I38" s="384" t="str">
        <f>IFERROR(__xludf.DUMMYFUNCTION("""COMPUTED_VALUE"""),"Бамблби")</f>
        <v>Бамблби</v>
      </c>
      <c r="J38" s="438">
        <f>IFERROR(__xludf.DUMMYFUNCTION("""COMPUTED_VALUE"""),0.3333333333333333)</f>
        <v>0.3333333333</v>
      </c>
      <c r="K38" s="384" t="str">
        <f>IFERROR(__xludf.DUMMYFUNCTION("""COMPUTED_VALUE"""),"WhoIsWho")</f>
        <v>WhoIsWho</v>
      </c>
      <c r="L38" s="438">
        <f>IFERROR(__xludf.DUMMYFUNCTION("""COMPUTED_VALUE"""),0.5)</f>
        <v>0.5</v>
      </c>
      <c r="M38" s="384" t="str">
        <f>IFERROR(__xludf.DUMMYFUNCTION("""COMPUTED_VALUE"""),"Старый")</f>
        <v>Старый</v>
      </c>
      <c r="N38" s="438">
        <f>IFERROR(__xludf.DUMMYFUNCTION("""COMPUTED_VALUE"""),0.43333333333333335)</f>
        <v>0.4333333333</v>
      </c>
    </row>
    <row r="39">
      <c r="A39" s="443" t="str">
        <f>IFERROR(__xludf.DUMMYFUNCTION("""COMPUTED_VALUE"""),"Аш")</f>
        <v>Аш</v>
      </c>
      <c r="B39" s="438">
        <f>IFERROR(__xludf.DUMMYFUNCTION("""COMPUTED_VALUE"""),0.46)</f>
        <v>0.46</v>
      </c>
      <c r="C39" s="384" t="str">
        <f>IFERROR(__xludf.DUMMYFUNCTION("""COMPUTED_VALUE"""),"Morti")</f>
        <v>Morti</v>
      </c>
      <c r="D39" s="438">
        <f>IFERROR(__xludf.DUMMYFUNCTION("""COMPUTED_VALUE"""),0.43333333333333335)</f>
        <v>0.4333333333</v>
      </c>
      <c r="E39" s="384" t="str">
        <f>IFERROR(__xludf.DUMMYFUNCTION("""COMPUTED_VALUE"""),"Физик")</f>
        <v>Физик</v>
      </c>
      <c r="F39" s="438">
        <f>IFERROR(__xludf.DUMMYFUNCTION("""COMPUTED_VALUE"""),0.5)</f>
        <v>0.5</v>
      </c>
      <c r="G39" s="384" t="str">
        <f>IFERROR(__xludf.DUMMYFUNCTION("""COMPUTED_VALUE"""),"Bublik")</f>
        <v>Bublik</v>
      </c>
      <c r="H39" s="438">
        <f>IFERROR(__xludf.DUMMYFUNCTION("""COMPUTED_VALUE"""),0.5)</f>
        <v>0.5</v>
      </c>
      <c r="I39" s="384" t="str">
        <f>IFERROR(__xludf.DUMMYFUNCTION("""COMPUTED_VALUE"""),"Дровосек")</f>
        <v>Дровосек</v>
      </c>
      <c r="J39" s="438">
        <f>IFERROR(__xludf.DUMMYFUNCTION("""COMPUTED_VALUE"""),0.3333333333333333)</f>
        <v>0.3333333333</v>
      </c>
      <c r="K39" s="384" t="str">
        <f>IFERROR(__xludf.DUMMYFUNCTION("""COMPUTED_VALUE"""),"Bublik")</f>
        <v>Bublik</v>
      </c>
      <c r="L39" s="438">
        <f>IFERROR(__xludf.DUMMYFUNCTION("""COMPUTED_VALUE"""),0.42857142857142855)</f>
        <v>0.4285714286</v>
      </c>
      <c r="M39" s="384" t="str">
        <f>IFERROR(__xludf.DUMMYFUNCTION("""COMPUTED_VALUE"""),"Cristo")</f>
        <v>Cristo</v>
      </c>
      <c r="N39" s="438">
        <f>IFERROR(__xludf.DUMMYFUNCTION("""COMPUTED_VALUE"""),0.42857142857142855)</f>
        <v>0.4285714286</v>
      </c>
    </row>
    <row r="40">
      <c r="A40" s="443" t="str">
        <f>IFERROR(__xludf.DUMMYFUNCTION("""COMPUTED_VALUE"""),"Дровосек")</f>
        <v>Дровосек</v>
      </c>
      <c r="B40" s="438">
        <f>IFERROR(__xludf.DUMMYFUNCTION("""COMPUTED_VALUE"""),0.46)</f>
        <v>0.46</v>
      </c>
      <c r="C40" s="384" t="str">
        <f>IFERROR(__xludf.DUMMYFUNCTION("""COMPUTED_VALUE"""),"Дровосек")</f>
        <v>Дровосек</v>
      </c>
      <c r="D40" s="438">
        <f>IFERROR(__xludf.DUMMYFUNCTION("""COMPUTED_VALUE"""),0.43243243243243246)</f>
        <v>0.4324324324</v>
      </c>
      <c r="E40" s="384" t="str">
        <f>IFERROR(__xludf.DUMMYFUNCTION("""COMPUTED_VALUE"""),"Light")</f>
        <v>Light</v>
      </c>
      <c r="F40" s="438">
        <f>IFERROR(__xludf.DUMMYFUNCTION("""COMPUTED_VALUE"""),0.5)</f>
        <v>0.5</v>
      </c>
      <c r="G40" s="384" t="str">
        <f>IFERROR(__xludf.DUMMYFUNCTION("""COMPUTED_VALUE"""),"GALAY")</f>
        <v>GALAY</v>
      </c>
      <c r="H40" s="438">
        <f>IFERROR(__xludf.DUMMYFUNCTION("""COMPUTED_VALUE"""),0.5)</f>
        <v>0.5</v>
      </c>
      <c r="I40" s="384" t="str">
        <f>IFERROR(__xludf.DUMMYFUNCTION("""COMPUTED_VALUE"""),"Зверюга")</f>
        <v>Зверюга</v>
      </c>
      <c r="J40" s="438">
        <f>IFERROR(__xludf.DUMMYFUNCTION("""COMPUTED_VALUE"""),0.3333333333333333)</f>
        <v>0.3333333333</v>
      </c>
      <c r="K40" s="384" t="str">
        <f>IFERROR(__xludf.DUMMYFUNCTION("""COMPUTED_VALUE"""),"Артик")</f>
        <v>Артик</v>
      </c>
      <c r="L40" s="438">
        <f>IFERROR(__xludf.DUMMYFUNCTION("""COMPUTED_VALUE"""),0.4)</f>
        <v>0.4</v>
      </c>
      <c r="M40" s="384" t="str">
        <f>IFERROR(__xludf.DUMMYFUNCTION("""COMPUTED_VALUE"""),"Шпиц")</f>
        <v>Шпиц</v>
      </c>
      <c r="N40" s="438">
        <f>IFERROR(__xludf.DUMMYFUNCTION("""COMPUTED_VALUE"""),0.4230769230769231)</f>
        <v>0.4230769231</v>
      </c>
    </row>
    <row r="41">
      <c r="A41" s="443" t="str">
        <f>IFERROR(__xludf.DUMMYFUNCTION("""COMPUTED_VALUE"""),"Лисичка")</f>
        <v>Лисичка</v>
      </c>
      <c r="B41" s="438">
        <f>IFERROR(__xludf.DUMMYFUNCTION("""COMPUTED_VALUE"""),0.46)</f>
        <v>0.46</v>
      </c>
      <c r="C41" s="384" t="str">
        <f>IFERROR(__xludf.DUMMYFUNCTION("""COMPUTED_VALUE"""),"Красавчик")</f>
        <v>Красавчик</v>
      </c>
      <c r="D41" s="438">
        <f>IFERROR(__xludf.DUMMYFUNCTION("""COMPUTED_VALUE"""),0.42857142857142855)</f>
        <v>0.4285714286</v>
      </c>
      <c r="E41" s="384" t="str">
        <f>IFERROR(__xludf.DUMMYFUNCTION("""COMPUTED_VALUE"""),"WhoIsWho")</f>
        <v>WhoIsWho</v>
      </c>
      <c r="F41" s="438">
        <f>IFERROR(__xludf.DUMMYFUNCTION("""COMPUTED_VALUE"""),0.5)</f>
        <v>0.5</v>
      </c>
      <c r="G41" s="384" t="str">
        <f>IFERROR(__xludf.DUMMYFUNCTION("""COMPUTED_VALUE"""),"Helga")</f>
        <v>Helga</v>
      </c>
      <c r="H41" s="438">
        <f>IFERROR(__xludf.DUMMYFUNCTION("""COMPUTED_VALUE"""),0.5)</f>
        <v>0.5</v>
      </c>
      <c r="I41" s="384" t="str">
        <f>IFERROR(__xludf.DUMMYFUNCTION("""COMPUTED_VALUE"""),"Правда ")</f>
        <v>Правда </v>
      </c>
      <c r="J41" s="438">
        <f>IFERROR(__xludf.DUMMYFUNCTION("""COMPUTED_VALUE"""),0.3333333333333333)</f>
        <v>0.3333333333</v>
      </c>
      <c r="K41" s="384" t="str">
        <f>IFERROR(__xludf.DUMMYFUNCTION("""COMPUTED_VALUE"""),"Крот")</f>
        <v>Крот</v>
      </c>
      <c r="L41" s="438">
        <f>IFERROR(__xludf.DUMMYFUNCTION("""COMPUTED_VALUE"""),0.4)</f>
        <v>0.4</v>
      </c>
      <c r="M41" s="384" t="str">
        <f>IFERROR(__xludf.DUMMYFUNCTION("""COMPUTED_VALUE"""),"Тихий закат")</f>
        <v>Тихий закат</v>
      </c>
      <c r="N41" s="438">
        <f>IFERROR(__xludf.DUMMYFUNCTION("""COMPUTED_VALUE"""),0.41935483870967744)</f>
        <v>0.4193548387</v>
      </c>
    </row>
    <row r="42">
      <c r="A42" s="443" t="str">
        <f>IFERROR(__xludf.DUMMYFUNCTION("""COMPUTED_VALUE"""),"Мишель ")</f>
        <v>Мишель </v>
      </c>
      <c r="B42" s="438">
        <f>IFERROR(__xludf.DUMMYFUNCTION("""COMPUTED_VALUE"""),0.46)</f>
        <v>0.46</v>
      </c>
      <c r="C42" s="384" t="str">
        <f>IFERROR(__xludf.DUMMYFUNCTION("""COMPUTED_VALUE"""),"A1 ")</f>
        <v>A1 </v>
      </c>
      <c r="D42" s="438">
        <f>IFERROR(__xludf.DUMMYFUNCTION("""COMPUTED_VALUE"""),0.42424242424242425)</f>
        <v>0.4242424242</v>
      </c>
      <c r="E42" s="384" t="str">
        <f>IFERROR(__xludf.DUMMYFUNCTION("""COMPUTED_VALUE"""),"Флэш")</f>
        <v>Флэш</v>
      </c>
      <c r="F42" s="438">
        <f>IFERROR(__xludf.DUMMYFUNCTION("""COMPUTED_VALUE"""),0.47368421052631576)</f>
        <v>0.4736842105</v>
      </c>
      <c r="G42" s="384" t="str">
        <f>IFERROR(__xludf.DUMMYFUNCTION("""COMPUTED_VALUE"""),"Rocket woman ")</f>
        <v>Rocket woman </v>
      </c>
      <c r="H42" s="438">
        <f>IFERROR(__xludf.DUMMYFUNCTION("""COMPUTED_VALUE"""),0.5)</f>
        <v>0.5</v>
      </c>
      <c r="I42" s="384" t="str">
        <f>IFERROR(__xludf.DUMMYFUNCTION("""COMPUTED_VALUE"""),"Alice ")</f>
        <v>Alice </v>
      </c>
      <c r="J42" s="438">
        <f>IFERROR(__xludf.DUMMYFUNCTION("""COMPUTED_VALUE"""),0.3333333333333333)</f>
        <v>0.3333333333</v>
      </c>
      <c r="K42" s="384" t="str">
        <f>IFERROR(__xludf.DUMMYFUNCTION("""COMPUTED_VALUE"""),"Маваши")</f>
        <v>Маваши</v>
      </c>
      <c r="L42" s="438">
        <f>IFERROR(__xludf.DUMMYFUNCTION("""COMPUTED_VALUE"""),0.4)</f>
        <v>0.4</v>
      </c>
      <c r="M42" s="384" t="str">
        <f>IFERROR(__xludf.DUMMYFUNCTION("""COMPUTED_VALUE"""),"Юрия")</f>
        <v>Юрия</v>
      </c>
      <c r="N42" s="438">
        <f>IFERROR(__xludf.DUMMYFUNCTION("""COMPUTED_VALUE"""),0.4166666666666667)</f>
        <v>0.4166666667</v>
      </c>
    </row>
    <row r="43">
      <c r="A43" s="443" t="str">
        <f>IFERROR(__xludf.DUMMYFUNCTION("""COMPUTED_VALUE"""),"NLIP")</f>
        <v>NLIP</v>
      </c>
      <c r="B43" s="438">
        <f>IFERROR(__xludf.DUMMYFUNCTION("""COMPUTED_VALUE"""),0.46)</f>
        <v>0.46</v>
      </c>
      <c r="C43" s="384" t="str">
        <f>IFERROR(__xludf.DUMMYFUNCTION("""COMPUTED_VALUE"""),"SOVEST")</f>
        <v>SOVEST</v>
      </c>
      <c r="D43" s="438">
        <f>IFERROR(__xludf.DUMMYFUNCTION("""COMPUTED_VALUE"""),0.42424242424242425)</f>
        <v>0.4242424242</v>
      </c>
      <c r="E43" s="384" t="str">
        <f>IFERROR(__xludf.DUMMYFUNCTION("""COMPUTED_VALUE"""),"Bublik")</f>
        <v>Bublik</v>
      </c>
      <c r="F43" s="438">
        <f>IFERROR(__xludf.DUMMYFUNCTION("""COMPUTED_VALUE"""),0.47368421052631576)</f>
        <v>0.4736842105</v>
      </c>
      <c r="G43" s="384" t="str">
        <f>IFERROR(__xludf.DUMMYFUNCTION("""COMPUTED_VALUE"""),"WhoIsWho")</f>
        <v>WhoIsWho</v>
      </c>
      <c r="H43" s="438">
        <f>IFERROR(__xludf.DUMMYFUNCTION("""COMPUTED_VALUE"""),0.5)</f>
        <v>0.5</v>
      </c>
      <c r="I43" s="384" t="str">
        <f>IFERROR(__xludf.DUMMYFUNCTION("""COMPUTED_VALUE"""),"WhoIsWho")</f>
        <v>WhoIsWho</v>
      </c>
      <c r="J43" s="438">
        <f>IFERROR(__xludf.DUMMYFUNCTION("""COMPUTED_VALUE"""),0.3333333333333333)</f>
        <v>0.3333333333</v>
      </c>
      <c r="K43" s="384" t="str">
        <f>IFERROR(__xludf.DUMMYFUNCTION("""COMPUTED_VALUE"""),"Панда из Руанды")</f>
        <v>Панда из Руанды</v>
      </c>
      <c r="L43" s="438">
        <f>IFERROR(__xludf.DUMMYFUNCTION("""COMPUTED_VALUE"""),0.4)</f>
        <v>0.4</v>
      </c>
      <c r="M43" s="384" t="str">
        <f>IFERROR(__xludf.DUMMYFUNCTION("""COMPUTED_VALUE"""),"Rocket woman ")</f>
        <v>Rocket woman </v>
      </c>
      <c r="N43" s="438">
        <f>IFERROR(__xludf.DUMMYFUNCTION("""COMPUTED_VALUE"""),0.41379310344827586)</f>
        <v>0.4137931034</v>
      </c>
    </row>
    <row r="44">
      <c r="A44" s="443" t="str">
        <f>IFERROR(__xludf.DUMMYFUNCTION("""COMPUTED_VALUE"""),"Rocket woman ")</f>
        <v>Rocket woman </v>
      </c>
      <c r="B44" s="438">
        <f>IFERROR(__xludf.DUMMYFUNCTION("""COMPUTED_VALUE"""),0.46)</f>
        <v>0.46</v>
      </c>
      <c r="C44" s="384" t="str">
        <f>IFERROR(__xludf.DUMMYFUNCTION("""COMPUTED_VALUE"""),"GALAY")</f>
        <v>GALAY</v>
      </c>
      <c r="D44" s="438">
        <f>IFERROR(__xludf.DUMMYFUNCTION("""COMPUTED_VALUE"""),0.4166666666666667)</f>
        <v>0.4166666667</v>
      </c>
      <c r="E44" s="384" t="str">
        <f>IFERROR(__xludf.DUMMYFUNCTION("""COMPUTED_VALUE"""),"Ketamin")</f>
        <v>Ketamin</v>
      </c>
      <c r="F44" s="438">
        <f>IFERROR(__xludf.DUMMYFUNCTION("""COMPUTED_VALUE"""),0.47368421052631576)</f>
        <v>0.4736842105</v>
      </c>
      <c r="G44" s="384" t="str">
        <f>IFERROR(__xludf.DUMMYFUNCTION("""COMPUTED_VALUE"""),"Крот")</f>
        <v>Крот</v>
      </c>
      <c r="H44" s="438">
        <f>IFERROR(__xludf.DUMMYFUNCTION("""COMPUTED_VALUE"""),0.4666666666666667)</f>
        <v>0.4666666667</v>
      </c>
      <c r="I44" s="384" t="str">
        <f>IFERROR(__xludf.DUMMYFUNCTION("""COMPUTED_VALUE"""),"Young")</f>
        <v>Young</v>
      </c>
      <c r="J44" s="438">
        <f>IFERROR(__xludf.DUMMYFUNCTION("""COMPUTED_VALUE"""),0.3333333333333333)</f>
        <v>0.3333333333</v>
      </c>
      <c r="K44" s="384" t="str">
        <f>IFERROR(__xludf.DUMMYFUNCTION("""COMPUTED_VALUE"""),"Тихий закат")</f>
        <v>Тихий закат</v>
      </c>
      <c r="L44" s="438">
        <f>IFERROR(__xludf.DUMMYFUNCTION("""COMPUTED_VALUE"""),0.4)</f>
        <v>0.4</v>
      </c>
      <c r="M44" s="384" t="str">
        <f>IFERROR(__xludf.DUMMYFUNCTION("""COMPUTED_VALUE"""),"Morti")</f>
        <v>Morti</v>
      </c>
      <c r="N44" s="438">
        <f>IFERROR(__xludf.DUMMYFUNCTION("""COMPUTED_VALUE"""),0.4074074074074074)</f>
        <v>0.4074074074</v>
      </c>
    </row>
    <row r="45">
      <c r="A45" s="443" t="str">
        <f>IFERROR(__xludf.DUMMYFUNCTION("""COMPUTED_VALUE"""),"Правда ")</f>
        <v>Правда </v>
      </c>
      <c r="B45" s="438">
        <f>IFERROR(__xludf.DUMMYFUNCTION("""COMPUTED_VALUE"""),0.44)</f>
        <v>0.44</v>
      </c>
      <c r="C45" s="384" t="str">
        <f>IFERROR(__xludf.DUMMYFUNCTION("""COMPUTED_VALUE"""),"NLIP")</f>
        <v>NLIP</v>
      </c>
      <c r="D45" s="438">
        <f>IFERROR(__xludf.DUMMYFUNCTION("""COMPUTED_VALUE"""),0.4166666666666667)</f>
        <v>0.4166666667</v>
      </c>
      <c r="E45" s="384" t="str">
        <f>IFERROR(__xludf.DUMMYFUNCTION("""COMPUTED_VALUE"""),"Андерсен")</f>
        <v>Андерсен</v>
      </c>
      <c r="F45" s="438">
        <f>IFERROR(__xludf.DUMMYFUNCTION("""COMPUTED_VALUE"""),0.47058823529411764)</f>
        <v>0.4705882353</v>
      </c>
      <c r="G45" s="384" t="str">
        <f>IFERROR(__xludf.DUMMYFUNCTION("""COMPUTED_VALUE"""),"Продюсер")</f>
        <v>Продюсер</v>
      </c>
      <c r="H45" s="438">
        <f>IFERROR(__xludf.DUMMYFUNCTION("""COMPUTED_VALUE"""),0.4666666666666667)</f>
        <v>0.4666666667</v>
      </c>
      <c r="I45" s="384" t="str">
        <f>IFERROR(__xludf.DUMMYFUNCTION("""COMPUTED_VALUE"""),"Админ")</f>
        <v>Админ</v>
      </c>
      <c r="J45" s="438">
        <f>IFERROR(__xludf.DUMMYFUNCTION("""COMPUTED_VALUE"""),0.2857142857142857)</f>
        <v>0.2857142857</v>
      </c>
      <c r="K45" s="384" t="str">
        <f>IFERROR(__xludf.DUMMYFUNCTION("""COMPUTED_VALUE"""),"Физик")</f>
        <v>Физик</v>
      </c>
      <c r="L45" s="438">
        <f>IFERROR(__xludf.DUMMYFUNCTION("""COMPUTED_VALUE"""),0.4)</f>
        <v>0.4</v>
      </c>
      <c r="M45" s="384" t="str">
        <f>IFERROR(__xludf.DUMMYFUNCTION("""COMPUTED_VALUE"""),"GALAY")</f>
        <v>GALAY</v>
      </c>
      <c r="N45" s="438">
        <f>IFERROR(__xludf.DUMMYFUNCTION("""COMPUTED_VALUE"""),0.40625)</f>
        <v>0.40625</v>
      </c>
    </row>
    <row r="46">
      <c r="A46" s="443" t="str">
        <f>IFERROR(__xludf.DUMMYFUNCTION("""COMPUTED_VALUE"""),"A1 ")</f>
        <v>A1 </v>
      </c>
      <c r="B46" s="438">
        <f>IFERROR(__xludf.DUMMYFUNCTION("""COMPUTED_VALUE"""),0.44)</f>
        <v>0.44</v>
      </c>
      <c r="C46" s="384" t="str">
        <f>IFERROR(__xludf.DUMMYFUNCTION("""COMPUTED_VALUE"""),"Марго")</f>
        <v>Марго</v>
      </c>
      <c r="D46" s="438">
        <f>IFERROR(__xludf.DUMMYFUNCTION("""COMPUTED_VALUE"""),0.41025641025641024)</f>
        <v>0.4102564103</v>
      </c>
      <c r="E46" s="384" t="str">
        <f>IFERROR(__xludf.DUMMYFUNCTION("""COMPUTED_VALUE"""),"A1 ")</f>
        <v>A1 </v>
      </c>
      <c r="F46" s="438">
        <f>IFERROR(__xludf.DUMMYFUNCTION("""COMPUTED_VALUE"""),0.47058823529411764)</f>
        <v>0.4705882353</v>
      </c>
      <c r="G46" s="384" t="str">
        <f>IFERROR(__xludf.DUMMYFUNCTION("""COMPUTED_VALUE"""),"Флэш")</f>
        <v>Флэш</v>
      </c>
      <c r="H46" s="438">
        <f>IFERROR(__xludf.DUMMYFUNCTION("""COMPUTED_VALUE"""),0.4666666666666667)</f>
        <v>0.4666666667</v>
      </c>
      <c r="I46" s="384" t="str">
        <f>IFERROR(__xludf.DUMMYFUNCTION("""COMPUTED_VALUE"""),"Андерсен")</f>
        <v>Андерсен</v>
      </c>
      <c r="J46" s="438">
        <f>IFERROR(__xludf.DUMMYFUNCTION("""COMPUTED_VALUE"""),0.25)</f>
        <v>0.25</v>
      </c>
      <c r="K46" s="384" t="str">
        <f>IFERROR(__xludf.DUMMYFUNCTION("""COMPUTED_VALUE"""),"Helga")</f>
        <v>Helga</v>
      </c>
      <c r="L46" s="438">
        <f>IFERROR(__xludf.DUMMYFUNCTION("""COMPUTED_VALUE"""),0.4)</f>
        <v>0.4</v>
      </c>
      <c r="M46" s="384" t="str">
        <f>IFERROR(__xludf.DUMMYFUNCTION("""COMPUTED_VALUE"""),"Лисичка")</f>
        <v>Лисичка</v>
      </c>
      <c r="N46" s="438">
        <f>IFERROR(__xludf.DUMMYFUNCTION("""COMPUTED_VALUE"""),0.3939393939393939)</f>
        <v>0.3939393939</v>
      </c>
    </row>
    <row r="47">
      <c r="A47" s="443" t="str">
        <f>IFERROR(__xludf.DUMMYFUNCTION("""COMPUTED_VALUE"""),"Infinity ")</f>
        <v>Infinity </v>
      </c>
      <c r="B47" s="438">
        <f>IFERROR(__xludf.DUMMYFUNCTION("""COMPUTED_VALUE"""),0.44)</f>
        <v>0.44</v>
      </c>
      <c r="C47" s="384" t="str">
        <f>IFERROR(__xludf.DUMMYFUNCTION("""COMPUTED_VALUE"""),"Stacy")</f>
        <v>Stacy</v>
      </c>
      <c r="D47" s="438">
        <f>IFERROR(__xludf.DUMMYFUNCTION("""COMPUTED_VALUE"""),0.41025641025641024)</f>
        <v>0.4102564103</v>
      </c>
      <c r="E47" s="384" t="str">
        <f>IFERROR(__xludf.DUMMYFUNCTION("""COMPUTED_VALUE"""),"Helga")</f>
        <v>Helga</v>
      </c>
      <c r="F47" s="438">
        <f>IFERROR(__xludf.DUMMYFUNCTION("""COMPUTED_VALUE"""),0.47058823529411764)</f>
        <v>0.4705882353</v>
      </c>
      <c r="G47" s="384" t="str">
        <f>IFERROR(__xludf.DUMMYFUNCTION("""COMPUTED_VALUE"""),"Ментик")</f>
        <v>Ментик</v>
      </c>
      <c r="H47" s="438">
        <f>IFERROR(__xludf.DUMMYFUNCTION("""COMPUTED_VALUE"""),0.46153846153846156)</f>
        <v>0.4615384615</v>
      </c>
      <c r="I47" s="384" t="str">
        <f>IFERROR(__xludf.DUMMYFUNCTION("""COMPUTED_VALUE"""),"Castor Troy ")</f>
        <v>Castor Troy </v>
      </c>
      <c r="J47" s="438">
        <f>IFERROR(__xludf.DUMMYFUNCTION("""COMPUTED_VALUE"""),0.25)</f>
        <v>0.25</v>
      </c>
      <c r="K47" s="384" t="str">
        <f>IFERROR(__xludf.DUMMYFUNCTION("""COMPUTED_VALUE"""),"Писатель ")</f>
        <v>Писатель </v>
      </c>
      <c r="L47" s="438">
        <f>IFERROR(__xludf.DUMMYFUNCTION("""COMPUTED_VALUE"""),0.3333333333333333)</f>
        <v>0.3333333333</v>
      </c>
      <c r="M47" s="384" t="str">
        <f>IFERROR(__xludf.DUMMYFUNCTION("""COMPUTED_VALUE"""),"Аш")</f>
        <v>Аш</v>
      </c>
      <c r="N47" s="438">
        <f>IFERROR(__xludf.DUMMYFUNCTION("""COMPUTED_VALUE"""),0.39285714285714285)</f>
        <v>0.3928571429</v>
      </c>
    </row>
    <row r="48">
      <c r="A48" s="443" t="str">
        <f>IFERROR(__xludf.DUMMYFUNCTION("""COMPUTED_VALUE"""),"MSR")</f>
        <v>MSR</v>
      </c>
      <c r="B48" s="438">
        <f>IFERROR(__xludf.DUMMYFUNCTION("""COMPUTED_VALUE"""),0.44)</f>
        <v>0.44</v>
      </c>
      <c r="C48" s="384" t="str">
        <f>IFERROR(__xludf.DUMMYFUNCTION("""COMPUTED_VALUE"""),"Аш")</f>
        <v>Аш</v>
      </c>
      <c r="D48" s="438">
        <f>IFERROR(__xludf.DUMMYFUNCTION("""COMPUTED_VALUE"""),0.4)</f>
        <v>0.4</v>
      </c>
      <c r="E48" s="384" t="str">
        <f>IFERROR(__xludf.DUMMYFUNCTION("""COMPUTED_VALUE"""),"SCHOKK ")</f>
        <v>SCHOKK </v>
      </c>
      <c r="F48" s="438">
        <f>IFERROR(__xludf.DUMMYFUNCTION("""COMPUTED_VALUE"""),0.4583333333333333)</f>
        <v>0.4583333333</v>
      </c>
      <c r="G48" s="384" t="str">
        <f>IFERROR(__xludf.DUMMYFUNCTION("""COMPUTED_VALUE"""),"A1 ")</f>
        <v>A1 </v>
      </c>
      <c r="H48" s="438">
        <f>IFERROR(__xludf.DUMMYFUNCTION("""COMPUTED_VALUE"""),0.46153846153846156)</f>
        <v>0.4615384615</v>
      </c>
      <c r="I48" s="384" t="str">
        <f>IFERROR(__xludf.DUMMYFUNCTION("""COMPUTED_VALUE"""),"Infinity ")</f>
        <v>Infinity </v>
      </c>
      <c r="J48" s="438">
        <f>IFERROR(__xludf.DUMMYFUNCTION("""COMPUTED_VALUE"""),0.25)</f>
        <v>0.25</v>
      </c>
      <c r="K48" s="384" t="str">
        <f>IFERROR(__xludf.DUMMYFUNCTION("""COMPUTED_VALUE"""),"Продюсер")</f>
        <v>Продюсер</v>
      </c>
      <c r="L48" s="438">
        <f>IFERROR(__xludf.DUMMYFUNCTION("""COMPUTED_VALUE"""),0.3333333333333333)</f>
        <v>0.3333333333</v>
      </c>
      <c r="M48" s="384" t="str">
        <f>IFERROR(__xludf.DUMMYFUNCTION("""COMPUTED_VALUE"""),"A1 ")</f>
        <v>A1 </v>
      </c>
      <c r="N48" s="438">
        <f>IFERROR(__xludf.DUMMYFUNCTION("""COMPUTED_VALUE"""),0.39285714285714285)</f>
        <v>0.3928571429</v>
      </c>
    </row>
    <row r="49">
      <c r="A49" s="443" t="str">
        <f>IFERROR(__xludf.DUMMYFUNCTION("""COMPUTED_VALUE"""),"Манекен")</f>
        <v>Манекен</v>
      </c>
      <c r="B49" s="438">
        <f>IFERROR(__xludf.DUMMYFUNCTION("""COMPUTED_VALUE"""),0.42)</f>
        <v>0.42</v>
      </c>
      <c r="C49" s="384" t="str">
        <f>IFERROR(__xludf.DUMMYFUNCTION("""COMPUTED_VALUE"""),"Лисичка")</f>
        <v>Лисичка</v>
      </c>
      <c r="D49" s="438">
        <f>IFERROR(__xludf.DUMMYFUNCTION("""COMPUTED_VALUE"""),0.39473684210526316)</f>
        <v>0.3947368421</v>
      </c>
      <c r="E49" s="384" t="str">
        <f>IFERROR(__xludf.DUMMYFUNCTION("""COMPUTED_VALUE"""),"Крот")</f>
        <v>Крот</v>
      </c>
      <c r="F49" s="438">
        <f>IFERROR(__xludf.DUMMYFUNCTION("""COMPUTED_VALUE"""),0.45)</f>
        <v>0.45</v>
      </c>
      <c r="G49" s="384" t="str">
        <f>IFERROR(__xludf.DUMMYFUNCTION("""COMPUTED_VALUE"""),"Morti")</f>
        <v>Morti</v>
      </c>
      <c r="H49" s="438">
        <f>IFERROR(__xludf.DUMMYFUNCTION("""COMPUTED_VALUE"""),0.46153846153846156)</f>
        <v>0.4615384615</v>
      </c>
      <c r="I49" s="384" t="str">
        <f>IFERROR(__xludf.DUMMYFUNCTION("""COMPUTED_VALUE"""),"Light")</f>
        <v>Light</v>
      </c>
      <c r="J49" s="438">
        <f>IFERROR(__xludf.DUMMYFUNCTION("""COMPUTED_VALUE"""),0.25)</f>
        <v>0.25</v>
      </c>
      <c r="K49" s="384" t="str">
        <f>IFERROR(__xludf.DUMMYFUNCTION("""COMPUTED_VALUE"""),"BWDMoscow")</f>
        <v>BWDMoscow</v>
      </c>
      <c r="L49" s="438">
        <f>IFERROR(__xludf.DUMMYFUNCTION("""COMPUTED_VALUE"""),0.3333333333333333)</f>
        <v>0.3333333333</v>
      </c>
      <c r="M49" s="384" t="str">
        <f>IFERROR(__xludf.DUMMYFUNCTION("""COMPUTED_VALUE"""),"Шоу Бой")</f>
        <v>Шоу Бой</v>
      </c>
      <c r="N49" s="438">
        <f>IFERROR(__xludf.DUMMYFUNCTION("""COMPUTED_VALUE"""),0.3870967741935484)</f>
        <v>0.3870967742</v>
      </c>
    </row>
    <row r="50">
      <c r="A50" s="443" t="str">
        <f>IFERROR(__xludf.DUMMYFUNCTION("""COMPUTED_VALUE"""),"СЭНСЭЙ")</f>
        <v>СЭНСЭЙ</v>
      </c>
      <c r="B50" s="438">
        <f>IFERROR(__xludf.DUMMYFUNCTION("""COMPUTED_VALUE"""),0.42)</f>
        <v>0.42</v>
      </c>
      <c r="C50" s="384" t="str">
        <f>IFERROR(__xludf.DUMMYFUNCTION("""COMPUTED_VALUE"""),"Левша")</f>
        <v>Левша</v>
      </c>
      <c r="D50" s="438">
        <f>IFERROR(__xludf.DUMMYFUNCTION("""COMPUTED_VALUE"""),0.3870967741935484)</f>
        <v>0.3870967742</v>
      </c>
      <c r="E50" s="384" t="str">
        <f>IFERROR(__xludf.DUMMYFUNCTION("""COMPUTED_VALUE"""),"Продюсер")</f>
        <v>Продюсер</v>
      </c>
      <c r="F50" s="438">
        <f>IFERROR(__xludf.DUMMYFUNCTION("""COMPUTED_VALUE"""),0.4444444444444444)</f>
        <v>0.4444444444</v>
      </c>
      <c r="G50" s="384" t="str">
        <f>IFERROR(__xludf.DUMMYFUNCTION("""COMPUTED_VALUE"""),"Андерсен")</f>
        <v>Андерсен</v>
      </c>
      <c r="H50" s="438">
        <f>IFERROR(__xludf.DUMMYFUNCTION("""COMPUTED_VALUE"""),0.45454545454545453)</f>
        <v>0.4545454545</v>
      </c>
      <c r="I50" s="384" t="str">
        <f>IFERROR(__xludf.DUMMYFUNCTION("""COMPUTED_VALUE"""),"Ментик")</f>
        <v>Ментик</v>
      </c>
      <c r="J50" s="438">
        <f>IFERROR(__xludf.DUMMYFUNCTION("""COMPUTED_VALUE"""),0.2)</f>
        <v>0.2</v>
      </c>
      <c r="K50" s="384" t="str">
        <f>IFERROR(__xludf.DUMMYFUNCTION("""COMPUTED_VALUE"""),"Ketamin")</f>
        <v>Ketamin</v>
      </c>
      <c r="L50" s="438">
        <f>IFERROR(__xludf.DUMMYFUNCTION("""COMPUTED_VALUE"""),0.3333333333333333)</f>
        <v>0.3333333333</v>
      </c>
      <c r="M50" s="384" t="str">
        <f>IFERROR(__xludf.DUMMYFUNCTION("""COMPUTED_VALUE"""),"NLIP")</f>
        <v>NLIP</v>
      </c>
      <c r="N50" s="438">
        <f>IFERROR(__xludf.DUMMYFUNCTION("""COMPUTED_VALUE"""),0.3870967741935484)</f>
        <v>0.3870967742</v>
      </c>
    </row>
    <row r="51">
      <c r="A51" s="443" t="str">
        <f>IFERROR(__xludf.DUMMYFUNCTION("""COMPUTED_VALUE"""),"Флэш")</f>
        <v>Флэш</v>
      </c>
      <c r="B51" s="438">
        <f>IFERROR(__xludf.DUMMYFUNCTION("""COMPUTED_VALUE"""),0.42)</f>
        <v>0.42</v>
      </c>
      <c r="C51" s="384" t="str">
        <f>IFERROR(__xludf.DUMMYFUNCTION("""COMPUTED_VALUE"""),"Флэш")</f>
        <v>Флэш</v>
      </c>
      <c r="D51" s="438">
        <f>IFERROR(__xludf.DUMMYFUNCTION("""COMPUTED_VALUE"""),0.3870967741935484)</f>
        <v>0.3870967742</v>
      </c>
      <c r="E51" s="384" t="str">
        <f>IFERROR(__xludf.DUMMYFUNCTION("""COMPUTED_VALUE"""),"Infinity ")</f>
        <v>Infinity </v>
      </c>
      <c r="F51" s="438">
        <f>IFERROR(__xludf.DUMMYFUNCTION("""COMPUTED_VALUE"""),0.4375)</f>
        <v>0.4375</v>
      </c>
      <c r="G51" s="384" t="str">
        <f>IFERROR(__xludf.DUMMYFUNCTION("""COMPUTED_VALUE"""),"Левша")</f>
        <v>Левша</v>
      </c>
      <c r="H51" s="438">
        <f>IFERROR(__xludf.DUMMYFUNCTION("""COMPUTED_VALUE"""),0.4444444444444444)</f>
        <v>0.4444444444</v>
      </c>
      <c r="I51" s="384" t="str">
        <f>IFERROR(__xludf.DUMMYFUNCTION("""COMPUTED_VALUE"""),"Фокс")</f>
        <v>Фокс</v>
      </c>
      <c r="J51" s="438">
        <f>IFERROR(__xludf.DUMMYFUNCTION("""COMPUTED_VALUE"""),0.2)</f>
        <v>0.2</v>
      </c>
      <c r="K51" s="384" t="str">
        <f>IFERROR(__xludf.DUMMYFUNCTION("""COMPUTED_VALUE"""),"Light")</f>
        <v>Light</v>
      </c>
      <c r="L51" s="438">
        <f>IFERROR(__xludf.DUMMYFUNCTION("""COMPUTED_VALUE"""),0.3333333333333333)</f>
        <v>0.3333333333</v>
      </c>
      <c r="M51" s="384" t="str">
        <f>IFERROR(__xludf.DUMMYFUNCTION("""COMPUTED_VALUE"""),"MSR")</f>
        <v>MSR</v>
      </c>
      <c r="N51" s="438">
        <f>IFERROR(__xludf.DUMMYFUNCTION("""COMPUTED_VALUE"""),0.38235294117647056)</f>
        <v>0.3823529412</v>
      </c>
    </row>
    <row r="52">
      <c r="A52" s="384" t="str">
        <f>IFERROR(__xludf.DUMMYFUNCTION("""COMPUTED_VALUE"""),"GALAY")</f>
        <v>GALAY</v>
      </c>
      <c r="B52" s="438">
        <f>IFERROR(__xludf.DUMMYFUNCTION("""COMPUTED_VALUE"""),0.42)</f>
        <v>0.42</v>
      </c>
      <c r="C52" s="384" t="str">
        <f>IFERROR(__xludf.DUMMYFUNCTION("""COMPUTED_VALUE"""),"SCHOKK ")</f>
        <v>SCHOKK </v>
      </c>
      <c r="D52" s="438">
        <f>IFERROR(__xludf.DUMMYFUNCTION("""COMPUTED_VALUE"""),0.38461538461538464)</f>
        <v>0.3846153846</v>
      </c>
      <c r="E52" s="384" t="str">
        <f>IFERROR(__xludf.DUMMYFUNCTION("""COMPUTED_VALUE"""),"Правда ")</f>
        <v>Правда </v>
      </c>
      <c r="F52" s="438">
        <f>IFERROR(__xludf.DUMMYFUNCTION("""COMPUTED_VALUE"""),0.42857142857142855)</f>
        <v>0.4285714286</v>
      </c>
      <c r="G52" s="384" t="str">
        <f>IFERROR(__xludf.DUMMYFUNCTION("""COMPUTED_VALUE"""),"Шоу Бой")</f>
        <v>Шоу Бой</v>
      </c>
      <c r="H52" s="438">
        <f>IFERROR(__xludf.DUMMYFUNCTION("""COMPUTED_VALUE"""),0.4444444444444444)</f>
        <v>0.4444444444</v>
      </c>
      <c r="I52" s="384" t="str">
        <f>IFERROR(__xludf.DUMMYFUNCTION("""COMPUTED_VALUE"""),"Левша")</f>
        <v>Левша</v>
      </c>
      <c r="J52" s="438">
        <f>IFERROR(__xludf.DUMMYFUNCTION("""COMPUTED_VALUE"""),0.16666666666666666)</f>
        <v>0.1666666667</v>
      </c>
      <c r="K52" s="384" t="str">
        <f>IFERROR(__xludf.DUMMYFUNCTION("""COMPUTED_VALUE"""),"Правда ")</f>
        <v>Правда </v>
      </c>
      <c r="L52" s="438">
        <f>IFERROR(__xludf.DUMMYFUNCTION("""COMPUTED_VALUE"""),0.2857142857142857)</f>
        <v>0.2857142857</v>
      </c>
      <c r="M52" s="384" t="str">
        <f>IFERROR(__xludf.DUMMYFUNCTION("""COMPUTED_VALUE"""),"Марго")</f>
        <v>Марго</v>
      </c>
      <c r="N52" s="438">
        <f>IFERROR(__xludf.DUMMYFUNCTION("""COMPUTED_VALUE"""),0.3793103448275862)</f>
        <v>0.3793103448</v>
      </c>
    </row>
    <row r="53">
      <c r="A53" s="384" t="str">
        <f>IFERROR(__xludf.DUMMYFUNCTION("""COMPUTED_VALUE"""),"Morti")</f>
        <v>Morti</v>
      </c>
      <c r="B53" s="438">
        <f>IFERROR(__xludf.DUMMYFUNCTION("""COMPUTED_VALUE"""),0.42)</f>
        <v>0.42</v>
      </c>
      <c r="C53" s="384" t="str">
        <f>IFERROR(__xludf.DUMMYFUNCTION("""COMPUTED_VALUE"""),"Манекен")</f>
        <v>Манекен</v>
      </c>
      <c r="D53" s="438">
        <f>IFERROR(__xludf.DUMMYFUNCTION("""COMPUTED_VALUE"""),0.3783783783783784)</f>
        <v>0.3783783784</v>
      </c>
      <c r="E53" s="384" t="str">
        <f>IFERROR(__xludf.DUMMYFUNCTION("""COMPUTED_VALUE"""),"GALAY")</f>
        <v>GALAY</v>
      </c>
      <c r="F53" s="438">
        <f>IFERROR(__xludf.DUMMYFUNCTION("""COMPUTED_VALUE"""),0.42857142857142855)</f>
        <v>0.4285714286</v>
      </c>
      <c r="G53" s="384" t="str">
        <f>IFERROR(__xludf.DUMMYFUNCTION("""COMPUTED_VALUE"""),"Young")</f>
        <v>Young</v>
      </c>
      <c r="H53" s="438">
        <f>IFERROR(__xludf.DUMMYFUNCTION("""COMPUTED_VALUE"""),0.4375)</f>
        <v>0.4375</v>
      </c>
      <c r="I53" s="384" t="str">
        <f>IFERROR(__xludf.DUMMYFUNCTION("""COMPUTED_VALUE"""),"Шпиц")</f>
        <v>Шпиц</v>
      </c>
      <c r="J53" s="438">
        <f>IFERROR(__xludf.DUMMYFUNCTION("""COMPUTED_VALUE"""),0.16666666666666666)</f>
        <v>0.1666666667</v>
      </c>
      <c r="K53" s="384" t="str">
        <f>IFERROR(__xludf.DUMMYFUNCTION("""COMPUTED_VALUE"""),"Alice ")</f>
        <v>Alice </v>
      </c>
      <c r="L53" s="438">
        <f>IFERROR(__xludf.DUMMYFUNCTION("""COMPUTED_VALUE"""),0.2857142857142857)</f>
        <v>0.2857142857</v>
      </c>
      <c r="M53" s="384" t="str">
        <f>IFERROR(__xludf.DUMMYFUNCTION("""COMPUTED_VALUE"""),"WhoIsWho")</f>
        <v>WhoIsWho</v>
      </c>
      <c r="N53" s="438">
        <f>IFERROR(__xludf.DUMMYFUNCTION("""COMPUTED_VALUE"""),0.3783783783783784)</f>
        <v>0.3783783784</v>
      </c>
    </row>
    <row r="54">
      <c r="A54" s="384" t="str">
        <f>IFERROR(__xludf.DUMMYFUNCTION("""COMPUTED_VALUE"""),"SCHOKK ")</f>
        <v>SCHOKK </v>
      </c>
      <c r="B54" s="438">
        <f>IFERROR(__xludf.DUMMYFUNCTION("""COMPUTED_VALUE"""),0.42)</f>
        <v>0.42</v>
      </c>
      <c r="C54" s="384" t="str">
        <f>IFERROR(__xludf.DUMMYFUNCTION("""COMPUTED_VALUE"""),"Шпиц")</f>
        <v>Шпиц</v>
      </c>
      <c r="D54" s="438">
        <f>IFERROR(__xludf.DUMMYFUNCTION("""COMPUTED_VALUE"""),0.375)</f>
        <v>0.375</v>
      </c>
      <c r="E54" s="384" t="str">
        <f>IFERROR(__xludf.DUMMYFUNCTION("""COMPUTED_VALUE"""),"Rocket woman ")</f>
        <v>Rocket woman </v>
      </c>
      <c r="F54" s="438">
        <f>IFERROR(__xludf.DUMMYFUNCTION("""COMPUTED_VALUE"""),0.42857142857142855)</f>
        <v>0.4285714286</v>
      </c>
      <c r="G54" s="384" t="str">
        <f>IFERROR(__xludf.DUMMYFUNCTION("""COMPUTED_VALUE"""),"Curly")</f>
        <v>Curly</v>
      </c>
      <c r="H54" s="438">
        <f>IFERROR(__xludf.DUMMYFUNCTION("""COMPUTED_VALUE"""),0.42857142857142855)</f>
        <v>0.4285714286</v>
      </c>
      <c r="I54" s="384" t="str">
        <f>IFERROR(__xludf.DUMMYFUNCTION("""COMPUTED_VALUE"""),"MSR")</f>
        <v>MSR</v>
      </c>
      <c r="J54" s="438">
        <f>IFERROR(__xludf.DUMMYFUNCTION("""COMPUTED_VALUE"""),0.16666666666666666)</f>
        <v>0.1666666667</v>
      </c>
      <c r="K54" s="384" t="str">
        <f>IFERROR(__xludf.DUMMYFUNCTION("""COMPUTED_VALUE"""),"Morti")</f>
        <v>Morti</v>
      </c>
      <c r="L54" s="438">
        <f>IFERROR(__xludf.DUMMYFUNCTION("""COMPUTED_VALUE"""),0.2857142857142857)</f>
        <v>0.2857142857</v>
      </c>
      <c r="M54" s="384" t="str">
        <f>IFERROR(__xludf.DUMMYFUNCTION("""COMPUTED_VALUE"""),"Флэш")</f>
        <v>Флэш</v>
      </c>
      <c r="N54" s="438">
        <f>IFERROR(__xludf.DUMMYFUNCTION("""COMPUTED_VALUE"""),0.375)</f>
        <v>0.375</v>
      </c>
    </row>
    <row r="55">
      <c r="A55" s="384" t="str">
        <f>IFERROR(__xludf.DUMMYFUNCTION("""COMPUTED_VALUE"""),"Юрия")</f>
        <v>Юрия</v>
      </c>
      <c r="B55" s="438">
        <f>IFERROR(__xludf.DUMMYFUNCTION("""COMPUTED_VALUE"""),0.4)</f>
        <v>0.4</v>
      </c>
      <c r="C55" s="384" t="str">
        <f>IFERROR(__xludf.DUMMYFUNCTION("""COMPUTED_VALUE"""),"WhoIsWho")</f>
        <v>WhoIsWho</v>
      </c>
      <c r="D55" s="438">
        <f>IFERROR(__xludf.DUMMYFUNCTION("""COMPUTED_VALUE"""),0.375)</f>
        <v>0.375</v>
      </c>
      <c r="E55" s="384" t="str">
        <f>IFERROR(__xludf.DUMMYFUNCTION("""COMPUTED_VALUE"""),"Мишель ")</f>
        <v>Мишель </v>
      </c>
      <c r="F55" s="438">
        <f>IFERROR(__xludf.DUMMYFUNCTION("""COMPUTED_VALUE"""),0.4166666666666667)</f>
        <v>0.4166666667</v>
      </c>
      <c r="G55" s="384" t="str">
        <f>IFERROR(__xludf.DUMMYFUNCTION("""COMPUTED_VALUE"""),"SCHOKK ")</f>
        <v>SCHOKK </v>
      </c>
      <c r="H55" s="438">
        <f>IFERROR(__xludf.DUMMYFUNCTION("""COMPUTED_VALUE"""),0.42857142857142855)</f>
        <v>0.4285714286</v>
      </c>
      <c r="I55" s="384" t="str">
        <f>IFERROR(__xludf.DUMMYFUNCTION("""COMPUTED_VALUE"""),"Инсомнич")</f>
        <v>Инсомнич</v>
      </c>
      <c r="J55" s="438">
        <f>IFERROR(__xludf.DUMMYFUNCTION("""COMPUTED_VALUE"""),0.0)</f>
        <v>0</v>
      </c>
      <c r="K55" s="384" t="str">
        <f>IFERROR(__xludf.DUMMYFUNCTION("""COMPUTED_VALUE"""),"Rocket woman ")</f>
        <v>Rocket woman </v>
      </c>
      <c r="L55" s="438">
        <f>IFERROR(__xludf.DUMMYFUNCTION("""COMPUTED_VALUE"""),0.25)</f>
        <v>0.25</v>
      </c>
      <c r="M55" s="384" t="str">
        <f>IFERROR(__xludf.DUMMYFUNCTION("""COMPUTED_VALUE"""),"Stacy")</f>
        <v>Stacy</v>
      </c>
      <c r="N55" s="438">
        <f>IFERROR(__xludf.DUMMYFUNCTION("""COMPUTED_VALUE"""),0.375)</f>
        <v>0.375</v>
      </c>
    </row>
    <row r="56">
      <c r="A56" s="384" t="str">
        <f>IFERROR(__xludf.DUMMYFUNCTION("""COMPUTED_VALUE"""),"WhoIsWho")</f>
        <v>WhoIsWho</v>
      </c>
      <c r="B56" s="438">
        <f>IFERROR(__xludf.DUMMYFUNCTION("""COMPUTED_VALUE"""),0.4)</f>
        <v>0.4</v>
      </c>
      <c r="C56" s="384" t="str">
        <f>IFERROR(__xludf.DUMMYFUNCTION("""COMPUTED_VALUE"""),"Старый")</f>
        <v>Старый</v>
      </c>
      <c r="D56" s="438">
        <f>IFERROR(__xludf.DUMMYFUNCTION("""COMPUTED_VALUE"""),0.37142857142857144)</f>
        <v>0.3714285714</v>
      </c>
      <c r="E56" s="384" t="str">
        <f>IFERROR(__xludf.DUMMYFUNCTION("""COMPUTED_VALUE"""),"Панда из Руанды")</f>
        <v>Панда из Руанды</v>
      </c>
      <c r="F56" s="438">
        <f>IFERROR(__xludf.DUMMYFUNCTION("""COMPUTED_VALUE"""),0.4)</f>
        <v>0.4</v>
      </c>
      <c r="G56" s="384" t="str">
        <f>IFERROR(__xludf.DUMMYFUNCTION("""COMPUTED_VALUE"""),"Волга")</f>
        <v>Волга</v>
      </c>
      <c r="H56" s="438">
        <f>IFERROR(__xludf.DUMMYFUNCTION("""COMPUTED_VALUE"""),0.4)</f>
        <v>0.4</v>
      </c>
      <c r="I56" s="384" t="str">
        <f>IFERROR(__xludf.DUMMYFUNCTION("""COMPUTED_VALUE"""),"Красавчик")</f>
        <v>Красавчик</v>
      </c>
      <c r="J56" s="438">
        <f>IFERROR(__xludf.DUMMYFUNCTION("""COMPUTED_VALUE"""),0.0)</f>
        <v>0</v>
      </c>
      <c r="K56" s="384" t="str">
        <f>IFERROR(__xludf.DUMMYFUNCTION("""COMPUTED_VALUE"""),"Левша")</f>
        <v>Левша</v>
      </c>
      <c r="L56" s="438">
        <f>IFERROR(__xludf.DUMMYFUNCTION("""COMPUTED_VALUE"""),0.2)</f>
        <v>0.2</v>
      </c>
      <c r="M56" s="384" t="str">
        <f>IFERROR(__xludf.DUMMYFUNCTION("""COMPUTED_VALUE"""),"SCHOKK ")</f>
        <v>SCHOKK </v>
      </c>
      <c r="N56" s="438">
        <f>IFERROR(__xludf.DUMMYFUNCTION("""COMPUTED_VALUE"""),0.36363636363636365)</f>
        <v>0.3636363636</v>
      </c>
    </row>
    <row r="57">
      <c r="A57" s="384" t="str">
        <f>IFERROR(__xludf.DUMMYFUNCTION("""COMPUTED_VALUE"""),"Наполеон")</f>
        <v>Наполеон</v>
      </c>
      <c r="B57" s="438">
        <f>IFERROR(__xludf.DUMMYFUNCTION("""COMPUTED_VALUE"""),0.38)</f>
        <v>0.38</v>
      </c>
      <c r="C57" s="384" t="str">
        <f>IFERROR(__xludf.DUMMYFUNCTION("""COMPUTED_VALUE"""),"MSR")</f>
        <v>MSR</v>
      </c>
      <c r="D57" s="438">
        <f>IFERROR(__xludf.DUMMYFUNCTION("""COMPUTED_VALUE"""),0.35)</f>
        <v>0.35</v>
      </c>
      <c r="E57" s="384" t="str">
        <f>IFERROR(__xludf.DUMMYFUNCTION("""COMPUTED_VALUE"""),"Morti")</f>
        <v>Morti</v>
      </c>
      <c r="F57" s="438">
        <f>IFERROR(__xludf.DUMMYFUNCTION("""COMPUTED_VALUE"""),0.4)</f>
        <v>0.4</v>
      </c>
      <c r="G57" s="384" t="str">
        <f>IFERROR(__xludf.DUMMYFUNCTION("""COMPUTED_VALUE"""),"Панда из Руанды")</f>
        <v>Панда из Руанды</v>
      </c>
      <c r="H57" s="438">
        <f>IFERROR(__xludf.DUMMYFUNCTION("""COMPUTED_VALUE"""),0.4)</f>
        <v>0.4</v>
      </c>
      <c r="I57" s="384" t="str">
        <f>IFERROR(__xludf.DUMMYFUNCTION("""COMPUTED_VALUE"""),"Крестный отец (BLR)")</f>
        <v>Крестный отец (BLR)</v>
      </c>
      <c r="J57" s="438">
        <f>IFERROR(__xludf.DUMMYFUNCTION("""COMPUTED_VALUE"""),0.0)</f>
        <v>0</v>
      </c>
      <c r="K57" s="384" t="str">
        <f>IFERROR(__xludf.DUMMYFUNCTION("""COMPUTED_VALUE"""),"Мишель ")</f>
        <v>Мишель </v>
      </c>
      <c r="L57" s="438">
        <f>IFERROR(__xludf.DUMMYFUNCTION("""COMPUTED_VALUE"""),0.0)</f>
        <v>0</v>
      </c>
      <c r="M57" s="384" t="str">
        <f>IFERROR(__xludf.DUMMYFUNCTION("""COMPUTED_VALUE"""),"Наполеон")</f>
        <v>Наполеон</v>
      </c>
      <c r="N57" s="438">
        <f>IFERROR(__xludf.DUMMYFUNCTION("""COMPUTED_VALUE"""),0.3125)</f>
        <v>0.3125</v>
      </c>
    </row>
    <row r="58">
      <c r="A58" s="384" t="str">
        <f>IFERROR(__xludf.DUMMYFUNCTION("""COMPUTED_VALUE"""),"Левша")</f>
        <v>Левша</v>
      </c>
      <c r="B58" s="438">
        <f>IFERROR(__xludf.DUMMYFUNCTION("""COMPUTED_VALUE"""),0.37777777777777777)</f>
        <v>0.3777777778</v>
      </c>
      <c r="C58" s="384" t="str">
        <f>IFERROR(__xludf.DUMMYFUNCTION("""COMPUTED_VALUE"""),"Бамблби")</f>
        <v>Бамблби</v>
      </c>
      <c r="D58" s="438">
        <f>IFERROR(__xludf.DUMMYFUNCTION("""COMPUTED_VALUE"""),0.3142857142857143)</f>
        <v>0.3142857143</v>
      </c>
      <c r="E58" s="384" t="str">
        <f>IFERROR(__xludf.DUMMYFUNCTION("""COMPUTED_VALUE"""),"Левша")</f>
        <v>Левша</v>
      </c>
      <c r="F58" s="438">
        <f>IFERROR(__xludf.DUMMYFUNCTION("""COMPUTED_VALUE"""),0.35714285714285715)</f>
        <v>0.3571428571</v>
      </c>
      <c r="G58" s="384" t="str">
        <f>IFERROR(__xludf.DUMMYFUNCTION("""COMPUTED_VALUE"""),"СЭНСЭЙ")</f>
        <v>СЭНСЭЙ</v>
      </c>
      <c r="H58" s="438">
        <f>IFERROR(__xludf.DUMMYFUNCTION("""COMPUTED_VALUE"""),0.4)</f>
        <v>0.4</v>
      </c>
      <c r="I58" s="384" t="str">
        <f>IFERROR(__xludf.DUMMYFUNCTION("""COMPUTED_VALUE"""),"Наполеон")</f>
        <v>Наполеон</v>
      </c>
      <c r="J58" s="438">
        <f>IFERROR(__xludf.DUMMYFUNCTION("""COMPUTED_VALUE"""),0.0)</f>
        <v>0</v>
      </c>
      <c r="K58" s="384" t="str">
        <f>IFERROR(__xludf.DUMMYFUNCTION("""COMPUTED_VALUE"""),"СЭНСЭЙ")</f>
        <v>СЭНСЭЙ</v>
      </c>
      <c r="L58" s="438">
        <f>IFERROR(__xludf.DUMMYFUNCTION("""COMPUTED_VALUE"""),0.0)</f>
        <v>0</v>
      </c>
      <c r="M58" s="384" t="str">
        <f>IFERROR(__xludf.DUMMYFUNCTION("""COMPUTED_VALUE"""),"Light")</f>
        <v>Light</v>
      </c>
      <c r="N58" s="438">
        <f>IFERROR(__xludf.DUMMYFUNCTION("""COMPUTED_VALUE"""),0.3125)</f>
        <v>0.3125</v>
      </c>
    </row>
    <row r="59">
      <c r="A59" s="384" t="str">
        <f>IFERROR(__xludf.DUMMYFUNCTION("""COMPUTED_VALUE"""),"Helga")</f>
        <v>Helga</v>
      </c>
      <c r="B59" s="438">
        <f>IFERROR(__xludf.DUMMYFUNCTION("""COMPUTED_VALUE"""),0.36)</f>
        <v>0.36</v>
      </c>
      <c r="C59" s="384" t="str">
        <f>IFERROR(__xludf.DUMMYFUNCTION("""COMPUTED_VALUE"""),"Light")</f>
        <v>Light</v>
      </c>
      <c r="D59" s="438">
        <f>IFERROR(__xludf.DUMMYFUNCTION("""COMPUTED_VALUE"""),0.3055555555555556)</f>
        <v>0.3055555556</v>
      </c>
      <c r="E59" s="384" t="str">
        <f>IFERROR(__xludf.DUMMYFUNCTION("""COMPUTED_VALUE"""),"СЭНСЭЙ")</f>
        <v>СЭНСЭЙ</v>
      </c>
      <c r="F59" s="438">
        <f>IFERROR(__xludf.DUMMYFUNCTION("""COMPUTED_VALUE"""),0.3333333333333333)</f>
        <v>0.3333333333</v>
      </c>
      <c r="G59" s="384" t="str">
        <f>IFERROR(__xludf.DUMMYFUNCTION("""COMPUTED_VALUE"""),"Наполеон")</f>
        <v>Наполеон</v>
      </c>
      <c r="H59" s="438">
        <f>IFERROR(__xludf.DUMMYFUNCTION("""COMPUTED_VALUE"""),0.3333333333333333)</f>
        <v>0.3333333333</v>
      </c>
      <c r="I59" s="384" t="str">
        <f>IFERROR(__xludf.DUMMYFUNCTION("""COMPUTED_VALUE"""),"Старый")</f>
        <v>Старый</v>
      </c>
      <c r="J59" s="438">
        <f>IFERROR(__xludf.DUMMYFUNCTION("""COMPUTED_VALUE"""),0.0)</f>
        <v>0</v>
      </c>
      <c r="K59" s="384" t="str">
        <f>IFERROR(__xludf.DUMMYFUNCTION("""COMPUTED_VALUE"""),"Castor Troy ")</f>
        <v>Castor Troy </v>
      </c>
      <c r="L59" s="438">
        <f>IFERROR(__xludf.DUMMYFUNCTION("""COMPUTED_VALUE"""),0.0)</f>
        <v>0</v>
      </c>
      <c r="M59" s="384" t="str">
        <f>IFERROR(__xludf.DUMMYFUNCTION("""COMPUTED_VALUE"""),"Бамблби")</f>
        <v>Бамблби</v>
      </c>
      <c r="N59" s="438">
        <f>IFERROR(__xludf.DUMMYFUNCTION("""COMPUTED_VALUE"""),0.3103448275862069)</f>
        <v>0.3103448276</v>
      </c>
    </row>
    <row r="60">
      <c r="A60" s="384" t="str">
        <f>IFERROR(__xludf.DUMMYFUNCTION("""COMPUTED_VALUE"""),"Light")</f>
        <v>Light</v>
      </c>
      <c r="B60" s="438">
        <f>IFERROR(__xludf.DUMMYFUNCTION("""COMPUTED_VALUE"""),0.36)</f>
        <v>0.36</v>
      </c>
      <c r="C60" s="384" t="str">
        <f>IFERROR(__xludf.DUMMYFUNCTION("""COMPUTED_VALUE"""),"Наполеон")</f>
        <v>Наполеон</v>
      </c>
      <c r="D60" s="438">
        <f>IFERROR(__xludf.DUMMYFUNCTION("""COMPUTED_VALUE"""),0.30303030303030304)</f>
        <v>0.303030303</v>
      </c>
      <c r="E60" s="384" t="str">
        <f>IFERROR(__xludf.DUMMYFUNCTION("""COMPUTED_VALUE"""),"Бамблби")</f>
        <v>Бамблби</v>
      </c>
      <c r="F60" s="438">
        <f>IFERROR(__xludf.DUMMYFUNCTION("""COMPUTED_VALUE"""),0.26666666666666666)</f>
        <v>0.2666666667</v>
      </c>
      <c r="G60" s="384" t="str">
        <f>IFERROR(__xludf.DUMMYFUNCTION("""COMPUTED_VALUE"""),"Бамблби")</f>
        <v>Бамблби</v>
      </c>
      <c r="H60" s="438">
        <f>IFERROR(__xludf.DUMMYFUNCTION("""COMPUTED_VALUE"""),0.18181818181818182)</f>
        <v>0.1818181818</v>
      </c>
      <c r="I60" s="384" t="str">
        <f>IFERROR(__xludf.DUMMYFUNCTION("""COMPUTED_VALUE"""),"СЭНСЭЙ")</f>
        <v>СЭНСЭЙ</v>
      </c>
      <c r="J60" s="438">
        <f>IFERROR(__xludf.DUMMYFUNCTION("""COMPUTED_VALUE"""),0.0)</f>
        <v>0</v>
      </c>
      <c r="K60" s="384" t="str">
        <f>IFERROR(__xludf.DUMMYFUNCTION("""COMPUTED_VALUE"""),"GALAY")</f>
        <v>GALAY</v>
      </c>
      <c r="L60" s="438">
        <f>IFERROR(__xludf.DUMMYFUNCTION("""COMPUTED_VALUE"""),0.0)</f>
        <v>0</v>
      </c>
      <c r="M60" s="384" t="str">
        <f>IFERROR(__xludf.DUMMYFUNCTION("""COMPUTED_VALUE"""),"Манекен")</f>
        <v>Манекен</v>
      </c>
      <c r="N60" s="438">
        <f>IFERROR(__xludf.DUMMYFUNCTION("""COMPUTED_VALUE"""),0.3103448275862069)</f>
        <v>0.3103448276</v>
      </c>
    </row>
    <row r="61">
      <c r="A61" s="384" t="str">
        <f>IFERROR(__xludf.DUMMYFUNCTION("""COMPUTED_VALUE"""),"Бамблби")</f>
        <v>Бамблби</v>
      </c>
      <c r="B61" s="438">
        <f>IFERROR(__xludf.DUMMYFUNCTION("""COMPUTED_VALUE"""),0.3)</f>
        <v>0.3</v>
      </c>
      <c r="C61" s="384" t="str">
        <f>IFERROR(__xludf.DUMMYFUNCTION("""COMPUTED_VALUE"""),"Helga")</f>
        <v>Helga</v>
      </c>
      <c r="D61" s="438">
        <f>IFERROR(__xludf.DUMMYFUNCTION("""COMPUTED_VALUE"""),0.30303030303030304)</f>
        <v>0.303030303</v>
      </c>
      <c r="E61" s="384" t="str">
        <f>IFERROR(__xludf.DUMMYFUNCTION("""COMPUTED_VALUE"""),"Юрия")</f>
        <v>Юрия</v>
      </c>
      <c r="F61" s="438">
        <f>IFERROR(__xludf.DUMMYFUNCTION("""COMPUTED_VALUE"""),0.2)</f>
        <v>0.2</v>
      </c>
      <c r="G61" s="384" t="str">
        <f>IFERROR(__xludf.DUMMYFUNCTION("""COMPUTED_VALUE"""),"Юрия")</f>
        <v>Юрия</v>
      </c>
      <c r="H61" s="438">
        <f>IFERROR(__xludf.DUMMYFUNCTION("""COMPUTED_VALUE"""),0.0)</f>
        <v>0</v>
      </c>
      <c r="I61" s="384" t="str">
        <f>IFERROR(__xludf.DUMMYFUNCTION("""COMPUTED_VALUE"""),"Ketamin")</f>
        <v>Ketamin</v>
      </c>
      <c r="J61" s="438">
        <f>IFERROR(__xludf.DUMMYFUNCTION("""COMPUTED_VALUE"""),0.0)</f>
        <v>0</v>
      </c>
      <c r="K61" s="384" t="str">
        <f>IFERROR(__xludf.DUMMYFUNCTION("""COMPUTED_VALUE"""),"Infinity ")</f>
        <v>Infinity </v>
      </c>
      <c r="L61" s="438">
        <f>IFERROR(__xludf.DUMMYFUNCTION("""COMPUTED_VALUE"""),0.0)</f>
        <v>0</v>
      </c>
      <c r="M61" s="384" t="str">
        <f>IFERROR(__xludf.DUMMYFUNCTION("""COMPUTED_VALUE"""),"Helga")</f>
        <v>Helga</v>
      </c>
      <c r="N61" s="438">
        <f>IFERROR(__xludf.DUMMYFUNCTION("""COMPUTED_VALUE"""),0.2857142857142857)</f>
        <v>0.2857142857</v>
      </c>
    </row>
    <row r="62">
      <c r="A62" s="384"/>
      <c r="B62" s="439"/>
      <c r="C62" s="384"/>
      <c r="D62" s="438"/>
      <c r="E62" s="384"/>
      <c r="F62" s="438"/>
      <c r="G62" s="384"/>
      <c r="H62" s="438"/>
      <c r="I62" s="384"/>
      <c r="J62" s="438"/>
      <c r="K62" s="384"/>
      <c r="L62" s="438"/>
      <c r="M62" s="384"/>
      <c r="N62" s="43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7.13"/>
    <col customWidth="1" min="25" max="25" width="28.63"/>
  </cols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3" width="23.0"/>
    <col customWidth="1" min="4" max="4" width="11.75"/>
    <col customWidth="1" min="5" max="5" width="12.5"/>
    <col customWidth="1" min="6" max="7" width="16.38"/>
    <col customWidth="1" min="8" max="8" width="15.25"/>
    <col customWidth="1" min="9" max="9" width="22.88"/>
  </cols>
  <sheetData>
    <row r="1">
      <c r="A1" s="444"/>
      <c r="B1" s="444"/>
      <c r="C1" s="445"/>
      <c r="D1" s="445"/>
      <c r="E1" s="446"/>
      <c r="F1" s="447"/>
      <c r="G1" s="448"/>
      <c r="H1" s="449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</row>
    <row r="2">
      <c r="A2" s="450" t="s">
        <v>288</v>
      </c>
      <c r="B2" s="450"/>
      <c r="C2" s="445"/>
      <c r="D2" s="445"/>
      <c r="E2" s="446"/>
      <c r="F2" s="447"/>
      <c r="G2" s="448"/>
      <c r="H2" s="449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</row>
    <row r="3">
      <c r="A3" s="444"/>
      <c r="B3" s="444"/>
      <c r="C3" s="445"/>
      <c r="D3" s="445"/>
      <c r="E3" s="446"/>
      <c r="F3" s="447"/>
      <c r="G3" s="448"/>
      <c r="H3" s="449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</row>
    <row r="4">
      <c r="A4" s="451" t="s">
        <v>289</v>
      </c>
      <c r="B4" s="452" t="s">
        <v>290</v>
      </c>
      <c r="C4" s="453" t="s">
        <v>291</v>
      </c>
      <c r="D4" s="454" t="s">
        <v>15</v>
      </c>
      <c r="E4" s="455" t="s">
        <v>292</v>
      </c>
      <c r="F4" s="456" t="s">
        <v>16</v>
      </c>
      <c r="G4" s="457" t="s">
        <v>293</v>
      </c>
      <c r="H4" s="458" t="s">
        <v>294</v>
      </c>
      <c r="I4" s="459" t="s">
        <v>295</v>
      </c>
      <c r="J4" s="460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AC4" s="461"/>
      <c r="AI4" s="462" t="s">
        <v>296</v>
      </c>
      <c r="AJ4" s="4"/>
    </row>
    <row r="5">
      <c r="A5" s="463"/>
      <c r="B5" s="464"/>
      <c r="C5" s="255"/>
      <c r="D5" s="465"/>
      <c r="E5" s="464"/>
      <c r="F5" s="466"/>
      <c r="G5" s="467"/>
      <c r="H5" s="468"/>
      <c r="I5" s="469"/>
    </row>
    <row r="6">
      <c r="A6" s="470"/>
      <c r="B6" s="471"/>
      <c r="C6" s="269"/>
      <c r="D6" s="472"/>
      <c r="E6" s="471"/>
      <c r="F6" s="473"/>
      <c r="G6" s="474"/>
      <c r="H6" s="475"/>
      <c r="I6" s="476"/>
    </row>
    <row r="7">
      <c r="A7" s="463"/>
      <c r="B7" s="464"/>
      <c r="C7" s="255"/>
      <c r="D7" s="465"/>
      <c r="E7" s="464"/>
      <c r="F7" s="466"/>
      <c r="G7" s="467"/>
      <c r="H7" s="468"/>
      <c r="I7" s="469"/>
    </row>
    <row r="8">
      <c r="A8" s="470"/>
      <c r="B8" s="471"/>
      <c r="C8" s="269"/>
      <c r="D8" s="472"/>
      <c r="E8" s="471"/>
      <c r="F8" s="473"/>
      <c r="G8" s="474"/>
      <c r="H8" s="475"/>
      <c r="I8" s="476"/>
    </row>
    <row r="9">
      <c r="A9" s="463"/>
      <c r="B9" s="464"/>
      <c r="C9" s="255"/>
      <c r="D9" s="465"/>
      <c r="E9" s="464"/>
      <c r="F9" s="466"/>
      <c r="G9" s="467"/>
      <c r="H9" s="468"/>
      <c r="I9" s="469"/>
    </row>
    <row r="10">
      <c r="A10" s="470"/>
      <c r="B10" s="471"/>
      <c r="C10" s="269"/>
      <c r="D10" s="472"/>
      <c r="E10" s="471"/>
      <c r="F10" s="473"/>
      <c r="G10" s="474"/>
      <c r="H10" s="477"/>
      <c r="I10" s="476"/>
    </row>
    <row r="11">
      <c r="A11" s="463"/>
      <c r="B11" s="464"/>
      <c r="C11" s="255"/>
      <c r="D11" s="466"/>
      <c r="E11" s="464"/>
      <c r="F11" s="478"/>
      <c r="G11" s="467"/>
      <c r="H11" s="479"/>
      <c r="I11" s="469"/>
    </row>
    <row r="12">
      <c r="A12" s="470"/>
      <c r="B12" s="471"/>
      <c r="C12" s="269"/>
      <c r="D12" s="472"/>
      <c r="E12" s="471"/>
      <c r="F12" s="473"/>
      <c r="G12" s="474"/>
      <c r="H12" s="477"/>
      <c r="I12" s="476"/>
    </row>
    <row r="13">
      <c r="A13" s="480"/>
      <c r="B13" s="481"/>
      <c r="C13" s="255"/>
      <c r="D13" s="465"/>
      <c r="E13" s="464"/>
      <c r="F13" s="478"/>
      <c r="G13" s="467"/>
      <c r="H13" s="479"/>
      <c r="I13" s="482"/>
    </row>
    <row r="14">
      <c r="A14" s="483"/>
      <c r="B14" s="484"/>
      <c r="C14" s="269"/>
      <c r="D14" s="472"/>
      <c r="E14" s="471"/>
      <c r="F14" s="485"/>
      <c r="G14" s="474"/>
      <c r="H14" s="477"/>
      <c r="I14" s="486"/>
    </row>
    <row r="15">
      <c r="A15" s="487"/>
      <c r="B15" s="484"/>
      <c r="C15" s="488"/>
      <c r="D15" s="472"/>
      <c r="E15" s="484"/>
      <c r="F15" s="485"/>
      <c r="G15" s="474"/>
      <c r="H15" s="477"/>
      <c r="I15" s="486"/>
    </row>
    <row r="16">
      <c r="A16" s="487"/>
      <c r="B16" s="484"/>
      <c r="C16" s="488"/>
      <c r="D16" s="472"/>
      <c r="E16" s="484"/>
      <c r="F16" s="485"/>
      <c r="G16" s="474"/>
      <c r="H16" s="477"/>
      <c r="I16" s="486"/>
    </row>
    <row r="17">
      <c r="A17" s="489"/>
      <c r="B17" s="481"/>
      <c r="C17" s="490"/>
      <c r="D17" s="465"/>
      <c r="E17" s="464"/>
      <c r="F17" s="491"/>
      <c r="G17" s="467"/>
      <c r="H17" s="479"/>
      <c r="I17" s="482"/>
    </row>
    <row r="18">
      <c r="A18" s="487"/>
      <c r="B18" s="481"/>
      <c r="C18" s="488"/>
      <c r="D18" s="472"/>
      <c r="E18" s="471"/>
      <c r="F18" s="473"/>
      <c r="G18" s="474"/>
      <c r="H18" s="477"/>
      <c r="I18" s="486"/>
    </row>
    <row r="19">
      <c r="A19" s="489"/>
      <c r="B19" s="484"/>
      <c r="C19" s="490"/>
      <c r="D19" s="465"/>
      <c r="E19" s="464"/>
      <c r="F19" s="491"/>
      <c r="G19" s="467"/>
      <c r="H19" s="479"/>
      <c r="I19" s="482"/>
    </row>
    <row r="20">
      <c r="A20" s="487"/>
      <c r="B20" s="484"/>
      <c r="C20" s="488"/>
      <c r="D20" s="472"/>
      <c r="E20" s="484"/>
      <c r="F20" s="485"/>
      <c r="G20" s="474"/>
      <c r="H20" s="477"/>
      <c r="I20" s="486"/>
    </row>
    <row r="21">
      <c r="A21" s="489"/>
      <c r="B21" s="484"/>
      <c r="C21" s="490"/>
      <c r="D21" s="465"/>
      <c r="E21" s="481"/>
      <c r="F21" s="478"/>
      <c r="G21" s="467"/>
      <c r="H21" s="479"/>
      <c r="I21" s="482"/>
    </row>
    <row r="22">
      <c r="A22" s="487"/>
      <c r="B22" s="484"/>
      <c r="C22" s="488"/>
      <c r="D22" s="472"/>
      <c r="E22" s="471"/>
      <c r="F22" s="473"/>
      <c r="G22" s="474"/>
      <c r="H22" s="477"/>
      <c r="I22" s="486"/>
    </row>
    <row r="23">
      <c r="A23" s="487"/>
      <c r="B23" s="484"/>
      <c r="C23" s="488"/>
      <c r="D23" s="472"/>
      <c r="E23" s="471"/>
      <c r="F23" s="492"/>
      <c r="G23" s="474"/>
      <c r="H23" s="477"/>
      <c r="I23" s="486"/>
    </row>
    <row r="24">
      <c r="A24" s="489"/>
      <c r="B24" s="484"/>
      <c r="C24" s="490"/>
      <c r="D24" s="465"/>
      <c r="E24" s="481"/>
      <c r="F24" s="478"/>
      <c r="G24" s="467"/>
      <c r="H24" s="479"/>
      <c r="I24" s="482"/>
    </row>
    <row r="25">
      <c r="A25" s="487"/>
      <c r="B25" s="484"/>
      <c r="C25" s="488"/>
      <c r="D25" s="472"/>
      <c r="E25" s="484"/>
      <c r="F25" s="485"/>
      <c r="G25" s="474"/>
      <c r="H25" s="477"/>
      <c r="I25" s="486"/>
    </row>
    <row r="26">
      <c r="A26" s="489"/>
      <c r="B26" s="484"/>
      <c r="C26" s="490"/>
      <c r="D26" s="465"/>
      <c r="E26" s="481"/>
      <c r="F26" s="478"/>
      <c r="G26" s="467"/>
      <c r="H26" s="479"/>
      <c r="I26" s="482"/>
    </row>
    <row r="27">
      <c r="A27" s="487"/>
      <c r="B27" s="484"/>
      <c r="C27" s="488"/>
      <c r="D27" s="472"/>
      <c r="E27" s="484"/>
      <c r="F27" s="485"/>
      <c r="G27" s="474"/>
      <c r="H27" s="477"/>
      <c r="I27" s="486"/>
    </row>
    <row r="28">
      <c r="A28" s="489"/>
      <c r="B28" s="471"/>
      <c r="C28" s="490"/>
      <c r="D28" s="465"/>
      <c r="E28" s="464"/>
      <c r="F28" s="478"/>
      <c r="G28" s="467"/>
      <c r="H28" s="493"/>
      <c r="I28" s="482"/>
    </row>
    <row r="29">
      <c r="A29" s="487"/>
      <c r="B29" s="484"/>
      <c r="C29" s="488"/>
      <c r="D29" s="472"/>
      <c r="E29" s="484"/>
      <c r="F29" s="485"/>
      <c r="G29" s="474"/>
      <c r="H29" s="477"/>
      <c r="I29" s="486"/>
    </row>
    <row r="30">
      <c r="A30" s="489"/>
      <c r="B30" s="484"/>
      <c r="C30" s="490"/>
      <c r="D30" s="465"/>
      <c r="E30" s="481"/>
      <c r="F30" s="478"/>
      <c r="G30" s="467"/>
      <c r="H30" s="479"/>
      <c r="I30" s="482"/>
    </row>
    <row r="31">
      <c r="A31" s="487"/>
      <c r="B31" s="484"/>
      <c r="C31" s="488"/>
      <c r="D31" s="472"/>
      <c r="E31" s="484"/>
      <c r="F31" s="485"/>
      <c r="G31" s="474"/>
      <c r="H31" s="477"/>
      <c r="I31" s="486"/>
    </row>
    <row r="32">
      <c r="A32" s="489"/>
      <c r="B32" s="484"/>
      <c r="C32" s="490"/>
      <c r="D32" s="465"/>
      <c r="E32" s="481"/>
      <c r="F32" s="478"/>
      <c r="G32" s="467"/>
      <c r="H32" s="479"/>
      <c r="I32" s="482"/>
    </row>
    <row r="33">
      <c r="A33" s="487"/>
      <c r="B33" s="484"/>
      <c r="C33" s="488"/>
      <c r="D33" s="472"/>
      <c r="E33" s="471"/>
      <c r="F33" s="492"/>
      <c r="G33" s="474"/>
      <c r="H33" s="477"/>
      <c r="I33" s="486"/>
    </row>
    <row r="34">
      <c r="A34" s="489"/>
      <c r="B34" s="484"/>
      <c r="C34" s="490"/>
      <c r="D34" s="465"/>
      <c r="E34" s="464"/>
      <c r="F34" s="491"/>
      <c r="G34" s="467"/>
      <c r="H34" s="479"/>
      <c r="I34" s="482"/>
    </row>
    <row r="35">
      <c r="A35" s="487"/>
      <c r="B35" s="484"/>
      <c r="C35" s="488"/>
      <c r="D35" s="492"/>
      <c r="E35" s="471"/>
      <c r="F35" s="485"/>
      <c r="G35" s="474"/>
      <c r="H35" s="477"/>
      <c r="I35" s="494"/>
    </row>
    <row r="36">
      <c r="A36" s="489"/>
      <c r="B36" s="484"/>
      <c r="C36" s="490"/>
      <c r="D36" s="465"/>
      <c r="E36" s="464"/>
      <c r="F36" s="491"/>
      <c r="G36" s="467"/>
      <c r="H36" s="479"/>
      <c r="I36" s="482"/>
    </row>
    <row r="37">
      <c r="A37" s="483"/>
      <c r="B37" s="471"/>
      <c r="C37" s="269"/>
      <c r="D37" s="472"/>
      <c r="E37" s="471"/>
      <c r="F37" s="485"/>
      <c r="G37" s="474"/>
      <c r="H37" s="477"/>
      <c r="I37" s="486"/>
    </row>
    <row r="38">
      <c r="A38" s="480"/>
      <c r="B38" s="471"/>
      <c r="C38" s="255"/>
      <c r="D38" s="465"/>
      <c r="E38" s="464"/>
      <c r="F38" s="478"/>
      <c r="G38" s="467"/>
      <c r="H38" s="479"/>
      <c r="I38" s="482"/>
    </row>
    <row r="39">
      <c r="A39" s="483"/>
      <c r="B39" s="471"/>
      <c r="C39" s="269"/>
      <c r="D39" s="472"/>
      <c r="E39" s="471"/>
      <c r="F39" s="485"/>
      <c r="G39" s="474"/>
      <c r="H39" s="477"/>
      <c r="I39" s="486"/>
    </row>
    <row r="40">
      <c r="A40" s="480"/>
      <c r="B40" s="471"/>
      <c r="C40" s="255"/>
      <c r="D40" s="465"/>
      <c r="E40" s="464"/>
      <c r="F40" s="478"/>
      <c r="G40" s="467"/>
      <c r="H40" s="479"/>
      <c r="I40" s="482"/>
    </row>
    <row r="41">
      <c r="A41" s="483"/>
      <c r="B41" s="471"/>
      <c r="C41" s="269"/>
      <c r="D41" s="472"/>
      <c r="E41" s="471"/>
      <c r="F41" s="485"/>
      <c r="G41" s="474"/>
      <c r="H41" s="477"/>
      <c r="I41" s="486"/>
    </row>
    <row r="42">
      <c r="A42" s="480"/>
      <c r="B42" s="471"/>
      <c r="C42" s="255"/>
      <c r="D42" s="465"/>
      <c r="E42" s="464"/>
      <c r="F42" s="478"/>
      <c r="G42" s="467"/>
      <c r="H42" s="479"/>
      <c r="I42" s="482"/>
    </row>
    <row r="43">
      <c r="A43" s="483"/>
      <c r="B43" s="471"/>
      <c r="C43" s="269"/>
      <c r="D43" s="472"/>
      <c r="E43" s="471"/>
      <c r="F43" s="485"/>
      <c r="G43" s="474"/>
      <c r="H43" s="477"/>
      <c r="I43" s="486"/>
    </row>
    <row r="44">
      <c r="A44" s="480"/>
      <c r="B44" s="495"/>
      <c r="C44" s="255"/>
      <c r="D44" s="465"/>
      <c r="E44" s="464"/>
      <c r="F44" s="478"/>
      <c r="G44" s="467"/>
      <c r="H44" s="479"/>
      <c r="I44" s="482"/>
    </row>
    <row r="45">
      <c r="A45" s="483"/>
      <c r="B45" s="496"/>
      <c r="C45" s="269"/>
      <c r="D45" s="472"/>
      <c r="E45" s="471"/>
      <c r="F45" s="485"/>
      <c r="G45" s="474"/>
      <c r="H45" s="477"/>
      <c r="I45" s="486"/>
    </row>
    <row r="46">
      <c r="A46" s="480"/>
      <c r="B46" s="495"/>
      <c r="C46" s="255"/>
      <c r="D46" s="465"/>
      <c r="E46" s="464"/>
      <c r="F46" s="478"/>
      <c r="G46" s="467"/>
      <c r="H46" s="479"/>
      <c r="I46" s="482"/>
    </row>
    <row r="47">
      <c r="A47" s="483"/>
      <c r="B47" s="496"/>
      <c r="C47" s="269"/>
      <c r="D47" s="472"/>
      <c r="E47" s="471"/>
      <c r="F47" s="485"/>
      <c r="G47" s="474"/>
      <c r="H47" s="477"/>
      <c r="I47" s="486"/>
    </row>
    <row r="48">
      <c r="A48" s="480"/>
      <c r="B48" s="495"/>
      <c r="C48" s="255"/>
      <c r="D48" s="465"/>
      <c r="E48" s="464"/>
      <c r="F48" s="478"/>
      <c r="G48" s="467"/>
      <c r="H48" s="479"/>
      <c r="I48" s="482"/>
    </row>
    <row r="49">
      <c r="A49" s="483"/>
      <c r="B49" s="496"/>
      <c r="C49" s="269"/>
      <c r="D49" s="472"/>
      <c r="E49" s="471"/>
      <c r="F49" s="485"/>
      <c r="G49" s="474"/>
      <c r="H49" s="477"/>
      <c r="I49" s="486"/>
    </row>
    <row r="50">
      <c r="A50" s="480"/>
      <c r="B50" s="495"/>
      <c r="C50" s="255"/>
      <c r="D50" s="465"/>
      <c r="E50" s="464"/>
      <c r="F50" s="478"/>
      <c r="G50" s="467"/>
      <c r="H50" s="479"/>
      <c r="I50" s="482"/>
    </row>
    <row r="51">
      <c r="A51" s="483"/>
      <c r="B51" s="496"/>
      <c r="C51" s="269"/>
      <c r="D51" s="472"/>
      <c r="E51" s="471"/>
      <c r="F51" s="485"/>
      <c r="G51" s="474"/>
      <c r="H51" s="477"/>
      <c r="I51" s="486"/>
    </row>
    <row r="52">
      <c r="A52" s="480"/>
      <c r="B52" s="495"/>
      <c r="C52" s="255"/>
      <c r="D52" s="465"/>
      <c r="E52" s="464"/>
      <c r="F52" s="478"/>
      <c r="G52" s="467"/>
      <c r="H52" s="479"/>
      <c r="I52" s="482"/>
    </row>
    <row r="53">
      <c r="A53" s="483"/>
      <c r="B53" s="496"/>
      <c r="C53" s="269"/>
      <c r="D53" s="472"/>
      <c r="E53" s="471"/>
      <c r="F53" s="485"/>
      <c r="G53" s="474"/>
      <c r="H53" s="477"/>
      <c r="I53" s="486"/>
    </row>
    <row r="54">
      <c r="A54" s="480"/>
      <c r="B54" s="495"/>
      <c r="C54" s="255"/>
      <c r="D54" s="465"/>
      <c r="E54" s="464"/>
      <c r="F54" s="478"/>
      <c r="G54" s="467"/>
      <c r="H54" s="479"/>
      <c r="I54" s="482"/>
    </row>
    <row r="55">
      <c r="A55" s="483"/>
      <c r="B55" s="496"/>
      <c r="C55" s="269"/>
      <c r="D55" s="472"/>
      <c r="E55" s="471"/>
      <c r="F55" s="485"/>
      <c r="G55" s="474"/>
      <c r="H55" s="477"/>
      <c r="I55" s="486"/>
    </row>
    <row r="56">
      <c r="A56" s="480"/>
      <c r="B56" s="495"/>
      <c r="C56" s="255"/>
      <c r="D56" s="465"/>
      <c r="E56" s="464"/>
      <c r="F56" s="478"/>
      <c r="G56" s="467"/>
      <c r="H56" s="479"/>
      <c r="I56" s="482"/>
    </row>
    <row r="57">
      <c r="A57" s="483"/>
      <c r="B57" s="496"/>
      <c r="C57" s="269"/>
      <c r="D57" s="472"/>
      <c r="E57" s="471"/>
      <c r="F57" s="485"/>
      <c r="G57" s="474"/>
      <c r="H57" s="477"/>
      <c r="I57" s="486"/>
    </row>
    <row r="58">
      <c r="A58" s="480"/>
      <c r="B58" s="495"/>
      <c r="C58" s="255"/>
      <c r="D58" s="465"/>
      <c r="E58" s="464"/>
      <c r="F58" s="478"/>
      <c r="G58" s="467"/>
      <c r="H58" s="479"/>
      <c r="I58" s="482"/>
    </row>
    <row r="59">
      <c r="A59" s="483"/>
      <c r="B59" s="496"/>
      <c r="C59" s="269"/>
      <c r="D59" s="472"/>
      <c r="E59" s="471"/>
      <c r="F59" s="485"/>
      <c r="G59" s="474"/>
      <c r="H59" s="477"/>
      <c r="I59" s="486"/>
    </row>
    <row r="60">
      <c r="A60" s="480"/>
      <c r="B60" s="495"/>
      <c r="C60" s="255"/>
      <c r="D60" s="465"/>
      <c r="E60" s="464"/>
      <c r="F60" s="478"/>
      <c r="G60" s="467"/>
      <c r="H60" s="479"/>
      <c r="I60" s="482"/>
    </row>
    <row r="61">
      <c r="A61" s="483"/>
      <c r="B61" s="496"/>
      <c r="C61" s="269"/>
      <c r="D61" s="472"/>
      <c r="E61" s="471"/>
      <c r="F61" s="485"/>
      <c r="G61" s="474"/>
      <c r="H61" s="477"/>
      <c r="I61" s="486"/>
    </row>
    <row r="62">
      <c r="A62" s="480"/>
      <c r="B62" s="495"/>
      <c r="C62" s="255"/>
      <c r="D62" s="465"/>
      <c r="E62" s="464"/>
      <c r="F62" s="478"/>
      <c r="G62" s="467"/>
      <c r="H62" s="468"/>
      <c r="I62" s="482"/>
    </row>
    <row r="63">
      <c r="A63" s="483"/>
      <c r="B63" s="496"/>
      <c r="C63" s="269"/>
      <c r="D63" s="472"/>
      <c r="E63" s="471"/>
      <c r="F63" s="485"/>
      <c r="G63" s="474"/>
      <c r="H63" s="475"/>
      <c r="I63" s="486"/>
    </row>
    <row r="64">
      <c r="A64" s="422"/>
      <c r="B64" s="422"/>
      <c r="E64" s="497"/>
      <c r="F64" s="498"/>
      <c r="H64" s="422"/>
    </row>
    <row r="65">
      <c r="A65" s="422"/>
      <c r="B65" s="422"/>
      <c r="E65" s="497"/>
      <c r="F65" s="498"/>
      <c r="H65" s="422"/>
    </row>
    <row r="66">
      <c r="A66" s="422"/>
      <c r="B66" s="422"/>
      <c r="E66" s="497"/>
      <c r="F66" s="498"/>
      <c r="H66" s="422"/>
    </row>
    <row r="67">
      <c r="A67" s="422"/>
      <c r="B67" s="422"/>
      <c r="E67" s="497"/>
      <c r="F67" s="498"/>
      <c r="H67" s="422"/>
    </row>
    <row r="68">
      <c r="A68" s="422"/>
      <c r="B68" s="422"/>
      <c r="E68" s="497"/>
      <c r="F68" s="498"/>
      <c r="H68" s="422"/>
    </row>
    <row r="69">
      <c r="A69" s="422"/>
      <c r="B69" s="422"/>
      <c r="E69" s="497"/>
      <c r="F69" s="498"/>
      <c r="H69" s="422"/>
    </row>
    <row r="70">
      <c r="A70" s="422"/>
      <c r="B70" s="422"/>
      <c r="E70" s="497"/>
      <c r="F70" s="498"/>
      <c r="H70" s="422"/>
    </row>
    <row r="71">
      <c r="A71" s="422"/>
      <c r="B71" s="422"/>
      <c r="E71" s="497"/>
      <c r="F71" s="498"/>
      <c r="H71" s="422"/>
    </row>
    <row r="72">
      <c r="A72" s="422"/>
      <c r="B72" s="422"/>
      <c r="E72" s="497"/>
      <c r="F72" s="498"/>
      <c r="H72" s="422"/>
    </row>
    <row r="73">
      <c r="A73" s="422"/>
      <c r="B73" s="422"/>
      <c r="E73" s="497"/>
      <c r="F73" s="498"/>
      <c r="H73" s="422"/>
    </row>
    <row r="74">
      <c r="A74" s="422"/>
      <c r="B74" s="422"/>
      <c r="E74" s="497"/>
      <c r="F74" s="498"/>
      <c r="H74" s="422"/>
    </row>
    <row r="75">
      <c r="A75" s="422"/>
      <c r="B75" s="422"/>
      <c r="E75" s="497"/>
      <c r="F75" s="498"/>
      <c r="H75" s="422"/>
    </row>
    <row r="76">
      <c r="A76" s="422"/>
      <c r="B76" s="422"/>
      <c r="E76" s="497"/>
      <c r="F76" s="498"/>
      <c r="H76" s="422"/>
    </row>
    <row r="77">
      <c r="A77" s="422"/>
      <c r="B77" s="422"/>
      <c r="E77" s="497"/>
      <c r="F77" s="498"/>
      <c r="H77" s="422"/>
    </row>
    <row r="78">
      <c r="A78" s="422"/>
      <c r="B78" s="422"/>
      <c r="E78" s="497"/>
      <c r="F78" s="498"/>
      <c r="H78" s="422"/>
    </row>
    <row r="79">
      <c r="A79" s="422"/>
      <c r="B79" s="422"/>
      <c r="E79" s="497"/>
      <c r="F79" s="498"/>
      <c r="H79" s="422"/>
    </row>
    <row r="80">
      <c r="A80" s="422"/>
      <c r="B80" s="422"/>
      <c r="E80" s="497"/>
      <c r="F80" s="498"/>
      <c r="H80" s="422"/>
    </row>
    <row r="81">
      <c r="A81" s="422"/>
      <c r="B81" s="422"/>
      <c r="E81" s="497"/>
      <c r="F81" s="498"/>
      <c r="H81" s="422"/>
    </row>
    <row r="82">
      <c r="A82" s="422"/>
      <c r="B82" s="422"/>
      <c r="E82" s="497"/>
      <c r="F82" s="498"/>
      <c r="H82" s="422"/>
    </row>
    <row r="83">
      <c r="A83" s="422"/>
      <c r="B83" s="422"/>
      <c r="E83" s="497"/>
      <c r="F83" s="498"/>
      <c r="H83" s="422"/>
    </row>
    <row r="84">
      <c r="A84" s="422"/>
      <c r="B84" s="422"/>
      <c r="E84" s="497"/>
      <c r="F84" s="498"/>
      <c r="H84" s="422"/>
    </row>
    <row r="85">
      <c r="A85" s="422"/>
      <c r="B85" s="422"/>
      <c r="E85" s="497"/>
      <c r="F85" s="498"/>
      <c r="H85" s="422"/>
    </row>
    <row r="86">
      <c r="A86" s="422"/>
      <c r="B86" s="422"/>
      <c r="E86" s="497"/>
      <c r="F86" s="498"/>
      <c r="H86" s="422"/>
    </row>
    <row r="87">
      <c r="A87" s="422"/>
      <c r="B87" s="422"/>
      <c r="E87" s="497"/>
      <c r="F87" s="498"/>
      <c r="H87" s="422"/>
    </row>
    <row r="88">
      <c r="A88" s="422"/>
      <c r="B88" s="422"/>
      <c r="E88" s="497"/>
      <c r="F88" s="498"/>
      <c r="H88" s="422"/>
    </row>
    <row r="89">
      <c r="A89" s="422"/>
      <c r="B89" s="422"/>
      <c r="E89" s="497"/>
      <c r="F89" s="498"/>
      <c r="H89" s="422"/>
    </row>
    <row r="90">
      <c r="A90" s="422"/>
      <c r="B90" s="422"/>
      <c r="E90" s="497"/>
      <c r="F90" s="498"/>
      <c r="H90" s="422"/>
    </row>
    <row r="91">
      <c r="A91" s="422"/>
      <c r="B91" s="422"/>
      <c r="E91" s="497"/>
      <c r="F91" s="498"/>
      <c r="H91" s="422"/>
    </row>
    <row r="92">
      <c r="A92" s="422"/>
      <c r="B92" s="422"/>
      <c r="E92" s="497"/>
      <c r="F92" s="498"/>
      <c r="H92" s="422"/>
    </row>
    <row r="93">
      <c r="A93" s="422"/>
      <c r="B93" s="422"/>
      <c r="E93" s="497"/>
      <c r="F93" s="498"/>
      <c r="H93" s="422"/>
    </row>
    <row r="94">
      <c r="A94" s="422"/>
      <c r="B94" s="422"/>
      <c r="E94" s="497"/>
      <c r="F94" s="498"/>
      <c r="H94" s="422"/>
    </row>
    <row r="95">
      <c r="A95" s="422"/>
      <c r="B95" s="422"/>
      <c r="E95" s="497"/>
      <c r="F95" s="498"/>
      <c r="H95" s="422"/>
    </row>
    <row r="96">
      <c r="A96" s="422"/>
      <c r="B96" s="422"/>
      <c r="E96" s="497"/>
      <c r="F96" s="498"/>
      <c r="H96" s="422"/>
    </row>
    <row r="97">
      <c r="A97" s="422"/>
      <c r="B97" s="422"/>
      <c r="E97" s="497"/>
      <c r="F97" s="498"/>
      <c r="H97" s="422"/>
    </row>
    <row r="98">
      <c r="A98" s="422"/>
      <c r="B98" s="422"/>
      <c r="E98" s="497"/>
      <c r="F98" s="498"/>
      <c r="H98" s="422"/>
    </row>
    <row r="99">
      <c r="A99" s="422"/>
      <c r="B99" s="422"/>
      <c r="E99" s="497"/>
      <c r="F99" s="498"/>
      <c r="H99" s="422"/>
    </row>
    <row r="100">
      <c r="A100" s="422"/>
      <c r="B100" s="422"/>
      <c r="E100" s="497"/>
      <c r="F100" s="498"/>
      <c r="H100" s="422"/>
    </row>
    <row r="101">
      <c r="A101" s="422"/>
      <c r="B101" s="422"/>
      <c r="E101" s="497"/>
      <c r="F101" s="498"/>
      <c r="H101" s="422"/>
    </row>
    <row r="102">
      <c r="A102" s="422"/>
      <c r="B102" s="422"/>
      <c r="E102" s="497"/>
      <c r="F102" s="498"/>
      <c r="H102" s="422"/>
    </row>
    <row r="103">
      <c r="A103" s="422"/>
      <c r="B103" s="422"/>
      <c r="E103" s="497"/>
      <c r="F103" s="498"/>
      <c r="H103" s="422"/>
    </row>
    <row r="104">
      <c r="A104" s="422"/>
      <c r="B104" s="422"/>
      <c r="E104" s="497"/>
      <c r="F104" s="498"/>
      <c r="H104" s="422"/>
    </row>
    <row r="105">
      <c r="A105" s="422"/>
      <c r="B105" s="422"/>
      <c r="E105" s="497"/>
      <c r="F105" s="498"/>
      <c r="H105" s="422"/>
    </row>
    <row r="106">
      <c r="A106" s="422"/>
      <c r="B106" s="422"/>
      <c r="E106" s="497"/>
      <c r="F106" s="498"/>
      <c r="H106" s="422"/>
    </row>
    <row r="107">
      <c r="A107" s="422"/>
      <c r="B107" s="422"/>
      <c r="E107" s="497"/>
      <c r="F107" s="498"/>
      <c r="H107" s="422"/>
    </row>
    <row r="108">
      <c r="A108" s="422"/>
      <c r="B108" s="422"/>
      <c r="E108" s="497"/>
      <c r="F108" s="498"/>
      <c r="H108" s="422"/>
    </row>
    <row r="109">
      <c r="A109" s="422"/>
      <c r="B109" s="422"/>
      <c r="E109" s="497"/>
      <c r="F109" s="498"/>
      <c r="H109" s="422"/>
    </row>
    <row r="110">
      <c r="A110" s="422"/>
      <c r="B110" s="422"/>
      <c r="E110" s="497"/>
      <c r="F110" s="498"/>
      <c r="H110" s="422"/>
    </row>
    <row r="111">
      <c r="A111" s="422"/>
      <c r="B111" s="422"/>
      <c r="E111" s="497"/>
      <c r="F111" s="498"/>
      <c r="H111" s="422"/>
    </row>
    <row r="112">
      <c r="A112" s="422"/>
      <c r="B112" s="422"/>
      <c r="E112" s="497"/>
      <c r="F112" s="498"/>
      <c r="H112" s="422"/>
    </row>
    <row r="113">
      <c r="A113" s="422"/>
      <c r="B113" s="422"/>
      <c r="E113" s="497"/>
      <c r="F113" s="498"/>
      <c r="H113" s="422"/>
    </row>
    <row r="114">
      <c r="A114" s="422"/>
      <c r="B114" s="422"/>
      <c r="E114" s="497"/>
      <c r="F114" s="498"/>
      <c r="H114" s="422"/>
    </row>
    <row r="115">
      <c r="A115" s="422"/>
      <c r="B115" s="422"/>
      <c r="E115" s="497"/>
      <c r="F115" s="498"/>
      <c r="H115" s="422"/>
    </row>
    <row r="116">
      <c r="A116" s="422"/>
      <c r="B116" s="422"/>
      <c r="E116" s="497"/>
      <c r="F116" s="498"/>
      <c r="H116" s="422"/>
    </row>
    <row r="117">
      <c r="A117" s="422"/>
      <c r="B117" s="422"/>
      <c r="E117" s="497"/>
      <c r="F117" s="498"/>
      <c r="H117" s="422"/>
    </row>
    <row r="118">
      <c r="A118" s="422"/>
      <c r="B118" s="422"/>
      <c r="E118" s="497"/>
      <c r="F118" s="498"/>
      <c r="H118" s="422"/>
    </row>
    <row r="119">
      <c r="A119" s="422"/>
      <c r="B119" s="422"/>
      <c r="E119" s="497"/>
      <c r="F119" s="498"/>
      <c r="H119" s="422"/>
    </row>
    <row r="120">
      <c r="A120" s="422"/>
      <c r="B120" s="422"/>
      <c r="E120" s="497"/>
      <c r="F120" s="498"/>
      <c r="H120" s="422"/>
    </row>
    <row r="121">
      <c r="A121" s="422"/>
      <c r="B121" s="422"/>
      <c r="E121" s="497"/>
      <c r="F121" s="498"/>
      <c r="H121" s="422"/>
    </row>
    <row r="122">
      <c r="A122" s="422"/>
      <c r="B122" s="422"/>
      <c r="E122" s="497"/>
      <c r="F122" s="498"/>
      <c r="H122" s="422"/>
    </row>
    <row r="123">
      <c r="A123" s="422"/>
      <c r="B123" s="422"/>
      <c r="E123" s="497"/>
      <c r="F123" s="498"/>
      <c r="H123" s="422"/>
    </row>
    <row r="124">
      <c r="A124" s="422"/>
      <c r="B124" s="422"/>
      <c r="E124" s="497"/>
      <c r="F124" s="498"/>
      <c r="H124" s="422"/>
    </row>
    <row r="125">
      <c r="A125" s="422"/>
      <c r="B125" s="422"/>
      <c r="E125" s="497"/>
      <c r="F125" s="498"/>
      <c r="H125" s="422"/>
    </row>
    <row r="126">
      <c r="A126" s="422"/>
      <c r="B126" s="422"/>
      <c r="E126" s="497"/>
      <c r="F126" s="498"/>
      <c r="H126" s="422"/>
    </row>
    <row r="127">
      <c r="A127" s="422"/>
      <c r="B127" s="422"/>
      <c r="E127" s="497"/>
      <c r="F127" s="498"/>
      <c r="H127" s="422"/>
    </row>
    <row r="128">
      <c r="A128" s="422"/>
      <c r="B128" s="422"/>
      <c r="E128" s="497"/>
      <c r="F128" s="498"/>
      <c r="H128" s="422"/>
    </row>
    <row r="129">
      <c r="A129" s="422"/>
      <c r="B129" s="422"/>
      <c r="E129" s="497"/>
      <c r="F129" s="498"/>
      <c r="H129" s="422"/>
    </row>
    <row r="130">
      <c r="A130" s="422"/>
      <c r="B130" s="422"/>
      <c r="E130" s="497"/>
      <c r="F130" s="498"/>
      <c r="H130" s="422"/>
    </row>
    <row r="131">
      <c r="A131" s="422"/>
      <c r="B131" s="422"/>
      <c r="E131" s="497"/>
      <c r="F131" s="498"/>
      <c r="H131" s="422"/>
    </row>
    <row r="132">
      <c r="A132" s="422"/>
      <c r="B132" s="422"/>
      <c r="E132" s="497"/>
      <c r="F132" s="498"/>
      <c r="H132" s="422"/>
    </row>
    <row r="133">
      <c r="A133" s="422"/>
      <c r="B133" s="422"/>
      <c r="E133" s="497"/>
      <c r="F133" s="498"/>
      <c r="H133" s="422"/>
    </row>
    <row r="134">
      <c r="A134" s="422"/>
      <c r="B134" s="422"/>
      <c r="E134" s="497"/>
      <c r="F134" s="498"/>
      <c r="H134" s="422"/>
    </row>
    <row r="135">
      <c r="A135" s="422"/>
      <c r="B135" s="422"/>
      <c r="E135" s="497"/>
      <c r="F135" s="498"/>
      <c r="H135" s="422"/>
    </row>
    <row r="136">
      <c r="A136" s="422"/>
      <c r="B136" s="422"/>
      <c r="E136" s="497"/>
      <c r="F136" s="498"/>
      <c r="H136" s="422"/>
    </row>
    <row r="137">
      <c r="A137" s="422"/>
      <c r="B137" s="422"/>
      <c r="E137" s="497"/>
      <c r="F137" s="498"/>
      <c r="H137" s="422"/>
    </row>
    <row r="138">
      <c r="A138" s="422"/>
      <c r="B138" s="422"/>
      <c r="E138" s="497"/>
      <c r="F138" s="498"/>
      <c r="H138" s="422"/>
    </row>
    <row r="139">
      <c r="A139" s="422"/>
      <c r="B139" s="422"/>
      <c r="E139" s="497"/>
      <c r="F139" s="498"/>
      <c r="H139" s="422"/>
    </row>
    <row r="140">
      <c r="A140" s="422"/>
      <c r="B140" s="422"/>
      <c r="E140" s="497"/>
      <c r="F140" s="498"/>
      <c r="H140" s="422"/>
    </row>
    <row r="141">
      <c r="A141" s="422"/>
      <c r="B141" s="422"/>
      <c r="E141" s="497"/>
      <c r="F141" s="498"/>
      <c r="H141" s="422"/>
    </row>
    <row r="142">
      <c r="A142" s="422"/>
      <c r="B142" s="422"/>
      <c r="E142" s="497"/>
      <c r="F142" s="498"/>
      <c r="H142" s="422"/>
    </row>
    <row r="143">
      <c r="A143" s="422"/>
      <c r="B143" s="422"/>
      <c r="E143" s="497"/>
      <c r="F143" s="498"/>
      <c r="H143" s="422"/>
    </row>
    <row r="144">
      <c r="A144" s="422"/>
      <c r="B144" s="422"/>
      <c r="E144" s="497"/>
      <c r="F144" s="498"/>
      <c r="H144" s="422"/>
    </row>
    <row r="145">
      <c r="A145" s="422"/>
      <c r="B145" s="422"/>
      <c r="E145" s="497"/>
      <c r="F145" s="498"/>
      <c r="H145" s="422"/>
    </row>
    <row r="146">
      <c r="A146" s="422"/>
      <c r="B146" s="422"/>
      <c r="E146" s="497"/>
      <c r="F146" s="498"/>
      <c r="H146" s="422"/>
    </row>
    <row r="147">
      <c r="A147" s="422"/>
      <c r="B147" s="422"/>
      <c r="E147" s="497"/>
      <c r="F147" s="498"/>
      <c r="H147" s="422"/>
    </row>
    <row r="148">
      <c r="A148" s="422"/>
      <c r="B148" s="422"/>
      <c r="E148" s="497"/>
      <c r="F148" s="498"/>
      <c r="H148" s="422"/>
    </row>
    <row r="149">
      <c r="A149" s="422"/>
      <c r="B149" s="422"/>
      <c r="E149" s="497"/>
      <c r="F149" s="498"/>
      <c r="H149" s="422"/>
    </row>
    <row r="150">
      <c r="A150" s="422"/>
      <c r="B150" s="422"/>
      <c r="E150" s="497"/>
      <c r="F150" s="498"/>
      <c r="H150" s="422"/>
    </row>
    <row r="151">
      <c r="A151" s="422"/>
      <c r="B151" s="422"/>
      <c r="E151" s="497"/>
      <c r="F151" s="498"/>
      <c r="H151" s="422"/>
    </row>
    <row r="152">
      <c r="A152" s="422"/>
      <c r="B152" s="422"/>
      <c r="E152" s="497"/>
      <c r="F152" s="498"/>
      <c r="H152" s="422"/>
    </row>
    <row r="153">
      <c r="A153" s="422"/>
      <c r="B153" s="422"/>
      <c r="E153" s="497"/>
      <c r="F153" s="498"/>
      <c r="H153" s="422"/>
    </row>
    <row r="154">
      <c r="A154" s="422"/>
      <c r="B154" s="422"/>
      <c r="E154" s="497"/>
      <c r="F154" s="498"/>
      <c r="H154" s="422"/>
    </row>
    <row r="155">
      <c r="A155" s="422"/>
      <c r="B155" s="422"/>
      <c r="E155" s="497"/>
      <c r="F155" s="498"/>
      <c r="H155" s="422"/>
    </row>
    <row r="156">
      <c r="A156" s="422"/>
      <c r="B156" s="422"/>
      <c r="E156" s="497"/>
      <c r="F156" s="498"/>
      <c r="H156" s="422"/>
    </row>
    <row r="157">
      <c r="A157" s="422"/>
      <c r="B157" s="422"/>
      <c r="E157" s="497"/>
      <c r="F157" s="498"/>
      <c r="H157" s="422"/>
    </row>
    <row r="158">
      <c r="A158" s="422"/>
      <c r="B158" s="422"/>
      <c r="E158" s="497"/>
      <c r="F158" s="498"/>
      <c r="H158" s="422"/>
    </row>
    <row r="159">
      <c r="A159" s="422"/>
      <c r="B159" s="422"/>
      <c r="E159" s="497"/>
      <c r="F159" s="498"/>
      <c r="H159" s="422"/>
    </row>
    <row r="160">
      <c r="A160" s="422"/>
      <c r="B160" s="422"/>
      <c r="E160" s="497"/>
      <c r="F160" s="498"/>
      <c r="H160" s="422"/>
    </row>
    <row r="161">
      <c r="A161" s="422"/>
      <c r="B161" s="422"/>
      <c r="E161" s="497"/>
      <c r="F161" s="498"/>
      <c r="H161" s="422"/>
    </row>
    <row r="162">
      <c r="A162" s="422"/>
      <c r="B162" s="422"/>
      <c r="E162" s="497"/>
      <c r="F162" s="498"/>
      <c r="H162" s="422"/>
    </row>
    <row r="163">
      <c r="A163" s="422"/>
      <c r="B163" s="422"/>
      <c r="E163" s="497"/>
      <c r="F163" s="498"/>
      <c r="H163" s="422"/>
    </row>
    <row r="164">
      <c r="A164" s="422"/>
      <c r="B164" s="422"/>
      <c r="E164" s="497"/>
      <c r="F164" s="498"/>
      <c r="H164" s="422"/>
    </row>
    <row r="165">
      <c r="A165" s="422"/>
      <c r="B165" s="422"/>
      <c r="E165" s="497"/>
      <c r="F165" s="498"/>
      <c r="H165" s="422"/>
    </row>
    <row r="166">
      <c r="A166" s="422"/>
      <c r="B166" s="422"/>
      <c r="E166" s="497"/>
      <c r="F166" s="498"/>
      <c r="H166" s="422"/>
    </row>
    <row r="167">
      <c r="A167" s="422"/>
      <c r="B167" s="422"/>
      <c r="E167" s="497"/>
      <c r="F167" s="498"/>
      <c r="H167" s="422"/>
    </row>
    <row r="168">
      <c r="A168" s="422"/>
      <c r="B168" s="422"/>
      <c r="E168" s="497"/>
      <c r="F168" s="498"/>
      <c r="H168" s="422"/>
    </row>
    <row r="169">
      <c r="A169" s="422"/>
      <c r="B169" s="422"/>
      <c r="E169" s="497"/>
      <c r="F169" s="498"/>
      <c r="H169" s="422"/>
    </row>
    <row r="170">
      <c r="A170" s="422"/>
      <c r="B170" s="422"/>
      <c r="E170" s="497"/>
      <c r="F170" s="498"/>
      <c r="H170" s="422"/>
    </row>
    <row r="171">
      <c r="A171" s="422"/>
      <c r="B171" s="422"/>
      <c r="E171" s="497"/>
      <c r="F171" s="498"/>
      <c r="H171" s="422"/>
    </row>
    <row r="172">
      <c r="A172" s="422"/>
      <c r="B172" s="422"/>
      <c r="E172" s="497"/>
      <c r="F172" s="498"/>
      <c r="H172" s="422"/>
    </row>
    <row r="173">
      <c r="A173" s="422"/>
      <c r="B173" s="422"/>
      <c r="E173" s="497"/>
      <c r="F173" s="498"/>
      <c r="H173" s="422"/>
    </row>
    <row r="174">
      <c r="A174" s="422"/>
      <c r="B174" s="422"/>
      <c r="E174" s="497"/>
      <c r="F174" s="498"/>
      <c r="H174" s="422"/>
    </row>
    <row r="175">
      <c r="A175" s="422"/>
      <c r="B175" s="422"/>
      <c r="E175" s="497"/>
      <c r="F175" s="498"/>
      <c r="H175" s="422"/>
    </row>
    <row r="176">
      <c r="A176" s="422"/>
      <c r="B176" s="422"/>
      <c r="E176" s="497"/>
      <c r="F176" s="498"/>
      <c r="H176" s="422"/>
    </row>
    <row r="177">
      <c r="A177" s="422"/>
      <c r="B177" s="422"/>
      <c r="E177" s="497"/>
      <c r="F177" s="498"/>
      <c r="H177" s="422"/>
    </row>
    <row r="178">
      <c r="A178" s="422"/>
      <c r="B178" s="422"/>
      <c r="E178" s="497"/>
      <c r="F178" s="498"/>
      <c r="H178" s="422"/>
    </row>
    <row r="179">
      <c r="A179" s="422"/>
      <c r="B179" s="422"/>
      <c r="E179" s="497"/>
      <c r="F179" s="498"/>
      <c r="H179" s="422"/>
    </row>
    <row r="180">
      <c r="A180" s="422"/>
      <c r="B180" s="422"/>
      <c r="E180" s="497"/>
      <c r="F180" s="498"/>
      <c r="H180" s="422"/>
    </row>
    <row r="181">
      <c r="A181" s="422"/>
      <c r="B181" s="422"/>
      <c r="E181" s="497"/>
      <c r="F181" s="498"/>
      <c r="H181" s="422"/>
    </row>
    <row r="182">
      <c r="A182" s="422"/>
      <c r="B182" s="422"/>
      <c r="E182" s="497"/>
      <c r="F182" s="498"/>
      <c r="H182" s="422"/>
    </row>
    <row r="183">
      <c r="A183" s="422"/>
      <c r="B183" s="422"/>
      <c r="E183" s="497"/>
      <c r="F183" s="498"/>
      <c r="H183" s="422"/>
    </row>
    <row r="184">
      <c r="A184" s="422"/>
      <c r="B184" s="422"/>
      <c r="E184" s="497"/>
      <c r="F184" s="498"/>
      <c r="H184" s="422"/>
    </row>
    <row r="185">
      <c r="A185" s="422"/>
      <c r="B185" s="422"/>
      <c r="E185" s="497"/>
      <c r="F185" s="498"/>
      <c r="H185" s="422"/>
    </row>
    <row r="186">
      <c r="A186" s="422"/>
      <c r="B186" s="422"/>
      <c r="E186" s="497"/>
      <c r="F186" s="498"/>
      <c r="H186" s="422"/>
    </row>
    <row r="187">
      <c r="A187" s="422"/>
      <c r="B187" s="422"/>
      <c r="E187" s="497"/>
      <c r="F187" s="498"/>
      <c r="H187" s="422"/>
    </row>
    <row r="188">
      <c r="A188" s="422"/>
      <c r="B188" s="422"/>
      <c r="E188" s="497"/>
      <c r="F188" s="498"/>
      <c r="H188" s="422"/>
    </row>
    <row r="189">
      <c r="A189" s="422"/>
      <c r="B189" s="422"/>
      <c r="E189" s="497"/>
      <c r="F189" s="498"/>
      <c r="H189" s="422"/>
    </row>
    <row r="190">
      <c r="A190" s="422"/>
      <c r="B190" s="422"/>
      <c r="E190" s="497"/>
      <c r="F190" s="498"/>
      <c r="H190" s="422"/>
    </row>
    <row r="191">
      <c r="A191" s="422"/>
      <c r="B191" s="422"/>
      <c r="E191" s="497"/>
      <c r="F191" s="498"/>
      <c r="H191" s="422"/>
    </row>
    <row r="192">
      <c r="A192" s="422"/>
      <c r="B192" s="422"/>
      <c r="E192" s="497"/>
      <c r="F192" s="498"/>
      <c r="H192" s="422"/>
    </row>
    <row r="193">
      <c r="A193" s="422"/>
      <c r="B193" s="422"/>
      <c r="E193" s="497"/>
      <c r="F193" s="498"/>
      <c r="H193" s="422"/>
    </row>
    <row r="194">
      <c r="A194" s="422"/>
      <c r="B194" s="422"/>
      <c r="E194" s="497"/>
      <c r="F194" s="498"/>
      <c r="H194" s="422"/>
    </row>
    <row r="195">
      <c r="A195" s="422"/>
      <c r="B195" s="422"/>
      <c r="E195" s="497"/>
      <c r="F195" s="498"/>
      <c r="H195" s="422"/>
    </row>
    <row r="196">
      <c r="A196" s="422"/>
      <c r="B196" s="422"/>
      <c r="E196" s="497"/>
      <c r="F196" s="498"/>
      <c r="H196" s="422"/>
    </row>
    <row r="197">
      <c r="A197" s="422"/>
      <c r="B197" s="422"/>
      <c r="E197" s="497"/>
      <c r="F197" s="498"/>
      <c r="H197" s="422"/>
    </row>
    <row r="198">
      <c r="A198" s="422"/>
      <c r="B198" s="422"/>
      <c r="E198" s="497"/>
      <c r="F198" s="498"/>
      <c r="H198" s="422"/>
    </row>
    <row r="199">
      <c r="A199" s="422"/>
      <c r="B199" s="422"/>
      <c r="E199" s="497"/>
      <c r="F199" s="498"/>
      <c r="H199" s="422"/>
    </row>
    <row r="200">
      <c r="A200" s="422"/>
      <c r="B200" s="422"/>
      <c r="E200" s="497"/>
      <c r="F200" s="498"/>
      <c r="H200" s="422"/>
    </row>
    <row r="201">
      <c r="A201" s="422"/>
      <c r="B201" s="422"/>
      <c r="E201" s="497"/>
      <c r="F201" s="498"/>
      <c r="H201" s="422"/>
    </row>
    <row r="202">
      <c r="A202" s="422"/>
      <c r="B202" s="422"/>
      <c r="E202" s="497"/>
      <c r="F202" s="498"/>
      <c r="H202" s="422"/>
    </row>
    <row r="203">
      <c r="A203" s="422"/>
      <c r="B203" s="422"/>
      <c r="E203" s="497"/>
      <c r="F203" s="498"/>
      <c r="H203" s="422"/>
    </row>
    <row r="204">
      <c r="A204" s="422"/>
      <c r="B204" s="422"/>
      <c r="E204" s="497"/>
      <c r="F204" s="498"/>
      <c r="H204" s="422"/>
    </row>
    <row r="205">
      <c r="A205" s="422"/>
      <c r="B205" s="422"/>
      <c r="E205" s="497"/>
      <c r="F205" s="498"/>
      <c r="H205" s="422"/>
    </row>
    <row r="206">
      <c r="A206" s="422"/>
      <c r="B206" s="422"/>
      <c r="E206" s="497"/>
      <c r="F206" s="498"/>
      <c r="H206" s="422"/>
    </row>
    <row r="207">
      <c r="A207" s="422"/>
      <c r="B207" s="422"/>
      <c r="E207" s="497"/>
      <c r="F207" s="498"/>
      <c r="H207" s="422"/>
    </row>
    <row r="208">
      <c r="A208" s="422"/>
      <c r="B208" s="422"/>
      <c r="E208" s="497"/>
      <c r="F208" s="498"/>
      <c r="H208" s="422"/>
    </row>
    <row r="209">
      <c r="A209" s="422"/>
      <c r="B209" s="422"/>
      <c r="E209" s="497"/>
      <c r="F209" s="498"/>
      <c r="H209" s="422"/>
    </row>
    <row r="210">
      <c r="A210" s="422"/>
      <c r="B210" s="422"/>
      <c r="E210" s="497"/>
      <c r="F210" s="498"/>
      <c r="H210" s="422"/>
    </row>
    <row r="211">
      <c r="A211" s="422"/>
      <c r="B211" s="422"/>
      <c r="E211" s="497"/>
      <c r="F211" s="498"/>
      <c r="H211" s="422"/>
    </row>
    <row r="212">
      <c r="A212" s="422"/>
      <c r="B212" s="422"/>
      <c r="E212" s="497"/>
      <c r="F212" s="498"/>
      <c r="H212" s="422"/>
    </row>
    <row r="213">
      <c r="A213" s="422"/>
      <c r="B213" s="422"/>
      <c r="E213" s="497"/>
      <c r="F213" s="498"/>
      <c r="H213" s="422"/>
    </row>
    <row r="214">
      <c r="A214" s="422"/>
      <c r="B214" s="422"/>
      <c r="E214" s="497"/>
      <c r="F214" s="498"/>
      <c r="H214" s="422"/>
    </row>
    <row r="215">
      <c r="A215" s="422"/>
      <c r="B215" s="422"/>
      <c r="E215" s="497"/>
      <c r="F215" s="498"/>
      <c r="H215" s="422"/>
    </row>
    <row r="216">
      <c r="A216" s="422"/>
      <c r="B216" s="422"/>
      <c r="E216" s="497"/>
      <c r="F216" s="498"/>
      <c r="H216" s="422"/>
    </row>
    <row r="217">
      <c r="A217" s="422"/>
      <c r="B217" s="422"/>
      <c r="E217" s="497"/>
      <c r="F217" s="498"/>
      <c r="H217" s="422"/>
    </row>
    <row r="218">
      <c r="A218" s="422"/>
      <c r="B218" s="422"/>
      <c r="E218" s="497"/>
      <c r="F218" s="498"/>
      <c r="H218" s="422"/>
    </row>
    <row r="219">
      <c r="A219" s="422"/>
      <c r="B219" s="422"/>
      <c r="E219" s="497"/>
      <c r="F219" s="498"/>
      <c r="H219" s="422"/>
    </row>
    <row r="220">
      <c r="A220" s="422"/>
      <c r="B220" s="422"/>
      <c r="E220" s="497"/>
      <c r="F220" s="498"/>
      <c r="H220" s="422"/>
    </row>
    <row r="221">
      <c r="A221" s="422"/>
      <c r="B221" s="422"/>
      <c r="E221" s="497"/>
      <c r="F221" s="498"/>
      <c r="H221" s="422"/>
    </row>
    <row r="222">
      <c r="A222" s="422"/>
      <c r="B222" s="422"/>
      <c r="E222" s="497"/>
      <c r="F222" s="498"/>
      <c r="H222" s="422"/>
    </row>
    <row r="223">
      <c r="A223" s="422"/>
      <c r="B223" s="422"/>
      <c r="E223" s="497"/>
      <c r="F223" s="498"/>
      <c r="H223" s="422"/>
    </row>
    <row r="224">
      <c r="A224" s="422"/>
      <c r="B224" s="422"/>
      <c r="E224" s="497"/>
      <c r="F224" s="498"/>
      <c r="H224" s="422"/>
    </row>
    <row r="225">
      <c r="A225" s="422"/>
      <c r="B225" s="422"/>
      <c r="E225" s="497"/>
      <c r="F225" s="498"/>
      <c r="H225" s="422"/>
    </row>
    <row r="226">
      <c r="A226" s="422"/>
      <c r="B226" s="422"/>
      <c r="E226" s="497"/>
      <c r="F226" s="498"/>
      <c r="H226" s="422"/>
    </row>
    <row r="227">
      <c r="A227" s="422"/>
      <c r="B227" s="422"/>
      <c r="E227" s="497"/>
      <c r="F227" s="498"/>
      <c r="H227" s="422"/>
    </row>
    <row r="228">
      <c r="A228" s="422"/>
      <c r="B228" s="422"/>
      <c r="E228" s="497"/>
      <c r="F228" s="498"/>
      <c r="H228" s="422"/>
    </row>
    <row r="229">
      <c r="A229" s="422"/>
      <c r="B229" s="422"/>
      <c r="E229" s="497"/>
      <c r="F229" s="498"/>
      <c r="H229" s="422"/>
    </row>
    <row r="230">
      <c r="A230" s="422"/>
      <c r="B230" s="422"/>
      <c r="E230" s="497"/>
      <c r="F230" s="498"/>
      <c r="H230" s="422"/>
    </row>
    <row r="231">
      <c r="A231" s="422"/>
      <c r="B231" s="422"/>
      <c r="E231" s="497"/>
      <c r="F231" s="498"/>
      <c r="H231" s="422"/>
    </row>
    <row r="232">
      <c r="A232" s="422"/>
      <c r="B232" s="422"/>
      <c r="E232" s="497"/>
      <c r="F232" s="498"/>
      <c r="H232" s="422"/>
    </row>
    <row r="233">
      <c r="A233" s="422"/>
      <c r="B233" s="422"/>
      <c r="E233" s="497"/>
      <c r="F233" s="498"/>
      <c r="H233" s="422"/>
    </row>
    <row r="234">
      <c r="A234" s="422"/>
      <c r="B234" s="422"/>
      <c r="E234" s="497"/>
      <c r="F234" s="498"/>
      <c r="H234" s="422"/>
    </row>
    <row r="235">
      <c r="A235" s="422"/>
      <c r="B235" s="422"/>
      <c r="E235" s="497"/>
      <c r="F235" s="498"/>
      <c r="H235" s="422"/>
    </row>
    <row r="236">
      <c r="A236" s="422"/>
      <c r="B236" s="422"/>
      <c r="E236" s="497"/>
      <c r="F236" s="498"/>
      <c r="H236" s="422"/>
    </row>
    <row r="237">
      <c r="A237" s="422"/>
      <c r="B237" s="422"/>
      <c r="E237" s="497"/>
      <c r="F237" s="498"/>
      <c r="H237" s="422"/>
    </row>
    <row r="238">
      <c r="A238" s="422"/>
      <c r="B238" s="422"/>
      <c r="E238" s="497"/>
      <c r="F238" s="498"/>
      <c r="H238" s="422"/>
    </row>
    <row r="239">
      <c r="A239" s="422"/>
      <c r="B239" s="422"/>
      <c r="E239" s="497"/>
      <c r="F239" s="498"/>
      <c r="H239" s="422"/>
    </row>
    <row r="240">
      <c r="A240" s="422"/>
      <c r="B240" s="422"/>
      <c r="E240" s="497"/>
      <c r="F240" s="498"/>
      <c r="H240" s="422"/>
    </row>
    <row r="241">
      <c r="A241" s="422"/>
      <c r="B241" s="422"/>
      <c r="E241" s="497"/>
      <c r="F241" s="498"/>
      <c r="H241" s="422"/>
    </row>
    <row r="242">
      <c r="A242" s="422"/>
      <c r="B242" s="422"/>
      <c r="E242" s="497"/>
      <c r="F242" s="498"/>
      <c r="H242" s="422"/>
    </row>
    <row r="243">
      <c r="A243" s="422"/>
      <c r="B243" s="422"/>
      <c r="E243" s="497"/>
      <c r="F243" s="498"/>
      <c r="H243" s="422"/>
    </row>
    <row r="244">
      <c r="A244" s="422"/>
      <c r="B244" s="422"/>
      <c r="E244" s="497"/>
      <c r="F244" s="498"/>
      <c r="H244" s="422"/>
    </row>
    <row r="245">
      <c r="A245" s="422"/>
      <c r="B245" s="422"/>
      <c r="E245" s="497"/>
      <c r="F245" s="498"/>
      <c r="H245" s="422"/>
    </row>
    <row r="246">
      <c r="A246" s="422"/>
      <c r="B246" s="422"/>
      <c r="E246" s="497"/>
      <c r="F246" s="498"/>
      <c r="H246" s="422"/>
    </row>
    <row r="247">
      <c r="A247" s="422"/>
      <c r="B247" s="422"/>
      <c r="E247" s="497"/>
      <c r="F247" s="498"/>
      <c r="H247" s="422"/>
    </row>
    <row r="248">
      <c r="A248" s="422"/>
      <c r="B248" s="422"/>
      <c r="E248" s="497"/>
      <c r="F248" s="498"/>
      <c r="H248" s="422"/>
    </row>
    <row r="249">
      <c r="A249" s="422"/>
      <c r="B249" s="422"/>
      <c r="E249" s="497"/>
      <c r="F249" s="498"/>
      <c r="H249" s="422"/>
    </row>
    <row r="250">
      <c r="A250" s="422"/>
      <c r="B250" s="422"/>
      <c r="E250" s="497"/>
      <c r="F250" s="498"/>
      <c r="H250" s="422"/>
    </row>
    <row r="251">
      <c r="A251" s="422"/>
      <c r="B251" s="422"/>
      <c r="E251" s="497"/>
      <c r="F251" s="498"/>
      <c r="H251" s="422"/>
    </row>
    <row r="252">
      <c r="A252" s="422"/>
      <c r="B252" s="422"/>
      <c r="E252" s="497"/>
      <c r="F252" s="498"/>
      <c r="H252" s="422"/>
    </row>
    <row r="253">
      <c r="A253" s="422"/>
      <c r="B253" s="422"/>
      <c r="E253" s="497"/>
      <c r="F253" s="498"/>
      <c r="H253" s="422"/>
    </row>
    <row r="254">
      <c r="A254" s="422"/>
      <c r="B254" s="422"/>
      <c r="E254" s="497"/>
      <c r="F254" s="498"/>
      <c r="H254" s="422"/>
    </row>
    <row r="255">
      <c r="A255" s="422"/>
      <c r="B255" s="422"/>
      <c r="E255" s="497"/>
      <c r="F255" s="498"/>
      <c r="H255" s="422"/>
    </row>
    <row r="256">
      <c r="A256" s="422"/>
      <c r="B256" s="422"/>
      <c r="E256" s="497"/>
      <c r="F256" s="498"/>
      <c r="H256" s="422"/>
    </row>
    <row r="257">
      <c r="A257" s="422"/>
      <c r="B257" s="422"/>
      <c r="E257" s="497"/>
      <c r="F257" s="498"/>
      <c r="H257" s="422"/>
    </row>
    <row r="258">
      <c r="A258" s="422"/>
      <c r="B258" s="422"/>
      <c r="E258" s="497"/>
      <c r="F258" s="498"/>
      <c r="H258" s="422"/>
    </row>
    <row r="259">
      <c r="A259" s="422"/>
      <c r="B259" s="422"/>
      <c r="E259" s="497"/>
      <c r="F259" s="498"/>
      <c r="H259" s="422"/>
    </row>
    <row r="260">
      <c r="A260" s="422"/>
      <c r="B260" s="422"/>
      <c r="E260" s="497"/>
      <c r="F260" s="498"/>
      <c r="H260" s="422"/>
    </row>
    <row r="261">
      <c r="A261" s="422"/>
      <c r="B261" s="422"/>
      <c r="E261" s="497"/>
      <c r="F261" s="498"/>
      <c r="H261" s="422"/>
    </row>
    <row r="262">
      <c r="A262" s="422"/>
      <c r="B262" s="422"/>
      <c r="E262" s="497"/>
      <c r="F262" s="498"/>
      <c r="H262" s="422"/>
    </row>
    <row r="263">
      <c r="A263" s="422"/>
      <c r="B263" s="422"/>
      <c r="E263" s="497"/>
      <c r="F263" s="498"/>
      <c r="H263" s="422"/>
    </row>
    <row r="264">
      <c r="A264" s="422"/>
      <c r="B264" s="422"/>
      <c r="E264" s="497"/>
      <c r="F264" s="498"/>
      <c r="H264" s="422"/>
    </row>
    <row r="265">
      <c r="A265" s="422"/>
      <c r="B265" s="422"/>
      <c r="E265" s="497"/>
      <c r="F265" s="498"/>
      <c r="H265" s="422"/>
    </row>
    <row r="266">
      <c r="A266" s="422"/>
      <c r="B266" s="422"/>
      <c r="E266" s="497"/>
      <c r="F266" s="498"/>
      <c r="H266" s="422"/>
    </row>
    <row r="267">
      <c r="A267" s="422"/>
      <c r="B267" s="422"/>
      <c r="E267" s="497"/>
      <c r="F267" s="498"/>
      <c r="H267" s="422"/>
    </row>
    <row r="268">
      <c r="A268" s="422"/>
      <c r="B268" s="422"/>
      <c r="E268" s="497"/>
      <c r="F268" s="498"/>
      <c r="H268" s="422"/>
    </row>
    <row r="269">
      <c r="A269" s="422"/>
      <c r="B269" s="422"/>
      <c r="E269" s="497"/>
      <c r="F269" s="498"/>
      <c r="H269" s="422"/>
    </row>
    <row r="270">
      <c r="A270" s="422"/>
      <c r="B270" s="422"/>
      <c r="E270" s="497"/>
      <c r="F270" s="498"/>
      <c r="H270" s="422"/>
    </row>
    <row r="271">
      <c r="A271" s="422"/>
      <c r="B271" s="422"/>
      <c r="E271" s="497"/>
      <c r="F271" s="498"/>
      <c r="H271" s="422"/>
    </row>
    <row r="272">
      <c r="A272" s="422"/>
      <c r="B272" s="422"/>
      <c r="E272" s="497"/>
      <c r="F272" s="498"/>
      <c r="H272" s="422"/>
    </row>
    <row r="273">
      <c r="A273" s="422"/>
      <c r="B273" s="422"/>
      <c r="E273" s="497"/>
      <c r="F273" s="498"/>
      <c r="H273" s="422"/>
    </row>
    <row r="274">
      <c r="A274" s="422"/>
      <c r="B274" s="422"/>
      <c r="E274" s="497"/>
      <c r="F274" s="498"/>
      <c r="H274" s="422"/>
    </row>
    <row r="275">
      <c r="A275" s="422"/>
      <c r="B275" s="422"/>
      <c r="E275" s="497"/>
      <c r="F275" s="498"/>
      <c r="H275" s="422"/>
    </row>
    <row r="276">
      <c r="A276" s="422"/>
      <c r="B276" s="422"/>
      <c r="E276" s="497"/>
      <c r="F276" s="498"/>
      <c r="H276" s="422"/>
    </row>
    <row r="277">
      <c r="A277" s="422"/>
      <c r="B277" s="422"/>
      <c r="E277" s="497"/>
      <c r="F277" s="498"/>
      <c r="H277" s="422"/>
    </row>
    <row r="278">
      <c r="A278" s="422"/>
      <c r="B278" s="422"/>
      <c r="E278" s="497"/>
      <c r="F278" s="498"/>
      <c r="H278" s="422"/>
    </row>
    <row r="279">
      <c r="A279" s="422"/>
      <c r="B279" s="422"/>
      <c r="E279" s="497"/>
      <c r="F279" s="498"/>
      <c r="H279" s="422"/>
    </row>
    <row r="280">
      <c r="A280" s="422"/>
      <c r="B280" s="422"/>
      <c r="E280" s="497"/>
      <c r="F280" s="498"/>
      <c r="H280" s="422"/>
    </row>
    <row r="281">
      <c r="A281" s="422"/>
      <c r="B281" s="422"/>
      <c r="E281" s="497"/>
      <c r="F281" s="498"/>
      <c r="H281" s="422"/>
    </row>
    <row r="282">
      <c r="A282" s="422"/>
      <c r="B282" s="422"/>
      <c r="E282" s="497"/>
      <c r="F282" s="498"/>
      <c r="H282" s="422"/>
    </row>
    <row r="283">
      <c r="A283" s="422"/>
      <c r="B283" s="422"/>
      <c r="E283" s="497"/>
      <c r="F283" s="498"/>
      <c r="H283" s="422"/>
    </row>
    <row r="284">
      <c r="A284" s="422"/>
      <c r="B284" s="422"/>
      <c r="E284" s="497"/>
      <c r="F284" s="498"/>
      <c r="H284" s="422"/>
    </row>
    <row r="285">
      <c r="A285" s="422"/>
      <c r="B285" s="422"/>
      <c r="E285" s="497"/>
      <c r="F285" s="498"/>
      <c r="H285" s="422"/>
    </row>
    <row r="286">
      <c r="A286" s="422"/>
      <c r="B286" s="422"/>
      <c r="E286" s="497"/>
      <c r="F286" s="498"/>
      <c r="H286" s="422"/>
    </row>
    <row r="287">
      <c r="A287" s="422"/>
      <c r="B287" s="422"/>
      <c r="E287" s="497"/>
      <c r="F287" s="498"/>
      <c r="H287" s="422"/>
    </row>
    <row r="288">
      <c r="A288" s="422"/>
      <c r="B288" s="422"/>
      <c r="E288" s="497"/>
      <c r="F288" s="498"/>
      <c r="H288" s="422"/>
    </row>
    <row r="289">
      <c r="A289" s="422"/>
      <c r="B289" s="422"/>
      <c r="E289" s="497"/>
      <c r="F289" s="498"/>
      <c r="H289" s="422"/>
    </row>
    <row r="290">
      <c r="A290" s="422"/>
      <c r="B290" s="422"/>
      <c r="E290" s="497"/>
      <c r="F290" s="498"/>
      <c r="H290" s="422"/>
    </row>
    <row r="291">
      <c r="A291" s="422"/>
      <c r="B291" s="422"/>
      <c r="E291" s="497"/>
      <c r="F291" s="498"/>
      <c r="H291" s="422"/>
    </row>
    <row r="292">
      <c r="A292" s="422"/>
      <c r="B292" s="422"/>
      <c r="E292" s="497"/>
      <c r="F292" s="498"/>
      <c r="H292" s="422"/>
    </row>
    <row r="293">
      <c r="A293" s="422"/>
      <c r="B293" s="422"/>
      <c r="E293" s="497"/>
      <c r="F293" s="498"/>
      <c r="H293" s="422"/>
    </row>
    <row r="294">
      <c r="A294" s="422"/>
      <c r="B294" s="422"/>
      <c r="E294" s="497"/>
      <c r="F294" s="498"/>
      <c r="H294" s="422"/>
    </row>
    <row r="295">
      <c r="A295" s="422"/>
      <c r="B295" s="422"/>
      <c r="E295" s="497"/>
      <c r="F295" s="498"/>
      <c r="H295" s="422"/>
    </row>
    <row r="296">
      <c r="A296" s="422"/>
      <c r="B296" s="422"/>
      <c r="E296" s="497"/>
      <c r="F296" s="498"/>
      <c r="H296" s="422"/>
    </row>
    <row r="297">
      <c r="A297" s="422"/>
      <c r="B297" s="422"/>
      <c r="E297" s="497"/>
      <c r="F297" s="498"/>
      <c r="H297" s="422"/>
    </row>
    <row r="298">
      <c r="A298" s="422"/>
      <c r="B298" s="422"/>
      <c r="E298" s="497"/>
      <c r="F298" s="498"/>
      <c r="H298" s="422"/>
    </row>
    <row r="299">
      <c r="A299" s="422"/>
      <c r="B299" s="422"/>
      <c r="E299" s="497"/>
      <c r="F299" s="498"/>
      <c r="H299" s="422"/>
    </row>
    <row r="300">
      <c r="A300" s="422"/>
      <c r="B300" s="422"/>
      <c r="E300" s="497"/>
      <c r="F300" s="498"/>
      <c r="H300" s="422"/>
    </row>
    <row r="301">
      <c r="A301" s="422"/>
      <c r="B301" s="422"/>
      <c r="E301" s="497"/>
      <c r="F301" s="498"/>
      <c r="H301" s="422"/>
    </row>
    <row r="302">
      <c r="A302" s="422"/>
      <c r="B302" s="422"/>
      <c r="E302" s="497"/>
      <c r="F302" s="498"/>
      <c r="H302" s="422"/>
    </row>
    <row r="303">
      <c r="A303" s="422"/>
      <c r="B303" s="422"/>
      <c r="E303" s="497"/>
      <c r="F303" s="498"/>
      <c r="H303" s="422"/>
    </row>
    <row r="304">
      <c r="A304" s="422"/>
      <c r="B304" s="422"/>
      <c r="E304" s="497"/>
      <c r="F304" s="498"/>
      <c r="H304" s="422"/>
    </row>
    <row r="305">
      <c r="A305" s="422"/>
      <c r="B305" s="422"/>
      <c r="E305" s="497"/>
      <c r="F305" s="498"/>
      <c r="H305" s="422"/>
    </row>
    <row r="306">
      <c r="A306" s="422"/>
      <c r="B306" s="422"/>
      <c r="E306" s="497"/>
      <c r="F306" s="498"/>
      <c r="H306" s="422"/>
    </row>
    <row r="307">
      <c r="A307" s="422"/>
      <c r="B307" s="422"/>
      <c r="E307" s="497"/>
      <c r="F307" s="498"/>
      <c r="H307" s="422"/>
    </row>
    <row r="308">
      <c r="A308" s="422"/>
      <c r="B308" s="422"/>
      <c r="E308" s="497"/>
      <c r="F308" s="498"/>
      <c r="H308" s="422"/>
    </row>
    <row r="309">
      <c r="A309" s="422"/>
      <c r="B309" s="422"/>
      <c r="E309" s="497"/>
      <c r="F309" s="498"/>
      <c r="H309" s="422"/>
    </row>
    <row r="310">
      <c r="A310" s="422"/>
      <c r="B310" s="422"/>
      <c r="E310" s="497"/>
      <c r="F310" s="498"/>
      <c r="H310" s="422"/>
    </row>
    <row r="311">
      <c r="A311" s="422"/>
      <c r="B311" s="422"/>
      <c r="E311" s="497"/>
      <c r="F311" s="498"/>
      <c r="H311" s="422"/>
    </row>
    <row r="312">
      <c r="A312" s="422"/>
      <c r="B312" s="422"/>
      <c r="E312" s="497"/>
      <c r="F312" s="498"/>
      <c r="H312" s="422"/>
    </row>
    <row r="313">
      <c r="A313" s="422"/>
      <c r="B313" s="422"/>
      <c r="E313" s="497"/>
      <c r="F313" s="498"/>
      <c r="H313" s="422"/>
    </row>
    <row r="314">
      <c r="A314" s="422"/>
      <c r="B314" s="422"/>
      <c r="E314" s="497"/>
      <c r="F314" s="498"/>
      <c r="H314" s="422"/>
    </row>
    <row r="315">
      <c r="A315" s="422"/>
      <c r="B315" s="422"/>
      <c r="E315" s="497"/>
      <c r="F315" s="498"/>
      <c r="H315" s="422"/>
    </row>
    <row r="316">
      <c r="A316" s="422"/>
      <c r="B316" s="422"/>
      <c r="E316" s="497"/>
      <c r="F316" s="498"/>
      <c r="H316" s="422"/>
    </row>
    <row r="317">
      <c r="A317" s="422"/>
      <c r="B317" s="422"/>
      <c r="E317" s="497"/>
      <c r="F317" s="498"/>
      <c r="H317" s="422"/>
    </row>
    <row r="318">
      <c r="A318" s="422"/>
      <c r="B318" s="422"/>
      <c r="E318" s="497"/>
      <c r="F318" s="498"/>
      <c r="H318" s="422"/>
    </row>
    <row r="319">
      <c r="A319" s="422"/>
      <c r="B319" s="422"/>
      <c r="E319" s="497"/>
      <c r="F319" s="498"/>
      <c r="H319" s="422"/>
    </row>
    <row r="320">
      <c r="A320" s="422"/>
      <c r="B320" s="422"/>
      <c r="E320" s="497"/>
      <c r="F320" s="498"/>
      <c r="H320" s="422"/>
    </row>
    <row r="321">
      <c r="A321" s="422"/>
      <c r="B321" s="422"/>
      <c r="E321" s="497"/>
      <c r="F321" s="498"/>
      <c r="H321" s="422"/>
    </row>
    <row r="322">
      <c r="A322" s="422"/>
      <c r="B322" s="422"/>
      <c r="E322" s="497"/>
      <c r="F322" s="498"/>
      <c r="H322" s="422"/>
    </row>
    <row r="323">
      <c r="A323" s="422"/>
      <c r="B323" s="422"/>
      <c r="E323" s="497"/>
      <c r="F323" s="498"/>
      <c r="H323" s="422"/>
    </row>
    <row r="324">
      <c r="A324" s="422"/>
      <c r="B324" s="422"/>
      <c r="E324" s="497"/>
      <c r="F324" s="498"/>
      <c r="H324" s="422"/>
    </row>
    <row r="325">
      <c r="A325" s="422"/>
      <c r="B325" s="422"/>
      <c r="E325" s="497"/>
      <c r="F325" s="498"/>
      <c r="H325" s="422"/>
    </row>
    <row r="326">
      <c r="A326" s="422"/>
      <c r="B326" s="422"/>
      <c r="E326" s="497"/>
      <c r="F326" s="498"/>
      <c r="H326" s="422"/>
    </row>
    <row r="327">
      <c r="A327" s="422"/>
      <c r="B327" s="422"/>
      <c r="E327" s="497"/>
      <c r="F327" s="498"/>
      <c r="H327" s="422"/>
    </row>
    <row r="328">
      <c r="A328" s="422"/>
      <c r="B328" s="422"/>
      <c r="E328" s="497"/>
      <c r="F328" s="498"/>
      <c r="H328" s="422"/>
    </row>
    <row r="329">
      <c r="A329" s="422"/>
      <c r="B329" s="422"/>
      <c r="E329" s="497"/>
      <c r="F329" s="498"/>
      <c r="H329" s="422"/>
    </row>
    <row r="330">
      <c r="A330" s="422"/>
      <c r="B330" s="422"/>
      <c r="E330" s="497"/>
      <c r="F330" s="498"/>
      <c r="H330" s="422"/>
    </row>
    <row r="331">
      <c r="A331" s="422"/>
      <c r="B331" s="422"/>
      <c r="E331" s="497"/>
      <c r="F331" s="498"/>
      <c r="H331" s="422"/>
    </row>
    <row r="332">
      <c r="A332" s="422"/>
      <c r="B332" s="422"/>
      <c r="E332" s="497"/>
      <c r="F332" s="498"/>
      <c r="H332" s="422"/>
    </row>
    <row r="333">
      <c r="A333" s="422"/>
      <c r="B333" s="422"/>
      <c r="E333" s="497"/>
      <c r="F333" s="498"/>
      <c r="H333" s="422"/>
    </row>
    <row r="334">
      <c r="A334" s="422"/>
      <c r="B334" s="422"/>
      <c r="E334" s="497"/>
      <c r="F334" s="498"/>
      <c r="H334" s="422"/>
    </row>
    <row r="335">
      <c r="A335" s="422"/>
      <c r="B335" s="422"/>
      <c r="E335" s="497"/>
      <c r="F335" s="498"/>
      <c r="H335" s="422"/>
    </row>
    <row r="336">
      <c r="A336" s="422"/>
      <c r="B336" s="422"/>
      <c r="E336" s="497"/>
      <c r="F336" s="498"/>
      <c r="H336" s="422"/>
    </row>
    <row r="337">
      <c r="A337" s="422"/>
      <c r="B337" s="422"/>
      <c r="E337" s="497"/>
      <c r="F337" s="498"/>
      <c r="H337" s="422"/>
    </row>
    <row r="338">
      <c r="A338" s="422"/>
      <c r="B338" s="422"/>
      <c r="E338" s="497"/>
      <c r="F338" s="498"/>
      <c r="H338" s="422"/>
    </row>
    <row r="339">
      <c r="A339" s="422"/>
      <c r="B339" s="422"/>
      <c r="E339" s="497"/>
      <c r="F339" s="498"/>
      <c r="H339" s="422"/>
    </row>
    <row r="340">
      <c r="A340" s="422"/>
      <c r="B340" s="422"/>
      <c r="E340" s="497"/>
      <c r="F340" s="498"/>
      <c r="H340" s="422"/>
    </row>
    <row r="341">
      <c r="A341" s="422"/>
      <c r="B341" s="422"/>
      <c r="E341" s="497"/>
      <c r="F341" s="498"/>
      <c r="H341" s="422"/>
    </row>
    <row r="342">
      <c r="A342" s="422"/>
      <c r="B342" s="422"/>
      <c r="E342" s="497"/>
      <c r="F342" s="498"/>
      <c r="H342" s="422"/>
    </row>
    <row r="343">
      <c r="A343" s="422"/>
      <c r="B343" s="422"/>
      <c r="E343" s="497"/>
      <c r="F343" s="498"/>
      <c r="H343" s="422"/>
    </row>
    <row r="344">
      <c r="A344" s="422"/>
      <c r="B344" s="422"/>
      <c r="E344" s="497"/>
      <c r="F344" s="498"/>
      <c r="H344" s="422"/>
    </row>
    <row r="345">
      <c r="A345" s="422"/>
      <c r="B345" s="422"/>
      <c r="E345" s="497"/>
      <c r="F345" s="498"/>
      <c r="H345" s="422"/>
    </row>
    <row r="346">
      <c r="A346" s="422"/>
      <c r="B346" s="422"/>
      <c r="E346" s="497"/>
      <c r="F346" s="498"/>
      <c r="H346" s="422"/>
    </row>
    <row r="347">
      <c r="A347" s="422"/>
      <c r="B347" s="422"/>
      <c r="E347" s="497"/>
      <c r="F347" s="498"/>
      <c r="H347" s="422"/>
    </row>
    <row r="348">
      <c r="A348" s="422"/>
      <c r="B348" s="422"/>
      <c r="E348" s="497"/>
      <c r="F348" s="498"/>
      <c r="H348" s="422"/>
    </row>
    <row r="349">
      <c r="A349" s="422"/>
      <c r="B349" s="422"/>
      <c r="E349" s="497"/>
      <c r="F349" s="498"/>
      <c r="H349" s="422"/>
    </row>
    <row r="350">
      <c r="A350" s="422"/>
      <c r="B350" s="422"/>
      <c r="E350" s="497"/>
      <c r="F350" s="498"/>
      <c r="H350" s="422"/>
    </row>
    <row r="351">
      <c r="A351" s="422"/>
      <c r="B351" s="422"/>
      <c r="E351" s="497"/>
      <c r="F351" s="498"/>
      <c r="H351" s="422"/>
    </row>
    <row r="352">
      <c r="A352" s="422"/>
      <c r="B352" s="422"/>
      <c r="E352" s="497"/>
      <c r="F352" s="498"/>
      <c r="H352" s="422"/>
    </row>
    <row r="353">
      <c r="A353" s="422"/>
      <c r="B353" s="422"/>
      <c r="E353" s="497"/>
      <c r="F353" s="498"/>
      <c r="H353" s="422"/>
    </row>
    <row r="354">
      <c r="A354" s="422"/>
      <c r="B354" s="422"/>
      <c r="E354" s="497"/>
      <c r="F354" s="498"/>
      <c r="H354" s="422"/>
    </row>
    <row r="355">
      <c r="A355" s="422"/>
      <c r="B355" s="422"/>
      <c r="E355" s="497"/>
      <c r="F355" s="498"/>
      <c r="H355" s="422"/>
    </row>
    <row r="356">
      <c r="A356" s="422"/>
      <c r="B356" s="422"/>
      <c r="E356" s="497"/>
      <c r="F356" s="498"/>
      <c r="H356" s="422"/>
    </row>
    <row r="357">
      <c r="A357" s="422"/>
      <c r="B357" s="422"/>
      <c r="E357" s="497"/>
      <c r="F357" s="498"/>
      <c r="H357" s="422"/>
    </row>
    <row r="358">
      <c r="A358" s="422"/>
      <c r="B358" s="422"/>
      <c r="E358" s="497"/>
      <c r="F358" s="498"/>
      <c r="H358" s="422"/>
    </row>
    <row r="359">
      <c r="A359" s="422"/>
      <c r="B359" s="422"/>
      <c r="E359" s="497"/>
      <c r="F359" s="498"/>
      <c r="H359" s="422"/>
    </row>
    <row r="360">
      <c r="A360" s="422"/>
      <c r="B360" s="422"/>
      <c r="E360" s="497"/>
      <c r="F360" s="498"/>
      <c r="H360" s="422"/>
    </row>
    <row r="361">
      <c r="A361" s="422"/>
      <c r="B361" s="422"/>
      <c r="E361" s="497"/>
      <c r="F361" s="498"/>
      <c r="H361" s="422"/>
    </row>
    <row r="362">
      <c r="A362" s="422"/>
      <c r="B362" s="422"/>
      <c r="E362" s="497"/>
      <c r="F362" s="498"/>
      <c r="H362" s="422"/>
    </row>
    <row r="363">
      <c r="A363" s="422"/>
      <c r="B363" s="422"/>
      <c r="E363" s="497"/>
      <c r="F363" s="498"/>
      <c r="H363" s="422"/>
    </row>
    <row r="364">
      <c r="A364" s="422"/>
      <c r="B364" s="422"/>
      <c r="E364" s="497"/>
      <c r="F364" s="498"/>
      <c r="H364" s="422"/>
    </row>
    <row r="365">
      <c r="A365" s="422"/>
      <c r="B365" s="422"/>
      <c r="E365" s="497"/>
      <c r="F365" s="498"/>
      <c r="H365" s="422"/>
    </row>
    <row r="366">
      <c r="A366" s="422"/>
      <c r="B366" s="422"/>
      <c r="E366" s="497"/>
      <c r="F366" s="498"/>
      <c r="H366" s="422"/>
    </row>
    <row r="367">
      <c r="A367" s="422"/>
      <c r="B367" s="422"/>
      <c r="E367" s="497"/>
      <c r="F367" s="498"/>
      <c r="H367" s="422"/>
    </row>
    <row r="368">
      <c r="A368" s="422"/>
      <c r="B368" s="422"/>
      <c r="E368" s="497"/>
      <c r="F368" s="498"/>
      <c r="H368" s="422"/>
    </row>
    <row r="369">
      <c r="A369" s="422"/>
      <c r="B369" s="422"/>
      <c r="E369" s="497"/>
      <c r="F369" s="498"/>
      <c r="H369" s="422"/>
    </row>
    <row r="370">
      <c r="A370" s="422"/>
      <c r="B370" s="422"/>
      <c r="E370" s="497"/>
      <c r="F370" s="498"/>
      <c r="H370" s="422"/>
    </row>
    <row r="371">
      <c r="A371" s="422"/>
      <c r="B371" s="422"/>
      <c r="E371" s="497"/>
      <c r="F371" s="498"/>
      <c r="H371" s="422"/>
    </row>
    <row r="372">
      <c r="A372" s="422"/>
      <c r="B372" s="422"/>
      <c r="E372" s="497"/>
      <c r="F372" s="498"/>
      <c r="H372" s="422"/>
    </row>
    <row r="373">
      <c r="A373" s="422"/>
      <c r="B373" s="422"/>
      <c r="E373" s="497"/>
      <c r="F373" s="498"/>
      <c r="H373" s="422"/>
    </row>
    <row r="374">
      <c r="A374" s="422"/>
      <c r="B374" s="422"/>
      <c r="E374" s="497"/>
      <c r="F374" s="498"/>
      <c r="H374" s="422"/>
    </row>
    <row r="375">
      <c r="A375" s="422"/>
      <c r="B375" s="422"/>
      <c r="E375" s="497"/>
      <c r="F375" s="498"/>
      <c r="H375" s="422"/>
    </row>
    <row r="376">
      <c r="A376" s="422"/>
      <c r="B376" s="422"/>
      <c r="E376" s="497"/>
      <c r="F376" s="498"/>
      <c r="H376" s="422"/>
    </row>
    <row r="377">
      <c r="A377" s="422"/>
      <c r="B377" s="422"/>
      <c r="E377" s="497"/>
      <c r="F377" s="498"/>
      <c r="H377" s="422"/>
    </row>
    <row r="378">
      <c r="A378" s="422"/>
      <c r="B378" s="422"/>
      <c r="E378" s="497"/>
      <c r="F378" s="498"/>
      <c r="H378" s="422"/>
    </row>
    <row r="379">
      <c r="A379" s="422"/>
      <c r="B379" s="422"/>
      <c r="E379" s="497"/>
      <c r="F379" s="498"/>
      <c r="H379" s="422"/>
    </row>
    <row r="380">
      <c r="A380" s="422"/>
      <c r="B380" s="422"/>
      <c r="E380" s="497"/>
      <c r="F380" s="498"/>
      <c r="H380" s="422"/>
    </row>
    <row r="381">
      <c r="A381" s="422"/>
      <c r="B381" s="422"/>
      <c r="E381" s="497"/>
      <c r="F381" s="498"/>
      <c r="H381" s="422"/>
    </row>
    <row r="382">
      <c r="A382" s="422"/>
      <c r="B382" s="422"/>
      <c r="E382" s="497"/>
      <c r="F382" s="498"/>
      <c r="H382" s="422"/>
    </row>
    <row r="383">
      <c r="A383" s="422"/>
      <c r="B383" s="422"/>
      <c r="E383" s="497"/>
      <c r="F383" s="498"/>
      <c r="H383" s="422"/>
    </row>
    <row r="384">
      <c r="A384" s="422"/>
      <c r="B384" s="422"/>
      <c r="E384" s="497"/>
      <c r="F384" s="498"/>
      <c r="H384" s="422"/>
    </row>
    <row r="385">
      <c r="A385" s="422"/>
      <c r="B385" s="422"/>
      <c r="E385" s="497"/>
      <c r="F385" s="498"/>
      <c r="H385" s="422"/>
    </row>
    <row r="386">
      <c r="A386" s="422"/>
      <c r="B386" s="422"/>
      <c r="E386" s="497"/>
      <c r="F386" s="498"/>
      <c r="H386" s="422"/>
    </row>
    <row r="387">
      <c r="A387" s="422"/>
      <c r="B387" s="422"/>
      <c r="E387" s="497"/>
      <c r="F387" s="498"/>
      <c r="H387" s="422"/>
    </row>
    <row r="388">
      <c r="A388" s="422"/>
      <c r="B388" s="422"/>
      <c r="E388" s="497"/>
      <c r="F388" s="498"/>
      <c r="H388" s="422"/>
    </row>
    <row r="389">
      <c r="A389" s="422"/>
      <c r="B389" s="422"/>
      <c r="E389" s="497"/>
      <c r="F389" s="498"/>
      <c r="H389" s="422"/>
    </row>
    <row r="390">
      <c r="A390" s="422"/>
      <c r="B390" s="422"/>
      <c r="E390" s="497"/>
      <c r="F390" s="498"/>
      <c r="H390" s="422"/>
    </row>
    <row r="391">
      <c r="A391" s="422"/>
      <c r="B391" s="422"/>
      <c r="E391" s="497"/>
      <c r="F391" s="498"/>
      <c r="H391" s="422"/>
    </row>
    <row r="392">
      <c r="A392" s="422"/>
      <c r="B392" s="422"/>
      <c r="E392" s="497"/>
      <c r="F392" s="498"/>
      <c r="H392" s="422"/>
    </row>
    <row r="393">
      <c r="A393" s="422"/>
      <c r="B393" s="422"/>
      <c r="E393" s="497"/>
      <c r="F393" s="498"/>
      <c r="H393" s="422"/>
    </row>
    <row r="394">
      <c r="A394" s="422"/>
      <c r="B394" s="422"/>
      <c r="E394" s="497"/>
      <c r="F394" s="498"/>
      <c r="H394" s="422"/>
    </row>
    <row r="395">
      <c r="A395" s="422"/>
      <c r="B395" s="422"/>
      <c r="E395" s="497"/>
      <c r="F395" s="498"/>
      <c r="H395" s="422"/>
    </row>
    <row r="396">
      <c r="A396" s="422"/>
      <c r="B396" s="422"/>
      <c r="E396" s="497"/>
      <c r="F396" s="498"/>
      <c r="H396" s="422"/>
    </row>
    <row r="397">
      <c r="A397" s="422"/>
      <c r="B397" s="422"/>
      <c r="E397" s="497"/>
      <c r="F397" s="498"/>
      <c r="H397" s="422"/>
    </row>
    <row r="398">
      <c r="A398" s="422"/>
      <c r="B398" s="422"/>
      <c r="E398" s="497"/>
      <c r="F398" s="498"/>
      <c r="H398" s="422"/>
    </row>
    <row r="399">
      <c r="A399" s="422"/>
      <c r="B399" s="422"/>
      <c r="E399" s="497"/>
      <c r="F399" s="498"/>
      <c r="H399" s="422"/>
    </row>
    <row r="400">
      <c r="A400" s="422"/>
      <c r="B400" s="422"/>
      <c r="E400" s="497"/>
      <c r="F400" s="498"/>
      <c r="H400" s="422"/>
    </row>
    <row r="401">
      <c r="A401" s="422"/>
      <c r="B401" s="422"/>
      <c r="E401" s="497"/>
      <c r="F401" s="498"/>
      <c r="H401" s="422"/>
    </row>
    <row r="402">
      <c r="A402" s="422"/>
      <c r="B402" s="422"/>
      <c r="E402" s="497"/>
      <c r="F402" s="498"/>
      <c r="H402" s="422"/>
    </row>
    <row r="403">
      <c r="A403" s="422"/>
      <c r="B403" s="422"/>
      <c r="E403" s="497"/>
      <c r="F403" s="498"/>
      <c r="H403" s="422"/>
    </row>
    <row r="404">
      <c r="A404" s="422"/>
      <c r="B404" s="422"/>
      <c r="E404" s="497"/>
      <c r="F404" s="498"/>
      <c r="H404" s="422"/>
    </row>
    <row r="405">
      <c r="A405" s="422"/>
      <c r="B405" s="422"/>
      <c r="E405" s="497"/>
      <c r="F405" s="498"/>
      <c r="H405" s="422"/>
    </row>
    <row r="406">
      <c r="A406" s="422"/>
      <c r="B406" s="422"/>
      <c r="E406" s="497"/>
      <c r="F406" s="498"/>
      <c r="H406" s="422"/>
    </row>
    <row r="407">
      <c r="A407" s="422"/>
      <c r="B407" s="422"/>
      <c r="E407" s="497"/>
      <c r="F407" s="498"/>
      <c r="H407" s="422"/>
    </row>
    <row r="408">
      <c r="A408" s="422"/>
      <c r="B408" s="422"/>
      <c r="E408" s="497"/>
      <c r="F408" s="498"/>
      <c r="H408" s="422"/>
    </row>
    <row r="409">
      <c r="A409" s="422"/>
      <c r="B409" s="422"/>
      <c r="E409" s="497"/>
      <c r="F409" s="498"/>
      <c r="H409" s="422"/>
    </row>
    <row r="410">
      <c r="A410" s="422"/>
      <c r="B410" s="422"/>
      <c r="E410" s="497"/>
      <c r="F410" s="498"/>
      <c r="H410" s="422"/>
    </row>
    <row r="411">
      <c r="A411" s="422"/>
      <c r="B411" s="422"/>
      <c r="E411" s="497"/>
      <c r="F411" s="498"/>
      <c r="H411" s="422"/>
    </row>
    <row r="412">
      <c r="A412" s="422"/>
      <c r="B412" s="422"/>
      <c r="E412" s="497"/>
      <c r="F412" s="498"/>
      <c r="H412" s="422"/>
    </row>
    <row r="413">
      <c r="A413" s="422"/>
      <c r="B413" s="422"/>
      <c r="E413" s="497"/>
      <c r="F413" s="498"/>
      <c r="H413" s="422"/>
    </row>
    <row r="414">
      <c r="A414" s="422"/>
      <c r="B414" s="422"/>
      <c r="E414" s="497"/>
      <c r="F414" s="498"/>
      <c r="H414" s="422"/>
    </row>
    <row r="415">
      <c r="A415" s="422"/>
      <c r="B415" s="422"/>
      <c r="E415" s="497"/>
      <c r="F415" s="498"/>
      <c r="H415" s="422"/>
    </row>
    <row r="416">
      <c r="A416" s="422"/>
      <c r="B416" s="422"/>
      <c r="E416" s="497"/>
      <c r="F416" s="498"/>
      <c r="H416" s="422"/>
    </row>
    <row r="417">
      <c r="A417" s="422"/>
      <c r="B417" s="422"/>
      <c r="E417" s="497"/>
      <c r="F417" s="498"/>
      <c r="H417" s="422"/>
    </row>
    <row r="418">
      <c r="A418" s="422"/>
      <c r="B418" s="422"/>
      <c r="E418" s="497"/>
      <c r="F418" s="498"/>
      <c r="H418" s="422"/>
    </row>
    <row r="419">
      <c r="A419" s="422"/>
      <c r="B419" s="422"/>
      <c r="E419" s="497"/>
      <c r="F419" s="498"/>
      <c r="H419" s="422"/>
    </row>
    <row r="420">
      <c r="A420" s="422"/>
      <c r="B420" s="422"/>
      <c r="E420" s="497"/>
      <c r="F420" s="498"/>
      <c r="H420" s="422"/>
    </row>
    <row r="421">
      <c r="A421" s="422"/>
      <c r="B421" s="422"/>
      <c r="E421" s="497"/>
      <c r="F421" s="498"/>
      <c r="H421" s="422"/>
    </row>
    <row r="422">
      <c r="A422" s="422"/>
      <c r="B422" s="422"/>
      <c r="E422" s="497"/>
      <c r="F422" s="498"/>
      <c r="H422" s="422"/>
    </row>
    <row r="423">
      <c r="A423" s="422"/>
      <c r="B423" s="422"/>
      <c r="E423" s="497"/>
      <c r="F423" s="498"/>
      <c r="H423" s="422"/>
    </row>
    <row r="424">
      <c r="A424" s="422"/>
      <c r="B424" s="422"/>
      <c r="E424" s="497"/>
      <c r="F424" s="498"/>
      <c r="H424" s="422"/>
    </row>
    <row r="425">
      <c r="A425" s="422"/>
      <c r="B425" s="422"/>
      <c r="E425" s="497"/>
      <c r="F425" s="498"/>
      <c r="H425" s="422"/>
    </row>
    <row r="426">
      <c r="A426" s="422"/>
      <c r="B426" s="422"/>
      <c r="E426" s="497"/>
      <c r="F426" s="498"/>
      <c r="H426" s="422"/>
    </row>
    <row r="427">
      <c r="A427" s="422"/>
      <c r="B427" s="422"/>
      <c r="E427" s="497"/>
      <c r="F427" s="498"/>
      <c r="H427" s="422"/>
    </row>
    <row r="428">
      <c r="A428" s="422"/>
      <c r="B428" s="422"/>
      <c r="E428" s="497"/>
      <c r="F428" s="498"/>
      <c r="H428" s="422"/>
    </row>
    <row r="429">
      <c r="A429" s="422"/>
      <c r="B429" s="422"/>
      <c r="E429" s="497"/>
      <c r="F429" s="498"/>
      <c r="H429" s="422"/>
    </row>
    <row r="430">
      <c r="A430" s="422"/>
      <c r="B430" s="422"/>
      <c r="E430" s="497"/>
      <c r="F430" s="498"/>
      <c r="H430" s="422"/>
    </row>
    <row r="431">
      <c r="A431" s="422"/>
      <c r="B431" s="422"/>
      <c r="E431" s="497"/>
      <c r="F431" s="498"/>
      <c r="H431" s="422"/>
    </row>
    <row r="432">
      <c r="A432" s="422"/>
      <c r="B432" s="422"/>
      <c r="E432" s="497"/>
      <c r="F432" s="498"/>
      <c r="H432" s="422"/>
    </row>
    <row r="433">
      <c r="A433" s="422"/>
      <c r="B433" s="422"/>
      <c r="E433" s="497"/>
      <c r="F433" s="498"/>
      <c r="H433" s="422"/>
    </row>
    <row r="434">
      <c r="A434" s="422"/>
      <c r="B434" s="422"/>
      <c r="E434" s="497"/>
      <c r="F434" s="498"/>
      <c r="H434" s="422"/>
    </row>
    <row r="435">
      <c r="A435" s="422"/>
      <c r="B435" s="422"/>
      <c r="E435" s="497"/>
      <c r="F435" s="498"/>
      <c r="H435" s="422"/>
    </row>
    <row r="436">
      <c r="A436" s="422"/>
      <c r="B436" s="422"/>
      <c r="E436" s="497"/>
      <c r="F436" s="498"/>
      <c r="H436" s="422"/>
    </row>
    <row r="437">
      <c r="A437" s="422"/>
      <c r="B437" s="422"/>
      <c r="E437" s="497"/>
      <c r="F437" s="498"/>
      <c r="H437" s="422"/>
    </row>
    <row r="438">
      <c r="A438" s="422"/>
      <c r="B438" s="422"/>
      <c r="E438" s="497"/>
      <c r="F438" s="498"/>
      <c r="H438" s="422"/>
    </row>
    <row r="439">
      <c r="A439" s="422"/>
      <c r="B439" s="422"/>
      <c r="E439" s="497"/>
      <c r="F439" s="498"/>
      <c r="H439" s="422"/>
    </row>
    <row r="440">
      <c r="A440" s="422"/>
      <c r="B440" s="422"/>
      <c r="E440" s="497"/>
      <c r="F440" s="498"/>
      <c r="H440" s="422"/>
    </row>
    <row r="441">
      <c r="A441" s="422"/>
      <c r="B441" s="422"/>
      <c r="E441" s="497"/>
      <c r="F441" s="498"/>
      <c r="H441" s="422"/>
    </row>
    <row r="442">
      <c r="A442" s="422"/>
      <c r="B442" s="422"/>
      <c r="E442" s="497"/>
      <c r="F442" s="498"/>
      <c r="H442" s="422"/>
    </row>
    <row r="443">
      <c r="A443" s="422"/>
      <c r="B443" s="422"/>
      <c r="E443" s="497"/>
      <c r="F443" s="498"/>
      <c r="H443" s="422"/>
    </row>
    <row r="444">
      <c r="A444" s="422"/>
      <c r="B444" s="422"/>
      <c r="E444" s="497"/>
      <c r="F444" s="498"/>
      <c r="H444" s="422"/>
    </row>
    <row r="445">
      <c r="A445" s="422"/>
      <c r="B445" s="422"/>
      <c r="E445" s="497"/>
      <c r="F445" s="498"/>
      <c r="H445" s="422"/>
    </row>
    <row r="446">
      <c r="A446" s="422"/>
      <c r="B446" s="422"/>
      <c r="E446" s="497"/>
      <c r="F446" s="498"/>
      <c r="H446" s="422"/>
    </row>
    <row r="447">
      <c r="A447" s="422"/>
      <c r="B447" s="422"/>
      <c r="E447" s="497"/>
      <c r="F447" s="498"/>
      <c r="H447" s="422"/>
    </row>
    <row r="448">
      <c r="A448" s="422"/>
      <c r="B448" s="422"/>
      <c r="E448" s="497"/>
      <c r="F448" s="498"/>
      <c r="H448" s="422"/>
    </row>
    <row r="449">
      <c r="A449" s="422"/>
      <c r="B449" s="422"/>
      <c r="E449" s="497"/>
      <c r="F449" s="498"/>
      <c r="H449" s="422"/>
    </row>
    <row r="450">
      <c r="A450" s="422"/>
      <c r="B450" s="422"/>
      <c r="E450" s="497"/>
      <c r="F450" s="498"/>
      <c r="H450" s="422"/>
    </row>
    <row r="451">
      <c r="A451" s="422"/>
      <c r="B451" s="422"/>
      <c r="E451" s="497"/>
      <c r="F451" s="498"/>
      <c r="H451" s="422"/>
    </row>
    <row r="452">
      <c r="A452" s="422"/>
      <c r="B452" s="422"/>
      <c r="E452" s="497"/>
      <c r="F452" s="498"/>
      <c r="H452" s="422"/>
    </row>
    <row r="453">
      <c r="A453" s="422"/>
      <c r="B453" s="422"/>
      <c r="E453" s="497"/>
      <c r="F453" s="498"/>
      <c r="H453" s="422"/>
    </row>
    <row r="454">
      <c r="A454" s="422"/>
      <c r="B454" s="422"/>
      <c r="E454" s="497"/>
      <c r="F454" s="498"/>
      <c r="H454" s="422"/>
    </row>
    <row r="455">
      <c r="A455" s="422"/>
      <c r="B455" s="422"/>
      <c r="E455" s="497"/>
      <c r="F455" s="498"/>
      <c r="H455" s="422"/>
    </row>
    <row r="456">
      <c r="A456" s="422"/>
      <c r="B456" s="422"/>
      <c r="E456" s="497"/>
      <c r="F456" s="498"/>
      <c r="H456" s="422"/>
    </row>
    <row r="457">
      <c r="A457" s="422"/>
      <c r="B457" s="422"/>
      <c r="E457" s="497"/>
      <c r="F457" s="498"/>
      <c r="H457" s="422"/>
    </row>
    <row r="458">
      <c r="A458" s="422"/>
      <c r="B458" s="422"/>
      <c r="E458" s="497"/>
      <c r="F458" s="498"/>
      <c r="H458" s="422"/>
    </row>
    <row r="459">
      <c r="A459" s="422"/>
      <c r="B459" s="422"/>
      <c r="E459" s="497"/>
      <c r="F459" s="498"/>
      <c r="H459" s="422"/>
    </row>
    <row r="460">
      <c r="A460" s="422"/>
      <c r="B460" s="422"/>
      <c r="E460" s="497"/>
      <c r="F460" s="498"/>
      <c r="H460" s="422"/>
    </row>
    <row r="461">
      <c r="A461" s="422"/>
      <c r="B461" s="422"/>
      <c r="E461" s="497"/>
      <c r="F461" s="498"/>
      <c r="H461" s="422"/>
    </row>
    <row r="462">
      <c r="A462" s="422"/>
      <c r="B462" s="422"/>
      <c r="E462" s="497"/>
      <c r="F462" s="498"/>
      <c r="H462" s="422"/>
    </row>
    <row r="463">
      <c r="A463" s="422"/>
      <c r="B463" s="422"/>
      <c r="E463" s="497"/>
      <c r="F463" s="498"/>
      <c r="H463" s="422"/>
    </row>
    <row r="464">
      <c r="A464" s="422"/>
      <c r="B464" s="422"/>
      <c r="E464" s="497"/>
      <c r="F464" s="498"/>
      <c r="H464" s="422"/>
    </row>
    <row r="465">
      <c r="A465" s="422"/>
      <c r="B465" s="422"/>
      <c r="E465" s="497"/>
      <c r="F465" s="498"/>
      <c r="H465" s="422"/>
    </row>
    <row r="466">
      <c r="A466" s="422"/>
      <c r="B466" s="422"/>
      <c r="E466" s="497"/>
      <c r="F466" s="498"/>
      <c r="H466" s="422"/>
    </row>
    <row r="467">
      <c r="A467" s="422"/>
      <c r="B467" s="422"/>
      <c r="E467" s="497"/>
      <c r="F467" s="498"/>
      <c r="H467" s="422"/>
    </row>
    <row r="468">
      <c r="A468" s="422"/>
      <c r="B468" s="422"/>
      <c r="E468" s="497"/>
      <c r="F468" s="498"/>
      <c r="H468" s="422"/>
    </row>
    <row r="469">
      <c r="A469" s="422"/>
      <c r="B469" s="422"/>
      <c r="E469" s="497"/>
      <c r="F469" s="498"/>
      <c r="H469" s="422"/>
    </row>
    <row r="470">
      <c r="A470" s="422"/>
      <c r="B470" s="422"/>
      <c r="E470" s="497"/>
      <c r="F470" s="498"/>
      <c r="H470" s="422"/>
    </row>
    <row r="471">
      <c r="A471" s="422"/>
      <c r="B471" s="422"/>
      <c r="E471" s="497"/>
      <c r="F471" s="498"/>
      <c r="H471" s="422"/>
    </row>
    <row r="472">
      <c r="A472" s="422"/>
      <c r="B472" s="422"/>
      <c r="E472" s="497"/>
      <c r="F472" s="498"/>
      <c r="H472" s="422"/>
    </row>
    <row r="473">
      <c r="A473" s="422"/>
      <c r="B473" s="422"/>
      <c r="E473" s="497"/>
      <c r="F473" s="498"/>
      <c r="H473" s="422"/>
    </row>
    <row r="474">
      <c r="A474" s="422"/>
      <c r="B474" s="422"/>
      <c r="E474" s="497"/>
      <c r="F474" s="498"/>
      <c r="H474" s="422"/>
    </row>
    <row r="475">
      <c r="A475" s="422"/>
      <c r="B475" s="422"/>
      <c r="E475" s="497"/>
      <c r="F475" s="498"/>
      <c r="H475" s="422"/>
    </row>
    <row r="476">
      <c r="A476" s="422"/>
      <c r="B476" s="422"/>
      <c r="E476" s="497"/>
      <c r="F476" s="498"/>
      <c r="H476" s="422"/>
    </row>
    <row r="477">
      <c r="A477" s="422"/>
      <c r="B477" s="422"/>
      <c r="E477" s="497"/>
      <c r="F477" s="498"/>
      <c r="H477" s="422"/>
    </row>
    <row r="478">
      <c r="A478" s="422"/>
      <c r="B478" s="422"/>
      <c r="E478" s="497"/>
      <c r="F478" s="498"/>
      <c r="H478" s="422"/>
    </row>
    <row r="479">
      <c r="A479" s="422"/>
      <c r="B479" s="422"/>
      <c r="E479" s="497"/>
      <c r="F479" s="498"/>
      <c r="H479" s="422"/>
    </row>
    <row r="480">
      <c r="A480" s="422"/>
      <c r="B480" s="422"/>
      <c r="E480" s="497"/>
      <c r="F480" s="498"/>
      <c r="H480" s="422"/>
    </row>
    <row r="481">
      <c r="A481" s="422"/>
      <c r="B481" s="422"/>
      <c r="E481" s="497"/>
      <c r="F481" s="498"/>
      <c r="H481" s="422"/>
    </row>
    <row r="482">
      <c r="A482" s="422"/>
      <c r="B482" s="422"/>
      <c r="E482" s="497"/>
      <c r="F482" s="498"/>
      <c r="H482" s="422"/>
    </row>
    <row r="483">
      <c r="A483" s="422"/>
      <c r="B483" s="422"/>
      <c r="E483" s="497"/>
      <c r="F483" s="498"/>
      <c r="H483" s="422"/>
    </row>
    <row r="484">
      <c r="A484" s="422"/>
      <c r="B484" s="422"/>
      <c r="E484" s="497"/>
      <c r="F484" s="498"/>
      <c r="H484" s="422"/>
    </row>
    <row r="485">
      <c r="A485" s="422"/>
      <c r="B485" s="422"/>
      <c r="E485" s="497"/>
      <c r="F485" s="498"/>
      <c r="H485" s="422"/>
    </row>
    <row r="486">
      <c r="A486" s="422"/>
      <c r="B486" s="422"/>
      <c r="E486" s="497"/>
      <c r="F486" s="498"/>
      <c r="H486" s="422"/>
    </row>
    <row r="487">
      <c r="A487" s="422"/>
      <c r="B487" s="422"/>
      <c r="E487" s="497"/>
      <c r="F487" s="498"/>
      <c r="H487" s="422"/>
    </row>
    <row r="488">
      <c r="A488" s="422"/>
      <c r="B488" s="422"/>
      <c r="E488" s="497"/>
      <c r="F488" s="498"/>
      <c r="H488" s="422"/>
    </row>
    <row r="489">
      <c r="A489" s="422"/>
      <c r="B489" s="422"/>
      <c r="E489" s="497"/>
      <c r="F489" s="498"/>
      <c r="H489" s="422"/>
    </row>
    <row r="490">
      <c r="A490" s="422"/>
      <c r="B490" s="422"/>
      <c r="E490" s="497"/>
      <c r="F490" s="498"/>
      <c r="H490" s="422"/>
    </row>
    <row r="491">
      <c r="A491" s="422"/>
      <c r="B491" s="422"/>
      <c r="E491" s="497"/>
      <c r="F491" s="498"/>
      <c r="H491" s="422"/>
    </row>
    <row r="492">
      <c r="A492" s="422"/>
      <c r="B492" s="422"/>
      <c r="E492" s="497"/>
      <c r="F492" s="498"/>
      <c r="H492" s="422"/>
    </row>
    <row r="493">
      <c r="A493" s="422"/>
      <c r="B493" s="422"/>
      <c r="E493" s="497"/>
      <c r="F493" s="498"/>
      <c r="H493" s="422"/>
    </row>
    <row r="494">
      <c r="A494" s="422"/>
      <c r="B494" s="422"/>
      <c r="E494" s="497"/>
      <c r="F494" s="498"/>
      <c r="H494" s="422"/>
    </row>
    <row r="495">
      <c r="A495" s="422"/>
      <c r="B495" s="422"/>
      <c r="E495" s="497"/>
      <c r="F495" s="498"/>
      <c r="H495" s="422"/>
    </row>
    <row r="496">
      <c r="A496" s="422"/>
      <c r="B496" s="422"/>
      <c r="E496" s="497"/>
      <c r="F496" s="498"/>
      <c r="H496" s="422"/>
    </row>
    <row r="497">
      <c r="A497" s="422"/>
      <c r="B497" s="422"/>
      <c r="E497" s="497"/>
      <c r="F497" s="498"/>
      <c r="H497" s="422"/>
    </row>
    <row r="498">
      <c r="A498" s="422"/>
      <c r="B498" s="422"/>
      <c r="E498" s="497"/>
      <c r="F498" s="498"/>
      <c r="H498" s="422"/>
    </row>
    <row r="499">
      <c r="A499" s="422"/>
      <c r="B499" s="422"/>
      <c r="E499" s="497"/>
      <c r="F499" s="498"/>
      <c r="H499" s="422"/>
    </row>
    <row r="500">
      <c r="A500" s="422"/>
      <c r="B500" s="422"/>
      <c r="E500" s="497"/>
      <c r="F500" s="498"/>
      <c r="H500" s="422"/>
    </row>
    <row r="501">
      <c r="A501" s="422"/>
      <c r="B501" s="422"/>
      <c r="E501" s="497"/>
      <c r="F501" s="498"/>
      <c r="H501" s="422"/>
    </row>
    <row r="502">
      <c r="A502" s="422"/>
      <c r="B502" s="422"/>
      <c r="E502" s="497"/>
      <c r="F502" s="498"/>
      <c r="H502" s="422"/>
    </row>
    <row r="503">
      <c r="A503" s="422"/>
      <c r="B503" s="422"/>
      <c r="E503" s="497"/>
      <c r="F503" s="498"/>
      <c r="H503" s="422"/>
    </row>
    <row r="504">
      <c r="A504" s="422"/>
      <c r="B504" s="422"/>
      <c r="E504" s="497"/>
      <c r="F504" s="498"/>
      <c r="H504" s="422"/>
    </row>
    <row r="505">
      <c r="A505" s="422"/>
      <c r="B505" s="422"/>
      <c r="E505" s="497"/>
      <c r="F505" s="498"/>
      <c r="H505" s="422"/>
    </row>
    <row r="506">
      <c r="A506" s="422"/>
      <c r="B506" s="422"/>
      <c r="E506" s="497"/>
      <c r="F506" s="498"/>
      <c r="H506" s="422"/>
    </row>
    <row r="507">
      <c r="A507" s="422"/>
      <c r="B507" s="422"/>
      <c r="E507" s="497"/>
      <c r="F507" s="498"/>
      <c r="H507" s="422"/>
    </row>
    <row r="508">
      <c r="A508" s="422"/>
      <c r="B508" s="422"/>
      <c r="E508" s="497"/>
      <c r="F508" s="498"/>
      <c r="H508" s="422"/>
    </row>
    <row r="509">
      <c r="A509" s="422"/>
      <c r="B509" s="422"/>
      <c r="E509" s="497"/>
      <c r="F509" s="498"/>
      <c r="H509" s="422"/>
    </row>
    <row r="510">
      <c r="A510" s="422"/>
      <c r="B510" s="422"/>
      <c r="E510" s="497"/>
      <c r="F510" s="498"/>
      <c r="H510" s="422"/>
    </row>
    <row r="511">
      <c r="A511" s="422"/>
      <c r="B511" s="422"/>
      <c r="E511" s="497"/>
      <c r="F511" s="498"/>
      <c r="H511" s="422"/>
    </row>
    <row r="512">
      <c r="A512" s="422"/>
      <c r="B512" s="422"/>
      <c r="E512" s="497"/>
      <c r="F512" s="498"/>
      <c r="H512" s="422"/>
    </row>
    <row r="513">
      <c r="A513" s="422"/>
      <c r="B513" s="422"/>
      <c r="E513" s="497"/>
      <c r="F513" s="498"/>
      <c r="H513" s="422"/>
    </row>
    <row r="514">
      <c r="A514" s="422"/>
      <c r="B514" s="422"/>
      <c r="E514" s="497"/>
      <c r="F514" s="498"/>
      <c r="H514" s="422"/>
    </row>
    <row r="515">
      <c r="A515" s="422"/>
      <c r="B515" s="422"/>
      <c r="E515" s="497"/>
      <c r="F515" s="498"/>
      <c r="H515" s="422"/>
    </row>
    <row r="516">
      <c r="A516" s="422"/>
      <c r="B516" s="422"/>
      <c r="E516" s="497"/>
      <c r="F516" s="498"/>
      <c r="H516" s="422"/>
    </row>
    <row r="517">
      <c r="A517" s="422"/>
      <c r="B517" s="422"/>
      <c r="E517" s="497"/>
      <c r="F517" s="498"/>
      <c r="H517" s="422"/>
    </row>
    <row r="518">
      <c r="A518" s="422"/>
      <c r="B518" s="422"/>
      <c r="E518" s="497"/>
      <c r="F518" s="498"/>
      <c r="H518" s="422"/>
    </row>
    <row r="519">
      <c r="A519" s="422"/>
      <c r="B519" s="422"/>
      <c r="E519" s="497"/>
      <c r="F519" s="498"/>
      <c r="H519" s="422"/>
    </row>
    <row r="520">
      <c r="A520" s="422"/>
      <c r="B520" s="422"/>
      <c r="E520" s="497"/>
      <c r="F520" s="498"/>
      <c r="H520" s="422"/>
    </row>
    <row r="521">
      <c r="A521" s="422"/>
      <c r="B521" s="422"/>
      <c r="E521" s="497"/>
      <c r="F521" s="498"/>
      <c r="H521" s="422"/>
    </row>
    <row r="522">
      <c r="A522" s="422"/>
      <c r="B522" s="422"/>
      <c r="E522" s="497"/>
      <c r="F522" s="498"/>
      <c r="H522" s="422"/>
    </row>
    <row r="523">
      <c r="A523" s="422"/>
      <c r="B523" s="422"/>
      <c r="E523" s="497"/>
      <c r="F523" s="498"/>
      <c r="H523" s="422"/>
    </row>
    <row r="524">
      <c r="A524" s="422"/>
      <c r="B524" s="422"/>
      <c r="E524" s="497"/>
      <c r="F524" s="498"/>
      <c r="H524" s="422"/>
    </row>
    <row r="525">
      <c r="A525" s="422"/>
      <c r="B525" s="422"/>
      <c r="E525" s="497"/>
      <c r="F525" s="498"/>
      <c r="H525" s="422"/>
    </row>
    <row r="526">
      <c r="A526" s="422"/>
      <c r="B526" s="422"/>
      <c r="E526" s="497"/>
      <c r="F526" s="498"/>
      <c r="H526" s="422"/>
    </row>
    <row r="527">
      <c r="A527" s="422"/>
      <c r="B527" s="422"/>
      <c r="E527" s="497"/>
      <c r="F527" s="498"/>
      <c r="H527" s="422"/>
    </row>
    <row r="528">
      <c r="A528" s="422"/>
      <c r="B528" s="422"/>
      <c r="E528" s="497"/>
      <c r="F528" s="498"/>
      <c r="H528" s="422"/>
    </row>
    <row r="529">
      <c r="A529" s="422"/>
      <c r="B529" s="422"/>
      <c r="E529" s="497"/>
      <c r="F529" s="498"/>
      <c r="H529" s="422"/>
    </row>
    <row r="530">
      <c r="A530" s="422"/>
      <c r="B530" s="422"/>
      <c r="E530" s="497"/>
      <c r="F530" s="498"/>
      <c r="H530" s="422"/>
    </row>
    <row r="531">
      <c r="A531" s="422"/>
      <c r="B531" s="422"/>
      <c r="E531" s="497"/>
      <c r="F531" s="498"/>
      <c r="H531" s="422"/>
    </row>
    <row r="532">
      <c r="A532" s="422"/>
      <c r="B532" s="422"/>
      <c r="E532" s="497"/>
      <c r="F532" s="498"/>
      <c r="H532" s="422"/>
    </row>
    <row r="533">
      <c r="A533" s="422"/>
      <c r="B533" s="422"/>
      <c r="E533" s="497"/>
      <c r="F533" s="498"/>
      <c r="H533" s="422"/>
    </row>
    <row r="534">
      <c r="A534" s="422"/>
      <c r="B534" s="422"/>
      <c r="E534" s="497"/>
      <c r="F534" s="498"/>
      <c r="H534" s="422"/>
    </row>
    <row r="535">
      <c r="A535" s="422"/>
      <c r="B535" s="422"/>
      <c r="E535" s="497"/>
      <c r="F535" s="498"/>
      <c r="H535" s="422"/>
    </row>
    <row r="536">
      <c r="A536" s="422"/>
      <c r="B536" s="422"/>
      <c r="E536" s="497"/>
      <c r="F536" s="498"/>
      <c r="H536" s="422"/>
    </row>
    <row r="537">
      <c r="A537" s="422"/>
      <c r="B537" s="422"/>
      <c r="E537" s="497"/>
      <c r="F537" s="498"/>
      <c r="H537" s="422"/>
    </row>
    <row r="538">
      <c r="A538" s="422"/>
      <c r="B538" s="422"/>
      <c r="E538" s="497"/>
      <c r="F538" s="498"/>
      <c r="H538" s="422"/>
    </row>
    <row r="539">
      <c r="A539" s="422"/>
      <c r="B539" s="422"/>
      <c r="E539" s="497"/>
      <c r="F539" s="498"/>
      <c r="H539" s="422"/>
    </row>
    <row r="540">
      <c r="A540" s="422"/>
      <c r="B540" s="422"/>
      <c r="E540" s="497"/>
      <c r="F540" s="498"/>
      <c r="H540" s="422"/>
    </row>
    <row r="541">
      <c r="A541" s="422"/>
      <c r="B541" s="422"/>
      <c r="E541" s="497"/>
      <c r="F541" s="498"/>
      <c r="H541" s="422"/>
    </row>
    <row r="542">
      <c r="A542" s="422"/>
      <c r="B542" s="422"/>
      <c r="E542" s="497"/>
      <c r="F542" s="498"/>
      <c r="H542" s="422"/>
    </row>
    <row r="543">
      <c r="A543" s="422"/>
      <c r="B543" s="422"/>
      <c r="E543" s="497"/>
      <c r="F543" s="498"/>
      <c r="H543" s="422"/>
    </row>
    <row r="544">
      <c r="A544" s="422"/>
      <c r="B544" s="422"/>
      <c r="E544" s="497"/>
      <c r="F544" s="498"/>
      <c r="H544" s="422"/>
    </row>
    <row r="545">
      <c r="A545" s="422"/>
      <c r="B545" s="422"/>
      <c r="E545" s="497"/>
      <c r="F545" s="498"/>
      <c r="H545" s="422"/>
    </row>
    <row r="546">
      <c r="A546" s="422"/>
      <c r="B546" s="422"/>
      <c r="E546" s="497"/>
      <c r="F546" s="498"/>
      <c r="H546" s="422"/>
    </row>
    <row r="547">
      <c r="A547" s="422"/>
      <c r="B547" s="422"/>
      <c r="E547" s="497"/>
      <c r="F547" s="498"/>
      <c r="H547" s="422"/>
    </row>
    <row r="548">
      <c r="A548" s="422"/>
      <c r="B548" s="422"/>
      <c r="E548" s="497"/>
      <c r="F548" s="498"/>
      <c r="H548" s="422"/>
    </row>
    <row r="549">
      <c r="A549" s="422"/>
      <c r="B549" s="422"/>
      <c r="E549" s="497"/>
      <c r="F549" s="498"/>
      <c r="H549" s="422"/>
    </row>
    <row r="550">
      <c r="A550" s="422"/>
      <c r="B550" s="422"/>
      <c r="E550" s="497"/>
      <c r="F550" s="498"/>
      <c r="H550" s="422"/>
    </row>
    <row r="551">
      <c r="A551" s="422"/>
      <c r="B551" s="422"/>
      <c r="E551" s="497"/>
      <c r="F551" s="498"/>
      <c r="H551" s="422"/>
    </row>
    <row r="552">
      <c r="A552" s="422"/>
      <c r="B552" s="422"/>
      <c r="E552" s="497"/>
      <c r="F552" s="498"/>
      <c r="H552" s="422"/>
    </row>
    <row r="553">
      <c r="A553" s="422"/>
      <c r="B553" s="422"/>
      <c r="E553" s="497"/>
      <c r="F553" s="498"/>
      <c r="H553" s="422"/>
    </row>
    <row r="554">
      <c r="A554" s="422"/>
      <c r="B554" s="422"/>
      <c r="E554" s="497"/>
      <c r="F554" s="498"/>
      <c r="H554" s="422"/>
    </row>
    <row r="555">
      <c r="A555" s="422"/>
      <c r="B555" s="422"/>
      <c r="E555" s="497"/>
      <c r="F555" s="498"/>
      <c r="H555" s="422"/>
    </row>
    <row r="556">
      <c r="A556" s="422"/>
      <c r="B556" s="422"/>
      <c r="E556" s="497"/>
      <c r="F556" s="498"/>
      <c r="H556" s="422"/>
    </row>
    <row r="557">
      <c r="A557" s="422"/>
      <c r="B557" s="422"/>
      <c r="E557" s="497"/>
      <c r="F557" s="498"/>
      <c r="H557" s="422"/>
    </row>
    <row r="558">
      <c r="A558" s="422"/>
      <c r="B558" s="422"/>
      <c r="E558" s="497"/>
      <c r="F558" s="498"/>
      <c r="H558" s="422"/>
    </row>
    <row r="559">
      <c r="A559" s="422"/>
      <c r="B559" s="422"/>
      <c r="E559" s="497"/>
      <c r="F559" s="498"/>
      <c r="H559" s="422"/>
    </row>
    <row r="560">
      <c r="A560" s="422"/>
      <c r="B560" s="422"/>
      <c r="E560" s="497"/>
      <c r="F560" s="498"/>
      <c r="H560" s="422"/>
    </row>
    <row r="561">
      <c r="A561" s="422"/>
      <c r="B561" s="422"/>
      <c r="E561" s="497"/>
      <c r="F561" s="498"/>
      <c r="H561" s="422"/>
    </row>
    <row r="562">
      <c r="A562" s="422"/>
      <c r="B562" s="422"/>
      <c r="E562" s="497"/>
      <c r="F562" s="498"/>
      <c r="H562" s="422"/>
    </row>
    <row r="563">
      <c r="A563" s="422"/>
      <c r="B563" s="422"/>
      <c r="E563" s="497"/>
      <c r="F563" s="498"/>
      <c r="H563" s="422"/>
    </row>
    <row r="564">
      <c r="A564" s="422"/>
      <c r="B564" s="422"/>
      <c r="E564" s="497"/>
      <c r="F564" s="498"/>
      <c r="H564" s="422"/>
    </row>
    <row r="565">
      <c r="A565" s="422"/>
      <c r="B565" s="422"/>
      <c r="E565" s="497"/>
      <c r="F565" s="498"/>
      <c r="H565" s="422"/>
    </row>
    <row r="566">
      <c r="A566" s="422"/>
      <c r="B566" s="422"/>
      <c r="E566" s="497"/>
      <c r="F566" s="498"/>
      <c r="H566" s="422"/>
    </row>
    <row r="567">
      <c r="A567" s="422"/>
      <c r="B567" s="422"/>
      <c r="E567" s="497"/>
      <c r="F567" s="498"/>
      <c r="H567" s="422"/>
    </row>
    <row r="568">
      <c r="A568" s="422"/>
      <c r="B568" s="422"/>
      <c r="E568" s="497"/>
      <c r="F568" s="498"/>
      <c r="H568" s="422"/>
    </row>
    <row r="569">
      <c r="A569" s="422"/>
      <c r="B569" s="422"/>
      <c r="E569" s="497"/>
      <c r="F569" s="498"/>
      <c r="H569" s="422"/>
    </row>
    <row r="570">
      <c r="A570" s="422"/>
      <c r="B570" s="422"/>
      <c r="E570" s="497"/>
      <c r="F570" s="498"/>
      <c r="H570" s="422"/>
    </row>
    <row r="571">
      <c r="A571" s="422"/>
      <c r="B571" s="422"/>
      <c r="E571" s="497"/>
      <c r="F571" s="498"/>
      <c r="H571" s="422"/>
    </row>
    <row r="572">
      <c r="A572" s="422"/>
      <c r="B572" s="422"/>
      <c r="E572" s="497"/>
      <c r="F572" s="498"/>
      <c r="H572" s="422"/>
    </row>
    <row r="573">
      <c r="A573" s="422"/>
      <c r="B573" s="422"/>
      <c r="E573" s="497"/>
      <c r="F573" s="498"/>
      <c r="H573" s="422"/>
    </row>
    <row r="574">
      <c r="A574" s="422"/>
      <c r="B574" s="422"/>
      <c r="E574" s="497"/>
      <c r="F574" s="498"/>
      <c r="H574" s="422"/>
    </row>
    <row r="575">
      <c r="A575" s="422"/>
      <c r="B575" s="422"/>
      <c r="E575" s="497"/>
      <c r="F575" s="498"/>
      <c r="H575" s="422"/>
    </row>
    <row r="576">
      <c r="A576" s="422"/>
      <c r="B576" s="422"/>
      <c r="E576" s="497"/>
      <c r="F576" s="498"/>
      <c r="H576" s="422"/>
    </row>
    <row r="577">
      <c r="A577" s="422"/>
      <c r="B577" s="422"/>
      <c r="E577" s="497"/>
      <c r="F577" s="498"/>
      <c r="H577" s="422"/>
    </row>
    <row r="578">
      <c r="A578" s="422"/>
      <c r="B578" s="422"/>
      <c r="E578" s="497"/>
      <c r="F578" s="498"/>
      <c r="H578" s="422"/>
    </row>
    <row r="579">
      <c r="A579" s="422"/>
      <c r="B579" s="422"/>
      <c r="E579" s="497"/>
      <c r="F579" s="498"/>
      <c r="H579" s="422"/>
    </row>
    <row r="580">
      <c r="A580" s="422"/>
      <c r="B580" s="422"/>
      <c r="E580" s="497"/>
      <c r="F580" s="498"/>
      <c r="H580" s="422"/>
    </row>
    <row r="581">
      <c r="A581" s="422"/>
      <c r="B581" s="422"/>
      <c r="E581" s="497"/>
      <c r="F581" s="498"/>
      <c r="H581" s="422"/>
    </row>
    <row r="582">
      <c r="A582" s="422"/>
      <c r="B582" s="422"/>
      <c r="E582" s="497"/>
      <c r="F582" s="498"/>
      <c r="H582" s="422"/>
    </row>
    <row r="583">
      <c r="A583" s="422"/>
      <c r="B583" s="422"/>
      <c r="E583" s="497"/>
      <c r="F583" s="498"/>
      <c r="H583" s="422"/>
    </row>
    <row r="584">
      <c r="A584" s="422"/>
      <c r="B584" s="422"/>
      <c r="E584" s="497"/>
      <c r="F584" s="498"/>
      <c r="H584" s="422"/>
    </row>
    <row r="585">
      <c r="A585" s="422"/>
      <c r="B585" s="422"/>
      <c r="E585" s="497"/>
      <c r="F585" s="498"/>
      <c r="H585" s="422"/>
    </row>
    <row r="586">
      <c r="A586" s="422"/>
      <c r="B586" s="422"/>
      <c r="E586" s="497"/>
      <c r="F586" s="498"/>
      <c r="H586" s="422"/>
    </row>
    <row r="587">
      <c r="A587" s="422"/>
      <c r="B587" s="422"/>
      <c r="E587" s="497"/>
      <c r="F587" s="498"/>
      <c r="H587" s="422"/>
    </row>
    <row r="588">
      <c r="A588" s="422"/>
      <c r="B588" s="422"/>
      <c r="E588" s="497"/>
      <c r="F588" s="498"/>
      <c r="H588" s="422"/>
    </row>
    <row r="589">
      <c r="A589" s="422"/>
      <c r="B589" s="422"/>
      <c r="E589" s="497"/>
      <c r="F589" s="498"/>
      <c r="H589" s="422"/>
    </row>
    <row r="590">
      <c r="A590" s="422"/>
      <c r="B590" s="422"/>
      <c r="E590" s="497"/>
      <c r="F590" s="498"/>
      <c r="H590" s="422"/>
    </row>
    <row r="591">
      <c r="A591" s="422"/>
      <c r="B591" s="422"/>
      <c r="E591" s="497"/>
      <c r="F591" s="498"/>
      <c r="H591" s="422"/>
    </row>
    <row r="592">
      <c r="A592" s="422"/>
      <c r="B592" s="422"/>
      <c r="E592" s="497"/>
      <c r="F592" s="498"/>
      <c r="H592" s="422"/>
    </row>
    <row r="593">
      <c r="A593" s="422"/>
      <c r="B593" s="422"/>
      <c r="E593" s="497"/>
      <c r="F593" s="498"/>
      <c r="H593" s="422"/>
    </row>
    <row r="594">
      <c r="A594" s="422"/>
      <c r="B594" s="422"/>
      <c r="E594" s="497"/>
      <c r="F594" s="498"/>
      <c r="H594" s="422"/>
    </row>
    <row r="595">
      <c r="A595" s="422"/>
      <c r="B595" s="422"/>
      <c r="E595" s="497"/>
      <c r="F595" s="498"/>
      <c r="H595" s="422"/>
    </row>
    <row r="596">
      <c r="A596" s="422"/>
      <c r="B596" s="422"/>
      <c r="E596" s="497"/>
      <c r="F596" s="498"/>
      <c r="H596" s="422"/>
    </row>
    <row r="597">
      <c r="A597" s="422"/>
      <c r="B597" s="422"/>
      <c r="E597" s="497"/>
      <c r="F597" s="498"/>
      <c r="H597" s="422"/>
    </row>
    <row r="598">
      <c r="A598" s="422"/>
      <c r="B598" s="422"/>
      <c r="E598" s="497"/>
      <c r="F598" s="498"/>
      <c r="H598" s="422"/>
    </row>
    <row r="599">
      <c r="A599" s="422"/>
      <c r="B599" s="422"/>
      <c r="E599" s="497"/>
      <c r="F599" s="498"/>
      <c r="H599" s="422"/>
    </row>
    <row r="600">
      <c r="A600" s="422"/>
      <c r="B600" s="422"/>
      <c r="E600" s="497"/>
      <c r="F600" s="498"/>
      <c r="H600" s="422"/>
    </row>
    <row r="601">
      <c r="A601" s="422"/>
      <c r="B601" s="422"/>
      <c r="E601" s="497"/>
      <c r="F601" s="498"/>
      <c r="H601" s="422"/>
    </row>
    <row r="602">
      <c r="A602" s="422"/>
      <c r="B602" s="422"/>
      <c r="E602" s="497"/>
      <c r="F602" s="498"/>
      <c r="H602" s="422"/>
    </row>
    <row r="603">
      <c r="A603" s="422"/>
      <c r="B603" s="422"/>
      <c r="E603" s="497"/>
      <c r="F603" s="498"/>
      <c r="H603" s="422"/>
    </row>
    <row r="604">
      <c r="A604" s="422"/>
      <c r="B604" s="422"/>
      <c r="E604" s="497"/>
      <c r="F604" s="498"/>
      <c r="H604" s="422"/>
    </row>
    <row r="605">
      <c r="A605" s="422"/>
      <c r="B605" s="422"/>
      <c r="E605" s="497"/>
      <c r="F605" s="498"/>
      <c r="H605" s="422"/>
    </row>
    <row r="606">
      <c r="A606" s="422"/>
      <c r="B606" s="422"/>
      <c r="E606" s="497"/>
      <c r="F606" s="498"/>
      <c r="H606" s="422"/>
    </row>
    <row r="607">
      <c r="A607" s="422"/>
      <c r="B607" s="422"/>
      <c r="E607" s="497"/>
      <c r="F607" s="498"/>
      <c r="H607" s="422"/>
    </row>
    <row r="608">
      <c r="A608" s="422"/>
      <c r="B608" s="422"/>
      <c r="E608" s="497"/>
      <c r="F608" s="498"/>
      <c r="H608" s="422"/>
    </row>
    <row r="609">
      <c r="A609" s="422"/>
      <c r="B609" s="422"/>
      <c r="E609" s="497"/>
      <c r="F609" s="498"/>
      <c r="H609" s="422"/>
    </row>
    <row r="610">
      <c r="A610" s="422"/>
      <c r="B610" s="422"/>
      <c r="E610" s="497"/>
      <c r="F610" s="498"/>
      <c r="H610" s="422"/>
    </row>
    <row r="611">
      <c r="A611" s="422"/>
      <c r="B611" s="422"/>
      <c r="E611" s="497"/>
      <c r="F611" s="498"/>
      <c r="H611" s="422"/>
    </row>
    <row r="612">
      <c r="A612" s="422"/>
      <c r="B612" s="422"/>
      <c r="E612" s="497"/>
      <c r="F612" s="498"/>
      <c r="H612" s="422"/>
    </row>
    <row r="613">
      <c r="A613" s="422"/>
      <c r="B613" s="422"/>
      <c r="E613" s="497"/>
      <c r="F613" s="498"/>
      <c r="H613" s="422"/>
    </row>
    <row r="614">
      <c r="A614" s="422"/>
      <c r="B614" s="422"/>
      <c r="E614" s="497"/>
      <c r="F614" s="498"/>
      <c r="H614" s="422"/>
    </row>
    <row r="615">
      <c r="A615" s="422"/>
      <c r="B615" s="422"/>
      <c r="E615" s="497"/>
      <c r="F615" s="498"/>
      <c r="H615" s="422"/>
    </row>
    <row r="616">
      <c r="A616" s="422"/>
      <c r="B616" s="422"/>
      <c r="E616" s="497"/>
      <c r="F616" s="498"/>
      <c r="H616" s="422"/>
    </row>
    <row r="617">
      <c r="A617" s="422"/>
      <c r="B617" s="422"/>
      <c r="E617" s="497"/>
      <c r="F617" s="498"/>
      <c r="H617" s="422"/>
    </row>
    <row r="618">
      <c r="A618" s="422"/>
      <c r="B618" s="422"/>
      <c r="E618" s="497"/>
      <c r="F618" s="498"/>
      <c r="H618" s="422"/>
    </row>
    <row r="619">
      <c r="A619" s="422"/>
      <c r="B619" s="422"/>
      <c r="E619" s="497"/>
      <c r="F619" s="498"/>
      <c r="H619" s="422"/>
    </row>
    <row r="620">
      <c r="A620" s="422"/>
      <c r="B620" s="422"/>
      <c r="E620" s="497"/>
      <c r="F620" s="498"/>
      <c r="H620" s="422"/>
    </row>
    <row r="621">
      <c r="A621" s="422"/>
      <c r="B621" s="422"/>
      <c r="E621" s="497"/>
      <c r="F621" s="498"/>
      <c r="H621" s="422"/>
    </row>
    <row r="622">
      <c r="A622" s="422"/>
      <c r="B622" s="422"/>
      <c r="E622" s="497"/>
      <c r="F622" s="498"/>
      <c r="H622" s="422"/>
    </row>
    <row r="623">
      <c r="A623" s="422"/>
      <c r="B623" s="422"/>
      <c r="E623" s="497"/>
      <c r="F623" s="498"/>
      <c r="H623" s="422"/>
    </row>
    <row r="624">
      <c r="A624" s="422"/>
      <c r="B624" s="422"/>
      <c r="E624" s="497"/>
      <c r="F624" s="498"/>
      <c r="H624" s="422"/>
    </row>
    <row r="625">
      <c r="A625" s="422"/>
      <c r="B625" s="422"/>
      <c r="E625" s="497"/>
      <c r="F625" s="498"/>
      <c r="H625" s="422"/>
    </row>
    <row r="626">
      <c r="A626" s="422"/>
      <c r="B626" s="422"/>
      <c r="E626" s="497"/>
      <c r="F626" s="498"/>
      <c r="H626" s="422"/>
    </row>
    <row r="627">
      <c r="A627" s="422"/>
      <c r="B627" s="422"/>
      <c r="E627" s="497"/>
      <c r="F627" s="498"/>
      <c r="H627" s="422"/>
    </row>
    <row r="628">
      <c r="A628" s="422"/>
      <c r="B628" s="422"/>
      <c r="E628" s="497"/>
      <c r="F628" s="498"/>
      <c r="H628" s="422"/>
    </row>
    <row r="629">
      <c r="A629" s="422"/>
      <c r="B629" s="422"/>
      <c r="E629" s="497"/>
      <c r="F629" s="498"/>
      <c r="H629" s="422"/>
    </row>
    <row r="630">
      <c r="A630" s="422"/>
      <c r="B630" s="422"/>
      <c r="E630" s="497"/>
      <c r="F630" s="498"/>
      <c r="H630" s="422"/>
    </row>
    <row r="631">
      <c r="A631" s="422"/>
      <c r="B631" s="422"/>
      <c r="E631" s="497"/>
      <c r="F631" s="498"/>
      <c r="H631" s="422"/>
    </row>
    <row r="632">
      <c r="A632" s="422"/>
      <c r="B632" s="422"/>
      <c r="E632" s="497"/>
      <c r="F632" s="498"/>
      <c r="H632" s="422"/>
    </row>
    <row r="633">
      <c r="A633" s="422"/>
      <c r="B633" s="422"/>
      <c r="E633" s="497"/>
      <c r="F633" s="498"/>
      <c r="H633" s="422"/>
    </row>
    <row r="634">
      <c r="A634" s="422"/>
      <c r="B634" s="422"/>
      <c r="E634" s="497"/>
      <c r="F634" s="498"/>
      <c r="H634" s="422"/>
    </row>
    <row r="635">
      <c r="A635" s="422"/>
      <c r="B635" s="422"/>
      <c r="E635" s="497"/>
      <c r="F635" s="498"/>
      <c r="H635" s="422"/>
    </row>
    <row r="636">
      <c r="A636" s="422"/>
      <c r="B636" s="422"/>
      <c r="E636" s="497"/>
      <c r="F636" s="498"/>
      <c r="H636" s="422"/>
    </row>
    <row r="637">
      <c r="A637" s="422"/>
      <c r="B637" s="422"/>
      <c r="E637" s="497"/>
      <c r="F637" s="498"/>
      <c r="H637" s="422"/>
    </row>
    <row r="638">
      <c r="A638" s="422"/>
      <c r="B638" s="422"/>
      <c r="E638" s="497"/>
      <c r="F638" s="498"/>
      <c r="H638" s="422"/>
    </row>
    <row r="639">
      <c r="A639" s="422"/>
      <c r="B639" s="422"/>
      <c r="E639" s="497"/>
      <c r="F639" s="498"/>
      <c r="H639" s="422"/>
    </row>
    <row r="640">
      <c r="A640" s="422"/>
      <c r="B640" s="422"/>
      <c r="E640" s="497"/>
      <c r="F640" s="498"/>
      <c r="H640" s="422"/>
    </row>
    <row r="641">
      <c r="A641" s="422"/>
      <c r="B641" s="422"/>
      <c r="E641" s="497"/>
      <c r="F641" s="498"/>
      <c r="H641" s="422"/>
    </row>
    <row r="642">
      <c r="A642" s="422"/>
      <c r="B642" s="422"/>
      <c r="E642" s="497"/>
      <c r="F642" s="498"/>
      <c r="H642" s="422"/>
    </row>
    <row r="643">
      <c r="A643" s="422"/>
      <c r="B643" s="422"/>
      <c r="E643" s="497"/>
      <c r="F643" s="498"/>
      <c r="H643" s="422"/>
    </row>
    <row r="644">
      <c r="A644" s="422"/>
      <c r="B644" s="422"/>
      <c r="E644" s="497"/>
      <c r="F644" s="498"/>
      <c r="H644" s="422"/>
    </row>
    <row r="645">
      <c r="A645" s="422"/>
      <c r="B645" s="422"/>
      <c r="E645" s="497"/>
      <c r="F645" s="498"/>
      <c r="H645" s="422"/>
    </row>
    <row r="646">
      <c r="A646" s="422"/>
      <c r="B646" s="422"/>
      <c r="E646" s="497"/>
      <c r="F646" s="498"/>
      <c r="H646" s="422"/>
    </row>
    <row r="647">
      <c r="A647" s="422"/>
      <c r="B647" s="422"/>
      <c r="E647" s="497"/>
      <c r="F647" s="498"/>
      <c r="H647" s="422"/>
    </row>
    <row r="648">
      <c r="A648" s="422"/>
      <c r="B648" s="422"/>
      <c r="E648" s="497"/>
      <c r="F648" s="498"/>
      <c r="H648" s="422"/>
    </row>
    <row r="649">
      <c r="A649" s="422"/>
      <c r="B649" s="422"/>
      <c r="E649" s="497"/>
      <c r="F649" s="498"/>
      <c r="H649" s="422"/>
    </row>
    <row r="650">
      <c r="A650" s="422"/>
      <c r="B650" s="422"/>
      <c r="E650" s="497"/>
      <c r="F650" s="498"/>
      <c r="H650" s="422"/>
    </row>
    <row r="651">
      <c r="A651" s="422"/>
      <c r="B651" s="422"/>
      <c r="E651" s="497"/>
      <c r="F651" s="498"/>
      <c r="H651" s="422"/>
    </row>
    <row r="652">
      <c r="A652" s="422"/>
      <c r="B652" s="422"/>
      <c r="E652" s="497"/>
      <c r="F652" s="498"/>
      <c r="H652" s="422"/>
    </row>
    <row r="653">
      <c r="A653" s="422"/>
      <c r="B653" s="422"/>
      <c r="E653" s="497"/>
      <c r="F653" s="498"/>
      <c r="H653" s="422"/>
    </row>
    <row r="654">
      <c r="A654" s="422"/>
      <c r="B654" s="422"/>
      <c r="E654" s="497"/>
      <c r="F654" s="498"/>
      <c r="H654" s="422"/>
    </row>
    <row r="655">
      <c r="A655" s="422"/>
      <c r="B655" s="422"/>
      <c r="E655" s="497"/>
      <c r="F655" s="498"/>
      <c r="H655" s="422"/>
    </row>
    <row r="656">
      <c r="A656" s="422"/>
      <c r="B656" s="422"/>
      <c r="E656" s="497"/>
      <c r="F656" s="498"/>
      <c r="H656" s="422"/>
    </row>
    <row r="657">
      <c r="A657" s="422"/>
      <c r="B657" s="422"/>
      <c r="E657" s="497"/>
      <c r="F657" s="498"/>
      <c r="H657" s="422"/>
    </row>
    <row r="658">
      <c r="A658" s="422"/>
      <c r="B658" s="422"/>
      <c r="E658" s="497"/>
      <c r="F658" s="498"/>
      <c r="H658" s="422"/>
    </row>
    <row r="659">
      <c r="A659" s="422"/>
      <c r="B659" s="422"/>
      <c r="E659" s="497"/>
      <c r="F659" s="498"/>
      <c r="H659" s="422"/>
    </row>
    <row r="660">
      <c r="A660" s="422"/>
      <c r="B660" s="422"/>
      <c r="E660" s="497"/>
      <c r="F660" s="498"/>
      <c r="H660" s="422"/>
    </row>
    <row r="661">
      <c r="A661" s="422"/>
      <c r="B661" s="422"/>
      <c r="E661" s="497"/>
      <c r="F661" s="498"/>
      <c r="H661" s="422"/>
    </row>
    <row r="662">
      <c r="A662" s="422"/>
      <c r="B662" s="422"/>
      <c r="E662" s="497"/>
      <c r="F662" s="498"/>
      <c r="H662" s="422"/>
    </row>
    <row r="663">
      <c r="A663" s="422"/>
      <c r="B663" s="422"/>
      <c r="E663" s="497"/>
      <c r="F663" s="498"/>
      <c r="H663" s="422"/>
    </row>
    <row r="664">
      <c r="A664" s="422"/>
      <c r="B664" s="422"/>
      <c r="E664" s="497"/>
      <c r="F664" s="498"/>
      <c r="H664" s="422"/>
    </row>
    <row r="665">
      <c r="A665" s="422"/>
      <c r="B665" s="422"/>
      <c r="E665" s="497"/>
      <c r="F665" s="498"/>
      <c r="H665" s="422"/>
    </row>
    <row r="666">
      <c r="A666" s="422"/>
      <c r="B666" s="422"/>
      <c r="E666" s="497"/>
      <c r="F666" s="498"/>
      <c r="H666" s="422"/>
    </row>
    <row r="667">
      <c r="A667" s="422"/>
      <c r="B667" s="422"/>
      <c r="E667" s="497"/>
      <c r="F667" s="498"/>
      <c r="H667" s="422"/>
    </row>
    <row r="668">
      <c r="A668" s="422"/>
      <c r="B668" s="422"/>
      <c r="E668" s="497"/>
      <c r="F668" s="498"/>
      <c r="H668" s="422"/>
    </row>
    <row r="669">
      <c r="A669" s="422"/>
      <c r="B669" s="422"/>
      <c r="E669" s="497"/>
      <c r="F669" s="498"/>
      <c r="H669" s="422"/>
    </row>
    <row r="670">
      <c r="A670" s="422"/>
      <c r="B670" s="422"/>
      <c r="E670" s="497"/>
      <c r="F670" s="498"/>
      <c r="H670" s="422"/>
    </row>
    <row r="671">
      <c r="A671" s="422"/>
      <c r="B671" s="422"/>
      <c r="E671" s="497"/>
      <c r="F671" s="498"/>
      <c r="H671" s="422"/>
    </row>
    <row r="672">
      <c r="A672" s="422"/>
      <c r="B672" s="422"/>
      <c r="E672" s="497"/>
      <c r="F672" s="498"/>
      <c r="H672" s="422"/>
    </row>
    <row r="673">
      <c r="A673" s="422"/>
      <c r="B673" s="422"/>
      <c r="E673" s="497"/>
      <c r="F673" s="498"/>
      <c r="H673" s="422"/>
    </row>
    <row r="674">
      <c r="A674" s="422"/>
      <c r="B674" s="422"/>
      <c r="E674" s="497"/>
      <c r="F674" s="498"/>
      <c r="H674" s="422"/>
    </row>
    <row r="675">
      <c r="A675" s="422"/>
      <c r="B675" s="422"/>
      <c r="E675" s="497"/>
      <c r="F675" s="498"/>
      <c r="H675" s="422"/>
    </row>
    <row r="676">
      <c r="A676" s="422"/>
      <c r="B676" s="422"/>
      <c r="E676" s="497"/>
      <c r="F676" s="498"/>
      <c r="H676" s="422"/>
    </row>
    <row r="677">
      <c r="A677" s="422"/>
      <c r="B677" s="422"/>
      <c r="E677" s="497"/>
      <c r="F677" s="498"/>
      <c r="H677" s="422"/>
    </row>
    <row r="678">
      <c r="A678" s="422"/>
      <c r="B678" s="422"/>
      <c r="E678" s="497"/>
      <c r="F678" s="498"/>
      <c r="H678" s="422"/>
    </row>
    <row r="679">
      <c r="A679" s="422"/>
      <c r="B679" s="422"/>
      <c r="E679" s="497"/>
      <c r="F679" s="498"/>
      <c r="H679" s="422"/>
    </row>
    <row r="680">
      <c r="A680" s="422"/>
      <c r="B680" s="422"/>
      <c r="E680" s="497"/>
      <c r="F680" s="498"/>
      <c r="H680" s="422"/>
    </row>
    <row r="681">
      <c r="A681" s="422"/>
      <c r="B681" s="422"/>
      <c r="E681" s="497"/>
      <c r="F681" s="498"/>
      <c r="H681" s="422"/>
    </row>
    <row r="682">
      <c r="A682" s="422"/>
      <c r="B682" s="422"/>
      <c r="E682" s="497"/>
      <c r="F682" s="498"/>
      <c r="H682" s="422"/>
    </row>
    <row r="683">
      <c r="A683" s="422"/>
      <c r="B683" s="422"/>
      <c r="E683" s="497"/>
      <c r="F683" s="498"/>
      <c r="H683" s="422"/>
    </row>
    <row r="684">
      <c r="A684" s="422"/>
      <c r="B684" s="422"/>
      <c r="E684" s="497"/>
      <c r="F684" s="498"/>
      <c r="H684" s="422"/>
    </row>
    <row r="685">
      <c r="A685" s="422"/>
      <c r="B685" s="422"/>
      <c r="E685" s="497"/>
      <c r="F685" s="498"/>
      <c r="H685" s="422"/>
    </row>
    <row r="686">
      <c r="A686" s="422"/>
      <c r="B686" s="422"/>
      <c r="E686" s="497"/>
      <c r="F686" s="498"/>
      <c r="H686" s="422"/>
    </row>
    <row r="687">
      <c r="A687" s="422"/>
      <c r="B687" s="422"/>
      <c r="E687" s="497"/>
      <c r="F687" s="498"/>
      <c r="H687" s="422"/>
    </row>
    <row r="688">
      <c r="A688" s="422"/>
      <c r="B688" s="422"/>
      <c r="E688" s="497"/>
      <c r="F688" s="498"/>
      <c r="H688" s="422"/>
    </row>
    <row r="689">
      <c r="A689" s="422"/>
      <c r="B689" s="422"/>
      <c r="E689" s="497"/>
      <c r="F689" s="498"/>
      <c r="H689" s="422"/>
    </row>
    <row r="690">
      <c r="A690" s="422"/>
      <c r="B690" s="422"/>
      <c r="E690" s="497"/>
      <c r="F690" s="498"/>
      <c r="H690" s="422"/>
    </row>
    <row r="691">
      <c r="A691" s="422"/>
      <c r="B691" s="422"/>
      <c r="E691" s="497"/>
      <c r="F691" s="498"/>
      <c r="H691" s="422"/>
    </row>
    <row r="692">
      <c r="A692" s="422"/>
      <c r="B692" s="422"/>
      <c r="E692" s="497"/>
      <c r="F692" s="498"/>
      <c r="H692" s="422"/>
    </row>
    <row r="693">
      <c r="A693" s="422"/>
      <c r="B693" s="422"/>
      <c r="E693" s="497"/>
      <c r="F693" s="498"/>
      <c r="H693" s="422"/>
    </row>
    <row r="694">
      <c r="A694" s="422"/>
      <c r="B694" s="422"/>
      <c r="E694" s="497"/>
      <c r="F694" s="498"/>
      <c r="H694" s="422"/>
    </row>
    <row r="695">
      <c r="A695" s="422"/>
      <c r="B695" s="422"/>
      <c r="E695" s="497"/>
      <c r="F695" s="498"/>
      <c r="H695" s="422"/>
    </row>
    <row r="696">
      <c r="A696" s="422"/>
      <c r="B696" s="422"/>
      <c r="E696" s="497"/>
      <c r="F696" s="498"/>
      <c r="H696" s="422"/>
    </row>
    <row r="697">
      <c r="A697" s="422"/>
      <c r="B697" s="422"/>
      <c r="E697" s="497"/>
      <c r="F697" s="498"/>
      <c r="H697" s="422"/>
    </row>
    <row r="698">
      <c r="A698" s="422"/>
      <c r="B698" s="422"/>
      <c r="E698" s="497"/>
      <c r="F698" s="498"/>
      <c r="H698" s="422"/>
    </row>
    <row r="699">
      <c r="A699" s="422"/>
      <c r="B699" s="422"/>
      <c r="E699" s="497"/>
      <c r="F699" s="498"/>
      <c r="H699" s="422"/>
    </row>
    <row r="700">
      <c r="A700" s="422"/>
      <c r="B700" s="422"/>
      <c r="E700" s="497"/>
      <c r="F700" s="498"/>
      <c r="H700" s="422"/>
    </row>
    <row r="701">
      <c r="A701" s="422"/>
      <c r="B701" s="422"/>
      <c r="E701" s="497"/>
      <c r="F701" s="498"/>
      <c r="H701" s="422"/>
    </row>
    <row r="702">
      <c r="A702" s="422"/>
      <c r="B702" s="422"/>
      <c r="E702" s="497"/>
      <c r="F702" s="498"/>
      <c r="H702" s="422"/>
    </row>
    <row r="703">
      <c r="A703" s="422"/>
      <c r="B703" s="422"/>
      <c r="E703" s="497"/>
      <c r="F703" s="498"/>
      <c r="H703" s="422"/>
    </row>
    <row r="704">
      <c r="A704" s="422"/>
      <c r="B704" s="422"/>
      <c r="E704" s="497"/>
      <c r="F704" s="498"/>
      <c r="H704" s="422"/>
    </row>
    <row r="705">
      <c r="A705" s="422"/>
      <c r="B705" s="422"/>
      <c r="E705" s="497"/>
      <c r="F705" s="498"/>
      <c r="H705" s="422"/>
    </row>
    <row r="706">
      <c r="A706" s="422"/>
      <c r="B706" s="422"/>
      <c r="E706" s="497"/>
      <c r="F706" s="498"/>
      <c r="H706" s="422"/>
    </row>
    <row r="707">
      <c r="A707" s="422"/>
      <c r="B707" s="422"/>
      <c r="E707" s="497"/>
      <c r="F707" s="498"/>
      <c r="H707" s="422"/>
    </row>
    <row r="708">
      <c r="A708" s="422"/>
      <c r="B708" s="422"/>
      <c r="E708" s="497"/>
      <c r="F708" s="498"/>
      <c r="H708" s="422"/>
    </row>
    <row r="709">
      <c r="A709" s="422"/>
      <c r="B709" s="422"/>
      <c r="E709" s="497"/>
      <c r="F709" s="498"/>
      <c r="H709" s="422"/>
    </row>
    <row r="710">
      <c r="A710" s="422"/>
      <c r="B710" s="422"/>
      <c r="E710" s="497"/>
      <c r="F710" s="498"/>
      <c r="H710" s="422"/>
    </row>
    <row r="711">
      <c r="A711" s="422"/>
      <c r="B711" s="422"/>
      <c r="E711" s="497"/>
      <c r="F711" s="498"/>
      <c r="H711" s="422"/>
    </row>
    <row r="712">
      <c r="A712" s="422"/>
      <c r="B712" s="422"/>
      <c r="E712" s="497"/>
      <c r="F712" s="498"/>
      <c r="H712" s="422"/>
    </row>
    <row r="713">
      <c r="A713" s="422"/>
      <c r="B713" s="422"/>
      <c r="E713" s="497"/>
      <c r="F713" s="498"/>
      <c r="H713" s="422"/>
    </row>
    <row r="714">
      <c r="A714" s="422"/>
      <c r="B714" s="422"/>
      <c r="E714" s="497"/>
      <c r="F714" s="498"/>
      <c r="H714" s="422"/>
    </row>
    <row r="715">
      <c r="A715" s="422"/>
      <c r="B715" s="422"/>
      <c r="E715" s="497"/>
      <c r="F715" s="498"/>
      <c r="H715" s="422"/>
    </row>
    <row r="716">
      <c r="A716" s="422"/>
      <c r="B716" s="422"/>
      <c r="E716" s="497"/>
      <c r="F716" s="498"/>
      <c r="H716" s="422"/>
    </row>
    <row r="717">
      <c r="A717" s="422"/>
      <c r="B717" s="422"/>
      <c r="E717" s="497"/>
      <c r="F717" s="498"/>
      <c r="H717" s="422"/>
    </row>
    <row r="718">
      <c r="A718" s="422"/>
      <c r="B718" s="422"/>
      <c r="E718" s="497"/>
      <c r="F718" s="498"/>
      <c r="H718" s="422"/>
    </row>
    <row r="719">
      <c r="A719" s="422"/>
      <c r="B719" s="422"/>
      <c r="E719" s="497"/>
      <c r="F719" s="498"/>
      <c r="H719" s="422"/>
    </row>
    <row r="720">
      <c r="A720" s="422"/>
      <c r="B720" s="422"/>
      <c r="E720" s="497"/>
      <c r="F720" s="498"/>
      <c r="H720" s="422"/>
    </row>
    <row r="721">
      <c r="A721" s="422"/>
      <c r="B721" s="422"/>
      <c r="E721" s="497"/>
      <c r="F721" s="498"/>
      <c r="H721" s="422"/>
    </row>
    <row r="722">
      <c r="A722" s="422"/>
      <c r="B722" s="422"/>
      <c r="E722" s="497"/>
      <c r="F722" s="498"/>
      <c r="H722" s="422"/>
    </row>
    <row r="723">
      <c r="A723" s="422"/>
      <c r="B723" s="422"/>
      <c r="E723" s="497"/>
      <c r="F723" s="498"/>
      <c r="H723" s="422"/>
    </row>
    <row r="724">
      <c r="A724" s="422"/>
      <c r="B724" s="422"/>
      <c r="E724" s="497"/>
      <c r="F724" s="498"/>
      <c r="H724" s="422"/>
    </row>
    <row r="725">
      <c r="A725" s="422"/>
      <c r="B725" s="422"/>
      <c r="E725" s="497"/>
      <c r="F725" s="498"/>
      <c r="H725" s="422"/>
    </row>
    <row r="726">
      <c r="A726" s="422"/>
      <c r="B726" s="422"/>
      <c r="E726" s="497"/>
      <c r="F726" s="498"/>
      <c r="H726" s="422"/>
    </row>
    <row r="727">
      <c r="A727" s="422"/>
      <c r="B727" s="422"/>
      <c r="E727" s="497"/>
      <c r="F727" s="498"/>
      <c r="H727" s="422"/>
    </row>
    <row r="728">
      <c r="A728" s="422"/>
      <c r="B728" s="422"/>
      <c r="E728" s="497"/>
      <c r="F728" s="498"/>
      <c r="H728" s="422"/>
    </row>
    <row r="729">
      <c r="A729" s="422"/>
      <c r="B729" s="422"/>
      <c r="E729" s="497"/>
      <c r="F729" s="498"/>
      <c r="H729" s="422"/>
    </row>
    <row r="730">
      <c r="A730" s="422"/>
      <c r="B730" s="422"/>
      <c r="E730" s="497"/>
      <c r="F730" s="498"/>
      <c r="H730" s="422"/>
    </row>
    <row r="731">
      <c r="A731" s="422"/>
      <c r="B731" s="422"/>
      <c r="E731" s="497"/>
      <c r="F731" s="498"/>
      <c r="H731" s="422"/>
    </row>
    <row r="732">
      <c r="A732" s="422"/>
      <c r="B732" s="422"/>
      <c r="E732" s="497"/>
      <c r="F732" s="498"/>
      <c r="H732" s="422"/>
    </row>
    <row r="733">
      <c r="A733" s="422"/>
      <c r="B733" s="422"/>
      <c r="E733" s="497"/>
      <c r="F733" s="498"/>
      <c r="H733" s="422"/>
    </row>
    <row r="734">
      <c r="A734" s="422"/>
      <c r="B734" s="422"/>
      <c r="E734" s="497"/>
      <c r="F734" s="498"/>
      <c r="H734" s="422"/>
    </row>
    <row r="735">
      <c r="A735" s="422"/>
      <c r="B735" s="422"/>
      <c r="E735" s="497"/>
      <c r="F735" s="498"/>
      <c r="H735" s="422"/>
    </row>
    <row r="736">
      <c r="A736" s="422"/>
      <c r="B736" s="422"/>
      <c r="E736" s="497"/>
      <c r="F736" s="498"/>
      <c r="H736" s="422"/>
    </row>
    <row r="737">
      <c r="A737" s="422"/>
      <c r="B737" s="422"/>
      <c r="E737" s="497"/>
      <c r="F737" s="498"/>
      <c r="H737" s="422"/>
    </row>
    <row r="738">
      <c r="A738" s="422"/>
      <c r="B738" s="422"/>
      <c r="E738" s="497"/>
      <c r="F738" s="498"/>
      <c r="H738" s="422"/>
    </row>
    <row r="739">
      <c r="A739" s="422"/>
      <c r="B739" s="422"/>
      <c r="E739" s="497"/>
      <c r="F739" s="498"/>
      <c r="H739" s="422"/>
    </row>
    <row r="740">
      <c r="A740" s="422"/>
      <c r="B740" s="422"/>
      <c r="E740" s="497"/>
      <c r="F740" s="498"/>
      <c r="H740" s="422"/>
    </row>
    <row r="741">
      <c r="A741" s="422"/>
      <c r="B741" s="422"/>
      <c r="E741" s="497"/>
      <c r="F741" s="498"/>
      <c r="H741" s="422"/>
    </row>
    <row r="742">
      <c r="A742" s="422"/>
      <c r="B742" s="422"/>
      <c r="E742" s="497"/>
      <c r="F742" s="498"/>
      <c r="H742" s="422"/>
    </row>
    <row r="743">
      <c r="A743" s="422"/>
      <c r="B743" s="422"/>
      <c r="E743" s="497"/>
      <c r="F743" s="498"/>
      <c r="H743" s="422"/>
    </row>
    <row r="744">
      <c r="A744" s="422"/>
      <c r="B744" s="422"/>
      <c r="E744" s="497"/>
      <c r="F744" s="498"/>
      <c r="H744" s="422"/>
    </row>
    <row r="745">
      <c r="A745" s="422"/>
      <c r="B745" s="422"/>
      <c r="E745" s="497"/>
      <c r="F745" s="498"/>
      <c r="H745" s="422"/>
    </row>
    <row r="746">
      <c r="A746" s="422"/>
      <c r="B746" s="422"/>
      <c r="E746" s="497"/>
      <c r="F746" s="498"/>
      <c r="H746" s="422"/>
    </row>
    <row r="747">
      <c r="A747" s="422"/>
      <c r="B747" s="422"/>
      <c r="E747" s="497"/>
      <c r="F747" s="498"/>
      <c r="H747" s="422"/>
    </row>
    <row r="748">
      <c r="A748" s="422"/>
      <c r="B748" s="422"/>
      <c r="E748" s="497"/>
      <c r="F748" s="498"/>
      <c r="H748" s="422"/>
    </row>
    <row r="749">
      <c r="A749" s="422"/>
      <c r="B749" s="422"/>
      <c r="E749" s="497"/>
      <c r="F749" s="498"/>
      <c r="H749" s="422"/>
    </row>
    <row r="750">
      <c r="A750" s="422"/>
      <c r="B750" s="422"/>
      <c r="E750" s="497"/>
      <c r="F750" s="498"/>
      <c r="H750" s="422"/>
    </row>
    <row r="751">
      <c r="A751" s="422"/>
      <c r="B751" s="422"/>
      <c r="E751" s="497"/>
      <c r="F751" s="498"/>
      <c r="H751" s="422"/>
    </row>
    <row r="752">
      <c r="A752" s="422"/>
      <c r="B752" s="422"/>
      <c r="E752" s="497"/>
      <c r="F752" s="498"/>
      <c r="H752" s="422"/>
    </row>
    <row r="753">
      <c r="A753" s="422"/>
      <c r="B753" s="422"/>
      <c r="E753" s="497"/>
      <c r="F753" s="498"/>
      <c r="H753" s="422"/>
    </row>
    <row r="754">
      <c r="A754" s="422"/>
      <c r="B754" s="422"/>
      <c r="E754" s="497"/>
      <c r="F754" s="498"/>
      <c r="H754" s="422"/>
    </row>
    <row r="755">
      <c r="A755" s="422"/>
      <c r="B755" s="422"/>
      <c r="E755" s="497"/>
      <c r="F755" s="498"/>
      <c r="H755" s="422"/>
    </row>
    <row r="756">
      <c r="A756" s="422"/>
      <c r="B756" s="422"/>
      <c r="E756" s="497"/>
      <c r="F756" s="498"/>
      <c r="H756" s="422"/>
    </row>
    <row r="757">
      <c r="A757" s="422"/>
      <c r="B757" s="422"/>
      <c r="E757" s="497"/>
      <c r="F757" s="498"/>
      <c r="H757" s="422"/>
    </row>
    <row r="758">
      <c r="A758" s="422"/>
      <c r="B758" s="422"/>
      <c r="E758" s="497"/>
      <c r="F758" s="498"/>
      <c r="H758" s="422"/>
    </row>
    <row r="759">
      <c r="A759" s="422"/>
      <c r="B759" s="422"/>
      <c r="E759" s="497"/>
      <c r="F759" s="498"/>
      <c r="H759" s="422"/>
    </row>
    <row r="760">
      <c r="A760" s="422"/>
      <c r="B760" s="422"/>
      <c r="E760" s="497"/>
      <c r="F760" s="498"/>
      <c r="H760" s="422"/>
    </row>
    <row r="761">
      <c r="A761" s="422"/>
      <c r="B761" s="422"/>
      <c r="E761" s="497"/>
      <c r="F761" s="498"/>
      <c r="H761" s="422"/>
    </row>
    <row r="762">
      <c r="A762" s="422"/>
      <c r="B762" s="422"/>
      <c r="E762" s="497"/>
      <c r="F762" s="498"/>
      <c r="H762" s="422"/>
    </row>
    <row r="763">
      <c r="A763" s="422"/>
      <c r="B763" s="422"/>
      <c r="E763" s="497"/>
      <c r="F763" s="498"/>
      <c r="H763" s="422"/>
    </row>
    <row r="764">
      <c r="A764" s="422"/>
      <c r="B764" s="422"/>
      <c r="E764" s="497"/>
      <c r="F764" s="498"/>
      <c r="H764" s="422"/>
    </row>
    <row r="765">
      <c r="A765" s="422"/>
      <c r="B765" s="422"/>
      <c r="E765" s="497"/>
      <c r="F765" s="498"/>
      <c r="H765" s="422"/>
    </row>
    <row r="766">
      <c r="A766" s="422"/>
      <c r="B766" s="422"/>
      <c r="E766" s="497"/>
      <c r="F766" s="498"/>
      <c r="H766" s="422"/>
    </row>
    <row r="767">
      <c r="A767" s="422"/>
      <c r="B767" s="422"/>
      <c r="E767" s="497"/>
      <c r="F767" s="498"/>
      <c r="H767" s="422"/>
    </row>
    <row r="768">
      <c r="A768" s="422"/>
      <c r="B768" s="422"/>
      <c r="E768" s="497"/>
      <c r="F768" s="498"/>
      <c r="H768" s="422"/>
    </row>
    <row r="769">
      <c r="A769" s="422"/>
      <c r="B769" s="422"/>
      <c r="E769" s="497"/>
      <c r="F769" s="498"/>
      <c r="H769" s="422"/>
    </row>
    <row r="770">
      <c r="A770" s="422"/>
      <c r="B770" s="422"/>
      <c r="E770" s="497"/>
      <c r="F770" s="498"/>
      <c r="H770" s="422"/>
    </row>
    <row r="771">
      <c r="A771" s="422"/>
      <c r="B771" s="422"/>
      <c r="E771" s="497"/>
      <c r="F771" s="498"/>
      <c r="H771" s="422"/>
    </row>
    <row r="772">
      <c r="A772" s="422"/>
      <c r="B772" s="422"/>
      <c r="E772" s="497"/>
      <c r="F772" s="498"/>
      <c r="H772" s="422"/>
    </row>
    <row r="773">
      <c r="A773" s="422"/>
      <c r="B773" s="422"/>
      <c r="E773" s="497"/>
      <c r="F773" s="498"/>
      <c r="H773" s="422"/>
    </row>
    <row r="774">
      <c r="A774" s="422"/>
      <c r="B774" s="422"/>
      <c r="E774" s="497"/>
      <c r="F774" s="498"/>
      <c r="H774" s="422"/>
    </row>
    <row r="775">
      <c r="A775" s="422"/>
      <c r="B775" s="422"/>
      <c r="E775" s="497"/>
      <c r="F775" s="498"/>
      <c r="H775" s="422"/>
    </row>
    <row r="776">
      <c r="A776" s="422"/>
      <c r="B776" s="422"/>
      <c r="E776" s="497"/>
      <c r="F776" s="498"/>
      <c r="H776" s="422"/>
    </row>
    <row r="777">
      <c r="A777" s="422"/>
      <c r="B777" s="422"/>
      <c r="E777" s="497"/>
      <c r="F777" s="498"/>
      <c r="H777" s="422"/>
    </row>
    <row r="778">
      <c r="A778" s="422"/>
      <c r="B778" s="422"/>
      <c r="E778" s="497"/>
      <c r="F778" s="498"/>
      <c r="H778" s="422"/>
    </row>
    <row r="779">
      <c r="A779" s="422"/>
      <c r="B779" s="422"/>
      <c r="E779" s="497"/>
      <c r="F779" s="498"/>
      <c r="H779" s="422"/>
    </row>
    <row r="780">
      <c r="A780" s="422"/>
      <c r="B780" s="422"/>
      <c r="E780" s="497"/>
      <c r="F780" s="498"/>
      <c r="H780" s="422"/>
    </row>
    <row r="781">
      <c r="A781" s="422"/>
      <c r="B781" s="422"/>
      <c r="E781" s="497"/>
      <c r="F781" s="498"/>
      <c r="H781" s="422"/>
    </row>
    <row r="782">
      <c r="A782" s="422"/>
      <c r="B782" s="422"/>
      <c r="E782" s="497"/>
      <c r="F782" s="498"/>
      <c r="H782" s="422"/>
    </row>
    <row r="783">
      <c r="A783" s="422"/>
      <c r="B783" s="422"/>
      <c r="E783" s="497"/>
      <c r="F783" s="498"/>
      <c r="H783" s="422"/>
    </row>
    <row r="784">
      <c r="A784" s="422"/>
      <c r="B784" s="422"/>
      <c r="E784" s="497"/>
      <c r="F784" s="498"/>
      <c r="H784" s="422"/>
    </row>
    <row r="785">
      <c r="A785" s="422"/>
      <c r="B785" s="422"/>
      <c r="E785" s="497"/>
      <c r="F785" s="498"/>
      <c r="H785" s="422"/>
    </row>
    <row r="786">
      <c r="A786" s="422"/>
      <c r="B786" s="422"/>
      <c r="E786" s="497"/>
      <c r="F786" s="498"/>
      <c r="H786" s="422"/>
    </row>
    <row r="787">
      <c r="A787" s="422"/>
      <c r="B787" s="422"/>
      <c r="E787" s="497"/>
      <c r="F787" s="498"/>
      <c r="H787" s="422"/>
    </row>
    <row r="788">
      <c r="A788" s="422"/>
      <c r="B788" s="422"/>
      <c r="E788" s="497"/>
      <c r="F788" s="498"/>
      <c r="H788" s="422"/>
    </row>
    <row r="789">
      <c r="A789" s="422"/>
      <c r="B789" s="422"/>
      <c r="E789" s="497"/>
      <c r="F789" s="498"/>
      <c r="H789" s="422"/>
    </row>
    <row r="790">
      <c r="A790" s="422"/>
      <c r="B790" s="422"/>
      <c r="E790" s="497"/>
      <c r="F790" s="498"/>
      <c r="H790" s="422"/>
    </row>
    <row r="791">
      <c r="A791" s="422"/>
      <c r="B791" s="422"/>
      <c r="E791" s="497"/>
      <c r="F791" s="498"/>
      <c r="H791" s="422"/>
    </row>
    <row r="792">
      <c r="A792" s="422"/>
      <c r="B792" s="422"/>
      <c r="E792" s="497"/>
      <c r="F792" s="498"/>
      <c r="H792" s="422"/>
    </row>
    <row r="793">
      <c r="A793" s="422"/>
      <c r="B793" s="422"/>
      <c r="E793" s="497"/>
      <c r="F793" s="498"/>
      <c r="H793" s="422"/>
    </row>
    <row r="794">
      <c r="A794" s="422"/>
      <c r="B794" s="422"/>
      <c r="E794" s="497"/>
      <c r="F794" s="498"/>
      <c r="H794" s="422"/>
    </row>
    <row r="795">
      <c r="A795" s="422"/>
      <c r="B795" s="422"/>
      <c r="E795" s="497"/>
      <c r="F795" s="498"/>
      <c r="H795" s="422"/>
    </row>
    <row r="796">
      <c r="A796" s="422"/>
      <c r="B796" s="422"/>
      <c r="E796" s="497"/>
      <c r="F796" s="498"/>
      <c r="H796" s="422"/>
    </row>
    <row r="797">
      <c r="A797" s="422"/>
      <c r="B797" s="422"/>
      <c r="E797" s="497"/>
      <c r="F797" s="498"/>
      <c r="H797" s="422"/>
    </row>
    <row r="798">
      <c r="A798" s="422"/>
      <c r="B798" s="422"/>
      <c r="E798" s="497"/>
      <c r="F798" s="498"/>
      <c r="H798" s="422"/>
    </row>
    <row r="799">
      <c r="A799" s="422"/>
      <c r="B799" s="422"/>
      <c r="E799" s="497"/>
      <c r="F799" s="498"/>
      <c r="H799" s="422"/>
    </row>
    <row r="800">
      <c r="A800" s="422"/>
      <c r="B800" s="422"/>
      <c r="E800" s="497"/>
      <c r="F800" s="498"/>
      <c r="H800" s="422"/>
    </row>
    <row r="801">
      <c r="A801" s="422"/>
      <c r="B801" s="422"/>
      <c r="E801" s="497"/>
      <c r="F801" s="498"/>
      <c r="H801" s="422"/>
    </row>
    <row r="802">
      <c r="A802" s="422"/>
      <c r="B802" s="422"/>
      <c r="E802" s="497"/>
      <c r="F802" s="498"/>
      <c r="H802" s="422"/>
    </row>
    <row r="803">
      <c r="A803" s="422"/>
      <c r="B803" s="422"/>
      <c r="E803" s="497"/>
      <c r="F803" s="498"/>
      <c r="H803" s="422"/>
    </row>
    <row r="804">
      <c r="A804" s="422"/>
      <c r="B804" s="422"/>
      <c r="E804" s="497"/>
      <c r="F804" s="498"/>
      <c r="H804" s="422"/>
    </row>
    <row r="805">
      <c r="A805" s="422"/>
      <c r="B805" s="422"/>
      <c r="E805" s="497"/>
      <c r="F805" s="498"/>
      <c r="H805" s="422"/>
    </row>
    <row r="806">
      <c r="A806" s="422"/>
      <c r="B806" s="422"/>
      <c r="E806" s="497"/>
      <c r="F806" s="498"/>
      <c r="H806" s="422"/>
    </row>
    <row r="807">
      <c r="A807" s="422"/>
      <c r="B807" s="422"/>
      <c r="E807" s="497"/>
      <c r="F807" s="498"/>
      <c r="H807" s="422"/>
    </row>
    <row r="808">
      <c r="A808" s="422"/>
      <c r="B808" s="422"/>
      <c r="E808" s="497"/>
      <c r="F808" s="498"/>
      <c r="H808" s="422"/>
    </row>
    <row r="809">
      <c r="A809" s="422"/>
      <c r="B809" s="422"/>
      <c r="E809" s="497"/>
      <c r="F809" s="498"/>
      <c r="H809" s="422"/>
    </row>
    <row r="810">
      <c r="A810" s="422"/>
      <c r="B810" s="422"/>
      <c r="E810" s="497"/>
      <c r="F810" s="498"/>
      <c r="H810" s="422"/>
    </row>
    <row r="811">
      <c r="A811" s="422"/>
      <c r="B811" s="422"/>
      <c r="E811" s="497"/>
      <c r="F811" s="498"/>
      <c r="H811" s="422"/>
    </row>
    <row r="812">
      <c r="A812" s="422"/>
      <c r="B812" s="422"/>
      <c r="E812" s="497"/>
      <c r="F812" s="498"/>
      <c r="H812" s="422"/>
    </row>
    <row r="813">
      <c r="A813" s="422"/>
      <c r="B813" s="422"/>
      <c r="E813" s="497"/>
      <c r="F813" s="498"/>
      <c r="H813" s="422"/>
    </row>
    <row r="814">
      <c r="A814" s="422"/>
      <c r="B814" s="422"/>
      <c r="E814" s="497"/>
      <c r="F814" s="498"/>
      <c r="H814" s="422"/>
    </row>
    <row r="815">
      <c r="A815" s="422"/>
      <c r="B815" s="422"/>
      <c r="E815" s="497"/>
      <c r="F815" s="498"/>
      <c r="H815" s="422"/>
    </row>
    <row r="816">
      <c r="A816" s="422"/>
      <c r="B816" s="422"/>
      <c r="E816" s="497"/>
      <c r="F816" s="498"/>
      <c r="H816" s="422"/>
    </row>
    <row r="817">
      <c r="A817" s="422"/>
      <c r="B817" s="422"/>
      <c r="E817" s="497"/>
      <c r="F817" s="498"/>
      <c r="H817" s="422"/>
    </row>
    <row r="818">
      <c r="A818" s="422"/>
      <c r="B818" s="422"/>
      <c r="E818" s="497"/>
      <c r="F818" s="498"/>
      <c r="H818" s="422"/>
    </row>
    <row r="819">
      <c r="A819" s="422"/>
      <c r="B819" s="422"/>
      <c r="E819" s="497"/>
      <c r="F819" s="498"/>
      <c r="H819" s="422"/>
    </row>
    <row r="820">
      <c r="A820" s="422"/>
      <c r="B820" s="422"/>
      <c r="E820" s="497"/>
      <c r="F820" s="498"/>
      <c r="H820" s="422"/>
    </row>
    <row r="821">
      <c r="A821" s="422"/>
      <c r="B821" s="422"/>
      <c r="E821" s="497"/>
      <c r="F821" s="498"/>
      <c r="H821" s="422"/>
    </row>
    <row r="822">
      <c r="A822" s="422"/>
      <c r="B822" s="422"/>
      <c r="E822" s="497"/>
      <c r="F822" s="498"/>
      <c r="H822" s="422"/>
    </row>
    <row r="823">
      <c r="A823" s="422"/>
      <c r="B823" s="422"/>
      <c r="E823" s="497"/>
      <c r="F823" s="498"/>
      <c r="H823" s="422"/>
    </row>
    <row r="824">
      <c r="A824" s="422"/>
      <c r="B824" s="422"/>
      <c r="E824" s="497"/>
      <c r="F824" s="498"/>
      <c r="H824" s="422"/>
    </row>
    <row r="825">
      <c r="A825" s="422"/>
      <c r="B825" s="422"/>
      <c r="E825" s="497"/>
      <c r="F825" s="498"/>
      <c r="H825" s="422"/>
    </row>
    <row r="826">
      <c r="A826" s="422"/>
      <c r="B826" s="422"/>
      <c r="E826" s="497"/>
      <c r="F826" s="498"/>
      <c r="H826" s="422"/>
    </row>
    <row r="827">
      <c r="A827" s="422"/>
      <c r="B827" s="422"/>
      <c r="E827" s="497"/>
      <c r="F827" s="498"/>
      <c r="H827" s="422"/>
    </row>
    <row r="828">
      <c r="A828" s="422"/>
      <c r="B828" s="422"/>
      <c r="E828" s="497"/>
      <c r="F828" s="498"/>
      <c r="H828" s="422"/>
    </row>
    <row r="829">
      <c r="A829" s="422"/>
      <c r="B829" s="422"/>
      <c r="E829" s="497"/>
      <c r="F829" s="498"/>
      <c r="H829" s="422"/>
    </row>
    <row r="830">
      <c r="A830" s="422"/>
      <c r="B830" s="422"/>
      <c r="E830" s="497"/>
      <c r="F830" s="498"/>
      <c r="H830" s="422"/>
    </row>
    <row r="831">
      <c r="A831" s="422"/>
      <c r="B831" s="422"/>
      <c r="E831" s="497"/>
      <c r="F831" s="498"/>
      <c r="H831" s="422"/>
    </row>
    <row r="832">
      <c r="A832" s="422"/>
      <c r="B832" s="422"/>
      <c r="E832" s="497"/>
      <c r="F832" s="498"/>
      <c r="H832" s="422"/>
    </row>
    <row r="833">
      <c r="A833" s="422"/>
      <c r="B833" s="422"/>
      <c r="E833" s="497"/>
      <c r="F833" s="498"/>
      <c r="H833" s="422"/>
    </row>
    <row r="834">
      <c r="A834" s="422"/>
      <c r="B834" s="422"/>
      <c r="E834" s="497"/>
      <c r="F834" s="498"/>
      <c r="H834" s="422"/>
    </row>
    <row r="835">
      <c r="A835" s="422"/>
      <c r="B835" s="422"/>
      <c r="E835" s="497"/>
      <c r="F835" s="498"/>
      <c r="H835" s="422"/>
    </row>
    <row r="836">
      <c r="A836" s="422"/>
      <c r="B836" s="422"/>
      <c r="E836" s="497"/>
      <c r="F836" s="498"/>
      <c r="H836" s="422"/>
    </row>
    <row r="837">
      <c r="A837" s="422"/>
      <c r="B837" s="422"/>
      <c r="E837" s="497"/>
      <c r="F837" s="498"/>
      <c r="H837" s="422"/>
    </row>
    <row r="838">
      <c r="A838" s="422"/>
      <c r="B838" s="422"/>
      <c r="E838" s="497"/>
      <c r="F838" s="498"/>
      <c r="H838" s="422"/>
    </row>
    <row r="839">
      <c r="A839" s="422"/>
      <c r="B839" s="422"/>
      <c r="E839" s="497"/>
      <c r="F839" s="498"/>
      <c r="H839" s="422"/>
    </row>
    <row r="840">
      <c r="A840" s="422"/>
      <c r="B840" s="422"/>
      <c r="E840" s="497"/>
      <c r="F840" s="498"/>
      <c r="H840" s="422"/>
    </row>
    <row r="841">
      <c r="A841" s="422"/>
      <c r="B841" s="422"/>
      <c r="E841" s="497"/>
      <c r="F841" s="498"/>
      <c r="H841" s="422"/>
    </row>
    <row r="842">
      <c r="A842" s="422"/>
      <c r="B842" s="422"/>
      <c r="E842" s="497"/>
      <c r="F842" s="498"/>
      <c r="H842" s="422"/>
    </row>
    <row r="843">
      <c r="A843" s="422"/>
      <c r="B843" s="422"/>
      <c r="E843" s="497"/>
      <c r="F843" s="498"/>
      <c r="H843" s="422"/>
    </row>
    <row r="844">
      <c r="A844" s="422"/>
      <c r="B844" s="422"/>
      <c r="E844" s="497"/>
      <c r="F844" s="498"/>
      <c r="H844" s="422"/>
    </row>
    <row r="845">
      <c r="A845" s="422"/>
      <c r="B845" s="422"/>
      <c r="E845" s="497"/>
      <c r="F845" s="498"/>
      <c r="H845" s="422"/>
    </row>
    <row r="846">
      <c r="A846" s="422"/>
      <c r="B846" s="422"/>
      <c r="E846" s="497"/>
      <c r="F846" s="498"/>
      <c r="H846" s="422"/>
    </row>
    <row r="847">
      <c r="A847" s="422"/>
      <c r="B847" s="422"/>
      <c r="E847" s="497"/>
      <c r="F847" s="498"/>
      <c r="H847" s="422"/>
    </row>
    <row r="848">
      <c r="A848" s="422"/>
      <c r="B848" s="422"/>
      <c r="E848" s="497"/>
      <c r="F848" s="498"/>
      <c r="H848" s="422"/>
    </row>
    <row r="849">
      <c r="A849" s="422"/>
      <c r="B849" s="422"/>
      <c r="E849" s="497"/>
      <c r="F849" s="498"/>
      <c r="H849" s="422"/>
    </row>
    <row r="850">
      <c r="A850" s="422"/>
      <c r="B850" s="422"/>
      <c r="E850" s="497"/>
      <c r="F850" s="498"/>
      <c r="H850" s="422"/>
    </row>
    <row r="851">
      <c r="A851" s="422"/>
      <c r="B851" s="422"/>
      <c r="E851" s="497"/>
      <c r="F851" s="498"/>
      <c r="H851" s="422"/>
    </row>
    <row r="852">
      <c r="A852" s="422"/>
      <c r="B852" s="422"/>
      <c r="E852" s="497"/>
      <c r="F852" s="498"/>
      <c r="H852" s="422"/>
    </row>
    <row r="853">
      <c r="A853" s="422"/>
      <c r="B853" s="422"/>
      <c r="E853" s="497"/>
      <c r="F853" s="498"/>
      <c r="H853" s="422"/>
    </row>
    <row r="854">
      <c r="A854" s="422"/>
      <c r="B854" s="422"/>
      <c r="E854" s="497"/>
      <c r="F854" s="498"/>
      <c r="H854" s="422"/>
    </row>
    <row r="855">
      <c r="A855" s="422"/>
      <c r="B855" s="422"/>
      <c r="E855" s="497"/>
      <c r="F855" s="498"/>
      <c r="H855" s="422"/>
    </row>
    <row r="856">
      <c r="A856" s="422"/>
      <c r="B856" s="422"/>
      <c r="E856" s="497"/>
      <c r="F856" s="498"/>
      <c r="H856" s="422"/>
    </row>
    <row r="857">
      <c r="A857" s="422"/>
      <c r="B857" s="422"/>
      <c r="E857" s="497"/>
      <c r="F857" s="498"/>
      <c r="H857" s="422"/>
    </row>
    <row r="858">
      <c r="A858" s="422"/>
      <c r="B858" s="422"/>
      <c r="E858" s="497"/>
      <c r="F858" s="498"/>
      <c r="H858" s="422"/>
    </row>
    <row r="859">
      <c r="A859" s="422"/>
      <c r="B859" s="422"/>
      <c r="E859" s="497"/>
      <c r="F859" s="498"/>
      <c r="H859" s="422"/>
    </row>
    <row r="860">
      <c r="A860" s="422"/>
      <c r="B860" s="422"/>
      <c r="E860" s="497"/>
      <c r="F860" s="498"/>
      <c r="H860" s="422"/>
    </row>
    <row r="861">
      <c r="A861" s="422"/>
      <c r="B861" s="422"/>
      <c r="E861" s="497"/>
      <c r="F861" s="498"/>
      <c r="H861" s="422"/>
    </row>
    <row r="862">
      <c r="A862" s="422"/>
      <c r="B862" s="422"/>
      <c r="E862" s="497"/>
      <c r="F862" s="498"/>
      <c r="H862" s="422"/>
    </row>
    <row r="863">
      <c r="A863" s="422"/>
      <c r="B863" s="422"/>
      <c r="E863" s="497"/>
      <c r="F863" s="498"/>
      <c r="H863" s="422"/>
    </row>
    <row r="864">
      <c r="A864" s="422"/>
      <c r="B864" s="422"/>
      <c r="E864" s="497"/>
      <c r="F864" s="498"/>
      <c r="H864" s="422"/>
    </row>
    <row r="865">
      <c r="A865" s="422"/>
      <c r="B865" s="422"/>
      <c r="E865" s="497"/>
      <c r="F865" s="498"/>
      <c r="H865" s="422"/>
    </row>
    <row r="866">
      <c r="A866" s="422"/>
      <c r="B866" s="422"/>
      <c r="E866" s="497"/>
      <c r="F866" s="498"/>
      <c r="H866" s="422"/>
    </row>
    <row r="867">
      <c r="A867" s="422"/>
      <c r="B867" s="422"/>
      <c r="E867" s="497"/>
      <c r="F867" s="498"/>
      <c r="H867" s="422"/>
    </row>
    <row r="868">
      <c r="A868" s="422"/>
      <c r="B868" s="422"/>
      <c r="E868" s="497"/>
      <c r="F868" s="498"/>
      <c r="H868" s="422"/>
    </row>
    <row r="869">
      <c r="A869" s="422"/>
      <c r="B869" s="422"/>
      <c r="E869" s="497"/>
      <c r="F869" s="498"/>
      <c r="H869" s="422"/>
    </row>
    <row r="870">
      <c r="A870" s="422"/>
      <c r="B870" s="422"/>
      <c r="E870" s="497"/>
      <c r="F870" s="498"/>
      <c r="H870" s="422"/>
    </row>
    <row r="871">
      <c r="A871" s="422"/>
      <c r="B871" s="422"/>
      <c r="E871" s="497"/>
      <c r="F871" s="498"/>
      <c r="H871" s="422"/>
    </row>
    <row r="872">
      <c r="A872" s="422"/>
      <c r="B872" s="422"/>
      <c r="E872" s="497"/>
      <c r="F872" s="498"/>
      <c r="H872" s="422"/>
    </row>
    <row r="873">
      <c r="A873" s="422"/>
      <c r="B873" s="422"/>
      <c r="E873" s="497"/>
      <c r="F873" s="498"/>
      <c r="H873" s="422"/>
    </row>
    <row r="874">
      <c r="A874" s="422"/>
      <c r="B874" s="422"/>
      <c r="E874" s="497"/>
      <c r="F874" s="498"/>
      <c r="H874" s="422"/>
    </row>
    <row r="875">
      <c r="A875" s="422"/>
      <c r="B875" s="422"/>
      <c r="E875" s="497"/>
      <c r="F875" s="498"/>
      <c r="H875" s="422"/>
    </row>
    <row r="876">
      <c r="A876" s="422"/>
      <c r="B876" s="422"/>
      <c r="E876" s="497"/>
      <c r="F876" s="498"/>
      <c r="H876" s="422"/>
    </row>
    <row r="877">
      <c r="A877" s="422"/>
      <c r="B877" s="422"/>
      <c r="E877" s="497"/>
      <c r="F877" s="498"/>
      <c r="H877" s="422"/>
    </row>
    <row r="878">
      <c r="A878" s="422"/>
      <c r="B878" s="422"/>
      <c r="E878" s="497"/>
      <c r="F878" s="498"/>
      <c r="H878" s="422"/>
    </row>
    <row r="879">
      <c r="A879" s="422"/>
      <c r="B879" s="422"/>
      <c r="E879" s="497"/>
      <c r="F879" s="498"/>
      <c r="H879" s="422"/>
    </row>
    <row r="880">
      <c r="A880" s="422"/>
      <c r="B880" s="422"/>
      <c r="E880" s="497"/>
      <c r="F880" s="498"/>
      <c r="H880" s="422"/>
    </row>
    <row r="881">
      <c r="A881" s="422"/>
      <c r="B881" s="422"/>
      <c r="E881" s="497"/>
      <c r="F881" s="498"/>
      <c r="H881" s="422"/>
    </row>
    <row r="882">
      <c r="A882" s="422"/>
      <c r="B882" s="422"/>
      <c r="E882" s="497"/>
      <c r="F882" s="498"/>
      <c r="H882" s="422"/>
    </row>
    <row r="883">
      <c r="A883" s="422"/>
      <c r="B883" s="422"/>
      <c r="E883" s="497"/>
      <c r="F883" s="498"/>
      <c r="H883" s="422"/>
    </row>
    <row r="884">
      <c r="A884" s="422"/>
      <c r="B884" s="422"/>
      <c r="E884" s="497"/>
      <c r="F884" s="498"/>
      <c r="H884" s="422"/>
    </row>
    <row r="885">
      <c r="A885" s="422"/>
      <c r="B885" s="422"/>
      <c r="E885" s="497"/>
      <c r="F885" s="498"/>
      <c r="H885" s="422"/>
    </row>
    <row r="886">
      <c r="A886" s="422"/>
      <c r="B886" s="422"/>
      <c r="E886" s="497"/>
      <c r="F886" s="498"/>
      <c r="H886" s="422"/>
    </row>
    <row r="887">
      <c r="A887" s="422"/>
      <c r="B887" s="422"/>
      <c r="E887" s="497"/>
      <c r="F887" s="498"/>
      <c r="H887" s="422"/>
    </row>
    <row r="888">
      <c r="A888" s="422"/>
      <c r="B888" s="422"/>
      <c r="E888" s="497"/>
      <c r="F888" s="498"/>
      <c r="H888" s="422"/>
    </row>
    <row r="889">
      <c r="A889" s="422"/>
      <c r="B889" s="422"/>
      <c r="E889" s="497"/>
      <c r="F889" s="498"/>
      <c r="H889" s="422"/>
    </row>
    <row r="890">
      <c r="A890" s="422"/>
      <c r="B890" s="422"/>
      <c r="E890" s="497"/>
      <c r="F890" s="498"/>
      <c r="H890" s="422"/>
    </row>
    <row r="891">
      <c r="A891" s="422"/>
      <c r="B891" s="422"/>
      <c r="E891" s="497"/>
      <c r="F891" s="498"/>
      <c r="H891" s="422"/>
    </row>
    <row r="892">
      <c r="A892" s="422"/>
      <c r="B892" s="422"/>
      <c r="E892" s="497"/>
      <c r="F892" s="498"/>
      <c r="H892" s="422"/>
    </row>
    <row r="893">
      <c r="A893" s="422"/>
      <c r="B893" s="422"/>
      <c r="E893" s="497"/>
      <c r="F893" s="498"/>
      <c r="H893" s="422"/>
    </row>
    <row r="894">
      <c r="A894" s="422"/>
      <c r="B894" s="422"/>
      <c r="E894" s="497"/>
      <c r="F894" s="498"/>
      <c r="H894" s="422"/>
    </row>
    <row r="895">
      <c r="A895" s="422"/>
      <c r="B895" s="422"/>
      <c r="E895" s="497"/>
      <c r="F895" s="498"/>
      <c r="H895" s="422"/>
    </row>
    <row r="896">
      <c r="A896" s="422"/>
      <c r="B896" s="422"/>
      <c r="E896" s="497"/>
      <c r="F896" s="498"/>
      <c r="H896" s="422"/>
    </row>
    <row r="897">
      <c r="A897" s="422"/>
      <c r="B897" s="422"/>
      <c r="E897" s="497"/>
      <c r="F897" s="498"/>
      <c r="H897" s="422"/>
    </row>
    <row r="898">
      <c r="A898" s="422"/>
      <c r="B898" s="422"/>
      <c r="E898" s="497"/>
      <c r="F898" s="498"/>
      <c r="H898" s="422"/>
    </row>
    <row r="899">
      <c r="A899" s="422"/>
      <c r="B899" s="422"/>
      <c r="E899" s="497"/>
      <c r="F899" s="498"/>
      <c r="H899" s="422"/>
    </row>
    <row r="900">
      <c r="A900" s="422"/>
      <c r="B900" s="422"/>
      <c r="E900" s="497"/>
      <c r="F900" s="498"/>
      <c r="H900" s="422"/>
    </row>
    <row r="901">
      <c r="A901" s="422"/>
      <c r="B901" s="422"/>
      <c r="E901" s="497"/>
      <c r="F901" s="498"/>
      <c r="H901" s="422"/>
    </row>
    <row r="902">
      <c r="A902" s="422"/>
      <c r="B902" s="422"/>
      <c r="E902" s="497"/>
      <c r="F902" s="498"/>
      <c r="H902" s="422"/>
    </row>
    <row r="903">
      <c r="A903" s="422"/>
      <c r="B903" s="422"/>
      <c r="E903" s="497"/>
      <c r="F903" s="498"/>
      <c r="H903" s="422"/>
    </row>
    <row r="904">
      <c r="A904" s="422"/>
      <c r="B904" s="422"/>
      <c r="E904" s="497"/>
      <c r="F904" s="498"/>
      <c r="H904" s="422"/>
    </row>
    <row r="905">
      <c r="A905" s="422"/>
      <c r="B905" s="422"/>
      <c r="E905" s="497"/>
      <c r="F905" s="498"/>
      <c r="H905" s="422"/>
    </row>
    <row r="906">
      <c r="A906" s="422"/>
      <c r="B906" s="422"/>
      <c r="E906" s="497"/>
      <c r="F906" s="498"/>
      <c r="H906" s="422"/>
    </row>
    <row r="907">
      <c r="A907" s="422"/>
      <c r="B907" s="422"/>
      <c r="E907" s="497"/>
      <c r="F907" s="498"/>
      <c r="H907" s="422"/>
    </row>
    <row r="908">
      <c r="A908" s="422"/>
      <c r="B908" s="422"/>
      <c r="E908" s="497"/>
      <c r="F908" s="498"/>
      <c r="H908" s="422"/>
    </row>
    <row r="909">
      <c r="A909" s="422"/>
      <c r="B909" s="422"/>
      <c r="E909" s="497"/>
      <c r="F909" s="498"/>
      <c r="H909" s="422"/>
    </row>
    <row r="910">
      <c r="A910" s="422"/>
      <c r="B910" s="422"/>
      <c r="E910" s="497"/>
      <c r="F910" s="498"/>
      <c r="H910" s="422"/>
    </row>
    <row r="911">
      <c r="A911" s="422"/>
      <c r="B911" s="422"/>
      <c r="E911" s="497"/>
      <c r="F911" s="498"/>
      <c r="H911" s="422"/>
    </row>
    <row r="912">
      <c r="A912" s="422"/>
      <c r="B912" s="422"/>
      <c r="E912" s="497"/>
      <c r="F912" s="498"/>
      <c r="H912" s="422"/>
    </row>
    <row r="913">
      <c r="A913" s="422"/>
      <c r="B913" s="422"/>
      <c r="E913" s="497"/>
      <c r="F913" s="498"/>
      <c r="H913" s="422"/>
    </row>
    <row r="914">
      <c r="A914" s="422"/>
      <c r="B914" s="422"/>
      <c r="E914" s="497"/>
      <c r="F914" s="498"/>
      <c r="H914" s="422"/>
    </row>
    <row r="915">
      <c r="A915" s="422"/>
      <c r="B915" s="422"/>
      <c r="E915" s="497"/>
      <c r="F915" s="498"/>
      <c r="H915" s="422"/>
    </row>
    <row r="916">
      <c r="A916" s="422"/>
      <c r="B916" s="422"/>
      <c r="E916" s="497"/>
      <c r="F916" s="498"/>
      <c r="H916" s="422"/>
    </row>
    <row r="917">
      <c r="A917" s="422"/>
      <c r="B917" s="422"/>
      <c r="E917" s="497"/>
      <c r="F917" s="498"/>
      <c r="H917" s="422"/>
    </row>
    <row r="918">
      <c r="A918" s="422"/>
      <c r="B918" s="422"/>
      <c r="E918" s="497"/>
      <c r="F918" s="498"/>
      <c r="H918" s="422"/>
    </row>
    <row r="919">
      <c r="A919" s="422"/>
      <c r="B919" s="422"/>
      <c r="E919" s="497"/>
      <c r="F919" s="498"/>
      <c r="H919" s="422"/>
    </row>
    <row r="920">
      <c r="A920" s="422"/>
      <c r="B920" s="422"/>
      <c r="E920" s="497"/>
      <c r="F920" s="498"/>
      <c r="H920" s="422"/>
    </row>
    <row r="921">
      <c r="A921" s="422"/>
      <c r="B921" s="422"/>
      <c r="E921" s="497"/>
      <c r="F921" s="498"/>
      <c r="H921" s="422"/>
    </row>
    <row r="922">
      <c r="A922" s="422"/>
      <c r="B922" s="422"/>
      <c r="E922" s="497"/>
      <c r="F922" s="498"/>
      <c r="H922" s="422"/>
    </row>
    <row r="923">
      <c r="A923" s="422"/>
      <c r="B923" s="422"/>
      <c r="E923" s="497"/>
      <c r="F923" s="498"/>
      <c r="H923" s="422"/>
    </row>
    <row r="924">
      <c r="A924" s="422"/>
      <c r="B924" s="422"/>
      <c r="E924" s="497"/>
      <c r="F924" s="498"/>
      <c r="H924" s="422"/>
    </row>
    <row r="925">
      <c r="A925" s="422"/>
      <c r="B925" s="422"/>
      <c r="E925" s="497"/>
      <c r="F925" s="498"/>
      <c r="H925" s="422"/>
    </row>
    <row r="926">
      <c r="A926" s="422"/>
      <c r="B926" s="422"/>
      <c r="E926" s="497"/>
      <c r="F926" s="498"/>
      <c r="H926" s="422"/>
    </row>
    <row r="927">
      <c r="A927" s="422"/>
      <c r="B927" s="422"/>
      <c r="E927" s="497"/>
      <c r="F927" s="498"/>
      <c r="H927" s="422"/>
    </row>
    <row r="928">
      <c r="A928" s="422"/>
      <c r="B928" s="422"/>
      <c r="E928" s="497"/>
      <c r="F928" s="498"/>
      <c r="H928" s="422"/>
    </row>
    <row r="929">
      <c r="A929" s="422"/>
      <c r="B929" s="422"/>
      <c r="E929" s="497"/>
      <c r="F929" s="498"/>
      <c r="H929" s="422"/>
    </row>
    <row r="930">
      <c r="A930" s="422"/>
      <c r="B930" s="422"/>
      <c r="E930" s="497"/>
      <c r="F930" s="498"/>
      <c r="H930" s="422"/>
    </row>
    <row r="931">
      <c r="A931" s="422"/>
      <c r="B931" s="422"/>
      <c r="E931" s="497"/>
      <c r="F931" s="498"/>
      <c r="H931" s="422"/>
    </row>
    <row r="932">
      <c r="A932" s="422"/>
      <c r="B932" s="422"/>
      <c r="E932" s="497"/>
      <c r="F932" s="498"/>
      <c r="H932" s="422"/>
    </row>
    <row r="933">
      <c r="A933" s="422"/>
      <c r="B933" s="422"/>
      <c r="E933" s="497"/>
      <c r="F933" s="498"/>
      <c r="H933" s="422"/>
    </row>
    <row r="934">
      <c r="A934" s="422"/>
      <c r="B934" s="422"/>
      <c r="E934" s="497"/>
      <c r="F934" s="498"/>
      <c r="H934" s="422"/>
    </row>
    <row r="935">
      <c r="A935" s="422"/>
      <c r="B935" s="422"/>
      <c r="E935" s="497"/>
      <c r="F935" s="498"/>
      <c r="H935" s="422"/>
    </row>
    <row r="936">
      <c r="A936" s="422"/>
      <c r="B936" s="422"/>
      <c r="E936" s="497"/>
      <c r="F936" s="498"/>
      <c r="H936" s="422"/>
    </row>
    <row r="937">
      <c r="A937" s="422"/>
      <c r="B937" s="422"/>
      <c r="E937" s="497"/>
      <c r="F937" s="498"/>
      <c r="H937" s="422"/>
    </row>
    <row r="938">
      <c r="A938" s="422"/>
      <c r="B938" s="422"/>
      <c r="E938" s="497"/>
      <c r="F938" s="498"/>
      <c r="H938" s="422"/>
    </row>
    <row r="939">
      <c r="A939" s="422"/>
      <c r="B939" s="422"/>
      <c r="E939" s="497"/>
      <c r="F939" s="498"/>
      <c r="H939" s="422"/>
    </row>
    <row r="940">
      <c r="A940" s="422"/>
      <c r="B940" s="422"/>
      <c r="E940" s="497"/>
      <c r="F940" s="498"/>
      <c r="H940" s="422"/>
    </row>
    <row r="941">
      <c r="A941" s="422"/>
      <c r="B941" s="422"/>
      <c r="E941" s="497"/>
      <c r="F941" s="498"/>
      <c r="H941" s="422"/>
    </row>
    <row r="942">
      <c r="A942" s="422"/>
      <c r="B942" s="422"/>
      <c r="E942" s="497"/>
      <c r="F942" s="498"/>
      <c r="H942" s="422"/>
    </row>
    <row r="943">
      <c r="A943" s="422"/>
      <c r="B943" s="422"/>
      <c r="E943" s="497"/>
      <c r="F943" s="498"/>
      <c r="H943" s="422"/>
    </row>
    <row r="944">
      <c r="A944" s="422"/>
      <c r="B944" s="422"/>
      <c r="E944" s="497"/>
      <c r="F944" s="498"/>
      <c r="H944" s="422"/>
    </row>
    <row r="945">
      <c r="A945" s="422"/>
      <c r="B945" s="422"/>
      <c r="E945" s="497"/>
      <c r="F945" s="498"/>
      <c r="H945" s="422"/>
    </row>
    <row r="946">
      <c r="A946" s="422"/>
      <c r="B946" s="422"/>
      <c r="E946" s="497"/>
      <c r="F946" s="498"/>
      <c r="H946" s="422"/>
    </row>
    <row r="947">
      <c r="A947" s="422"/>
      <c r="B947" s="422"/>
      <c r="E947" s="497"/>
      <c r="F947" s="498"/>
      <c r="H947" s="422"/>
    </row>
    <row r="948">
      <c r="A948" s="422"/>
      <c r="B948" s="422"/>
      <c r="E948" s="497"/>
      <c r="F948" s="498"/>
      <c r="H948" s="422"/>
    </row>
    <row r="949">
      <c r="A949" s="422"/>
      <c r="B949" s="422"/>
      <c r="E949" s="497"/>
      <c r="F949" s="498"/>
      <c r="H949" s="422"/>
    </row>
    <row r="950">
      <c r="A950" s="422"/>
      <c r="B950" s="422"/>
      <c r="E950" s="497"/>
      <c r="F950" s="498"/>
      <c r="H950" s="422"/>
    </row>
    <row r="951">
      <c r="A951" s="422"/>
      <c r="B951" s="422"/>
      <c r="E951" s="497"/>
      <c r="F951" s="498"/>
      <c r="H951" s="422"/>
    </row>
    <row r="952">
      <c r="A952" s="422"/>
      <c r="B952" s="422"/>
      <c r="E952" s="497"/>
      <c r="F952" s="498"/>
      <c r="H952" s="422"/>
    </row>
    <row r="953">
      <c r="A953" s="422"/>
      <c r="B953" s="422"/>
      <c r="E953" s="497"/>
      <c r="F953" s="498"/>
      <c r="H953" s="422"/>
    </row>
    <row r="954">
      <c r="A954" s="422"/>
      <c r="B954" s="422"/>
      <c r="E954" s="497"/>
      <c r="F954" s="498"/>
      <c r="H954" s="422"/>
    </row>
    <row r="955">
      <c r="A955" s="422"/>
      <c r="B955" s="422"/>
      <c r="E955" s="497"/>
      <c r="F955" s="498"/>
      <c r="H955" s="422"/>
    </row>
    <row r="956">
      <c r="A956" s="422"/>
      <c r="B956" s="422"/>
      <c r="E956" s="497"/>
      <c r="F956" s="498"/>
      <c r="H956" s="422"/>
    </row>
    <row r="957">
      <c r="A957" s="422"/>
      <c r="B957" s="422"/>
      <c r="E957" s="497"/>
      <c r="F957" s="498"/>
      <c r="H957" s="422"/>
    </row>
    <row r="958">
      <c r="A958" s="422"/>
      <c r="B958" s="422"/>
      <c r="E958" s="497"/>
      <c r="F958" s="498"/>
      <c r="H958" s="422"/>
    </row>
    <row r="959">
      <c r="A959" s="422"/>
      <c r="B959" s="422"/>
      <c r="E959" s="497"/>
      <c r="F959" s="498"/>
      <c r="H959" s="422"/>
    </row>
    <row r="960">
      <c r="A960" s="422"/>
      <c r="B960" s="422"/>
      <c r="E960" s="497"/>
      <c r="F960" s="498"/>
      <c r="H960" s="422"/>
    </row>
    <row r="961">
      <c r="A961" s="422"/>
      <c r="B961" s="422"/>
      <c r="E961" s="497"/>
      <c r="F961" s="498"/>
      <c r="H961" s="422"/>
    </row>
    <row r="962">
      <c r="A962" s="422"/>
      <c r="B962" s="422"/>
      <c r="E962" s="497"/>
      <c r="F962" s="498"/>
      <c r="H962" s="422"/>
    </row>
    <row r="963">
      <c r="A963" s="422"/>
      <c r="B963" s="422"/>
      <c r="E963" s="497"/>
      <c r="F963" s="498"/>
      <c r="H963" s="422"/>
    </row>
    <row r="964">
      <c r="A964" s="422"/>
      <c r="B964" s="422"/>
      <c r="E964" s="497"/>
      <c r="F964" s="498"/>
      <c r="H964" s="422"/>
    </row>
    <row r="965">
      <c r="A965" s="422"/>
      <c r="B965" s="422"/>
      <c r="E965" s="497"/>
      <c r="F965" s="498"/>
      <c r="H965" s="422"/>
    </row>
    <row r="966">
      <c r="A966" s="422"/>
      <c r="B966" s="422"/>
      <c r="E966" s="497"/>
      <c r="F966" s="498"/>
      <c r="H966" s="422"/>
    </row>
    <row r="967">
      <c r="A967" s="422"/>
      <c r="B967" s="422"/>
      <c r="E967" s="497"/>
      <c r="F967" s="498"/>
      <c r="H967" s="422"/>
    </row>
    <row r="968">
      <c r="A968" s="422"/>
      <c r="B968" s="422"/>
      <c r="E968" s="497"/>
      <c r="F968" s="498"/>
      <c r="H968" s="422"/>
    </row>
    <row r="969">
      <c r="A969" s="422"/>
      <c r="B969" s="422"/>
      <c r="E969" s="497"/>
      <c r="F969" s="498"/>
      <c r="H969" s="422"/>
    </row>
    <row r="970">
      <c r="A970" s="422"/>
      <c r="B970" s="422"/>
      <c r="E970" s="497"/>
      <c r="F970" s="498"/>
      <c r="H970" s="422"/>
    </row>
    <row r="971">
      <c r="A971" s="422"/>
      <c r="B971" s="422"/>
      <c r="E971" s="497"/>
      <c r="F971" s="498"/>
      <c r="H971" s="422"/>
    </row>
    <row r="972">
      <c r="A972" s="422"/>
      <c r="B972" s="422"/>
      <c r="E972" s="497"/>
      <c r="F972" s="498"/>
      <c r="H972" s="422"/>
    </row>
    <row r="973">
      <c r="A973" s="422"/>
      <c r="B973" s="422"/>
      <c r="E973" s="497"/>
      <c r="F973" s="498"/>
      <c r="H973" s="422"/>
    </row>
    <row r="974">
      <c r="A974" s="422"/>
      <c r="B974" s="422"/>
      <c r="E974" s="497"/>
      <c r="F974" s="498"/>
      <c r="H974" s="422"/>
    </row>
    <row r="975">
      <c r="A975" s="422"/>
      <c r="B975" s="422"/>
      <c r="E975" s="497"/>
      <c r="F975" s="498"/>
      <c r="H975" s="422"/>
    </row>
    <row r="976">
      <c r="A976" s="422"/>
      <c r="B976" s="422"/>
      <c r="E976" s="497"/>
      <c r="F976" s="498"/>
      <c r="H976" s="422"/>
    </row>
    <row r="977">
      <c r="A977" s="422"/>
      <c r="B977" s="422"/>
      <c r="E977" s="497"/>
      <c r="F977" s="498"/>
      <c r="H977" s="422"/>
    </row>
    <row r="978">
      <c r="A978" s="422"/>
      <c r="B978" s="422"/>
      <c r="E978" s="497"/>
      <c r="F978" s="498"/>
      <c r="H978" s="422"/>
    </row>
    <row r="979">
      <c r="A979" s="422"/>
      <c r="B979" s="422"/>
      <c r="E979" s="497"/>
      <c r="F979" s="498"/>
      <c r="H979" s="422"/>
    </row>
    <row r="980">
      <c r="A980" s="422"/>
      <c r="B980" s="422"/>
      <c r="E980" s="497"/>
      <c r="F980" s="498"/>
      <c r="H980" s="422"/>
    </row>
    <row r="981">
      <c r="A981" s="422"/>
      <c r="B981" s="422"/>
      <c r="E981" s="497"/>
      <c r="F981" s="498"/>
      <c r="H981" s="422"/>
    </row>
    <row r="982">
      <c r="A982" s="422"/>
      <c r="B982" s="422"/>
      <c r="E982" s="497"/>
      <c r="F982" s="498"/>
      <c r="H982" s="422"/>
    </row>
    <row r="983">
      <c r="A983" s="422"/>
      <c r="B983" s="422"/>
      <c r="E983" s="497"/>
      <c r="F983" s="498"/>
      <c r="H983" s="422"/>
    </row>
    <row r="984">
      <c r="A984" s="422"/>
      <c r="B984" s="422"/>
      <c r="E984" s="497"/>
      <c r="F984" s="498"/>
      <c r="H984" s="422"/>
    </row>
    <row r="985">
      <c r="A985" s="422"/>
      <c r="B985" s="422"/>
      <c r="E985" s="497"/>
      <c r="F985" s="498"/>
      <c r="H985" s="422"/>
    </row>
    <row r="986">
      <c r="A986" s="422"/>
      <c r="B986" s="422"/>
      <c r="E986" s="497"/>
      <c r="F986" s="498"/>
      <c r="H986" s="422"/>
    </row>
    <row r="987">
      <c r="A987" s="422"/>
      <c r="B987" s="422"/>
      <c r="E987" s="497"/>
      <c r="F987" s="498"/>
      <c r="H987" s="422"/>
    </row>
    <row r="988">
      <c r="A988" s="422"/>
      <c r="B988" s="422"/>
      <c r="E988" s="497"/>
      <c r="F988" s="498"/>
      <c r="H988" s="422"/>
    </row>
    <row r="989">
      <c r="A989" s="422"/>
      <c r="B989" s="422"/>
      <c r="E989" s="497"/>
      <c r="F989" s="498"/>
      <c r="H989" s="422"/>
    </row>
    <row r="990">
      <c r="A990" s="422"/>
      <c r="B990" s="422"/>
      <c r="E990" s="497"/>
      <c r="F990" s="498"/>
      <c r="H990" s="422"/>
    </row>
    <row r="991">
      <c r="A991" s="422"/>
      <c r="B991" s="422"/>
      <c r="E991" s="497"/>
      <c r="F991" s="498"/>
      <c r="H991" s="422"/>
    </row>
    <row r="992">
      <c r="A992" s="422"/>
      <c r="B992" s="422"/>
      <c r="E992" s="497"/>
      <c r="F992" s="498"/>
      <c r="H992" s="422"/>
    </row>
    <row r="993">
      <c r="A993" s="422"/>
      <c r="B993" s="422"/>
      <c r="E993" s="497"/>
      <c r="F993" s="498"/>
      <c r="H993" s="422"/>
    </row>
    <row r="994">
      <c r="A994" s="422"/>
      <c r="B994" s="422"/>
      <c r="E994" s="497"/>
      <c r="F994" s="498"/>
      <c r="H994" s="422"/>
    </row>
    <row r="995">
      <c r="A995" s="422"/>
      <c r="B995" s="422"/>
      <c r="E995" s="497"/>
      <c r="F995" s="498"/>
      <c r="H995" s="422"/>
    </row>
    <row r="996">
      <c r="A996" s="422"/>
      <c r="B996" s="422"/>
      <c r="E996" s="497"/>
      <c r="F996" s="498"/>
      <c r="H996" s="422"/>
    </row>
    <row r="997">
      <c r="A997" s="422"/>
      <c r="B997" s="422"/>
      <c r="E997" s="497"/>
      <c r="F997" s="498"/>
      <c r="H997" s="422"/>
    </row>
    <row r="998">
      <c r="A998" s="422"/>
      <c r="B998" s="422"/>
      <c r="E998" s="497"/>
      <c r="F998" s="498"/>
      <c r="H998" s="422"/>
    </row>
    <row r="999">
      <c r="A999" s="422"/>
      <c r="B999" s="422"/>
      <c r="E999" s="497"/>
      <c r="F999" s="498"/>
      <c r="H999" s="422"/>
    </row>
    <row r="1000">
      <c r="A1000" s="422"/>
      <c r="B1000" s="422"/>
      <c r="E1000" s="497"/>
      <c r="F1000" s="498"/>
      <c r="H1000" s="422"/>
    </row>
    <row r="1001">
      <c r="A1001" s="422"/>
      <c r="B1001" s="422"/>
      <c r="E1001" s="497"/>
      <c r="F1001" s="498"/>
      <c r="H1001" s="422"/>
    </row>
    <row r="1002">
      <c r="A1002" s="422"/>
      <c r="B1002" s="422"/>
      <c r="E1002" s="497"/>
      <c r="F1002" s="498"/>
      <c r="H1002" s="422"/>
    </row>
    <row r="1003">
      <c r="A1003" s="422"/>
      <c r="B1003" s="422"/>
      <c r="E1003" s="497"/>
      <c r="F1003" s="498"/>
      <c r="H1003" s="422"/>
    </row>
  </sheetData>
  <mergeCells count="2">
    <mergeCell ref="W4:AB4"/>
    <mergeCell ref="AC4:AH4"/>
  </mergeCells>
  <dataValidations>
    <dataValidation type="list" allowBlank="1" showErrorMessage="1" sqref="C5:C63">
      <formula1>'Турнирная таблица по Алфавиту'!$C$7:$C$70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75"/>
    <col customWidth="1" min="3" max="3" width="21.25"/>
    <col customWidth="1" min="4" max="4" width="15.88"/>
    <col customWidth="1" min="10" max="10" width="15.13"/>
    <col customWidth="1" min="16" max="16" width="13.63"/>
    <col customWidth="1" min="22" max="22" width="13.75"/>
    <col customWidth="1" min="46" max="46" width="14.0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P1" s="448"/>
      <c r="AQ1" s="448"/>
      <c r="AR1" s="448"/>
      <c r="AS1" s="448"/>
      <c r="AT1" s="448"/>
      <c r="AU1" s="448"/>
      <c r="AV1" s="448"/>
      <c r="AW1" s="448"/>
      <c r="AX1" s="448"/>
      <c r="AY1" s="448"/>
      <c r="AZ1" s="448"/>
      <c r="BA1" s="448"/>
      <c r="BB1" s="448"/>
      <c r="BC1" s="448"/>
      <c r="BD1" s="448"/>
      <c r="BE1" s="448"/>
      <c r="BF1" s="448"/>
      <c r="BG1" s="448"/>
      <c r="BH1" s="448"/>
      <c r="BI1" s="448"/>
      <c r="BJ1" s="448"/>
      <c r="BK1" s="448"/>
      <c r="BL1" s="448"/>
      <c r="BM1" s="448"/>
      <c r="BN1" s="448"/>
    </row>
    <row r="2">
      <c r="A2" s="450" t="s">
        <v>297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448"/>
      <c r="AL2" s="448"/>
      <c r="AM2" s="448"/>
      <c r="AN2" s="448"/>
      <c r="AO2" s="448"/>
      <c r="AP2" s="448"/>
      <c r="AQ2" s="448"/>
      <c r="AR2" s="448"/>
      <c r="AS2" s="448"/>
      <c r="AT2" s="448"/>
      <c r="AU2" s="448"/>
      <c r="AV2" s="448"/>
      <c r="AW2" s="448"/>
      <c r="AX2" s="448"/>
      <c r="AY2" s="448"/>
      <c r="AZ2" s="448"/>
      <c r="BA2" s="448"/>
      <c r="BB2" s="448"/>
      <c r="BC2" s="448"/>
      <c r="BD2" s="448"/>
      <c r="BE2" s="448"/>
      <c r="BF2" s="448"/>
      <c r="BG2" s="448"/>
      <c r="BH2" s="448"/>
      <c r="BI2" s="448"/>
      <c r="BJ2" s="448"/>
      <c r="BK2" s="448"/>
      <c r="BL2" s="448"/>
      <c r="BM2" s="448"/>
      <c r="BN2" s="448"/>
    </row>
    <row r="3">
      <c r="A3" s="499"/>
      <c r="B3" s="499"/>
      <c r="C3" s="499"/>
      <c r="D3" s="445"/>
      <c r="E3" s="445"/>
      <c r="F3" s="445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  <c r="AY3" s="448"/>
      <c r="AZ3" s="448"/>
      <c r="BA3" s="448"/>
      <c r="BB3" s="448"/>
      <c r="BC3" s="448"/>
      <c r="BD3" s="448"/>
      <c r="BE3" s="448"/>
      <c r="BF3" s="448"/>
      <c r="BG3" s="448"/>
      <c r="BH3" s="448"/>
      <c r="BI3" s="448"/>
      <c r="BJ3" s="448"/>
      <c r="BK3" s="448"/>
      <c r="BL3" s="448"/>
      <c r="BM3" s="448"/>
      <c r="BN3" s="448"/>
    </row>
    <row r="4">
      <c r="A4" s="501" t="s">
        <v>1</v>
      </c>
      <c r="B4" s="502" t="s">
        <v>291</v>
      </c>
      <c r="C4" s="503" t="s">
        <v>298</v>
      </c>
      <c r="D4" s="504" t="s">
        <v>12</v>
      </c>
      <c r="E4" s="505" t="s">
        <v>7</v>
      </c>
      <c r="F4" s="506" t="s">
        <v>299</v>
      </c>
      <c r="G4" s="507" t="s">
        <v>250</v>
      </c>
      <c r="H4" s="189"/>
      <c r="I4" s="189"/>
      <c r="J4" s="189"/>
      <c r="K4" s="189"/>
      <c r="L4" s="508"/>
      <c r="M4" s="507" t="s">
        <v>300</v>
      </c>
      <c r="N4" s="189"/>
      <c r="O4" s="189"/>
      <c r="P4" s="189"/>
      <c r="Q4" s="189"/>
      <c r="R4" s="508"/>
      <c r="S4" s="507" t="s">
        <v>301</v>
      </c>
      <c r="T4" s="189"/>
      <c r="U4" s="189"/>
      <c r="V4" s="189"/>
      <c r="W4" s="189"/>
      <c r="X4" s="508"/>
      <c r="Y4" s="507" t="s">
        <v>302</v>
      </c>
      <c r="Z4" s="189"/>
      <c r="AA4" s="189"/>
      <c r="AB4" s="189"/>
      <c r="AC4" s="189"/>
      <c r="AD4" s="508"/>
      <c r="AE4" s="507" t="s">
        <v>303</v>
      </c>
      <c r="AF4" s="189"/>
      <c r="AG4" s="189"/>
      <c r="AH4" s="189"/>
      <c r="AI4" s="189"/>
      <c r="AJ4" s="508"/>
      <c r="AK4" s="380" t="s">
        <v>304</v>
      </c>
      <c r="AL4" s="187"/>
      <c r="AM4" s="187"/>
      <c r="AN4" s="187"/>
      <c r="AO4" s="187"/>
      <c r="AP4" s="188"/>
      <c r="AQ4" s="380" t="s">
        <v>305</v>
      </c>
      <c r="AR4" s="187"/>
      <c r="AS4" s="187"/>
      <c r="AT4" s="187"/>
      <c r="AU4" s="187"/>
      <c r="AV4" s="188"/>
      <c r="AW4" s="380" t="s">
        <v>306</v>
      </c>
      <c r="AX4" s="187"/>
      <c r="AY4" s="187"/>
      <c r="AZ4" s="187"/>
      <c r="BA4" s="187"/>
      <c r="BB4" s="188"/>
      <c r="BC4" s="380" t="s">
        <v>307</v>
      </c>
      <c r="BD4" s="187"/>
      <c r="BE4" s="187"/>
      <c r="BF4" s="187"/>
      <c r="BG4" s="187"/>
      <c r="BH4" s="188"/>
      <c r="BI4" s="380" t="s">
        <v>308</v>
      </c>
      <c r="BJ4" s="187"/>
      <c r="BK4" s="187"/>
      <c r="BL4" s="187"/>
      <c r="BM4" s="187"/>
      <c r="BN4" s="188"/>
    </row>
    <row r="5">
      <c r="A5" s="386"/>
      <c r="B5" s="508"/>
      <c r="C5" s="189"/>
      <c r="D5" s="509"/>
      <c r="E5" s="509"/>
      <c r="F5" s="510"/>
      <c r="G5" s="382" t="s">
        <v>255</v>
      </c>
      <c r="H5" s="382" t="s">
        <v>7</v>
      </c>
      <c r="I5" s="382" t="s">
        <v>8</v>
      </c>
      <c r="J5" s="382" t="s">
        <v>256</v>
      </c>
      <c r="K5" s="382" t="s">
        <v>9</v>
      </c>
      <c r="L5" s="511" t="s">
        <v>10</v>
      </c>
      <c r="M5" s="382" t="s">
        <v>255</v>
      </c>
      <c r="N5" s="382" t="s">
        <v>7</v>
      </c>
      <c r="O5" s="382" t="s">
        <v>8</v>
      </c>
      <c r="P5" s="382" t="s">
        <v>256</v>
      </c>
      <c r="Q5" s="382" t="s">
        <v>9</v>
      </c>
      <c r="R5" s="511" t="s">
        <v>10</v>
      </c>
      <c r="S5" s="382" t="s">
        <v>255</v>
      </c>
      <c r="T5" s="382" t="s">
        <v>7</v>
      </c>
      <c r="U5" s="382" t="s">
        <v>8</v>
      </c>
      <c r="V5" s="382" t="s">
        <v>256</v>
      </c>
      <c r="W5" s="382" t="s">
        <v>9</v>
      </c>
      <c r="X5" s="511" t="s">
        <v>10</v>
      </c>
      <c r="Y5" s="382" t="s">
        <v>255</v>
      </c>
      <c r="Z5" s="382" t="s">
        <v>7</v>
      </c>
      <c r="AA5" s="382" t="s">
        <v>8</v>
      </c>
      <c r="AB5" s="382" t="s">
        <v>309</v>
      </c>
      <c r="AC5" s="382" t="s">
        <v>9</v>
      </c>
      <c r="AD5" s="511" t="s">
        <v>10</v>
      </c>
      <c r="AE5" s="382" t="s">
        <v>255</v>
      </c>
      <c r="AF5" s="382" t="s">
        <v>7</v>
      </c>
      <c r="AG5" s="382" t="s">
        <v>8</v>
      </c>
      <c r="AH5" s="382" t="s">
        <v>256</v>
      </c>
      <c r="AI5" s="382" t="s">
        <v>9</v>
      </c>
      <c r="AJ5" s="511" t="s">
        <v>10</v>
      </c>
      <c r="AK5" s="382" t="s">
        <v>255</v>
      </c>
      <c r="AL5" s="382" t="s">
        <v>7</v>
      </c>
      <c r="AM5" s="382" t="s">
        <v>8</v>
      </c>
      <c r="AN5" s="382" t="s">
        <v>256</v>
      </c>
      <c r="AO5" s="382" t="s">
        <v>9</v>
      </c>
      <c r="AP5" s="511" t="s">
        <v>10</v>
      </c>
      <c r="AQ5" s="382" t="s">
        <v>255</v>
      </c>
      <c r="AR5" s="382" t="s">
        <v>7</v>
      </c>
      <c r="AS5" s="382" t="s">
        <v>8</v>
      </c>
      <c r="AT5" s="382" t="s">
        <v>256</v>
      </c>
      <c r="AU5" s="382" t="s">
        <v>9</v>
      </c>
      <c r="AV5" s="511" t="s">
        <v>10</v>
      </c>
      <c r="AW5" s="382" t="s">
        <v>255</v>
      </c>
      <c r="AX5" s="382" t="s">
        <v>7</v>
      </c>
      <c r="AY5" s="382" t="s">
        <v>8</v>
      </c>
      <c r="AZ5" s="382" t="s">
        <v>256</v>
      </c>
      <c r="BA5" s="382" t="s">
        <v>9</v>
      </c>
      <c r="BB5" s="511" t="s">
        <v>10</v>
      </c>
      <c r="BC5" s="382" t="s">
        <v>255</v>
      </c>
      <c r="BD5" s="382" t="s">
        <v>7</v>
      </c>
      <c r="BE5" s="382" t="s">
        <v>8</v>
      </c>
      <c r="BF5" s="382" t="s">
        <v>256</v>
      </c>
      <c r="BG5" s="382" t="s">
        <v>9</v>
      </c>
      <c r="BH5" s="511" t="s">
        <v>10</v>
      </c>
      <c r="BI5" s="382" t="s">
        <v>255</v>
      </c>
      <c r="BJ5" s="382" t="s">
        <v>7</v>
      </c>
      <c r="BK5" s="382" t="s">
        <v>8</v>
      </c>
      <c r="BL5" s="382" t="s">
        <v>256</v>
      </c>
      <c r="BM5" s="382" t="s">
        <v>9</v>
      </c>
      <c r="BN5" s="511" t="s">
        <v>10</v>
      </c>
    </row>
    <row r="6">
      <c r="A6" s="512">
        <v>1.0</v>
      </c>
      <c r="B6" s="513" t="s">
        <v>154</v>
      </c>
      <c r="C6" s="514">
        <f t="shared" ref="C6:C15" si="1">SUM(H6:BN6)</f>
        <v>48</v>
      </c>
      <c r="D6" s="515">
        <f t="shared" ref="D6:D15" si="2">E6/2.5</f>
        <v>6</v>
      </c>
      <c r="E6" s="516">
        <f t="shared" ref="E6:E15" si="3">SUM(H6+N6+T6+Z6+AF6+AL6+AR6+AX6+BD6+BJ6)</f>
        <v>15</v>
      </c>
      <c r="F6" s="517">
        <f t="shared" ref="F6:F15" si="4">C6-E6</f>
        <v>33</v>
      </c>
      <c r="G6" s="518" t="s">
        <v>269</v>
      </c>
      <c r="H6" s="519">
        <v>2.5</v>
      </c>
      <c r="I6" s="520">
        <v>4.25</v>
      </c>
      <c r="J6" s="63" t="s">
        <v>260</v>
      </c>
      <c r="K6" s="520"/>
      <c r="L6" s="521"/>
      <c r="M6" s="518" t="s">
        <v>265</v>
      </c>
      <c r="N6" s="519">
        <v>2.5</v>
      </c>
      <c r="O6" s="520">
        <v>2.75</v>
      </c>
      <c r="P6" s="61"/>
      <c r="Q6" s="522"/>
      <c r="R6" s="521"/>
      <c r="S6" s="63" t="s">
        <v>271</v>
      </c>
      <c r="T6" s="519">
        <v>2.5</v>
      </c>
      <c r="U6" s="520">
        <v>3.25</v>
      </c>
      <c r="V6" s="63" t="s">
        <v>11</v>
      </c>
      <c r="W6" s="520">
        <v>0.5</v>
      </c>
      <c r="X6" s="523">
        <v>0.25</v>
      </c>
      <c r="Y6" s="63" t="s">
        <v>261</v>
      </c>
      <c r="Z6" s="519"/>
      <c r="AA6" s="520">
        <v>2.0</v>
      </c>
      <c r="AB6" s="61"/>
      <c r="AC6" s="522"/>
      <c r="AD6" s="521"/>
      <c r="AE6" s="63" t="s">
        <v>271</v>
      </c>
      <c r="AF6" s="519">
        <v>2.5</v>
      </c>
      <c r="AG6" s="520">
        <v>3.75</v>
      </c>
      <c r="AH6" s="61"/>
      <c r="AI6" s="522"/>
      <c r="AJ6" s="521"/>
      <c r="AK6" s="63" t="s">
        <v>269</v>
      </c>
      <c r="AL6" s="519">
        <v>2.5</v>
      </c>
      <c r="AM6" s="520">
        <v>3.25</v>
      </c>
      <c r="AN6" s="61"/>
      <c r="AO6" s="522"/>
      <c r="AP6" s="521"/>
      <c r="AQ6" s="63" t="s">
        <v>261</v>
      </c>
      <c r="AR6" s="519"/>
      <c r="AS6" s="520">
        <v>2.5</v>
      </c>
      <c r="AT6" s="63" t="s">
        <v>263</v>
      </c>
      <c r="AU6" s="522"/>
      <c r="AV6" s="521"/>
      <c r="AW6" s="63" t="s">
        <v>271</v>
      </c>
      <c r="AX6" s="519">
        <v>2.5</v>
      </c>
      <c r="AY6" s="520">
        <v>3.5</v>
      </c>
      <c r="AZ6" s="61"/>
      <c r="BA6" s="522"/>
      <c r="BB6" s="521"/>
      <c r="BC6" s="63" t="s">
        <v>261</v>
      </c>
      <c r="BD6" s="519"/>
      <c r="BE6" s="520">
        <v>3.25</v>
      </c>
      <c r="BF6" s="61"/>
      <c r="BG6" s="522"/>
      <c r="BH6" s="521"/>
      <c r="BI6" s="63" t="s">
        <v>261</v>
      </c>
      <c r="BJ6" s="519"/>
      <c r="BK6" s="520">
        <v>2.25</v>
      </c>
      <c r="BL6" s="63" t="s">
        <v>11</v>
      </c>
      <c r="BM6" s="520">
        <v>0.5</v>
      </c>
      <c r="BN6" s="523">
        <v>1.0</v>
      </c>
    </row>
    <row r="7">
      <c r="A7" s="512">
        <v>2.0</v>
      </c>
      <c r="B7" s="513" t="s">
        <v>155</v>
      </c>
      <c r="C7" s="514">
        <f t="shared" si="1"/>
        <v>43.75</v>
      </c>
      <c r="D7" s="515">
        <f t="shared" si="2"/>
        <v>5</v>
      </c>
      <c r="E7" s="516">
        <f t="shared" si="3"/>
        <v>12.5</v>
      </c>
      <c r="F7" s="517">
        <f t="shared" si="4"/>
        <v>31.25</v>
      </c>
      <c r="G7" s="518" t="s">
        <v>261</v>
      </c>
      <c r="H7" s="524"/>
      <c r="I7" s="520">
        <v>1.75</v>
      </c>
      <c r="J7" s="63" t="s">
        <v>263</v>
      </c>
      <c r="K7" s="522"/>
      <c r="L7" s="521"/>
      <c r="M7" s="518" t="s">
        <v>269</v>
      </c>
      <c r="N7" s="525">
        <v>2.5</v>
      </c>
      <c r="O7" s="520">
        <v>4.0</v>
      </c>
      <c r="P7" s="63" t="s">
        <v>260</v>
      </c>
      <c r="Q7" s="522"/>
      <c r="R7" s="521"/>
      <c r="S7" s="63" t="s">
        <v>261</v>
      </c>
      <c r="T7" s="519">
        <v>2.5</v>
      </c>
      <c r="U7" s="520">
        <v>3.75</v>
      </c>
      <c r="V7" s="61"/>
      <c r="W7" s="522"/>
      <c r="X7" s="521"/>
      <c r="Y7" s="63" t="s">
        <v>269</v>
      </c>
      <c r="Z7" s="519">
        <v>2.5</v>
      </c>
      <c r="AA7" s="520">
        <v>3.75</v>
      </c>
      <c r="AB7" s="63"/>
      <c r="AC7" s="522"/>
      <c r="AD7" s="521"/>
      <c r="AE7" s="63" t="s">
        <v>261</v>
      </c>
      <c r="AF7" s="519">
        <v>2.5</v>
      </c>
      <c r="AG7" s="520">
        <v>4.0</v>
      </c>
      <c r="AH7" s="61"/>
      <c r="AI7" s="522"/>
      <c r="AJ7" s="521"/>
      <c r="AK7" s="63" t="s">
        <v>261</v>
      </c>
      <c r="AL7" s="519"/>
      <c r="AM7" s="520">
        <v>2.0</v>
      </c>
      <c r="AN7" s="61"/>
      <c r="AO7" s="522"/>
      <c r="AP7" s="521"/>
      <c r="AQ7" s="63" t="s">
        <v>261</v>
      </c>
      <c r="AR7" s="519"/>
      <c r="AS7" s="520">
        <v>3.5</v>
      </c>
      <c r="AT7" s="61"/>
      <c r="AU7" s="522"/>
      <c r="AV7" s="521"/>
      <c r="AW7" s="63" t="s">
        <v>261</v>
      </c>
      <c r="AX7" s="519">
        <v>2.5</v>
      </c>
      <c r="AY7" s="520">
        <v>3.0</v>
      </c>
      <c r="AZ7" s="61"/>
      <c r="BA7" s="522"/>
      <c r="BB7" s="521"/>
      <c r="BC7" s="63" t="s">
        <v>261</v>
      </c>
      <c r="BD7" s="519"/>
      <c r="BE7" s="520">
        <v>2.75</v>
      </c>
      <c r="BF7" s="61"/>
      <c r="BG7" s="522"/>
      <c r="BH7" s="521"/>
      <c r="BI7" s="63" t="s">
        <v>271</v>
      </c>
      <c r="BJ7" s="519"/>
      <c r="BK7" s="520">
        <v>2.75</v>
      </c>
      <c r="BL7" s="61"/>
      <c r="BM7" s="522"/>
      <c r="BN7" s="521"/>
    </row>
    <row r="8">
      <c r="A8" s="512">
        <v>3.0</v>
      </c>
      <c r="B8" s="513" t="s">
        <v>156</v>
      </c>
      <c r="C8" s="514">
        <f t="shared" si="1"/>
        <v>42.5</v>
      </c>
      <c r="D8" s="515">
        <f t="shared" si="2"/>
        <v>6</v>
      </c>
      <c r="E8" s="516">
        <f t="shared" si="3"/>
        <v>15</v>
      </c>
      <c r="F8" s="517">
        <f t="shared" si="4"/>
        <v>27.5</v>
      </c>
      <c r="G8" s="518" t="s">
        <v>261</v>
      </c>
      <c r="H8" s="519"/>
      <c r="I8" s="526">
        <v>2.75</v>
      </c>
      <c r="J8" s="63"/>
      <c r="K8" s="522"/>
      <c r="L8" s="523"/>
      <c r="M8" s="518" t="s">
        <v>269</v>
      </c>
      <c r="N8" s="519">
        <v>2.5</v>
      </c>
      <c r="O8" s="526">
        <v>2.75</v>
      </c>
      <c r="P8" s="63"/>
      <c r="Q8" s="520"/>
      <c r="R8" s="523"/>
      <c r="S8" s="63" t="s">
        <v>261</v>
      </c>
      <c r="T8" s="519">
        <v>2.5</v>
      </c>
      <c r="U8" s="520">
        <v>3.0</v>
      </c>
      <c r="V8" s="63"/>
      <c r="W8" s="520"/>
      <c r="X8" s="523"/>
      <c r="Y8" s="63" t="s">
        <v>261</v>
      </c>
      <c r="Z8" s="527"/>
      <c r="AA8" s="520">
        <v>1.5</v>
      </c>
      <c r="AB8" s="61"/>
      <c r="AC8" s="522"/>
      <c r="AD8" s="521"/>
      <c r="AE8" s="63" t="s">
        <v>261</v>
      </c>
      <c r="AF8" s="519">
        <v>2.5</v>
      </c>
      <c r="AG8" s="520">
        <v>2.25</v>
      </c>
      <c r="AH8" s="63" t="s">
        <v>11</v>
      </c>
      <c r="AI8" s="522"/>
      <c r="AJ8" s="523">
        <v>0.25</v>
      </c>
      <c r="AK8" s="63" t="s">
        <v>265</v>
      </c>
      <c r="AL8" s="519">
        <v>2.5</v>
      </c>
      <c r="AM8" s="520">
        <v>3.25</v>
      </c>
      <c r="AN8" s="61"/>
      <c r="AO8" s="522"/>
      <c r="AP8" s="521"/>
      <c r="AQ8" s="63" t="s">
        <v>271</v>
      </c>
      <c r="AR8" s="519"/>
      <c r="AS8" s="520">
        <v>3.25</v>
      </c>
      <c r="AT8" s="61"/>
      <c r="AU8" s="522"/>
      <c r="AV8" s="521"/>
      <c r="AW8" s="63" t="s">
        <v>261</v>
      </c>
      <c r="AX8" s="519">
        <v>2.5</v>
      </c>
      <c r="AY8" s="520">
        <v>2.75</v>
      </c>
      <c r="AZ8" s="63" t="s">
        <v>11</v>
      </c>
      <c r="BA8" s="522"/>
      <c r="BB8" s="523">
        <v>0.5</v>
      </c>
      <c r="BC8" s="63" t="s">
        <v>271</v>
      </c>
      <c r="BD8" s="519"/>
      <c r="BE8" s="520">
        <v>2.0</v>
      </c>
      <c r="BF8" s="61"/>
      <c r="BG8" s="522"/>
      <c r="BH8" s="521"/>
      <c r="BI8" s="63" t="s">
        <v>269</v>
      </c>
      <c r="BJ8" s="519">
        <v>2.5</v>
      </c>
      <c r="BK8" s="520">
        <v>3.25</v>
      </c>
      <c r="BL8" s="61"/>
      <c r="BM8" s="522"/>
      <c r="BN8" s="521"/>
    </row>
    <row r="9">
      <c r="A9" s="512">
        <v>4.0</v>
      </c>
      <c r="B9" s="513" t="s">
        <v>159</v>
      </c>
      <c r="C9" s="514">
        <f t="shared" si="1"/>
        <v>40.75</v>
      </c>
      <c r="D9" s="515">
        <f t="shared" si="2"/>
        <v>5</v>
      </c>
      <c r="E9" s="516">
        <f t="shared" si="3"/>
        <v>12.5</v>
      </c>
      <c r="F9" s="517">
        <f t="shared" si="4"/>
        <v>28.25</v>
      </c>
      <c r="G9" s="518" t="s">
        <v>269</v>
      </c>
      <c r="H9" s="519">
        <v>2.5</v>
      </c>
      <c r="I9" s="520">
        <v>2.25</v>
      </c>
      <c r="J9" s="61"/>
      <c r="K9" s="522"/>
      <c r="L9" s="521"/>
      <c r="M9" s="518" t="s">
        <v>261</v>
      </c>
      <c r="N9" s="519"/>
      <c r="O9" s="520">
        <v>1.75</v>
      </c>
      <c r="P9" s="61"/>
      <c r="Q9" s="522"/>
      <c r="R9" s="521"/>
      <c r="S9" s="63" t="s">
        <v>261</v>
      </c>
      <c r="T9" s="519">
        <v>2.5</v>
      </c>
      <c r="U9" s="520">
        <v>2.5</v>
      </c>
      <c r="V9" s="63"/>
      <c r="W9" s="522"/>
      <c r="X9" s="521"/>
      <c r="Y9" s="63" t="s">
        <v>265</v>
      </c>
      <c r="Z9" s="519">
        <v>2.5</v>
      </c>
      <c r="AA9" s="520">
        <v>4.0</v>
      </c>
      <c r="AB9" s="63"/>
      <c r="AC9" s="522"/>
      <c r="AD9" s="521"/>
      <c r="AE9" s="63" t="s">
        <v>265</v>
      </c>
      <c r="AF9" s="519"/>
      <c r="AG9" s="520">
        <v>2.25</v>
      </c>
      <c r="AH9" s="61"/>
      <c r="AI9" s="522"/>
      <c r="AJ9" s="521"/>
      <c r="AK9" s="63" t="s">
        <v>269</v>
      </c>
      <c r="AL9" s="519">
        <v>2.5</v>
      </c>
      <c r="AM9" s="520">
        <v>3.25</v>
      </c>
      <c r="AN9" s="61"/>
      <c r="AO9" s="522"/>
      <c r="AP9" s="521"/>
      <c r="AQ9" s="63" t="s">
        <v>261</v>
      </c>
      <c r="AR9" s="519"/>
      <c r="AS9" s="520">
        <v>3.25</v>
      </c>
      <c r="AT9" s="61"/>
      <c r="AU9" s="522"/>
      <c r="AV9" s="521"/>
      <c r="AW9" s="63" t="s">
        <v>261</v>
      </c>
      <c r="AX9" s="519">
        <v>2.5</v>
      </c>
      <c r="AY9" s="520">
        <v>4.0</v>
      </c>
      <c r="AZ9" s="61"/>
      <c r="BA9" s="522"/>
      <c r="BB9" s="521"/>
      <c r="BC9" s="63" t="s">
        <v>261</v>
      </c>
      <c r="BD9" s="519"/>
      <c r="BE9" s="520">
        <v>1.25</v>
      </c>
      <c r="BF9" s="61"/>
      <c r="BG9" s="522"/>
      <c r="BH9" s="521"/>
      <c r="BI9" s="63" t="s">
        <v>261</v>
      </c>
      <c r="BJ9" s="519"/>
      <c r="BK9" s="520">
        <v>3.75</v>
      </c>
      <c r="BL9" s="61"/>
      <c r="BM9" s="522"/>
      <c r="BN9" s="521"/>
    </row>
    <row r="10">
      <c r="A10" s="512">
        <v>5.0</v>
      </c>
      <c r="B10" s="513" t="s">
        <v>160</v>
      </c>
      <c r="C10" s="514">
        <f t="shared" si="1"/>
        <v>37.75</v>
      </c>
      <c r="D10" s="515">
        <f t="shared" si="2"/>
        <v>4</v>
      </c>
      <c r="E10" s="516">
        <f t="shared" si="3"/>
        <v>10</v>
      </c>
      <c r="F10" s="517">
        <f t="shared" si="4"/>
        <v>27.75</v>
      </c>
      <c r="G10" s="518" t="s">
        <v>261</v>
      </c>
      <c r="H10" s="524"/>
      <c r="I10" s="520">
        <v>2.0</v>
      </c>
      <c r="J10" s="63" t="s">
        <v>263</v>
      </c>
      <c r="K10" s="520"/>
      <c r="L10" s="523"/>
      <c r="M10" s="518" t="s">
        <v>261</v>
      </c>
      <c r="N10" s="525"/>
      <c r="O10" s="520">
        <v>2.0</v>
      </c>
      <c r="P10" s="63" t="s">
        <v>11</v>
      </c>
      <c r="Q10" s="520"/>
      <c r="R10" s="523">
        <v>0.5</v>
      </c>
      <c r="S10" s="63" t="s">
        <v>261</v>
      </c>
      <c r="T10" s="519">
        <v>2.5</v>
      </c>
      <c r="U10" s="520">
        <v>4.0</v>
      </c>
      <c r="V10" s="63" t="s">
        <v>260</v>
      </c>
      <c r="W10" s="522"/>
      <c r="X10" s="521"/>
      <c r="Y10" s="63" t="s">
        <v>261</v>
      </c>
      <c r="Z10" s="519"/>
      <c r="AA10" s="520">
        <v>2.75</v>
      </c>
      <c r="AB10" s="63"/>
      <c r="AC10" s="522"/>
      <c r="AD10" s="523"/>
      <c r="AE10" s="63" t="s">
        <v>261</v>
      </c>
      <c r="AF10" s="519">
        <v>2.5</v>
      </c>
      <c r="AG10" s="520">
        <v>3.25</v>
      </c>
      <c r="AH10" s="61"/>
      <c r="AI10" s="522"/>
      <c r="AJ10" s="521"/>
      <c r="AK10" s="63" t="s">
        <v>261</v>
      </c>
      <c r="AL10" s="519"/>
      <c r="AM10" s="520">
        <v>2.0</v>
      </c>
      <c r="AN10" s="61"/>
      <c r="AO10" s="522"/>
      <c r="AP10" s="521"/>
      <c r="AQ10" s="63" t="s">
        <v>261</v>
      </c>
      <c r="AR10" s="519"/>
      <c r="AS10" s="520">
        <v>1.5</v>
      </c>
      <c r="AT10" s="63" t="s">
        <v>263</v>
      </c>
      <c r="AU10" s="522"/>
      <c r="AV10" s="521"/>
      <c r="AW10" s="63" t="s">
        <v>265</v>
      </c>
      <c r="AX10" s="519"/>
      <c r="AY10" s="520">
        <v>1.75</v>
      </c>
      <c r="AZ10" s="61"/>
      <c r="BA10" s="522"/>
      <c r="BB10" s="521"/>
      <c r="BC10" s="63" t="s">
        <v>269</v>
      </c>
      <c r="BD10" s="519">
        <v>2.5</v>
      </c>
      <c r="BE10" s="520">
        <v>4.0</v>
      </c>
      <c r="BF10" s="61"/>
      <c r="BG10" s="522"/>
      <c r="BH10" s="521"/>
      <c r="BI10" s="63" t="s">
        <v>265</v>
      </c>
      <c r="BJ10" s="519">
        <v>2.5</v>
      </c>
      <c r="BK10" s="520">
        <v>4.0</v>
      </c>
      <c r="BL10" s="61"/>
      <c r="BM10" s="522"/>
      <c r="BN10" s="521"/>
    </row>
    <row r="11">
      <c r="A11" s="512">
        <v>6.0</v>
      </c>
      <c r="B11" s="513" t="s">
        <v>117</v>
      </c>
      <c r="C11" s="514">
        <f t="shared" si="1"/>
        <v>37.25</v>
      </c>
      <c r="D11" s="515">
        <f t="shared" si="2"/>
        <v>3</v>
      </c>
      <c r="E11" s="516">
        <f t="shared" si="3"/>
        <v>7.5</v>
      </c>
      <c r="F11" s="517">
        <f t="shared" si="4"/>
        <v>29.75</v>
      </c>
      <c r="G11" s="518" t="s">
        <v>271</v>
      </c>
      <c r="H11" s="519"/>
      <c r="I11" s="520">
        <v>2.75</v>
      </c>
      <c r="J11" s="61"/>
      <c r="K11" s="522"/>
      <c r="L11" s="521"/>
      <c r="M11" s="518" t="s">
        <v>261</v>
      </c>
      <c r="N11" s="525"/>
      <c r="O11" s="520">
        <v>3.75</v>
      </c>
      <c r="P11" s="63" t="s">
        <v>263</v>
      </c>
      <c r="Q11" s="522"/>
      <c r="R11" s="521"/>
      <c r="S11" s="63" t="s">
        <v>261</v>
      </c>
      <c r="T11" s="519">
        <v>2.5</v>
      </c>
      <c r="U11" s="520">
        <v>2.75</v>
      </c>
      <c r="V11" s="61"/>
      <c r="W11" s="522"/>
      <c r="X11" s="521"/>
      <c r="Y11" s="63" t="s">
        <v>261</v>
      </c>
      <c r="Z11" s="519"/>
      <c r="AA11" s="520">
        <v>3.0</v>
      </c>
      <c r="AB11" s="61"/>
      <c r="AC11" s="522"/>
      <c r="AD11" s="521"/>
      <c r="AE11" s="63" t="s">
        <v>261</v>
      </c>
      <c r="AF11" s="519">
        <v>2.5</v>
      </c>
      <c r="AG11" s="520">
        <v>2.0</v>
      </c>
      <c r="AH11" s="61"/>
      <c r="AI11" s="522"/>
      <c r="AJ11" s="521"/>
      <c r="AK11" s="63" t="s">
        <v>261</v>
      </c>
      <c r="AL11" s="519"/>
      <c r="AM11" s="520">
        <v>2.5</v>
      </c>
      <c r="AN11" s="61"/>
      <c r="AO11" s="522"/>
      <c r="AP11" s="521"/>
      <c r="AQ11" s="63" t="s">
        <v>261</v>
      </c>
      <c r="AR11" s="519"/>
      <c r="AS11" s="520">
        <v>2.5</v>
      </c>
      <c r="AT11" s="63" t="s">
        <v>11</v>
      </c>
      <c r="AU11" s="522"/>
      <c r="AV11" s="523">
        <v>0.5</v>
      </c>
      <c r="AW11" s="63" t="s">
        <v>261</v>
      </c>
      <c r="AX11" s="519">
        <v>2.5</v>
      </c>
      <c r="AY11" s="520">
        <v>3.75</v>
      </c>
      <c r="AZ11" s="61"/>
      <c r="BA11" s="522"/>
      <c r="BB11" s="521"/>
      <c r="BC11" s="63" t="s">
        <v>261</v>
      </c>
      <c r="BD11" s="519"/>
      <c r="BE11" s="520">
        <v>3.0</v>
      </c>
      <c r="BF11" s="61"/>
      <c r="BG11" s="522"/>
      <c r="BH11" s="521"/>
      <c r="BI11" s="63" t="s">
        <v>261</v>
      </c>
      <c r="BJ11" s="519"/>
      <c r="BK11" s="520">
        <v>3.25</v>
      </c>
      <c r="BL11" s="61"/>
      <c r="BM11" s="522"/>
      <c r="BN11" s="521"/>
    </row>
    <row r="12">
      <c r="A12" s="512">
        <v>7.0</v>
      </c>
      <c r="B12" s="513" t="s">
        <v>130</v>
      </c>
      <c r="C12" s="514">
        <f t="shared" si="1"/>
        <v>37</v>
      </c>
      <c r="D12" s="515">
        <f t="shared" si="2"/>
        <v>4</v>
      </c>
      <c r="E12" s="516">
        <f t="shared" si="3"/>
        <v>10</v>
      </c>
      <c r="F12" s="517">
        <f t="shared" si="4"/>
        <v>27</v>
      </c>
      <c r="G12" s="518" t="s">
        <v>265</v>
      </c>
      <c r="H12" s="519">
        <v>2.5</v>
      </c>
      <c r="I12" s="520">
        <v>1.5</v>
      </c>
      <c r="J12" s="63"/>
      <c r="K12" s="522"/>
      <c r="L12" s="521"/>
      <c r="M12" s="518" t="s">
        <v>261</v>
      </c>
      <c r="N12" s="519"/>
      <c r="O12" s="520">
        <v>1.75</v>
      </c>
      <c r="P12" s="63" t="s">
        <v>263</v>
      </c>
      <c r="Q12" s="522"/>
      <c r="R12" s="521"/>
      <c r="S12" s="63" t="s">
        <v>265</v>
      </c>
      <c r="T12" s="519"/>
      <c r="U12" s="520">
        <v>2.25</v>
      </c>
      <c r="V12" s="61"/>
      <c r="W12" s="522"/>
      <c r="X12" s="521"/>
      <c r="Y12" s="63" t="s">
        <v>261</v>
      </c>
      <c r="Z12" s="527"/>
      <c r="AA12" s="520">
        <v>3.5</v>
      </c>
      <c r="AB12" s="61"/>
      <c r="AC12" s="522"/>
      <c r="AD12" s="521"/>
      <c r="AE12" s="63" t="s">
        <v>261</v>
      </c>
      <c r="AF12" s="519">
        <v>2.5</v>
      </c>
      <c r="AG12" s="520">
        <v>2.75</v>
      </c>
      <c r="AH12" s="63"/>
      <c r="AI12" s="520"/>
      <c r="AJ12" s="523"/>
      <c r="AK12" s="63" t="s">
        <v>261</v>
      </c>
      <c r="AL12" s="519"/>
      <c r="AM12" s="520">
        <v>2.5</v>
      </c>
      <c r="AN12" s="63"/>
      <c r="AO12" s="520"/>
      <c r="AP12" s="523"/>
      <c r="AQ12" s="63" t="s">
        <v>269</v>
      </c>
      <c r="AR12" s="519">
        <v>2.5</v>
      </c>
      <c r="AS12" s="520">
        <v>3.75</v>
      </c>
      <c r="AT12" s="63" t="s">
        <v>260</v>
      </c>
      <c r="AU12" s="520"/>
      <c r="AV12" s="523"/>
      <c r="AW12" s="63" t="s">
        <v>269</v>
      </c>
      <c r="AX12" s="519"/>
      <c r="AY12" s="520">
        <v>2.5</v>
      </c>
      <c r="AZ12" s="63"/>
      <c r="BA12" s="520"/>
      <c r="BB12" s="523"/>
      <c r="BC12" s="63" t="s">
        <v>265</v>
      </c>
      <c r="BD12" s="519">
        <v>2.5</v>
      </c>
      <c r="BE12" s="520">
        <v>2.5</v>
      </c>
      <c r="BF12" s="63"/>
      <c r="BG12" s="520"/>
      <c r="BH12" s="523"/>
      <c r="BI12" s="63" t="s">
        <v>261</v>
      </c>
      <c r="BJ12" s="519"/>
      <c r="BK12" s="520">
        <v>4.0</v>
      </c>
      <c r="BL12" s="63"/>
      <c r="BM12" s="520"/>
      <c r="BN12" s="523"/>
    </row>
    <row r="13">
      <c r="A13" s="512">
        <v>8.0</v>
      </c>
      <c r="B13" s="513" t="s">
        <v>158</v>
      </c>
      <c r="C13" s="514">
        <f t="shared" si="1"/>
        <v>34.75</v>
      </c>
      <c r="D13" s="515">
        <f t="shared" si="2"/>
        <v>3</v>
      </c>
      <c r="E13" s="516">
        <f t="shared" si="3"/>
        <v>7.5</v>
      </c>
      <c r="F13" s="517">
        <f t="shared" si="4"/>
        <v>27.25</v>
      </c>
      <c r="G13" s="518" t="s">
        <v>261</v>
      </c>
      <c r="H13" s="525"/>
      <c r="I13" s="520">
        <v>2.5</v>
      </c>
      <c r="J13" s="63" t="s">
        <v>263</v>
      </c>
      <c r="K13" s="522"/>
      <c r="L13" s="521"/>
      <c r="M13" s="518" t="s">
        <v>261</v>
      </c>
      <c r="N13" s="519"/>
      <c r="O13" s="520">
        <v>2.75</v>
      </c>
      <c r="P13" s="63"/>
      <c r="Q13" s="522"/>
      <c r="R13" s="521"/>
      <c r="S13" s="63" t="s">
        <v>261</v>
      </c>
      <c r="T13" s="519">
        <v>2.5</v>
      </c>
      <c r="U13" s="520">
        <v>2.75</v>
      </c>
      <c r="V13" s="63" t="s">
        <v>260</v>
      </c>
      <c r="W13" s="522"/>
      <c r="X13" s="521"/>
      <c r="Y13" s="63" t="s">
        <v>261</v>
      </c>
      <c r="Z13" s="519"/>
      <c r="AA13" s="520">
        <v>3.0</v>
      </c>
      <c r="AB13" s="63" t="s">
        <v>11</v>
      </c>
      <c r="AC13" s="520">
        <v>0.5</v>
      </c>
      <c r="AD13" s="523">
        <v>0.5</v>
      </c>
      <c r="AE13" s="63" t="s">
        <v>269</v>
      </c>
      <c r="AF13" s="527"/>
      <c r="AG13" s="520">
        <v>2.25</v>
      </c>
      <c r="AH13" s="61"/>
      <c r="AI13" s="522"/>
      <c r="AJ13" s="521"/>
      <c r="AK13" s="63" t="s">
        <v>261</v>
      </c>
      <c r="AL13" s="527"/>
      <c r="AM13" s="520">
        <v>2.5</v>
      </c>
      <c r="AN13" s="61"/>
      <c r="AO13" s="522"/>
      <c r="AP13" s="521"/>
      <c r="AQ13" s="63" t="s">
        <v>265</v>
      </c>
      <c r="AR13" s="519">
        <v>2.5</v>
      </c>
      <c r="AS13" s="520">
        <v>3.0</v>
      </c>
      <c r="AT13" s="61"/>
      <c r="AU13" s="522"/>
      <c r="AV13" s="521"/>
      <c r="AW13" s="63" t="s">
        <v>261</v>
      </c>
      <c r="AX13" s="519">
        <v>2.5</v>
      </c>
      <c r="AY13" s="520">
        <v>3.5</v>
      </c>
      <c r="AZ13" s="61"/>
      <c r="BA13" s="522"/>
      <c r="BB13" s="521"/>
      <c r="BC13" s="63" t="s">
        <v>261</v>
      </c>
      <c r="BD13" s="527"/>
      <c r="BE13" s="520">
        <v>2.75</v>
      </c>
      <c r="BF13" s="61"/>
      <c r="BG13" s="522"/>
      <c r="BH13" s="521"/>
      <c r="BI13" s="63" t="s">
        <v>261</v>
      </c>
      <c r="BJ13" s="527"/>
      <c r="BK13" s="520">
        <v>1.25</v>
      </c>
      <c r="BL13" s="61"/>
      <c r="BM13" s="522"/>
      <c r="BN13" s="521"/>
    </row>
    <row r="14">
      <c r="A14" s="512">
        <v>9.0</v>
      </c>
      <c r="B14" s="513" t="s">
        <v>101</v>
      </c>
      <c r="C14" s="514">
        <f t="shared" si="1"/>
        <v>31.75</v>
      </c>
      <c r="D14" s="515">
        <f t="shared" si="2"/>
        <v>3</v>
      </c>
      <c r="E14" s="516">
        <f t="shared" si="3"/>
        <v>7.5</v>
      </c>
      <c r="F14" s="517">
        <f t="shared" si="4"/>
        <v>24.25</v>
      </c>
      <c r="G14" s="518" t="s">
        <v>261</v>
      </c>
      <c r="H14" s="524"/>
      <c r="I14" s="520">
        <v>2.5</v>
      </c>
      <c r="J14" s="61"/>
      <c r="K14" s="522"/>
      <c r="L14" s="521"/>
      <c r="M14" s="518" t="s">
        <v>261</v>
      </c>
      <c r="N14" s="525"/>
      <c r="O14" s="520">
        <v>3.0</v>
      </c>
      <c r="P14" s="61"/>
      <c r="Q14" s="522"/>
      <c r="R14" s="521"/>
      <c r="S14" s="63" t="s">
        <v>269</v>
      </c>
      <c r="T14" s="519"/>
      <c r="U14" s="520">
        <v>2.75</v>
      </c>
      <c r="V14" s="63" t="s">
        <v>263</v>
      </c>
      <c r="W14" s="522"/>
      <c r="X14" s="521"/>
      <c r="Y14" s="63" t="s">
        <v>269</v>
      </c>
      <c r="Z14" s="519">
        <v>2.5</v>
      </c>
      <c r="AA14" s="520">
        <v>2.5</v>
      </c>
      <c r="AB14" s="61"/>
      <c r="AC14" s="522"/>
      <c r="AD14" s="521"/>
      <c r="AE14" s="63" t="s">
        <v>269</v>
      </c>
      <c r="AF14" s="519"/>
      <c r="AG14" s="520">
        <v>2.25</v>
      </c>
      <c r="AH14" s="61"/>
      <c r="AI14" s="522"/>
      <c r="AJ14" s="521"/>
      <c r="AK14" s="63" t="s">
        <v>271</v>
      </c>
      <c r="AL14" s="519"/>
      <c r="AM14" s="520">
        <v>2.0</v>
      </c>
      <c r="AN14" s="63" t="s">
        <v>11</v>
      </c>
      <c r="AO14" s="520">
        <v>0.5</v>
      </c>
      <c r="AP14" s="523">
        <v>0.5</v>
      </c>
      <c r="AQ14" s="63" t="s">
        <v>269</v>
      </c>
      <c r="AR14" s="519">
        <v>2.5</v>
      </c>
      <c r="AS14" s="520">
        <v>2.0</v>
      </c>
      <c r="AT14" s="61"/>
      <c r="AU14" s="522"/>
      <c r="AV14" s="521"/>
      <c r="AW14" s="63" t="s">
        <v>269</v>
      </c>
      <c r="AX14" s="519"/>
      <c r="AY14" s="520">
        <v>2.0</v>
      </c>
      <c r="AZ14" s="61"/>
      <c r="BA14" s="522"/>
      <c r="BB14" s="521"/>
      <c r="BC14" s="63" t="s">
        <v>261</v>
      </c>
      <c r="BD14" s="519"/>
      <c r="BE14" s="520">
        <v>2.25</v>
      </c>
      <c r="BF14" s="61"/>
      <c r="BG14" s="522"/>
      <c r="BH14" s="521"/>
      <c r="BI14" s="63" t="s">
        <v>269</v>
      </c>
      <c r="BJ14" s="519">
        <v>2.5</v>
      </c>
      <c r="BK14" s="520">
        <v>2.0</v>
      </c>
      <c r="BL14" s="61"/>
      <c r="BM14" s="522"/>
      <c r="BN14" s="521"/>
    </row>
    <row r="15">
      <c r="A15" s="528">
        <v>10.0</v>
      </c>
      <c r="B15" s="529" t="s">
        <v>157</v>
      </c>
      <c r="C15" s="514">
        <f t="shared" si="1"/>
        <v>30.75</v>
      </c>
      <c r="D15" s="530">
        <f t="shared" si="2"/>
        <v>3</v>
      </c>
      <c r="E15" s="531">
        <f t="shared" si="3"/>
        <v>7.5</v>
      </c>
      <c r="F15" s="532">
        <f t="shared" si="4"/>
        <v>23.25</v>
      </c>
      <c r="G15" s="533" t="s">
        <v>261</v>
      </c>
      <c r="H15" s="534"/>
      <c r="I15" s="535">
        <v>2.75</v>
      </c>
      <c r="J15" s="536"/>
      <c r="K15" s="537"/>
      <c r="L15" s="538"/>
      <c r="M15" s="533" t="s">
        <v>271</v>
      </c>
      <c r="N15" s="534"/>
      <c r="O15" s="535">
        <v>3.25</v>
      </c>
      <c r="P15" s="539"/>
      <c r="Q15" s="537"/>
      <c r="R15" s="538"/>
      <c r="S15" s="539" t="s">
        <v>269</v>
      </c>
      <c r="T15" s="534"/>
      <c r="U15" s="535">
        <v>2.0</v>
      </c>
      <c r="V15" s="539"/>
      <c r="W15" s="537"/>
      <c r="X15" s="538"/>
      <c r="Y15" s="539" t="s">
        <v>271</v>
      </c>
      <c r="Z15" s="534"/>
      <c r="AA15" s="535">
        <v>2.5</v>
      </c>
      <c r="AB15" s="539"/>
      <c r="AC15" s="537"/>
      <c r="AD15" s="538"/>
      <c r="AE15" s="539" t="s">
        <v>261</v>
      </c>
      <c r="AF15" s="534">
        <v>2.5</v>
      </c>
      <c r="AG15" s="535">
        <v>3.5</v>
      </c>
      <c r="AH15" s="536"/>
      <c r="AI15" s="537"/>
      <c r="AJ15" s="538"/>
      <c r="AK15" s="539" t="s">
        <v>261</v>
      </c>
      <c r="AL15" s="534"/>
      <c r="AM15" s="540">
        <v>-2.5</v>
      </c>
      <c r="AN15" s="536"/>
      <c r="AO15" s="537"/>
      <c r="AP15" s="538"/>
      <c r="AQ15" s="539" t="s">
        <v>261</v>
      </c>
      <c r="AR15" s="534"/>
      <c r="AS15" s="535">
        <v>2.0</v>
      </c>
      <c r="AT15" s="536"/>
      <c r="AU15" s="537"/>
      <c r="AV15" s="538"/>
      <c r="AW15" s="539" t="s">
        <v>261</v>
      </c>
      <c r="AX15" s="534">
        <v>2.5</v>
      </c>
      <c r="AY15" s="535">
        <v>3.5</v>
      </c>
      <c r="AZ15" s="536"/>
      <c r="BA15" s="537"/>
      <c r="BB15" s="538"/>
      <c r="BC15" s="539" t="s">
        <v>269</v>
      </c>
      <c r="BD15" s="534">
        <v>2.5</v>
      </c>
      <c r="BE15" s="535">
        <v>3.5</v>
      </c>
      <c r="BF15" s="536"/>
      <c r="BG15" s="537"/>
      <c r="BH15" s="538"/>
      <c r="BI15" s="539" t="s">
        <v>261</v>
      </c>
      <c r="BJ15" s="534"/>
      <c r="BK15" s="535">
        <v>2.75</v>
      </c>
      <c r="BL15" s="536"/>
      <c r="BM15" s="537"/>
      <c r="BN15" s="538"/>
    </row>
    <row r="16">
      <c r="A16" s="541" t="s">
        <v>310</v>
      </c>
      <c r="B16" s="1"/>
      <c r="C16" s="1"/>
      <c r="D16" s="1"/>
      <c r="E16" s="1"/>
      <c r="F16" s="1"/>
      <c r="G16" s="542" t="s">
        <v>311</v>
      </c>
      <c r="L16" s="543"/>
      <c r="M16" s="544" t="s">
        <v>312</v>
      </c>
      <c r="R16" s="543"/>
      <c r="S16" s="544" t="s">
        <v>313</v>
      </c>
      <c r="X16" s="543"/>
      <c r="Y16" s="544" t="s">
        <v>314</v>
      </c>
      <c r="AD16" s="543"/>
      <c r="AE16" s="544" t="s">
        <v>315</v>
      </c>
      <c r="AJ16" s="543"/>
      <c r="AK16" s="544" t="s">
        <v>316</v>
      </c>
      <c r="AP16" s="543"/>
      <c r="AQ16" s="544" t="s">
        <v>317</v>
      </c>
      <c r="AV16" s="543"/>
      <c r="AW16" s="544" t="s">
        <v>318</v>
      </c>
      <c r="BB16" s="543"/>
      <c r="BC16" s="544" t="s">
        <v>319</v>
      </c>
      <c r="BH16" s="543"/>
      <c r="BI16" s="544" t="s">
        <v>320</v>
      </c>
      <c r="BN16" s="543"/>
    </row>
    <row r="17">
      <c r="A17" s="545" t="s">
        <v>269</v>
      </c>
      <c r="B17" s="1"/>
      <c r="C17" s="1"/>
      <c r="D17" s="1"/>
      <c r="E17" s="1"/>
      <c r="F17" s="1"/>
      <c r="G17" s="50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189"/>
      <c r="AL17" s="189"/>
      <c r="AM17" s="189"/>
      <c r="AN17" s="189"/>
      <c r="AO17" s="189"/>
      <c r="AP17" s="508"/>
      <c r="AQ17" s="189"/>
      <c r="AR17" s="189"/>
      <c r="AS17" s="189"/>
      <c r="AT17" s="189"/>
      <c r="AU17" s="189"/>
      <c r="AV17" s="508"/>
      <c r="AW17" s="189"/>
      <c r="AX17" s="189"/>
      <c r="AY17" s="189"/>
      <c r="AZ17" s="189"/>
      <c r="BA17" s="189"/>
      <c r="BB17" s="508"/>
      <c r="BC17" s="189"/>
      <c r="BD17" s="189"/>
      <c r="BE17" s="189"/>
      <c r="BF17" s="189"/>
      <c r="BG17" s="189"/>
      <c r="BH17" s="508"/>
      <c r="BI17" s="189"/>
      <c r="BJ17" s="189"/>
      <c r="BK17" s="189"/>
      <c r="BL17" s="189"/>
      <c r="BM17" s="189"/>
      <c r="BN17" s="508"/>
    </row>
    <row r="18">
      <c r="A18" s="546" t="s">
        <v>271</v>
      </c>
      <c r="B18" s="1"/>
      <c r="C18" s="1"/>
      <c r="D18" s="1"/>
      <c r="E18" s="1"/>
      <c r="F18" s="1"/>
      <c r="G18" s="547" t="s">
        <v>272</v>
      </c>
      <c r="H18" s="548"/>
      <c r="I18" s="548"/>
      <c r="J18" s="548"/>
      <c r="K18" s="548"/>
      <c r="L18" s="549"/>
      <c r="M18" s="550" t="s">
        <v>272</v>
      </c>
      <c r="N18" s="548"/>
      <c r="O18" s="548"/>
      <c r="P18" s="548"/>
      <c r="Q18" s="548"/>
      <c r="R18" s="549"/>
      <c r="S18" s="550" t="s">
        <v>267</v>
      </c>
      <c r="T18" s="548"/>
      <c r="U18" s="548"/>
      <c r="V18" s="548"/>
      <c r="W18" s="548"/>
      <c r="X18" s="549"/>
      <c r="Y18" s="550" t="s">
        <v>259</v>
      </c>
      <c r="Z18" s="548"/>
      <c r="AA18" s="548"/>
      <c r="AB18" s="548"/>
      <c r="AC18" s="548"/>
      <c r="AD18" s="549"/>
      <c r="AE18" s="550" t="s">
        <v>257</v>
      </c>
      <c r="AF18" s="548"/>
      <c r="AG18" s="548"/>
      <c r="AH18" s="548"/>
      <c r="AI18" s="548"/>
      <c r="AJ18" s="549"/>
      <c r="AK18" s="550" t="s">
        <v>277</v>
      </c>
      <c r="AL18" s="548"/>
      <c r="AM18" s="548"/>
      <c r="AN18" s="548"/>
      <c r="AO18" s="548"/>
      <c r="AP18" s="549"/>
      <c r="AQ18" s="550" t="s">
        <v>272</v>
      </c>
      <c r="AR18" s="548"/>
      <c r="AS18" s="548"/>
      <c r="AT18" s="548"/>
      <c r="AU18" s="548"/>
      <c r="AV18" s="549"/>
      <c r="AW18" s="550" t="s">
        <v>257</v>
      </c>
      <c r="AX18" s="548"/>
      <c r="AY18" s="548"/>
      <c r="AZ18" s="548"/>
      <c r="BA18" s="548"/>
      <c r="BB18" s="549"/>
      <c r="BC18" s="550" t="s">
        <v>259</v>
      </c>
      <c r="BD18" s="548"/>
      <c r="BE18" s="548"/>
      <c r="BF18" s="548"/>
      <c r="BG18" s="548"/>
      <c r="BH18" s="549"/>
      <c r="BI18" s="550" t="s">
        <v>259</v>
      </c>
      <c r="BJ18" s="548"/>
      <c r="BK18" s="548"/>
      <c r="BL18" s="548"/>
      <c r="BM18" s="548"/>
      <c r="BN18" s="549"/>
    </row>
    <row r="19">
      <c r="A19" s="551" t="s">
        <v>265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>
      <c r="A20" s="552" t="s">
        <v>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4">
      <c r="A24" s="554" t="s">
        <v>290</v>
      </c>
      <c r="B24" s="555" t="s">
        <v>145</v>
      </c>
      <c r="C24" s="556" t="s">
        <v>323</v>
      </c>
    </row>
    <row r="25" ht="34.5" customHeight="1">
      <c r="A25" s="557"/>
      <c r="B25" s="558"/>
      <c r="C25" s="559"/>
    </row>
    <row r="26" ht="18.75" customHeight="1">
      <c r="A26" s="378">
        <v>2.0</v>
      </c>
      <c r="B26" s="378" t="s">
        <v>155</v>
      </c>
      <c r="C26" s="378" t="s">
        <v>16</v>
      </c>
    </row>
    <row r="27" ht="18.75" customHeight="1">
      <c r="A27" s="378">
        <v>6.0</v>
      </c>
      <c r="B27" s="378" t="s">
        <v>157</v>
      </c>
      <c r="C27" s="378" t="s">
        <v>15</v>
      </c>
    </row>
    <row r="28" ht="18.75" customHeight="1">
      <c r="A28" s="378">
        <v>10.0</v>
      </c>
      <c r="B28" s="378" t="s">
        <v>160</v>
      </c>
      <c r="C28" s="378" t="s">
        <v>16</v>
      </c>
    </row>
    <row r="29" ht="18.75" customHeight="1">
      <c r="B29" s="384"/>
      <c r="C29" s="378"/>
    </row>
    <row r="30" ht="18.75" customHeight="1">
      <c r="B30" s="384"/>
      <c r="C30" s="378"/>
    </row>
    <row r="31" ht="18.75" customHeight="1">
      <c r="B31" s="384"/>
      <c r="C31" s="378"/>
    </row>
    <row r="32" ht="18.75" customHeight="1">
      <c r="B32" s="384"/>
      <c r="C32" s="378"/>
    </row>
    <row r="33" ht="18.75" customHeight="1">
      <c r="B33" s="384"/>
      <c r="C33" s="378"/>
    </row>
    <row r="34" ht="18.75" customHeight="1">
      <c r="B34" s="384"/>
      <c r="C34" s="378"/>
    </row>
    <row r="35" ht="18.75" customHeight="1">
      <c r="B35" s="384"/>
      <c r="C35" s="378"/>
    </row>
    <row r="36" ht="18.75" customHeight="1">
      <c r="B36" s="384"/>
      <c r="C36" s="378"/>
    </row>
    <row r="37" ht="18.75" customHeight="1">
      <c r="B37" s="384"/>
      <c r="C37" s="378"/>
    </row>
    <row r="38" ht="18.75" customHeight="1">
      <c r="B38" s="384"/>
      <c r="C38" s="378"/>
    </row>
    <row r="39" ht="18.75" customHeight="1">
      <c r="B39" s="384"/>
      <c r="C39" s="378"/>
    </row>
    <row r="40" ht="18.75" customHeight="1">
      <c r="B40" s="384"/>
      <c r="C40" s="378"/>
    </row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</sheetData>
  <mergeCells count="39">
    <mergeCell ref="BC4:BH4"/>
    <mergeCell ref="BI4:BN4"/>
    <mergeCell ref="M4:R4"/>
    <mergeCell ref="S4:X4"/>
    <mergeCell ref="Y4:AD4"/>
    <mergeCell ref="AE4:AJ4"/>
    <mergeCell ref="AK4:AP4"/>
    <mergeCell ref="AQ4:AV4"/>
    <mergeCell ref="AW4:BB4"/>
    <mergeCell ref="AW16:BB17"/>
    <mergeCell ref="BC16:BH17"/>
    <mergeCell ref="BI16:BN17"/>
    <mergeCell ref="G16:L17"/>
    <mergeCell ref="M16:R17"/>
    <mergeCell ref="S16:X17"/>
    <mergeCell ref="Y16:AD17"/>
    <mergeCell ref="AE16:AJ17"/>
    <mergeCell ref="AK16:AP17"/>
    <mergeCell ref="AQ16:AV17"/>
    <mergeCell ref="AW18:BB18"/>
    <mergeCell ref="BC18:BH18"/>
    <mergeCell ref="BI18:BN18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A4:A5"/>
    <mergeCell ref="B4:B5"/>
    <mergeCell ref="C4:C5"/>
    <mergeCell ref="D4:D5"/>
    <mergeCell ref="E4:E5"/>
    <mergeCell ref="F4:F5"/>
    <mergeCell ref="G4:L4"/>
  </mergeCells>
  <conditionalFormatting sqref="G6:BN15">
    <cfRule type="containsText" dxfId="5" priority="1" operator="containsText" text="Мафия">
      <formula>NOT(ISERROR(SEARCH(("Мафия"),(G6))))</formula>
    </cfRule>
  </conditionalFormatting>
  <conditionalFormatting sqref="G6:BN15">
    <cfRule type="containsText" dxfId="6" priority="2" operator="containsText" text="Шериф">
      <formula>NOT(ISERROR(SEARCH(("Шериф"),(G6))))</formula>
    </cfRule>
  </conditionalFormatting>
  <conditionalFormatting sqref="G6:BN15">
    <cfRule type="containsText" dxfId="7" priority="3" operator="containsText" text="Дон">
      <formula>NOT(ISERROR(SEARCH(("Дон"),(G6))))</formula>
    </cfRule>
  </conditionalFormatting>
  <conditionalFormatting sqref="G6:BN15">
    <cfRule type="containsText" dxfId="8" priority="4" operator="containsText" text="ПУ">
      <formula>NOT(ISERROR(SEARCH(("ПУ"),(G6))))</formula>
    </cfRule>
  </conditionalFormatting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 AK18 AQ18 AW18 BC18 BI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6:B40">
      <formula1>'Последний Шанс'!$B$6:$B$15</formula1>
    </dataValidation>
    <dataValidation type="list" allowBlank="1" showErrorMessage="1" sqref="J6:J15 P6:P15 V6:V15 AB6:AB15 AH6:AH15 AN6:AN15 AT6:AT15 AZ6:AZ15 BF6:BF15 BL6:BL15">
      <formula1>"У/Победа,У/Проигрыш,ПУ"</formula1>
    </dataValidation>
    <dataValidation type="list" allowBlank="1" showErrorMessage="1" sqref="G6:G15 M6:M15 S6:S15 Y6:Y15 AE6:AE15 AK6:AK15 AQ6:AQ15 AW6:AW15 BC6:BC15 BI6:BI15">
      <formula1>"Мирный,Шериф,Мафия,Дон"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75"/>
    <col customWidth="1" min="3" max="3" width="21.25"/>
    <col customWidth="1" min="4" max="4" width="15.25"/>
    <col customWidth="1" min="10" max="10" width="15.13"/>
    <col customWidth="1" min="16" max="16" width="13.63"/>
    <col customWidth="1" min="22" max="22" width="13.75"/>
    <col customWidth="1" min="46" max="46" width="14.0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P1" s="448"/>
      <c r="AQ1" s="448"/>
      <c r="AR1" s="448"/>
      <c r="AS1" s="448"/>
      <c r="AT1" s="448"/>
      <c r="AU1" s="448"/>
      <c r="AV1" s="448"/>
      <c r="AW1" s="448"/>
      <c r="AX1" s="448"/>
      <c r="AY1" s="448"/>
      <c r="AZ1" s="448"/>
      <c r="BA1" s="448"/>
      <c r="BB1" s="448"/>
      <c r="BC1" s="448"/>
      <c r="BD1" s="448"/>
      <c r="BE1" s="448"/>
      <c r="BF1" s="448"/>
      <c r="BG1" s="448"/>
      <c r="BH1" s="448"/>
      <c r="BI1" s="448"/>
      <c r="BJ1" s="448"/>
      <c r="BK1" s="448"/>
      <c r="BL1" s="448"/>
      <c r="BM1" s="448"/>
      <c r="BN1" s="448"/>
    </row>
    <row r="2">
      <c r="A2" s="450" t="s">
        <v>324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448"/>
      <c r="AL2" s="448"/>
      <c r="AM2" s="448"/>
      <c r="AN2" s="448"/>
      <c r="AO2" s="448"/>
      <c r="AP2" s="448"/>
      <c r="AQ2" s="448"/>
      <c r="AR2" s="448"/>
      <c r="AS2" s="448"/>
      <c r="AT2" s="448"/>
      <c r="AU2" s="448"/>
      <c r="AV2" s="448"/>
      <c r="AW2" s="448"/>
      <c r="AX2" s="448"/>
      <c r="AY2" s="448"/>
      <c r="AZ2" s="448"/>
      <c r="BA2" s="448"/>
      <c r="BB2" s="448"/>
      <c r="BC2" s="448"/>
      <c r="BD2" s="448"/>
      <c r="BE2" s="448"/>
      <c r="BF2" s="448"/>
      <c r="BG2" s="448"/>
      <c r="BH2" s="448"/>
      <c r="BI2" s="448"/>
      <c r="BJ2" s="448"/>
      <c r="BK2" s="448"/>
      <c r="BL2" s="448"/>
      <c r="BM2" s="448"/>
      <c r="BN2" s="448"/>
    </row>
    <row r="3">
      <c r="A3" s="499"/>
      <c r="B3" s="499"/>
      <c r="C3" s="499"/>
      <c r="D3" s="445"/>
      <c r="E3" s="445"/>
      <c r="F3" s="445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  <c r="AY3" s="448"/>
      <c r="AZ3" s="448"/>
      <c r="BA3" s="448"/>
      <c r="BB3" s="448"/>
      <c r="BC3" s="448"/>
      <c r="BD3" s="448"/>
      <c r="BE3" s="448"/>
      <c r="BF3" s="448"/>
      <c r="BG3" s="448"/>
      <c r="BH3" s="448"/>
      <c r="BI3" s="448"/>
      <c r="BJ3" s="448"/>
      <c r="BK3" s="448"/>
      <c r="BL3" s="448"/>
      <c r="BM3" s="448"/>
      <c r="BN3" s="448"/>
    </row>
    <row r="4">
      <c r="A4" s="501" t="s">
        <v>1</v>
      </c>
      <c r="B4" s="502" t="s">
        <v>291</v>
      </c>
      <c r="C4" s="503" t="s">
        <v>298</v>
      </c>
      <c r="D4" s="504" t="s">
        <v>12</v>
      </c>
      <c r="E4" s="505" t="s">
        <v>7</v>
      </c>
      <c r="F4" s="506" t="s">
        <v>299</v>
      </c>
      <c r="G4" s="507" t="s">
        <v>250</v>
      </c>
      <c r="H4" s="189"/>
      <c r="I4" s="189"/>
      <c r="J4" s="189"/>
      <c r="K4" s="189"/>
      <c r="L4" s="508"/>
      <c r="M4" s="507" t="s">
        <v>300</v>
      </c>
      <c r="N4" s="189"/>
      <c r="O4" s="189"/>
      <c r="P4" s="189"/>
      <c r="Q4" s="189"/>
      <c r="R4" s="508"/>
      <c r="S4" s="507" t="s">
        <v>301</v>
      </c>
      <c r="T4" s="189"/>
      <c r="U4" s="189"/>
      <c r="V4" s="189"/>
      <c r="W4" s="189"/>
      <c r="X4" s="508"/>
      <c r="Y4" s="507" t="s">
        <v>302</v>
      </c>
      <c r="Z4" s="189"/>
      <c r="AA4" s="189"/>
      <c r="AB4" s="189"/>
      <c r="AC4" s="189"/>
      <c r="AD4" s="508"/>
      <c r="AE4" s="507" t="s">
        <v>303</v>
      </c>
      <c r="AF4" s="189"/>
      <c r="AG4" s="189"/>
      <c r="AH4" s="189"/>
      <c r="AI4" s="189"/>
      <c r="AJ4" s="508"/>
      <c r="AK4" s="380" t="s">
        <v>304</v>
      </c>
      <c r="AL4" s="187"/>
      <c r="AM4" s="187"/>
      <c r="AN4" s="187"/>
      <c r="AO4" s="187"/>
      <c r="AP4" s="188"/>
      <c r="AQ4" s="380" t="s">
        <v>305</v>
      </c>
      <c r="AR4" s="187"/>
      <c r="AS4" s="187"/>
      <c r="AT4" s="187"/>
      <c r="AU4" s="187"/>
      <c r="AV4" s="188"/>
      <c r="AW4" s="380" t="s">
        <v>306</v>
      </c>
      <c r="AX4" s="187"/>
      <c r="AY4" s="187"/>
      <c r="AZ4" s="187"/>
      <c r="BA4" s="187"/>
      <c r="BB4" s="188"/>
      <c r="BC4" s="380" t="s">
        <v>307</v>
      </c>
      <c r="BD4" s="187"/>
      <c r="BE4" s="187"/>
      <c r="BF4" s="187"/>
      <c r="BG4" s="187"/>
      <c r="BH4" s="188"/>
      <c r="BI4" s="380" t="s">
        <v>308</v>
      </c>
      <c r="BJ4" s="187"/>
      <c r="BK4" s="187"/>
      <c r="BL4" s="187"/>
      <c r="BM4" s="187"/>
      <c r="BN4" s="188"/>
    </row>
    <row r="5">
      <c r="A5" s="386"/>
      <c r="B5" s="508"/>
      <c r="C5" s="189"/>
      <c r="D5" s="509"/>
      <c r="E5" s="509"/>
      <c r="F5" s="510"/>
      <c r="G5" s="382" t="s">
        <v>255</v>
      </c>
      <c r="H5" s="382" t="s">
        <v>7</v>
      </c>
      <c r="I5" s="382" t="s">
        <v>8</v>
      </c>
      <c r="J5" s="382" t="s">
        <v>256</v>
      </c>
      <c r="K5" s="382" t="s">
        <v>9</v>
      </c>
      <c r="L5" s="511" t="s">
        <v>10</v>
      </c>
      <c r="M5" s="382" t="s">
        <v>255</v>
      </c>
      <c r="N5" s="382" t="s">
        <v>7</v>
      </c>
      <c r="O5" s="382" t="s">
        <v>8</v>
      </c>
      <c r="P5" s="382" t="s">
        <v>256</v>
      </c>
      <c r="Q5" s="382" t="s">
        <v>9</v>
      </c>
      <c r="R5" s="511" t="s">
        <v>10</v>
      </c>
      <c r="S5" s="382" t="s">
        <v>255</v>
      </c>
      <c r="T5" s="382" t="s">
        <v>7</v>
      </c>
      <c r="U5" s="382" t="s">
        <v>8</v>
      </c>
      <c r="V5" s="382" t="s">
        <v>256</v>
      </c>
      <c r="W5" s="382" t="s">
        <v>9</v>
      </c>
      <c r="X5" s="511" t="s">
        <v>10</v>
      </c>
      <c r="Y5" s="382" t="s">
        <v>255</v>
      </c>
      <c r="Z5" s="382" t="s">
        <v>7</v>
      </c>
      <c r="AA5" s="382" t="s">
        <v>8</v>
      </c>
      <c r="AB5" s="382" t="s">
        <v>309</v>
      </c>
      <c r="AC5" s="382" t="s">
        <v>9</v>
      </c>
      <c r="AD5" s="511" t="s">
        <v>10</v>
      </c>
      <c r="AE5" s="382" t="s">
        <v>255</v>
      </c>
      <c r="AF5" s="382" t="s">
        <v>7</v>
      </c>
      <c r="AG5" s="382" t="s">
        <v>8</v>
      </c>
      <c r="AH5" s="382" t="s">
        <v>256</v>
      </c>
      <c r="AI5" s="382" t="s">
        <v>9</v>
      </c>
      <c r="AJ5" s="511" t="s">
        <v>10</v>
      </c>
      <c r="AK5" s="382" t="s">
        <v>255</v>
      </c>
      <c r="AL5" s="382" t="s">
        <v>7</v>
      </c>
      <c r="AM5" s="382" t="s">
        <v>8</v>
      </c>
      <c r="AN5" s="382" t="s">
        <v>256</v>
      </c>
      <c r="AO5" s="382" t="s">
        <v>9</v>
      </c>
      <c r="AP5" s="511" t="s">
        <v>10</v>
      </c>
      <c r="AQ5" s="382" t="s">
        <v>255</v>
      </c>
      <c r="AR5" s="382" t="s">
        <v>7</v>
      </c>
      <c r="AS5" s="382" t="s">
        <v>8</v>
      </c>
      <c r="AT5" s="382" t="s">
        <v>256</v>
      </c>
      <c r="AU5" s="382" t="s">
        <v>9</v>
      </c>
      <c r="AV5" s="511" t="s">
        <v>10</v>
      </c>
      <c r="AW5" s="382" t="s">
        <v>255</v>
      </c>
      <c r="AX5" s="382" t="s">
        <v>7</v>
      </c>
      <c r="AY5" s="382" t="s">
        <v>8</v>
      </c>
      <c r="AZ5" s="382" t="s">
        <v>256</v>
      </c>
      <c r="BA5" s="382" t="s">
        <v>9</v>
      </c>
      <c r="BB5" s="511" t="s">
        <v>10</v>
      </c>
      <c r="BC5" s="382" t="s">
        <v>255</v>
      </c>
      <c r="BD5" s="382" t="s">
        <v>7</v>
      </c>
      <c r="BE5" s="382" t="s">
        <v>8</v>
      </c>
      <c r="BF5" s="382" t="s">
        <v>256</v>
      </c>
      <c r="BG5" s="382" t="s">
        <v>9</v>
      </c>
      <c r="BH5" s="511" t="s">
        <v>10</v>
      </c>
      <c r="BI5" s="382" t="s">
        <v>255</v>
      </c>
      <c r="BJ5" s="382" t="s">
        <v>7</v>
      </c>
      <c r="BK5" s="382" t="s">
        <v>8</v>
      </c>
      <c r="BL5" s="382" t="s">
        <v>256</v>
      </c>
      <c r="BM5" s="382" t="s">
        <v>9</v>
      </c>
      <c r="BN5" s="511" t="s">
        <v>10</v>
      </c>
    </row>
    <row r="6">
      <c r="A6" s="512">
        <v>1.0</v>
      </c>
      <c r="B6" s="513" t="s">
        <v>177</v>
      </c>
      <c r="C6" s="514">
        <f t="shared" ref="C6:C15" si="1">SUM(H6:BN6)</f>
        <v>48.25</v>
      </c>
      <c r="D6" s="515">
        <f t="shared" ref="D6:D15" si="2">E6/2.5</f>
        <v>7</v>
      </c>
      <c r="E6" s="516">
        <f t="shared" ref="E6:E15" si="3">SUM(H6+N6+T6+Z6+AF6+AL6+AR6+AX6+BD6+BJ6)</f>
        <v>17.5</v>
      </c>
      <c r="F6" s="517">
        <f t="shared" ref="F6:F15" si="4">C6-E6</f>
        <v>30.75</v>
      </c>
      <c r="G6" s="518" t="s">
        <v>261</v>
      </c>
      <c r="H6" s="519">
        <v>2.5</v>
      </c>
      <c r="I6" s="520">
        <v>3.75</v>
      </c>
      <c r="J6" s="63"/>
      <c r="K6" s="522"/>
      <c r="L6" s="521"/>
      <c r="M6" s="518" t="s">
        <v>261</v>
      </c>
      <c r="N6" s="519">
        <v>2.5</v>
      </c>
      <c r="O6" s="520">
        <v>3.5</v>
      </c>
      <c r="P6" s="63"/>
      <c r="Q6" s="520"/>
      <c r="R6" s="521"/>
      <c r="S6" s="63" t="s">
        <v>269</v>
      </c>
      <c r="T6" s="519">
        <v>2.5</v>
      </c>
      <c r="U6" s="520">
        <v>2.5</v>
      </c>
      <c r="V6" s="61"/>
      <c r="W6" s="522"/>
      <c r="X6" s="521"/>
      <c r="Y6" s="63" t="s">
        <v>261</v>
      </c>
      <c r="Z6" s="519">
        <v>2.5</v>
      </c>
      <c r="AA6" s="520">
        <v>3.25</v>
      </c>
      <c r="AB6" s="61"/>
      <c r="AC6" s="522"/>
      <c r="AD6" s="521"/>
      <c r="AE6" s="63" t="s">
        <v>261</v>
      </c>
      <c r="AF6" s="519"/>
      <c r="AG6" s="520">
        <v>2.0</v>
      </c>
      <c r="AH6" s="63"/>
      <c r="AI6" s="520"/>
      <c r="AJ6" s="523"/>
      <c r="AK6" s="63" t="s">
        <v>261</v>
      </c>
      <c r="AL6" s="519">
        <v>2.5</v>
      </c>
      <c r="AM6" s="520">
        <v>2.75</v>
      </c>
      <c r="AN6" s="63" t="s">
        <v>11</v>
      </c>
      <c r="AO6" s="520"/>
      <c r="AP6" s="523">
        <v>0.25</v>
      </c>
      <c r="AQ6" s="63" t="s">
        <v>269</v>
      </c>
      <c r="AR6" s="519">
        <v>2.5</v>
      </c>
      <c r="AS6" s="520">
        <v>3.75</v>
      </c>
      <c r="AT6" s="63"/>
      <c r="AU6" s="520"/>
      <c r="AV6" s="523"/>
      <c r="AW6" s="63" t="s">
        <v>261</v>
      </c>
      <c r="AX6" s="519">
        <v>2.5</v>
      </c>
      <c r="AY6" s="520">
        <v>3.75</v>
      </c>
      <c r="AZ6" s="63"/>
      <c r="BA6" s="520"/>
      <c r="BB6" s="523"/>
      <c r="BC6" s="63" t="s">
        <v>261</v>
      </c>
      <c r="BD6" s="519"/>
      <c r="BE6" s="520">
        <v>2.0</v>
      </c>
      <c r="BF6" s="63"/>
      <c r="BG6" s="520"/>
      <c r="BH6" s="523"/>
      <c r="BI6" s="63" t="s">
        <v>261</v>
      </c>
      <c r="BJ6" s="519"/>
      <c r="BK6" s="520">
        <v>3.25</v>
      </c>
      <c r="BL6" s="63"/>
      <c r="BM6" s="520"/>
      <c r="BN6" s="523"/>
    </row>
    <row r="7">
      <c r="A7" s="512">
        <v>2.0</v>
      </c>
      <c r="B7" s="513" t="s">
        <v>138</v>
      </c>
      <c r="C7" s="514">
        <f t="shared" si="1"/>
        <v>47.5</v>
      </c>
      <c r="D7" s="515">
        <f t="shared" si="2"/>
        <v>7</v>
      </c>
      <c r="E7" s="516">
        <f t="shared" si="3"/>
        <v>17.5</v>
      </c>
      <c r="F7" s="517">
        <f t="shared" si="4"/>
        <v>30</v>
      </c>
      <c r="G7" s="518" t="s">
        <v>261</v>
      </c>
      <c r="H7" s="519">
        <v>2.5</v>
      </c>
      <c r="I7" s="526">
        <v>4.0</v>
      </c>
      <c r="J7" s="63"/>
      <c r="K7" s="522"/>
      <c r="L7" s="523"/>
      <c r="M7" s="518" t="s">
        <v>261</v>
      </c>
      <c r="N7" s="519">
        <v>2.5</v>
      </c>
      <c r="O7" s="526">
        <v>3.75</v>
      </c>
      <c r="P7" s="63" t="s">
        <v>260</v>
      </c>
      <c r="Q7" s="520"/>
      <c r="R7" s="523"/>
      <c r="S7" s="63" t="s">
        <v>265</v>
      </c>
      <c r="T7" s="519">
        <v>2.5</v>
      </c>
      <c r="U7" s="520">
        <v>2.5</v>
      </c>
      <c r="V7" s="63"/>
      <c r="W7" s="520"/>
      <c r="X7" s="523"/>
      <c r="Y7" s="63" t="s">
        <v>261</v>
      </c>
      <c r="Z7" s="519">
        <v>2.5</v>
      </c>
      <c r="AA7" s="520">
        <v>3.5</v>
      </c>
      <c r="AB7" s="61"/>
      <c r="AC7" s="522"/>
      <c r="AD7" s="521"/>
      <c r="AE7" s="63" t="s">
        <v>261</v>
      </c>
      <c r="AF7" s="519"/>
      <c r="AG7" s="520">
        <v>2.75</v>
      </c>
      <c r="AH7" s="63"/>
      <c r="AI7" s="522"/>
      <c r="AJ7" s="523"/>
      <c r="AK7" s="63" t="s">
        <v>269</v>
      </c>
      <c r="AL7" s="519"/>
      <c r="AM7" s="520">
        <v>2.75</v>
      </c>
      <c r="AN7" s="61"/>
      <c r="AO7" s="522"/>
      <c r="AP7" s="521"/>
      <c r="AQ7" s="63" t="s">
        <v>261</v>
      </c>
      <c r="AR7" s="519"/>
      <c r="AS7" s="520">
        <v>1.75</v>
      </c>
      <c r="AT7" s="61"/>
      <c r="AU7" s="522"/>
      <c r="AV7" s="521"/>
      <c r="AW7" s="63" t="s">
        <v>261</v>
      </c>
      <c r="AX7" s="519">
        <v>2.5</v>
      </c>
      <c r="AY7" s="520">
        <v>2.75</v>
      </c>
      <c r="AZ7" s="63"/>
      <c r="BA7" s="522"/>
      <c r="BB7" s="523"/>
      <c r="BC7" s="63" t="s">
        <v>265</v>
      </c>
      <c r="BD7" s="519">
        <v>2.5</v>
      </c>
      <c r="BE7" s="520">
        <v>1.75</v>
      </c>
      <c r="BF7" s="61"/>
      <c r="BG7" s="522"/>
      <c r="BH7" s="521"/>
      <c r="BI7" s="63" t="s">
        <v>269</v>
      </c>
      <c r="BJ7" s="519">
        <v>2.5</v>
      </c>
      <c r="BK7" s="520">
        <v>4.5</v>
      </c>
      <c r="BL7" s="61"/>
      <c r="BM7" s="522"/>
      <c r="BN7" s="521"/>
    </row>
    <row r="8">
      <c r="A8" s="512">
        <v>3.0</v>
      </c>
      <c r="B8" s="513" t="s">
        <v>123</v>
      </c>
      <c r="C8" s="514">
        <f t="shared" si="1"/>
        <v>46.5</v>
      </c>
      <c r="D8" s="515">
        <f t="shared" si="2"/>
        <v>6</v>
      </c>
      <c r="E8" s="516">
        <f t="shared" si="3"/>
        <v>15</v>
      </c>
      <c r="F8" s="517">
        <f t="shared" si="4"/>
        <v>31.5</v>
      </c>
      <c r="G8" s="518" t="s">
        <v>265</v>
      </c>
      <c r="H8" s="519"/>
      <c r="I8" s="520">
        <v>2.5</v>
      </c>
      <c r="J8" s="61"/>
      <c r="K8" s="522"/>
      <c r="L8" s="521"/>
      <c r="M8" s="518" t="s">
        <v>269</v>
      </c>
      <c r="N8" s="525"/>
      <c r="O8" s="520">
        <v>2.5</v>
      </c>
      <c r="P8" s="63"/>
      <c r="Q8" s="520"/>
      <c r="R8" s="521"/>
      <c r="S8" s="63" t="s">
        <v>269</v>
      </c>
      <c r="T8" s="519">
        <v>2.5</v>
      </c>
      <c r="U8" s="520">
        <v>4.0</v>
      </c>
      <c r="V8" s="63" t="s">
        <v>260</v>
      </c>
      <c r="W8" s="522"/>
      <c r="X8" s="521"/>
      <c r="Y8" s="63" t="s">
        <v>261</v>
      </c>
      <c r="Z8" s="519">
        <v>2.5</v>
      </c>
      <c r="AA8" s="520">
        <v>3.5</v>
      </c>
      <c r="AB8" s="63" t="s">
        <v>260</v>
      </c>
      <c r="AC8" s="522"/>
      <c r="AD8" s="521"/>
      <c r="AE8" s="63" t="s">
        <v>265</v>
      </c>
      <c r="AF8" s="519">
        <v>2.5</v>
      </c>
      <c r="AG8" s="520">
        <v>2.75</v>
      </c>
      <c r="AH8" s="61"/>
      <c r="AI8" s="522"/>
      <c r="AJ8" s="521"/>
      <c r="AK8" s="63" t="s">
        <v>261</v>
      </c>
      <c r="AL8" s="519">
        <v>2.5</v>
      </c>
      <c r="AM8" s="520">
        <v>3.0</v>
      </c>
      <c r="AN8" s="61"/>
      <c r="AO8" s="522"/>
      <c r="AP8" s="521"/>
      <c r="AQ8" s="63" t="s">
        <v>269</v>
      </c>
      <c r="AR8" s="519">
        <v>2.5</v>
      </c>
      <c r="AS8" s="520">
        <v>3.75</v>
      </c>
      <c r="AT8" s="63"/>
      <c r="AU8" s="522"/>
      <c r="AV8" s="523"/>
      <c r="AW8" s="63" t="s">
        <v>261</v>
      </c>
      <c r="AX8" s="519">
        <v>2.5</v>
      </c>
      <c r="AY8" s="520">
        <v>4.0</v>
      </c>
      <c r="AZ8" s="61"/>
      <c r="BA8" s="522"/>
      <c r="BB8" s="521"/>
      <c r="BC8" s="63" t="s">
        <v>271</v>
      </c>
      <c r="BD8" s="519"/>
      <c r="BE8" s="520">
        <v>3.0</v>
      </c>
      <c r="BF8" s="63" t="s">
        <v>11</v>
      </c>
      <c r="BG8" s="520">
        <v>0.5</v>
      </c>
      <c r="BH8" s="523">
        <v>0.5</v>
      </c>
      <c r="BI8" s="63" t="s">
        <v>261</v>
      </c>
      <c r="BJ8" s="519"/>
      <c r="BK8" s="520">
        <v>1.5</v>
      </c>
      <c r="BL8" s="61"/>
      <c r="BM8" s="522"/>
      <c r="BN8" s="521"/>
    </row>
    <row r="9">
      <c r="A9" s="512">
        <v>4.0</v>
      </c>
      <c r="B9" s="513" t="s">
        <v>159</v>
      </c>
      <c r="C9" s="514">
        <f t="shared" si="1"/>
        <v>40.75</v>
      </c>
      <c r="D9" s="515">
        <f t="shared" si="2"/>
        <v>5</v>
      </c>
      <c r="E9" s="516">
        <f t="shared" si="3"/>
        <v>12.5</v>
      </c>
      <c r="F9" s="517">
        <f t="shared" si="4"/>
        <v>28.25</v>
      </c>
      <c r="G9" s="518" t="s">
        <v>261</v>
      </c>
      <c r="H9" s="525">
        <v>2.5</v>
      </c>
      <c r="I9" s="520">
        <v>3.0</v>
      </c>
      <c r="J9" s="63"/>
      <c r="K9" s="522"/>
      <c r="L9" s="521"/>
      <c r="M9" s="518" t="s">
        <v>261</v>
      </c>
      <c r="N9" s="519">
        <v>2.5</v>
      </c>
      <c r="O9" s="520">
        <v>3.5</v>
      </c>
      <c r="P9" s="63"/>
      <c r="Q9" s="520"/>
      <c r="R9" s="521"/>
      <c r="S9" s="63" t="s">
        <v>261</v>
      </c>
      <c r="T9" s="519"/>
      <c r="U9" s="520">
        <v>2.25</v>
      </c>
      <c r="V9" s="63" t="s">
        <v>11</v>
      </c>
      <c r="W9" s="522"/>
      <c r="X9" s="523">
        <v>0.5</v>
      </c>
      <c r="Y9" s="63" t="s">
        <v>269</v>
      </c>
      <c r="Z9" s="519"/>
      <c r="AA9" s="520">
        <v>2.75</v>
      </c>
      <c r="AB9" s="63" t="s">
        <v>263</v>
      </c>
      <c r="AC9" s="520"/>
      <c r="AD9" s="523"/>
      <c r="AE9" s="63" t="s">
        <v>271</v>
      </c>
      <c r="AF9" s="527"/>
      <c r="AG9" s="520">
        <v>2.75</v>
      </c>
      <c r="AH9" s="61"/>
      <c r="AI9" s="522"/>
      <c r="AJ9" s="521"/>
      <c r="AK9" s="63" t="s">
        <v>261</v>
      </c>
      <c r="AL9" s="519">
        <v>2.5</v>
      </c>
      <c r="AM9" s="520">
        <v>2.75</v>
      </c>
      <c r="AN9" s="61"/>
      <c r="AO9" s="522"/>
      <c r="AP9" s="521"/>
      <c r="AQ9" s="63" t="s">
        <v>261</v>
      </c>
      <c r="AR9" s="519"/>
      <c r="AS9" s="520">
        <v>2.25</v>
      </c>
      <c r="AT9" s="61"/>
      <c r="AU9" s="522"/>
      <c r="AV9" s="521"/>
      <c r="AW9" s="63" t="s">
        <v>261</v>
      </c>
      <c r="AX9" s="519">
        <v>2.5</v>
      </c>
      <c r="AY9" s="520">
        <v>2.75</v>
      </c>
      <c r="AZ9" s="61"/>
      <c r="BA9" s="522"/>
      <c r="BB9" s="521"/>
      <c r="BC9" s="63" t="s">
        <v>269</v>
      </c>
      <c r="BD9" s="519">
        <v>2.5</v>
      </c>
      <c r="BE9" s="520">
        <v>2.5</v>
      </c>
      <c r="BF9" s="61"/>
      <c r="BG9" s="522"/>
      <c r="BH9" s="521"/>
      <c r="BI9" s="63" t="s">
        <v>271</v>
      </c>
      <c r="BJ9" s="527"/>
      <c r="BK9" s="520">
        <v>2.25</v>
      </c>
      <c r="BL9" s="63" t="s">
        <v>11</v>
      </c>
      <c r="BM9" s="522"/>
      <c r="BN9" s="523">
        <v>1.0</v>
      </c>
    </row>
    <row r="10">
      <c r="A10" s="512">
        <v>5.0</v>
      </c>
      <c r="B10" s="513" t="s">
        <v>160</v>
      </c>
      <c r="C10" s="514">
        <f t="shared" si="1"/>
        <v>39.75</v>
      </c>
      <c r="D10" s="515">
        <f t="shared" si="2"/>
        <v>4</v>
      </c>
      <c r="E10" s="516">
        <f t="shared" si="3"/>
        <v>10</v>
      </c>
      <c r="F10" s="517">
        <f t="shared" si="4"/>
        <v>29.75</v>
      </c>
      <c r="G10" s="518" t="s">
        <v>271</v>
      </c>
      <c r="H10" s="524">
        <v>2.5</v>
      </c>
      <c r="I10" s="520">
        <v>4.0</v>
      </c>
      <c r="J10" s="63"/>
      <c r="K10" s="520"/>
      <c r="L10" s="521"/>
      <c r="M10" s="518" t="s">
        <v>265</v>
      </c>
      <c r="N10" s="525"/>
      <c r="O10" s="520">
        <v>2.0</v>
      </c>
      <c r="P10" s="63"/>
      <c r="Q10" s="520"/>
      <c r="R10" s="521"/>
      <c r="S10" s="63" t="s">
        <v>261</v>
      </c>
      <c r="T10" s="519"/>
      <c r="U10" s="520">
        <v>2.75</v>
      </c>
      <c r="V10" s="61"/>
      <c r="W10" s="522"/>
      <c r="X10" s="521"/>
      <c r="Y10" s="63" t="s">
        <v>269</v>
      </c>
      <c r="Z10" s="519"/>
      <c r="AA10" s="520">
        <v>2.5</v>
      </c>
      <c r="AB10" s="63"/>
      <c r="AC10" s="522"/>
      <c r="AD10" s="521"/>
      <c r="AE10" s="63" t="s">
        <v>261</v>
      </c>
      <c r="AF10" s="519"/>
      <c r="AG10" s="520">
        <v>2.5</v>
      </c>
      <c r="AH10" s="63" t="s">
        <v>263</v>
      </c>
      <c r="AI10" s="522"/>
      <c r="AJ10" s="521"/>
      <c r="AK10" s="63" t="s">
        <v>261</v>
      </c>
      <c r="AL10" s="519">
        <v>2.5</v>
      </c>
      <c r="AM10" s="520">
        <v>3.75</v>
      </c>
      <c r="AN10" s="61"/>
      <c r="AO10" s="522"/>
      <c r="AP10" s="521"/>
      <c r="AQ10" s="63" t="s">
        <v>265</v>
      </c>
      <c r="AR10" s="519">
        <v>2.5</v>
      </c>
      <c r="AS10" s="520">
        <v>4.0</v>
      </c>
      <c r="AT10" s="61"/>
      <c r="AU10" s="522"/>
      <c r="AV10" s="521"/>
      <c r="AW10" s="63" t="s">
        <v>261</v>
      </c>
      <c r="AX10" s="519">
        <v>2.5</v>
      </c>
      <c r="AY10" s="520">
        <v>3.25</v>
      </c>
      <c r="AZ10" s="63"/>
      <c r="BA10" s="522"/>
      <c r="BB10" s="521"/>
      <c r="BC10" s="63" t="s">
        <v>261</v>
      </c>
      <c r="BD10" s="519"/>
      <c r="BE10" s="520">
        <v>2.0</v>
      </c>
      <c r="BF10" s="61"/>
      <c r="BG10" s="522"/>
      <c r="BH10" s="521"/>
      <c r="BI10" s="63" t="s">
        <v>261</v>
      </c>
      <c r="BJ10" s="519"/>
      <c r="BK10" s="520">
        <v>3.0</v>
      </c>
      <c r="BL10" s="61"/>
      <c r="BM10" s="522"/>
      <c r="BN10" s="521"/>
    </row>
    <row r="11">
      <c r="A11" s="512">
        <v>6.0</v>
      </c>
      <c r="B11" s="513" t="s">
        <v>157</v>
      </c>
      <c r="C11" s="514">
        <f t="shared" si="1"/>
        <v>38.5</v>
      </c>
      <c r="D11" s="515">
        <f t="shared" si="2"/>
        <v>5</v>
      </c>
      <c r="E11" s="516">
        <f t="shared" si="3"/>
        <v>12.5</v>
      </c>
      <c r="F11" s="517">
        <f t="shared" si="4"/>
        <v>26</v>
      </c>
      <c r="G11" s="518" t="s">
        <v>261</v>
      </c>
      <c r="H11" s="519">
        <v>2.5</v>
      </c>
      <c r="I11" s="520">
        <v>2.75</v>
      </c>
      <c r="J11" s="63" t="s">
        <v>11</v>
      </c>
      <c r="K11" s="522"/>
      <c r="L11" s="523">
        <v>0.25</v>
      </c>
      <c r="M11" s="518" t="s">
        <v>261</v>
      </c>
      <c r="N11" s="519">
        <v>2.5</v>
      </c>
      <c r="O11" s="520">
        <v>2.5</v>
      </c>
      <c r="P11" s="63" t="s">
        <v>11</v>
      </c>
      <c r="Q11" s="520"/>
      <c r="R11" s="523">
        <v>0.5</v>
      </c>
      <c r="S11" s="63" t="s">
        <v>271</v>
      </c>
      <c r="T11" s="519"/>
      <c r="U11" s="520">
        <v>2.75</v>
      </c>
      <c r="V11" s="63"/>
      <c r="W11" s="522"/>
      <c r="X11" s="521"/>
      <c r="Y11" s="63" t="s">
        <v>261</v>
      </c>
      <c r="Z11" s="519">
        <v>2.5</v>
      </c>
      <c r="AA11" s="520">
        <v>3.25</v>
      </c>
      <c r="AB11" s="63"/>
      <c r="AC11" s="522"/>
      <c r="AD11" s="521"/>
      <c r="AE11" s="63" t="s">
        <v>261</v>
      </c>
      <c r="AF11" s="519"/>
      <c r="AG11" s="520">
        <v>2.0</v>
      </c>
      <c r="AH11" s="61"/>
      <c r="AI11" s="522"/>
      <c r="AJ11" s="521"/>
      <c r="AK11" s="63" t="s">
        <v>271</v>
      </c>
      <c r="AL11" s="519">
        <v>2.5</v>
      </c>
      <c r="AM11" s="520">
        <v>3.0</v>
      </c>
      <c r="AN11" s="61"/>
      <c r="AO11" s="522"/>
      <c r="AP11" s="521"/>
      <c r="AQ11" s="63" t="s">
        <v>261</v>
      </c>
      <c r="AR11" s="519"/>
      <c r="AS11" s="520">
        <v>1.75</v>
      </c>
      <c r="AT11" s="61"/>
      <c r="AU11" s="522"/>
      <c r="AV11" s="521"/>
      <c r="AW11" s="63" t="s">
        <v>269</v>
      </c>
      <c r="AX11" s="519"/>
      <c r="AY11" s="520">
        <v>2.5</v>
      </c>
      <c r="AZ11" s="61"/>
      <c r="BA11" s="522"/>
      <c r="BB11" s="521"/>
      <c r="BC11" s="63" t="s">
        <v>261</v>
      </c>
      <c r="BD11" s="519"/>
      <c r="BE11" s="520">
        <v>2.25</v>
      </c>
      <c r="BF11" s="61"/>
      <c r="BG11" s="522"/>
      <c r="BH11" s="521"/>
      <c r="BI11" s="63" t="s">
        <v>265</v>
      </c>
      <c r="BJ11" s="519">
        <v>2.5</v>
      </c>
      <c r="BK11" s="520">
        <v>2.5</v>
      </c>
      <c r="BL11" s="61"/>
      <c r="BM11" s="522"/>
      <c r="BN11" s="521"/>
    </row>
    <row r="12">
      <c r="A12" s="512">
        <v>7.0</v>
      </c>
      <c r="B12" s="513" t="s">
        <v>85</v>
      </c>
      <c r="C12" s="514">
        <f t="shared" si="1"/>
        <v>38.5</v>
      </c>
      <c r="D12" s="515">
        <f t="shared" si="2"/>
        <v>5</v>
      </c>
      <c r="E12" s="516">
        <f t="shared" si="3"/>
        <v>12.5</v>
      </c>
      <c r="F12" s="517">
        <f t="shared" si="4"/>
        <v>26</v>
      </c>
      <c r="G12" s="518" t="s">
        <v>261</v>
      </c>
      <c r="H12" s="519">
        <v>2.5</v>
      </c>
      <c r="I12" s="520">
        <v>3.5</v>
      </c>
      <c r="J12" s="61"/>
      <c r="K12" s="522"/>
      <c r="L12" s="521"/>
      <c r="M12" s="518" t="s">
        <v>261</v>
      </c>
      <c r="N12" s="519">
        <v>2.5</v>
      </c>
      <c r="O12" s="520">
        <v>1.5</v>
      </c>
      <c r="P12" s="63"/>
      <c r="Q12" s="520"/>
      <c r="R12" s="521"/>
      <c r="S12" s="63" t="s">
        <v>261</v>
      </c>
      <c r="T12" s="519"/>
      <c r="U12" s="520">
        <v>2.0</v>
      </c>
      <c r="V12" s="63" t="s">
        <v>263</v>
      </c>
      <c r="W12" s="522"/>
      <c r="X12" s="521"/>
      <c r="Y12" s="63" t="s">
        <v>261</v>
      </c>
      <c r="Z12" s="519">
        <v>2.5</v>
      </c>
      <c r="AA12" s="520">
        <v>2.75</v>
      </c>
      <c r="AB12" s="63" t="s">
        <v>11</v>
      </c>
      <c r="AC12" s="522"/>
      <c r="AD12" s="523">
        <v>0.25</v>
      </c>
      <c r="AE12" s="63" t="s">
        <v>269</v>
      </c>
      <c r="AF12" s="519">
        <v>2.5</v>
      </c>
      <c r="AG12" s="520">
        <v>3.75</v>
      </c>
      <c r="AH12" s="63" t="s">
        <v>260</v>
      </c>
      <c r="AI12" s="522"/>
      <c r="AJ12" s="521"/>
      <c r="AK12" s="63" t="s">
        <v>261</v>
      </c>
      <c r="AL12" s="519">
        <v>2.5</v>
      </c>
      <c r="AM12" s="520">
        <v>3.75</v>
      </c>
      <c r="AN12" s="61"/>
      <c r="AO12" s="522"/>
      <c r="AP12" s="521"/>
      <c r="AQ12" s="63" t="s">
        <v>261</v>
      </c>
      <c r="AR12" s="519"/>
      <c r="AS12" s="520">
        <v>2.5</v>
      </c>
      <c r="AT12" s="61"/>
      <c r="AU12" s="522"/>
      <c r="AV12" s="521"/>
      <c r="AW12" s="63" t="s">
        <v>269</v>
      </c>
      <c r="AX12" s="519"/>
      <c r="AY12" s="520">
        <v>2.5</v>
      </c>
      <c r="AZ12" s="61"/>
      <c r="BA12" s="522"/>
      <c r="BB12" s="521"/>
      <c r="BC12" s="63" t="s">
        <v>261</v>
      </c>
      <c r="BD12" s="519"/>
      <c r="BE12" s="520">
        <v>1.75</v>
      </c>
      <c r="BF12" s="61"/>
      <c r="BG12" s="522"/>
      <c r="BH12" s="521"/>
      <c r="BI12" s="63" t="s">
        <v>261</v>
      </c>
      <c r="BJ12" s="519"/>
      <c r="BK12" s="520">
        <v>1.75</v>
      </c>
      <c r="BL12" s="61"/>
      <c r="BM12" s="522"/>
      <c r="BN12" s="521"/>
    </row>
    <row r="13">
      <c r="A13" s="512">
        <v>8.0</v>
      </c>
      <c r="B13" s="513" t="s">
        <v>167</v>
      </c>
      <c r="C13" s="514">
        <f t="shared" si="1"/>
        <v>36</v>
      </c>
      <c r="D13" s="515">
        <f t="shared" si="2"/>
        <v>4</v>
      </c>
      <c r="E13" s="516">
        <f t="shared" si="3"/>
        <v>10</v>
      </c>
      <c r="F13" s="517">
        <f t="shared" si="4"/>
        <v>26</v>
      </c>
      <c r="G13" s="518" t="s">
        <v>261</v>
      </c>
      <c r="H13" s="524">
        <v>2.5</v>
      </c>
      <c r="I13" s="520">
        <v>3.5</v>
      </c>
      <c r="J13" s="63"/>
      <c r="K13" s="520"/>
      <c r="L13" s="523"/>
      <c r="M13" s="518" t="s">
        <v>271</v>
      </c>
      <c r="N13" s="525">
        <v>2.5</v>
      </c>
      <c r="O13" s="520">
        <v>2.75</v>
      </c>
      <c r="P13" s="63"/>
      <c r="Q13" s="520"/>
      <c r="R13" s="523"/>
      <c r="S13" s="63" t="s">
        <v>261</v>
      </c>
      <c r="T13" s="519"/>
      <c r="U13" s="520">
        <v>2.75</v>
      </c>
      <c r="V13" s="63"/>
      <c r="W13" s="522"/>
      <c r="X13" s="521"/>
      <c r="Y13" s="63" t="s">
        <v>265</v>
      </c>
      <c r="Z13" s="519"/>
      <c r="AA13" s="520">
        <v>2.0</v>
      </c>
      <c r="AB13" s="63"/>
      <c r="AC13" s="522"/>
      <c r="AD13" s="523"/>
      <c r="AE13" s="63" t="s">
        <v>269</v>
      </c>
      <c r="AF13" s="519">
        <v>2.5</v>
      </c>
      <c r="AG13" s="520">
        <v>2.25</v>
      </c>
      <c r="AH13" s="61"/>
      <c r="AI13" s="522"/>
      <c r="AJ13" s="521"/>
      <c r="AK13" s="63" t="s">
        <v>269</v>
      </c>
      <c r="AL13" s="519"/>
      <c r="AM13" s="520">
        <v>2.25</v>
      </c>
      <c r="AN13" s="61"/>
      <c r="AO13" s="522"/>
      <c r="AP13" s="521"/>
      <c r="AQ13" s="63" t="s">
        <v>271</v>
      </c>
      <c r="AR13" s="519"/>
      <c r="AS13" s="520">
        <v>2.25</v>
      </c>
      <c r="AT13" s="63"/>
      <c r="AU13" s="522"/>
      <c r="AV13" s="521"/>
      <c r="AW13" s="63" t="s">
        <v>265</v>
      </c>
      <c r="AX13" s="519"/>
      <c r="AY13" s="520">
        <v>2.0</v>
      </c>
      <c r="AZ13" s="61"/>
      <c r="BA13" s="522"/>
      <c r="BB13" s="521"/>
      <c r="BC13" s="63" t="s">
        <v>269</v>
      </c>
      <c r="BD13" s="519">
        <v>2.5</v>
      </c>
      <c r="BE13" s="520">
        <v>4.25</v>
      </c>
      <c r="BF13" s="61"/>
      <c r="BG13" s="522"/>
      <c r="BH13" s="521"/>
      <c r="BI13" s="63" t="s">
        <v>261</v>
      </c>
      <c r="BJ13" s="519"/>
      <c r="BK13" s="520">
        <v>2.0</v>
      </c>
      <c r="BL13" s="61"/>
      <c r="BM13" s="522"/>
      <c r="BN13" s="521"/>
    </row>
    <row r="14">
      <c r="A14" s="512">
        <v>9.0</v>
      </c>
      <c r="B14" s="513" t="s">
        <v>104</v>
      </c>
      <c r="C14" s="514">
        <f t="shared" si="1"/>
        <v>35</v>
      </c>
      <c r="D14" s="515">
        <f t="shared" si="2"/>
        <v>4</v>
      </c>
      <c r="E14" s="516">
        <f t="shared" si="3"/>
        <v>10</v>
      </c>
      <c r="F14" s="517">
        <f t="shared" si="4"/>
        <v>25</v>
      </c>
      <c r="G14" s="518" t="s">
        <v>269</v>
      </c>
      <c r="H14" s="524"/>
      <c r="I14" s="520">
        <v>2.0</v>
      </c>
      <c r="J14" s="61"/>
      <c r="K14" s="522"/>
      <c r="L14" s="521"/>
      <c r="M14" s="518" t="s">
        <v>261</v>
      </c>
      <c r="N14" s="525">
        <v>2.5</v>
      </c>
      <c r="O14" s="520">
        <v>4.0</v>
      </c>
      <c r="P14" s="63" t="s">
        <v>260</v>
      </c>
      <c r="Q14" s="520"/>
      <c r="R14" s="521"/>
      <c r="S14" s="63" t="s">
        <v>261</v>
      </c>
      <c r="T14" s="519"/>
      <c r="U14" s="520">
        <v>1.75</v>
      </c>
      <c r="V14" s="63" t="s">
        <v>263</v>
      </c>
      <c r="W14" s="522"/>
      <c r="X14" s="521"/>
      <c r="Y14" s="63" t="s">
        <v>261</v>
      </c>
      <c r="Z14" s="519">
        <v>2.5</v>
      </c>
      <c r="AA14" s="520">
        <v>3.25</v>
      </c>
      <c r="AB14" s="61"/>
      <c r="AC14" s="522"/>
      <c r="AD14" s="521"/>
      <c r="AE14" s="63" t="s">
        <v>261</v>
      </c>
      <c r="AF14" s="519"/>
      <c r="AG14" s="520">
        <v>2.0</v>
      </c>
      <c r="AH14" s="63" t="s">
        <v>263</v>
      </c>
      <c r="AI14" s="522"/>
      <c r="AJ14" s="521"/>
      <c r="AK14" s="63" t="s">
        <v>261</v>
      </c>
      <c r="AL14" s="519">
        <v>2.5</v>
      </c>
      <c r="AM14" s="520">
        <v>2.5</v>
      </c>
      <c r="AN14" s="63"/>
      <c r="AO14" s="520"/>
      <c r="AP14" s="523"/>
      <c r="AQ14" s="63" t="s">
        <v>261</v>
      </c>
      <c r="AR14" s="519"/>
      <c r="AS14" s="520">
        <v>2.25</v>
      </c>
      <c r="AT14" s="61"/>
      <c r="AU14" s="522"/>
      <c r="AV14" s="521"/>
      <c r="AW14" s="63" t="s">
        <v>261</v>
      </c>
      <c r="AX14" s="519">
        <v>2.5</v>
      </c>
      <c r="AY14" s="520">
        <v>3.5</v>
      </c>
      <c r="AZ14" s="61"/>
      <c r="BA14" s="522"/>
      <c r="BB14" s="521"/>
      <c r="BC14" s="63" t="s">
        <v>261</v>
      </c>
      <c r="BD14" s="519"/>
      <c r="BE14" s="520">
        <v>2.0</v>
      </c>
      <c r="BF14" s="61"/>
      <c r="BG14" s="522"/>
      <c r="BH14" s="521"/>
      <c r="BI14" s="63" t="s">
        <v>261</v>
      </c>
      <c r="BJ14" s="519"/>
      <c r="BK14" s="520">
        <v>1.75</v>
      </c>
      <c r="BL14" s="61"/>
      <c r="BM14" s="522"/>
      <c r="BN14" s="521"/>
    </row>
    <row r="15">
      <c r="A15" s="528">
        <v>10.0</v>
      </c>
      <c r="B15" s="529" t="s">
        <v>101</v>
      </c>
      <c r="C15" s="514">
        <f t="shared" si="1"/>
        <v>33</v>
      </c>
      <c r="D15" s="530">
        <f t="shared" si="2"/>
        <v>3</v>
      </c>
      <c r="E15" s="531">
        <f t="shared" si="3"/>
        <v>7.5</v>
      </c>
      <c r="F15" s="532">
        <f t="shared" si="4"/>
        <v>25.5</v>
      </c>
      <c r="G15" s="533" t="s">
        <v>269</v>
      </c>
      <c r="H15" s="534"/>
      <c r="I15" s="535">
        <v>2.0</v>
      </c>
      <c r="J15" s="539"/>
      <c r="K15" s="535"/>
      <c r="L15" s="538"/>
      <c r="M15" s="533" t="s">
        <v>269</v>
      </c>
      <c r="N15" s="534"/>
      <c r="O15" s="535">
        <v>2.0</v>
      </c>
      <c r="P15" s="539" t="s">
        <v>263</v>
      </c>
      <c r="Q15" s="535"/>
      <c r="R15" s="538"/>
      <c r="S15" s="539" t="s">
        <v>261</v>
      </c>
      <c r="T15" s="534"/>
      <c r="U15" s="535">
        <v>2.75</v>
      </c>
      <c r="V15" s="539"/>
      <c r="W15" s="535"/>
      <c r="X15" s="560"/>
      <c r="Y15" s="539" t="s">
        <v>271</v>
      </c>
      <c r="Z15" s="534">
        <v>2.5</v>
      </c>
      <c r="AA15" s="535">
        <v>3.75</v>
      </c>
      <c r="AB15" s="539" t="s">
        <v>260</v>
      </c>
      <c r="AC15" s="537"/>
      <c r="AD15" s="538"/>
      <c r="AE15" s="539" t="s">
        <v>261</v>
      </c>
      <c r="AF15" s="534"/>
      <c r="AG15" s="535">
        <v>2.0</v>
      </c>
      <c r="AH15" s="536"/>
      <c r="AI15" s="537"/>
      <c r="AJ15" s="538"/>
      <c r="AK15" s="539" t="s">
        <v>265</v>
      </c>
      <c r="AL15" s="534"/>
      <c r="AM15" s="535">
        <v>1.75</v>
      </c>
      <c r="AN15" s="536"/>
      <c r="AO15" s="537"/>
      <c r="AP15" s="538"/>
      <c r="AQ15" s="539" t="s">
        <v>261</v>
      </c>
      <c r="AR15" s="534"/>
      <c r="AS15" s="535">
        <v>2.0</v>
      </c>
      <c r="AT15" s="539"/>
      <c r="AU15" s="537"/>
      <c r="AV15" s="560"/>
      <c r="AW15" s="539" t="s">
        <v>271</v>
      </c>
      <c r="AX15" s="534">
        <v>2.5</v>
      </c>
      <c r="AY15" s="535">
        <v>3.25</v>
      </c>
      <c r="AZ15" s="539" t="s">
        <v>11</v>
      </c>
      <c r="BA15" s="535">
        <v>0.5</v>
      </c>
      <c r="BB15" s="560">
        <v>0.25</v>
      </c>
      <c r="BC15" s="539" t="s">
        <v>261</v>
      </c>
      <c r="BD15" s="534"/>
      <c r="BE15" s="535">
        <v>1.75</v>
      </c>
      <c r="BF15" s="536"/>
      <c r="BG15" s="537"/>
      <c r="BH15" s="538"/>
      <c r="BI15" s="539" t="s">
        <v>269</v>
      </c>
      <c r="BJ15" s="534">
        <v>2.5</v>
      </c>
      <c r="BK15" s="535">
        <v>3.5</v>
      </c>
      <c r="BL15" s="539"/>
      <c r="BM15" s="535"/>
      <c r="BN15" s="560"/>
    </row>
    <row r="16">
      <c r="A16" s="541" t="s">
        <v>310</v>
      </c>
      <c r="B16" s="1"/>
      <c r="C16" s="1"/>
      <c r="D16" s="1"/>
      <c r="E16" s="1"/>
      <c r="F16" s="1"/>
      <c r="G16" s="542" t="s">
        <v>325</v>
      </c>
      <c r="L16" s="543"/>
      <c r="M16" s="544" t="s">
        <v>326</v>
      </c>
      <c r="R16" s="543"/>
      <c r="S16" s="544" t="s">
        <v>327</v>
      </c>
      <c r="X16" s="543"/>
      <c r="Y16" s="544" t="s">
        <v>328</v>
      </c>
      <c r="AD16" s="543"/>
      <c r="AE16" s="544" t="s">
        <v>329</v>
      </c>
      <c r="AJ16" s="543"/>
      <c r="AK16" s="544" t="s">
        <v>330</v>
      </c>
      <c r="AP16" s="543"/>
      <c r="AQ16" s="544" t="s">
        <v>331</v>
      </c>
      <c r="AV16" s="543"/>
      <c r="AW16" s="544" t="s">
        <v>332</v>
      </c>
      <c r="BB16" s="543"/>
      <c r="BC16" s="544" t="s">
        <v>333</v>
      </c>
      <c r="BH16" s="543"/>
      <c r="BI16" s="544" t="s">
        <v>334</v>
      </c>
      <c r="BN16" s="543"/>
    </row>
    <row r="17">
      <c r="A17" s="545" t="s">
        <v>269</v>
      </c>
      <c r="B17" s="1"/>
      <c r="C17" s="1"/>
      <c r="D17" s="1"/>
      <c r="E17" s="1"/>
      <c r="F17" s="1"/>
      <c r="G17" s="50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189"/>
      <c r="AL17" s="189"/>
      <c r="AM17" s="189"/>
      <c r="AN17" s="189"/>
      <c r="AO17" s="189"/>
      <c r="AP17" s="508"/>
      <c r="AQ17" s="189"/>
      <c r="AR17" s="189"/>
      <c r="AS17" s="189"/>
      <c r="AT17" s="189"/>
      <c r="AU17" s="189"/>
      <c r="AV17" s="508"/>
      <c r="AW17" s="189"/>
      <c r="AX17" s="189"/>
      <c r="AY17" s="189"/>
      <c r="AZ17" s="189"/>
      <c r="BA17" s="189"/>
      <c r="BB17" s="508"/>
      <c r="BC17" s="189"/>
      <c r="BD17" s="189"/>
      <c r="BE17" s="189"/>
      <c r="BF17" s="189"/>
      <c r="BG17" s="189"/>
      <c r="BH17" s="508"/>
      <c r="BI17" s="189"/>
      <c r="BJ17" s="189"/>
      <c r="BK17" s="189"/>
      <c r="BL17" s="189"/>
      <c r="BM17" s="189"/>
      <c r="BN17" s="508"/>
    </row>
    <row r="18">
      <c r="A18" s="546" t="s">
        <v>271</v>
      </c>
      <c r="B18" s="1"/>
      <c r="C18" s="1"/>
      <c r="D18" s="1"/>
      <c r="E18" s="1"/>
      <c r="F18" s="1"/>
      <c r="G18" s="547" t="s">
        <v>257</v>
      </c>
      <c r="H18" s="548"/>
      <c r="I18" s="548"/>
      <c r="J18" s="548"/>
      <c r="K18" s="548"/>
      <c r="L18" s="549"/>
      <c r="M18" s="550" t="s">
        <v>267</v>
      </c>
      <c r="N18" s="548"/>
      <c r="O18" s="548"/>
      <c r="P18" s="548"/>
      <c r="Q18" s="548"/>
      <c r="R18" s="549"/>
      <c r="S18" s="550" t="s">
        <v>272</v>
      </c>
      <c r="T18" s="548"/>
      <c r="U18" s="548"/>
      <c r="V18" s="548"/>
      <c r="W18" s="548"/>
      <c r="X18" s="549"/>
      <c r="Y18" s="550" t="s">
        <v>267</v>
      </c>
      <c r="Z18" s="548"/>
      <c r="AA18" s="548"/>
      <c r="AB18" s="548"/>
      <c r="AC18" s="548"/>
      <c r="AD18" s="549"/>
      <c r="AE18" s="550" t="s">
        <v>272</v>
      </c>
      <c r="AF18" s="548"/>
      <c r="AG18" s="548"/>
      <c r="AH18" s="548"/>
      <c r="AI18" s="548"/>
      <c r="AJ18" s="549"/>
      <c r="AK18" s="550" t="s">
        <v>264</v>
      </c>
      <c r="AL18" s="548"/>
      <c r="AM18" s="548"/>
      <c r="AN18" s="548"/>
      <c r="AO18" s="548"/>
      <c r="AP18" s="549"/>
      <c r="AQ18" s="550" t="s">
        <v>259</v>
      </c>
      <c r="AR18" s="548"/>
      <c r="AS18" s="548"/>
      <c r="AT18" s="548"/>
      <c r="AU18" s="548"/>
      <c r="AV18" s="549"/>
      <c r="AW18" s="550" t="s">
        <v>257</v>
      </c>
      <c r="AX18" s="548"/>
      <c r="AY18" s="548"/>
      <c r="AZ18" s="548"/>
      <c r="BA18" s="548"/>
      <c r="BB18" s="549"/>
      <c r="BC18" s="550" t="s">
        <v>272</v>
      </c>
      <c r="BD18" s="548"/>
      <c r="BE18" s="548"/>
      <c r="BF18" s="548"/>
      <c r="BG18" s="548"/>
      <c r="BH18" s="549"/>
      <c r="BI18" s="550" t="s">
        <v>259</v>
      </c>
      <c r="BJ18" s="548"/>
      <c r="BK18" s="548"/>
      <c r="BL18" s="548"/>
      <c r="BM18" s="548"/>
      <c r="BN18" s="549"/>
    </row>
    <row r="19">
      <c r="A19" s="551" t="s">
        <v>265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>
      <c r="A20" s="552" t="s">
        <v>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4">
      <c r="A24" s="554" t="s">
        <v>290</v>
      </c>
      <c r="B24" s="555" t="s">
        <v>145</v>
      </c>
      <c r="C24" s="556" t="s">
        <v>323</v>
      </c>
    </row>
    <row r="25" ht="34.5" customHeight="1">
      <c r="A25" s="557"/>
      <c r="B25" s="558"/>
      <c r="C25" s="559"/>
    </row>
    <row r="26" ht="18.75" customHeight="1">
      <c r="A26" s="378">
        <v>4.0</v>
      </c>
      <c r="B26" s="378" t="s">
        <v>101</v>
      </c>
      <c r="C26" s="378" t="s">
        <v>16</v>
      </c>
    </row>
    <row r="27" ht="18.75" customHeight="1">
      <c r="A27" s="378">
        <v>4.0</v>
      </c>
      <c r="B27" s="378" t="s">
        <v>167</v>
      </c>
      <c r="C27" s="378" t="s">
        <v>16</v>
      </c>
    </row>
    <row r="28" ht="18.75" customHeight="1">
      <c r="B28" s="384"/>
      <c r="C28" s="384"/>
    </row>
    <row r="29" ht="18.75" customHeight="1">
      <c r="B29" s="384"/>
      <c r="C29" s="384"/>
    </row>
    <row r="30" ht="18.75" customHeight="1">
      <c r="B30" s="384"/>
      <c r="C30" s="378"/>
    </row>
    <row r="31" ht="18.75" customHeight="1">
      <c r="B31" s="384"/>
      <c r="C31" s="378"/>
    </row>
    <row r="32" ht="18.75" customHeight="1">
      <c r="B32" s="384"/>
      <c r="C32" s="378"/>
    </row>
    <row r="33" ht="18.75" customHeight="1">
      <c r="B33" s="384"/>
      <c r="C33" s="378"/>
    </row>
    <row r="34" ht="18.75" customHeight="1">
      <c r="B34" s="384"/>
      <c r="C34" s="378"/>
    </row>
    <row r="35" ht="18.75" customHeight="1">
      <c r="B35" s="384"/>
      <c r="C35" s="378"/>
    </row>
    <row r="36" ht="18.75" customHeight="1">
      <c r="B36" s="384"/>
      <c r="C36" s="378"/>
    </row>
    <row r="37" ht="18.75" customHeight="1">
      <c r="B37" s="384"/>
      <c r="C37" s="378"/>
    </row>
    <row r="38" ht="18.75" customHeight="1">
      <c r="B38" s="384"/>
      <c r="C38" s="378"/>
    </row>
    <row r="39" ht="18.75" customHeight="1">
      <c r="B39" s="384"/>
      <c r="C39" s="378"/>
    </row>
    <row r="40" ht="18.75" customHeight="1">
      <c r="B40" s="384"/>
      <c r="C40" s="378"/>
    </row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</sheetData>
  <mergeCells count="39">
    <mergeCell ref="BC4:BH4"/>
    <mergeCell ref="BI4:BN4"/>
    <mergeCell ref="M4:R4"/>
    <mergeCell ref="S4:X4"/>
    <mergeCell ref="Y4:AD4"/>
    <mergeCell ref="AE4:AJ4"/>
    <mergeCell ref="AK4:AP4"/>
    <mergeCell ref="AQ4:AV4"/>
    <mergeCell ref="AW4:BB4"/>
    <mergeCell ref="AW16:BB17"/>
    <mergeCell ref="BC16:BH17"/>
    <mergeCell ref="BI16:BN17"/>
    <mergeCell ref="G16:L17"/>
    <mergeCell ref="M16:R17"/>
    <mergeCell ref="S16:X17"/>
    <mergeCell ref="Y16:AD17"/>
    <mergeCell ref="AE16:AJ17"/>
    <mergeCell ref="AK16:AP17"/>
    <mergeCell ref="AQ16:AV17"/>
    <mergeCell ref="AW18:BB18"/>
    <mergeCell ref="BC18:BH18"/>
    <mergeCell ref="BI18:BN18"/>
    <mergeCell ref="G18:L18"/>
    <mergeCell ref="M18:R18"/>
    <mergeCell ref="S18:X18"/>
    <mergeCell ref="Y18:AD18"/>
    <mergeCell ref="AE18:AJ18"/>
    <mergeCell ref="AK18:AP18"/>
    <mergeCell ref="AQ18:AV18"/>
    <mergeCell ref="A24:A25"/>
    <mergeCell ref="B24:B25"/>
    <mergeCell ref="C24:C25"/>
    <mergeCell ref="A4:A5"/>
    <mergeCell ref="B4:B5"/>
    <mergeCell ref="C4:C5"/>
    <mergeCell ref="D4:D5"/>
    <mergeCell ref="E4:E5"/>
    <mergeCell ref="F4:F5"/>
    <mergeCell ref="G4:L4"/>
  </mergeCells>
  <conditionalFormatting sqref="G6:BN15">
    <cfRule type="containsText" dxfId="5" priority="1" operator="containsText" text="Мафия">
      <formula>NOT(ISERROR(SEARCH(("Мафия"),(G6))))</formula>
    </cfRule>
  </conditionalFormatting>
  <conditionalFormatting sqref="G6:BN15">
    <cfRule type="containsText" dxfId="6" priority="2" operator="containsText" text="Шериф">
      <formula>NOT(ISERROR(SEARCH(("Шериф"),(G6))))</formula>
    </cfRule>
  </conditionalFormatting>
  <conditionalFormatting sqref="G6:BN15">
    <cfRule type="containsText" dxfId="7" priority="3" operator="containsText" text="Дон">
      <formula>NOT(ISERROR(SEARCH(("Дон"),(G6))))</formula>
    </cfRule>
  </conditionalFormatting>
  <conditionalFormatting sqref="G6:BN15">
    <cfRule type="containsText" dxfId="8" priority="4" operator="containsText" text="ПУ">
      <formula>NOT(ISERROR(SEARCH(("ПУ"),(G6))))</formula>
    </cfRule>
  </conditionalFormatting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 AK18 AQ18 AW18 BC18 BI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6:B40">
      <formula1>'Всё или ничего'!$B$6:$B$15</formula1>
    </dataValidation>
    <dataValidation type="list" allowBlank="1" showErrorMessage="1" sqref="J6:J15 P6:P15 V6:V15 AB6:AB15 AH6:AH15 AN6:AN15 AT6:AT15 AZ6:AZ15 BF6:BF15 BL6:BL15">
      <formula1>"У/Победа,У/Проигрыш,ПУ"</formula1>
    </dataValidation>
    <dataValidation type="list" allowBlank="1" showErrorMessage="1" sqref="G6:G15 M6:M15 S6:S15 Y6:Y15 AE6:AE15 AK6:AK15 AQ6:AQ15 AW6:AW15 BC6:BC15 BI6:BI15">
      <formula1>"Мирный,Шериф,Мафия,Дон"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561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335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124</v>
      </c>
      <c r="C6" s="580">
        <f t="shared" ref="C6:C15" si="1">SUM(H6:AK6)</f>
        <v>28.75</v>
      </c>
      <c r="D6" s="581">
        <f t="shared" ref="D6:D15" si="2">E6/2.5</f>
        <v>5</v>
      </c>
      <c r="E6" s="582">
        <f t="shared" ref="E6:E15" si="3">SUM(H6+N6+T6+Z6+AF6+AL6+AR6)</f>
        <v>12.5</v>
      </c>
      <c r="F6" s="583">
        <f t="shared" ref="F6:F15" si="4">C6-E6</f>
        <v>16.25</v>
      </c>
      <c r="G6" s="584" t="s">
        <v>261</v>
      </c>
      <c r="H6" s="585">
        <v>2.5</v>
      </c>
      <c r="I6" s="585">
        <v>2.5</v>
      </c>
      <c r="J6" s="586"/>
      <c r="K6" s="585"/>
      <c r="L6" s="587"/>
      <c r="M6" s="584" t="s">
        <v>265</v>
      </c>
      <c r="N6" s="585">
        <v>2.5</v>
      </c>
      <c r="O6" s="585">
        <v>3.75</v>
      </c>
      <c r="P6" s="586"/>
      <c r="Q6" s="585"/>
      <c r="R6" s="588"/>
      <c r="S6" s="586" t="s">
        <v>271</v>
      </c>
      <c r="T6" s="585">
        <v>2.5</v>
      </c>
      <c r="U6" s="585">
        <v>3.75</v>
      </c>
      <c r="V6" s="589"/>
      <c r="W6" s="590"/>
      <c r="X6" s="588"/>
      <c r="Y6" s="586" t="s">
        <v>261</v>
      </c>
      <c r="Z6" s="585">
        <v>2.5</v>
      </c>
      <c r="AA6" s="591">
        <v>2.25</v>
      </c>
      <c r="AB6" s="589"/>
      <c r="AC6" s="590"/>
      <c r="AD6" s="588"/>
      <c r="AE6" s="586" t="s">
        <v>265</v>
      </c>
      <c r="AF6" s="585">
        <v>2.5</v>
      </c>
      <c r="AG6" s="585">
        <v>4.0</v>
      </c>
      <c r="AH6" s="589"/>
      <c r="AI6" s="590"/>
      <c r="AJ6" s="588"/>
      <c r="AK6" s="592"/>
      <c r="AL6" s="593"/>
    </row>
    <row r="7">
      <c r="A7" s="578">
        <v>2.0</v>
      </c>
      <c r="B7" s="579" t="s">
        <v>82</v>
      </c>
      <c r="C7" s="580">
        <f t="shared" si="1"/>
        <v>27.5</v>
      </c>
      <c r="D7" s="594">
        <f t="shared" si="2"/>
        <v>4</v>
      </c>
      <c r="E7" s="595">
        <f t="shared" si="3"/>
        <v>10</v>
      </c>
      <c r="F7" s="596">
        <f t="shared" si="4"/>
        <v>17.5</v>
      </c>
      <c r="G7" s="584" t="s">
        <v>261</v>
      </c>
      <c r="H7" s="597">
        <v>2.5</v>
      </c>
      <c r="I7" s="585">
        <v>2.0</v>
      </c>
      <c r="J7" s="586" t="s">
        <v>11</v>
      </c>
      <c r="K7" s="585"/>
      <c r="L7" s="587">
        <v>0.5</v>
      </c>
      <c r="M7" s="584" t="s">
        <v>271</v>
      </c>
      <c r="N7" s="598"/>
      <c r="O7" s="585">
        <v>4.0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/>
      <c r="W7" s="590"/>
      <c r="X7" s="588"/>
      <c r="Y7" s="586" t="s">
        <v>261</v>
      </c>
      <c r="Z7" s="597">
        <v>2.5</v>
      </c>
      <c r="AA7" s="591">
        <v>3.75</v>
      </c>
      <c r="AB7" s="589"/>
      <c r="AC7" s="590"/>
      <c r="AD7" s="588"/>
      <c r="AE7" s="586" t="s">
        <v>269</v>
      </c>
      <c r="AF7" s="597">
        <v>2.5</v>
      </c>
      <c r="AG7" s="585">
        <v>3.5</v>
      </c>
      <c r="AH7" s="589"/>
      <c r="AI7" s="590"/>
      <c r="AJ7" s="588"/>
      <c r="AK7" s="588"/>
      <c r="AL7" s="593"/>
    </row>
    <row r="8">
      <c r="A8" s="578">
        <v>3.0</v>
      </c>
      <c r="B8" s="579" t="s">
        <v>90</v>
      </c>
      <c r="C8" s="580">
        <f t="shared" si="1"/>
        <v>22</v>
      </c>
      <c r="D8" s="594">
        <f t="shared" si="2"/>
        <v>3</v>
      </c>
      <c r="E8" s="595">
        <f t="shared" si="3"/>
        <v>7.5</v>
      </c>
      <c r="F8" s="596">
        <f t="shared" si="4"/>
        <v>14.5</v>
      </c>
      <c r="G8" s="584" t="s">
        <v>261</v>
      </c>
      <c r="H8" s="585">
        <v>2.5</v>
      </c>
      <c r="I8" s="585">
        <v>3.75</v>
      </c>
      <c r="J8" s="589"/>
      <c r="K8" s="590"/>
      <c r="L8" s="588"/>
      <c r="M8" s="584" t="s">
        <v>261</v>
      </c>
      <c r="N8" s="590"/>
      <c r="O8" s="585">
        <v>1.5</v>
      </c>
      <c r="P8" s="589"/>
      <c r="Q8" s="590"/>
      <c r="R8" s="588"/>
      <c r="S8" s="586" t="s">
        <v>261</v>
      </c>
      <c r="T8" s="585">
        <v>2.5</v>
      </c>
      <c r="U8" s="585">
        <v>3.0</v>
      </c>
      <c r="V8" s="586"/>
      <c r="W8" s="590"/>
      <c r="X8" s="588"/>
      <c r="Y8" s="586" t="s">
        <v>269</v>
      </c>
      <c r="Z8" s="590"/>
      <c r="AA8" s="591">
        <v>2.5</v>
      </c>
      <c r="AB8" s="589"/>
      <c r="AC8" s="590"/>
      <c r="AD8" s="588"/>
      <c r="AE8" s="586" t="s">
        <v>269</v>
      </c>
      <c r="AF8" s="585">
        <v>2.5</v>
      </c>
      <c r="AG8" s="585">
        <v>3.75</v>
      </c>
      <c r="AH8" s="589"/>
      <c r="AI8" s="590"/>
      <c r="AJ8" s="588"/>
      <c r="AK8" s="588"/>
      <c r="AL8" s="593"/>
    </row>
    <row r="9">
      <c r="A9" s="578">
        <v>4.0</v>
      </c>
      <c r="B9" s="579" t="s">
        <v>119</v>
      </c>
      <c r="C9" s="580">
        <f t="shared" si="1"/>
        <v>21.25</v>
      </c>
      <c r="D9" s="594">
        <f t="shared" si="2"/>
        <v>3</v>
      </c>
      <c r="E9" s="595">
        <f t="shared" si="3"/>
        <v>7.5</v>
      </c>
      <c r="F9" s="596">
        <f t="shared" si="4"/>
        <v>13.75</v>
      </c>
      <c r="G9" s="584" t="s">
        <v>261</v>
      </c>
      <c r="H9" s="597">
        <v>2.5</v>
      </c>
      <c r="I9" s="585">
        <v>1.75</v>
      </c>
      <c r="J9" s="586"/>
      <c r="K9" s="590"/>
      <c r="L9" s="588"/>
      <c r="M9" s="584" t="s">
        <v>261</v>
      </c>
      <c r="N9" s="598"/>
      <c r="O9" s="585">
        <v>3.5</v>
      </c>
      <c r="P9" s="589"/>
      <c r="Q9" s="590"/>
      <c r="R9" s="588"/>
      <c r="S9" s="586" t="s">
        <v>261</v>
      </c>
      <c r="T9" s="597">
        <v>2.5</v>
      </c>
      <c r="U9" s="585">
        <v>2.75</v>
      </c>
      <c r="V9" s="586" t="s">
        <v>11</v>
      </c>
      <c r="W9" s="585">
        <v>0.5</v>
      </c>
      <c r="X9" s="587">
        <v>0.5</v>
      </c>
      <c r="Y9" s="586" t="s">
        <v>261</v>
      </c>
      <c r="Z9" s="597">
        <v>2.5</v>
      </c>
      <c r="AA9" s="591">
        <v>3.25</v>
      </c>
      <c r="AB9" s="586"/>
      <c r="AC9" s="585"/>
      <c r="AD9" s="587"/>
      <c r="AE9" s="586" t="s">
        <v>261</v>
      </c>
      <c r="AF9" s="598"/>
      <c r="AG9" s="585">
        <v>1.5</v>
      </c>
      <c r="AH9" s="586"/>
      <c r="AI9" s="590"/>
      <c r="AJ9" s="587"/>
      <c r="AK9" s="588"/>
      <c r="AL9" s="593"/>
    </row>
    <row r="10">
      <c r="A10" s="578">
        <v>5.0</v>
      </c>
      <c r="B10" s="579" t="s">
        <v>104</v>
      </c>
      <c r="C10" s="580">
        <f t="shared" si="1"/>
        <v>21</v>
      </c>
      <c r="D10" s="594">
        <f t="shared" si="2"/>
        <v>2</v>
      </c>
      <c r="E10" s="595">
        <f t="shared" si="3"/>
        <v>5</v>
      </c>
      <c r="F10" s="596">
        <f t="shared" si="4"/>
        <v>16</v>
      </c>
      <c r="G10" s="584" t="s">
        <v>265</v>
      </c>
      <c r="H10" s="590"/>
      <c r="I10" s="585">
        <v>2.5</v>
      </c>
      <c r="J10" s="586"/>
      <c r="K10" s="590"/>
      <c r="L10" s="588"/>
      <c r="M10" s="584" t="s">
        <v>261</v>
      </c>
      <c r="N10" s="590"/>
      <c r="O10" s="585">
        <v>3.25</v>
      </c>
      <c r="P10" s="586"/>
      <c r="Q10" s="585"/>
      <c r="R10" s="587"/>
      <c r="S10" s="586" t="s">
        <v>261</v>
      </c>
      <c r="T10" s="585">
        <v>2.5</v>
      </c>
      <c r="U10" s="585">
        <v>4.0</v>
      </c>
      <c r="V10" s="589"/>
      <c r="W10" s="590"/>
      <c r="X10" s="588"/>
      <c r="Y10" s="586" t="s">
        <v>271</v>
      </c>
      <c r="Z10" s="585">
        <v>2.5</v>
      </c>
      <c r="AA10" s="591">
        <v>4.0</v>
      </c>
      <c r="AB10" s="589"/>
      <c r="AC10" s="590"/>
      <c r="AD10" s="588"/>
      <c r="AE10" s="586" t="s">
        <v>261</v>
      </c>
      <c r="AF10" s="590"/>
      <c r="AG10" s="585">
        <v>1.75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106</v>
      </c>
      <c r="C11" s="580">
        <f t="shared" si="1"/>
        <v>20</v>
      </c>
      <c r="D11" s="594">
        <f t="shared" si="2"/>
        <v>3</v>
      </c>
      <c r="E11" s="595">
        <f t="shared" si="3"/>
        <v>7.5</v>
      </c>
      <c r="F11" s="596">
        <f t="shared" si="4"/>
        <v>12.5</v>
      </c>
      <c r="G11" s="584" t="s">
        <v>271</v>
      </c>
      <c r="H11" s="585">
        <v>2.5</v>
      </c>
      <c r="I11" s="585">
        <v>3.25</v>
      </c>
      <c r="J11" s="586"/>
      <c r="K11" s="590"/>
      <c r="L11" s="588"/>
      <c r="M11" s="584" t="s">
        <v>269</v>
      </c>
      <c r="N11" s="585">
        <v>2.5</v>
      </c>
      <c r="O11" s="585">
        <v>2.75</v>
      </c>
      <c r="P11" s="589"/>
      <c r="Q11" s="590"/>
      <c r="R11" s="588"/>
      <c r="S11" s="586" t="s">
        <v>261</v>
      </c>
      <c r="T11" s="585">
        <v>2.5</v>
      </c>
      <c r="U11" s="585">
        <v>3.0</v>
      </c>
      <c r="V11" s="586"/>
      <c r="W11" s="590"/>
      <c r="X11" s="587"/>
      <c r="Y11" s="586" t="s">
        <v>269</v>
      </c>
      <c r="Z11" s="590"/>
      <c r="AA11" s="585">
        <v>1.5</v>
      </c>
      <c r="AB11" s="589"/>
      <c r="AC11" s="590"/>
      <c r="AD11" s="588"/>
      <c r="AE11" s="586" t="s">
        <v>261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112</v>
      </c>
      <c r="C12" s="580">
        <f t="shared" si="1"/>
        <v>17.75</v>
      </c>
      <c r="D12" s="594">
        <f t="shared" si="2"/>
        <v>2</v>
      </c>
      <c r="E12" s="595">
        <f t="shared" si="3"/>
        <v>5</v>
      </c>
      <c r="F12" s="596">
        <f t="shared" si="4"/>
        <v>12.75</v>
      </c>
      <c r="G12" s="584" t="s">
        <v>261</v>
      </c>
      <c r="H12" s="585">
        <v>2.5</v>
      </c>
      <c r="I12" s="585">
        <v>2.5</v>
      </c>
      <c r="J12" s="586"/>
      <c r="K12" s="590"/>
      <c r="L12" s="588"/>
      <c r="M12" s="584" t="s">
        <v>269</v>
      </c>
      <c r="N12" s="585">
        <v>2.5</v>
      </c>
      <c r="O12" s="585">
        <v>3.75</v>
      </c>
      <c r="P12" s="586"/>
      <c r="Q12" s="590"/>
      <c r="R12" s="588"/>
      <c r="S12" s="586" t="s">
        <v>269</v>
      </c>
      <c r="T12" s="590"/>
      <c r="U12" s="585">
        <v>2.0</v>
      </c>
      <c r="V12" s="586"/>
      <c r="W12" s="590"/>
      <c r="X12" s="588"/>
      <c r="Y12" s="586" t="s">
        <v>265</v>
      </c>
      <c r="Z12" s="590"/>
      <c r="AA12" s="591">
        <v>2.0</v>
      </c>
      <c r="AB12" s="589"/>
      <c r="AC12" s="590"/>
      <c r="AD12" s="588"/>
      <c r="AE12" s="586" t="s">
        <v>261</v>
      </c>
      <c r="AF12" s="590"/>
      <c r="AG12" s="585">
        <v>2.5</v>
      </c>
      <c r="AH12" s="589"/>
      <c r="AI12" s="590"/>
      <c r="AJ12" s="588"/>
      <c r="AK12" s="599"/>
      <c r="AL12" s="593"/>
    </row>
    <row r="13">
      <c r="A13" s="578">
        <v>8.0</v>
      </c>
      <c r="B13" s="579" t="s">
        <v>101</v>
      </c>
      <c r="C13" s="580">
        <f t="shared" si="1"/>
        <v>17</v>
      </c>
      <c r="D13" s="594">
        <f t="shared" si="2"/>
        <v>2</v>
      </c>
      <c r="E13" s="595">
        <f t="shared" si="3"/>
        <v>5</v>
      </c>
      <c r="F13" s="596">
        <f t="shared" si="4"/>
        <v>12</v>
      </c>
      <c r="G13" s="584" t="s">
        <v>269</v>
      </c>
      <c r="H13" s="590"/>
      <c r="I13" s="600">
        <v>0.5</v>
      </c>
      <c r="J13" s="589"/>
      <c r="K13" s="590"/>
      <c r="L13" s="588"/>
      <c r="M13" s="584" t="s">
        <v>261</v>
      </c>
      <c r="N13" s="590"/>
      <c r="O13" s="585">
        <v>2.75</v>
      </c>
      <c r="P13" s="586"/>
      <c r="Q13" s="590"/>
      <c r="R13" s="587"/>
      <c r="S13" s="586" t="s">
        <v>261</v>
      </c>
      <c r="T13" s="585">
        <v>2.5</v>
      </c>
      <c r="U13" s="585">
        <v>4.0</v>
      </c>
      <c r="V13" s="586"/>
      <c r="W13" s="590"/>
      <c r="X13" s="588"/>
      <c r="Y13" s="586" t="s">
        <v>261</v>
      </c>
      <c r="Z13" s="585">
        <v>2.5</v>
      </c>
      <c r="AA13" s="591">
        <v>2.5</v>
      </c>
      <c r="AB13" s="586" t="s">
        <v>11</v>
      </c>
      <c r="AC13" s="590"/>
      <c r="AD13" s="587">
        <v>0.5</v>
      </c>
      <c r="AE13" s="586" t="s">
        <v>261</v>
      </c>
      <c r="AF13" s="590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118</v>
      </c>
      <c r="C14" s="580">
        <f t="shared" si="1"/>
        <v>15.75</v>
      </c>
      <c r="D14" s="594">
        <f t="shared" si="2"/>
        <v>1</v>
      </c>
      <c r="E14" s="595">
        <f t="shared" si="3"/>
        <v>2.5</v>
      </c>
      <c r="F14" s="596">
        <f t="shared" si="4"/>
        <v>13.25</v>
      </c>
      <c r="G14" s="584" t="s">
        <v>269</v>
      </c>
      <c r="H14" s="597"/>
      <c r="I14" s="585">
        <v>2.75</v>
      </c>
      <c r="J14" s="586"/>
      <c r="K14" s="590"/>
      <c r="L14" s="588"/>
      <c r="M14" s="584" t="s">
        <v>261</v>
      </c>
      <c r="N14" s="598"/>
      <c r="O14" s="585">
        <v>3.0</v>
      </c>
      <c r="P14" s="589"/>
      <c r="Q14" s="590"/>
      <c r="R14" s="588"/>
      <c r="S14" s="586" t="s">
        <v>269</v>
      </c>
      <c r="T14" s="598"/>
      <c r="U14" s="585">
        <v>2.25</v>
      </c>
      <c r="V14" s="586"/>
      <c r="W14" s="590"/>
      <c r="X14" s="588"/>
      <c r="Y14" s="586" t="s">
        <v>261</v>
      </c>
      <c r="Z14" s="597">
        <v>2.5</v>
      </c>
      <c r="AA14" s="591">
        <v>3.25</v>
      </c>
      <c r="AB14" s="589"/>
      <c r="AC14" s="590"/>
      <c r="AD14" s="588"/>
      <c r="AE14" s="586" t="s">
        <v>261</v>
      </c>
      <c r="AF14" s="598"/>
      <c r="AG14" s="585">
        <v>2.0</v>
      </c>
      <c r="AH14" s="586"/>
      <c r="AI14" s="590"/>
      <c r="AJ14" s="587"/>
      <c r="AK14" s="587"/>
      <c r="AL14" s="593"/>
    </row>
    <row r="15">
      <c r="A15" s="601">
        <v>10.0</v>
      </c>
      <c r="B15" s="602" t="s">
        <v>105</v>
      </c>
      <c r="C15" s="580">
        <f t="shared" si="1"/>
        <v>14.75</v>
      </c>
      <c r="D15" s="603">
        <f t="shared" si="2"/>
        <v>2</v>
      </c>
      <c r="E15" s="604">
        <f t="shared" si="3"/>
        <v>5</v>
      </c>
      <c r="F15" s="605">
        <f t="shared" si="4"/>
        <v>9.75</v>
      </c>
      <c r="G15" s="606" t="s">
        <v>261</v>
      </c>
      <c r="H15" s="607">
        <v>2.5</v>
      </c>
      <c r="I15" s="607">
        <v>2.5</v>
      </c>
      <c r="J15" s="608"/>
      <c r="K15" s="609"/>
      <c r="L15" s="610"/>
      <c r="M15" s="606" t="s">
        <v>261</v>
      </c>
      <c r="N15" s="609"/>
      <c r="O15" s="607">
        <v>2.0</v>
      </c>
      <c r="P15" s="611" t="s">
        <v>11</v>
      </c>
      <c r="Q15" s="609"/>
      <c r="R15" s="612">
        <v>0.5</v>
      </c>
      <c r="S15" s="611" t="s">
        <v>265</v>
      </c>
      <c r="T15" s="609"/>
      <c r="U15" s="607">
        <v>1.25</v>
      </c>
      <c r="V15" s="611"/>
      <c r="W15" s="609"/>
      <c r="X15" s="612"/>
      <c r="Y15" s="611" t="s">
        <v>261</v>
      </c>
      <c r="Z15" s="607">
        <v>2.5</v>
      </c>
      <c r="AA15" s="607">
        <v>2.0</v>
      </c>
      <c r="AB15" s="608"/>
      <c r="AC15" s="609"/>
      <c r="AD15" s="610"/>
      <c r="AE15" s="611" t="s">
        <v>271</v>
      </c>
      <c r="AF15" s="609"/>
      <c r="AG15" s="613">
        <v>1.5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338</v>
      </c>
      <c r="L16" s="543"/>
      <c r="M16" s="616" t="s">
        <v>339</v>
      </c>
      <c r="R16" s="543"/>
      <c r="S16" s="616" t="s">
        <v>340</v>
      </c>
      <c r="X16" s="543"/>
      <c r="Y16" s="616" t="s">
        <v>341</v>
      </c>
      <c r="AD16" s="543"/>
      <c r="AE16" s="616" t="s">
        <v>342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262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262</v>
      </c>
      <c r="T18" s="548"/>
      <c r="U18" s="548"/>
      <c r="V18" s="548"/>
      <c r="W18" s="548"/>
      <c r="X18" s="549"/>
      <c r="Y18" s="621" t="s">
        <v>264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101</v>
      </c>
      <c r="C26" s="631" t="s">
        <v>292</v>
      </c>
      <c r="D26" s="630">
        <v>1.0</v>
      </c>
      <c r="E26" s="632"/>
      <c r="F26" s="632"/>
      <c r="AK26" s="62"/>
    </row>
    <row r="27">
      <c r="A27" s="631">
        <v>5.0</v>
      </c>
      <c r="B27" s="631" t="s">
        <v>105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B26:B40">
      <formula1>'1 серия'!$B$6:$B$15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633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348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102</v>
      </c>
      <c r="C6" s="580">
        <f t="shared" ref="C6:C15" si="1">SUM(H6:AK6)</f>
        <v>23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15.5</v>
      </c>
      <c r="G6" s="584" t="s">
        <v>261</v>
      </c>
      <c r="H6" s="597">
        <v>2.5</v>
      </c>
      <c r="I6" s="585">
        <v>3.25</v>
      </c>
      <c r="J6" s="586"/>
      <c r="K6" s="590"/>
      <c r="L6" s="588"/>
      <c r="M6" s="584" t="s">
        <v>261</v>
      </c>
      <c r="N6" s="597">
        <v>2.5</v>
      </c>
      <c r="O6" s="585">
        <v>3.75</v>
      </c>
      <c r="P6" s="589"/>
      <c r="Q6" s="590"/>
      <c r="R6" s="588"/>
      <c r="S6" s="586" t="s">
        <v>265</v>
      </c>
      <c r="T6" s="597">
        <v>2.5</v>
      </c>
      <c r="U6" s="585">
        <v>3.5</v>
      </c>
      <c r="V6" s="586"/>
      <c r="W6" s="590"/>
      <c r="X6" s="588"/>
      <c r="Y6" s="586" t="s">
        <v>261</v>
      </c>
      <c r="Z6" s="598"/>
      <c r="AA6" s="591">
        <v>2.5</v>
      </c>
      <c r="AB6" s="586" t="s">
        <v>11</v>
      </c>
      <c r="AC6" s="590"/>
      <c r="AD6" s="587">
        <v>0.5</v>
      </c>
      <c r="AE6" s="586" t="s">
        <v>269</v>
      </c>
      <c r="AF6" s="598"/>
      <c r="AG6" s="585">
        <v>2.0</v>
      </c>
      <c r="AH6" s="586" t="s">
        <v>263</v>
      </c>
      <c r="AI6" s="590"/>
      <c r="AJ6" s="587"/>
      <c r="AK6" s="592"/>
      <c r="AL6" s="593"/>
    </row>
    <row r="7">
      <c r="A7" s="578">
        <v>2.0</v>
      </c>
      <c r="B7" s="579" t="s">
        <v>127</v>
      </c>
      <c r="C7" s="580">
        <f t="shared" si="1"/>
        <v>21</v>
      </c>
      <c r="D7" s="594">
        <f t="shared" si="2"/>
        <v>3</v>
      </c>
      <c r="E7" s="595">
        <f t="shared" si="3"/>
        <v>7.5</v>
      </c>
      <c r="F7" s="596">
        <f t="shared" si="4"/>
        <v>13.5</v>
      </c>
      <c r="G7" s="584" t="s">
        <v>261</v>
      </c>
      <c r="H7" s="597">
        <v>2.5</v>
      </c>
      <c r="I7" s="585">
        <v>2.5</v>
      </c>
      <c r="J7" s="586" t="s">
        <v>11</v>
      </c>
      <c r="K7" s="590"/>
      <c r="L7" s="587">
        <v>0.5</v>
      </c>
      <c r="M7" s="584" t="s">
        <v>265</v>
      </c>
      <c r="N7" s="598"/>
      <c r="O7" s="585">
        <v>2.25</v>
      </c>
      <c r="P7" s="589"/>
      <c r="Q7" s="590"/>
      <c r="R7" s="588"/>
      <c r="S7" s="586" t="s">
        <v>269</v>
      </c>
      <c r="T7" s="597">
        <v>2.5</v>
      </c>
      <c r="U7" s="585">
        <v>3.75</v>
      </c>
      <c r="V7" s="586" t="s">
        <v>260</v>
      </c>
      <c r="W7" s="590"/>
      <c r="X7" s="588"/>
      <c r="Y7" s="586" t="s">
        <v>261</v>
      </c>
      <c r="Z7" s="598"/>
      <c r="AA7" s="591">
        <v>2.0</v>
      </c>
      <c r="AB7" s="586"/>
      <c r="AC7" s="585"/>
      <c r="AD7" s="587"/>
      <c r="AE7" s="586" t="s">
        <v>261</v>
      </c>
      <c r="AF7" s="597">
        <v>2.5</v>
      </c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137</v>
      </c>
      <c r="C8" s="580">
        <f t="shared" si="1"/>
        <v>16</v>
      </c>
      <c r="D8" s="594">
        <f t="shared" si="2"/>
        <v>1</v>
      </c>
      <c r="E8" s="595">
        <f t="shared" si="3"/>
        <v>2.5</v>
      </c>
      <c r="F8" s="596">
        <f t="shared" si="4"/>
        <v>13.5</v>
      </c>
      <c r="G8" s="584" t="s">
        <v>269</v>
      </c>
      <c r="H8" s="585"/>
      <c r="I8" s="585">
        <v>2.0</v>
      </c>
      <c r="J8" s="589"/>
      <c r="K8" s="590"/>
      <c r="L8" s="588"/>
      <c r="M8" s="584" t="s">
        <v>271</v>
      </c>
      <c r="N8" s="585">
        <v>2.5</v>
      </c>
      <c r="O8" s="585">
        <v>4.25</v>
      </c>
      <c r="P8" s="589"/>
      <c r="Q8" s="590"/>
      <c r="R8" s="588"/>
      <c r="S8" s="586" t="s">
        <v>271</v>
      </c>
      <c r="T8" s="590"/>
      <c r="U8" s="585">
        <v>3.25</v>
      </c>
      <c r="V8" s="586"/>
      <c r="W8" s="590"/>
      <c r="X8" s="587"/>
      <c r="Y8" s="586" t="s">
        <v>261</v>
      </c>
      <c r="Z8" s="590"/>
      <c r="AA8" s="585">
        <v>1.5</v>
      </c>
      <c r="AB8" s="589"/>
      <c r="AC8" s="590"/>
      <c r="AD8" s="588"/>
      <c r="AE8" s="586" t="s">
        <v>269</v>
      </c>
      <c r="AF8" s="590"/>
      <c r="AG8" s="585">
        <v>2.5</v>
      </c>
      <c r="AH8" s="589"/>
      <c r="AI8" s="590"/>
      <c r="AJ8" s="588"/>
      <c r="AK8" s="588"/>
      <c r="AL8" s="593"/>
    </row>
    <row r="9">
      <c r="A9" s="578">
        <v>4.0</v>
      </c>
      <c r="B9" s="579" t="s">
        <v>116</v>
      </c>
      <c r="C9" s="580">
        <f t="shared" si="1"/>
        <v>23.75</v>
      </c>
      <c r="D9" s="594">
        <f t="shared" si="2"/>
        <v>4</v>
      </c>
      <c r="E9" s="595">
        <f t="shared" si="3"/>
        <v>10</v>
      </c>
      <c r="F9" s="596">
        <f t="shared" si="4"/>
        <v>13.75</v>
      </c>
      <c r="G9" s="584" t="s">
        <v>261</v>
      </c>
      <c r="H9" s="585">
        <v>2.5</v>
      </c>
      <c r="I9" s="585">
        <v>4.0</v>
      </c>
      <c r="J9" s="586"/>
      <c r="K9" s="590"/>
      <c r="L9" s="588"/>
      <c r="M9" s="584" t="s">
        <v>261</v>
      </c>
      <c r="N9" s="585">
        <v>2.5</v>
      </c>
      <c r="O9" s="585">
        <v>2.0</v>
      </c>
      <c r="P9" s="586"/>
      <c r="Q9" s="590"/>
      <c r="R9" s="588"/>
      <c r="S9" s="586" t="s">
        <v>261</v>
      </c>
      <c r="T9" s="590"/>
      <c r="U9" s="585">
        <v>1.25</v>
      </c>
      <c r="V9" s="586" t="s">
        <v>263</v>
      </c>
      <c r="W9" s="590"/>
      <c r="X9" s="588"/>
      <c r="Y9" s="586" t="s">
        <v>265</v>
      </c>
      <c r="Z9" s="585">
        <v>2.5</v>
      </c>
      <c r="AA9" s="591">
        <v>3.25</v>
      </c>
      <c r="AB9" s="589"/>
      <c r="AC9" s="590"/>
      <c r="AD9" s="588"/>
      <c r="AE9" s="586" t="s">
        <v>261</v>
      </c>
      <c r="AF9" s="585">
        <v>2.5</v>
      </c>
      <c r="AG9" s="585">
        <v>3.25</v>
      </c>
      <c r="AH9" s="589"/>
      <c r="AI9" s="590"/>
      <c r="AJ9" s="588"/>
      <c r="AK9" s="599"/>
      <c r="AL9" s="593"/>
    </row>
    <row r="10">
      <c r="A10" s="578">
        <v>5.0</v>
      </c>
      <c r="B10" s="579" t="s">
        <v>98</v>
      </c>
      <c r="C10" s="580">
        <f t="shared" si="1"/>
        <v>21.5</v>
      </c>
      <c r="D10" s="594">
        <f t="shared" si="2"/>
        <v>3</v>
      </c>
      <c r="E10" s="595">
        <f t="shared" si="3"/>
        <v>7.5</v>
      </c>
      <c r="F10" s="596">
        <f t="shared" si="4"/>
        <v>14</v>
      </c>
      <c r="G10" s="584" t="s">
        <v>271</v>
      </c>
      <c r="H10" s="585">
        <v>2.5</v>
      </c>
      <c r="I10" s="585">
        <v>2.5</v>
      </c>
      <c r="J10" s="589"/>
      <c r="K10" s="590"/>
      <c r="L10" s="588"/>
      <c r="M10" s="584" t="s">
        <v>261</v>
      </c>
      <c r="N10" s="585">
        <v>2.5</v>
      </c>
      <c r="O10" s="585">
        <v>1.5</v>
      </c>
      <c r="P10" s="586"/>
      <c r="Q10" s="590"/>
      <c r="R10" s="587"/>
      <c r="S10" s="586" t="s">
        <v>261</v>
      </c>
      <c r="T10" s="590"/>
      <c r="U10" s="585">
        <v>3.0</v>
      </c>
      <c r="V10" s="586" t="s">
        <v>11</v>
      </c>
      <c r="W10" s="585">
        <v>0.5</v>
      </c>
      <c r="X10" s="587">
        <v>0.5</v>
      </c>
      <c r="Y10" s="586" t="s">
        <v>271</v>
      </c>
      <c r="Z10" s="590"/>
      <c r="AA10" s="591">
        <v>2.0</v>
      </c>
      <c r="AB10" s="586"/>
      <c r="AC10" s="590"/>
      <c r="AD10" s="587"/>
      <c r="AE10" s="586" t="s">
        <v>271</v>
      </c>
      <c r="AF10" s="585">
        <v>2.5</v>
      </c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85</v>
      </c>
      <c r="C11" s="580">
        <f t="shared" si="1"/>
        <v>14.25</v>
      </c>
      <c r="D11" s="594">
        <f t="shared" si="2"/>
        <v>1</v>
      </c>
      <c r="E11" s="595">
        <f t="shared" si="3"/>
        <v>2.5</v>
      </c>
      <c r="F11" s="596">
        <f t="shared" si="4"/>
        <v>11.75</v>
      </c>
      <c r="G11" s="584" t="s">
        <v>269</v>
      </c>
      <c r="H11" s="590"/>
      <c r="I11" s="585">
        <v>1.75</v>
      </c>
      <c r="J11" s="586"/>
      <c r="K11" s="590"/>
      <c r="L11" s="588"/>
      <c r="M11" s="584" t="s">
        <v>261</v>
      </c>
      <c r="N11" s="585">
        <v>2.5</v>
      </c>
      <c r="O11" s="585">
        <v>2.5</v>
      </c>
      <c r="P11" s="586"/>
      <c r="Q11" s="585"/>
      <c r="R11" s="587"/>
      <c r="S11" s="586" t="s">
        <v>261</v>
      </c>
      <c r="T11" s="590"/>
      <c r="U11" s="585">
        <v>3.75</v>
      </c>
      <c r="V11" s="589"/>
      <c r="W11" s="590"/>
      <c r="X11" s="588"/>
      <c r="Y11" s="586" t="s">
        <v>261</v>
      </c>
      <c r="Z11" s="590"/>
      <c r="AA11" s="591">
        <v>2.0</v>
      </c>
      <c r="AB11" s="589"/>
      <c r="AC11" s="590"/>
      <c r="AD11" s="588"/>
      <c r="AE11" s="586" t="s">
        <v>265</v>
      </c>
      <c r="AF11" s="590"/>
      <c r="AG11" s="585">
        <v>1.75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135</v>
      </c>
      <c r="C12" s="580">
        <f t="shared" si="1"/>
        <v>18</v>
      </c>
      <c r="D12" s="594">
        <f t="shared" si="2"/>
        <v>2</v>
      </c>
      <c r="E12" s="595">
        <f t="shared" si="3"/>
        <v>5</v>
      </c>
      <c r="F12" s="596">
        <f t="shared" si="4"/>
        <v>13</v>
      </c>
      <c r="G12" s="584" t="s">
        <v>261</v>
      </c>
      <c r="H12" s="585">
        <v>2.5</v>
      </c>
      <c r="I12" s="585">
        <v>3.5</v>
      </c>
      <c r="J12" s="586"/>
      <c r="K12" s="590"/>
      <c r="L12" s="588"/>
      <c r="M12" s="584" t="s">
        <v>269</v>
      </c>
      <c r="N12" s="590"/>
      <c r="O12" s="585">
        <v>3.0</v>
      </c>
      <c r="P12" s="589"/>
      <c r="Q12" s="590"/>
      <c r="R12" s="588"/>
      <c r="S12" s="586" t="s">
        <v>261</v>
      </c>
      <c r="T12" s="590"/>
      <c r="U12" s="585">
        <v>1.75</v>
      </c>
      <c r="V12" s="586"/>
      <c r="W12" s="590"/>
      <c r="X12" s="587"/>
      <c r="Y12" s="586" t="s">
        <v>261</v>
      </c>
      <c r="Z12" s="590"/>
      <c r="AA12" s="585">
        <v>1.75</v>
      </c>
      <c r="AB12" s="589"/>
      <c r="AC12" s="590"/>
      <c r="AD12" s="588"/>
      <c r="AE12" s="586" t="s">
        <v>261</v>
      </c>
      <c r="AF12" s="585">
        <v>2.5</v>
      </c>
      <c r="AG12" s="585">
        <v>3.0</v>
      </c>
      <c r="AH12" s="586" t="s">
        <v>260</v>
      </c>
      <c r="AI12" s="590"/>
      <c r="AJ12" s="588"/>
      <c r="AK12" s="588"/>
      <c r="AL12" s="593"/>
    </row>
    <row r="13">
      <c r="A13" s="578">
        <v>8.0</v>
      </c>
      <c r="B13" s="579" t="s">
        <v>110</v>
      </c>
      <c r="C13" s="580">
        <f t="shared" si="1"/>
        <v>25.25</v>
      </c>
      <c r="D13" s="594">
        <f t="shared" si="2"/>
        <v>4</v>
      </c>
      <c r="E13" s="595">
        <f t="shared" si="3"/>
        <v>10</v>
      </c>
      <c r="F13" s="596">
        <f t="shared" si="4"/>
        <v>15.25</v>
      </c>
      <c r="G13" s="584" t="s">
        <v>261</v>
      </c>
      <c r="H13" s="597">
        <v>2.5</v>
      </c>
      <c r="I13" s="585">
        <v>2.5</v>
      </c>
      <c r="J13" s="586"/>
      <c r="K13" s="585"/>
      <c r="L13" s="588"/>
      <c r="M13" s="584" t="s">
        <v>261</v>
      </c>
      <c r="N13" s="597">
        <v>2.5</v>
      </c>
      <c r="O13" s="585">
        <v>2.0</v>
      </c>
      <c r="P13" s="589"/>
      <c r="Q13" s="590"/>
      <c r="R13" s="588"/>
      <c r="S13" s="586" t="s">
        <v>261</v>
      </c>
      <c r="T13" s="598"/>
      <c r="U13" s="585">
        <v>3.25</v>
      </c>
      <c r="V13" s="586"/>
      <c r="W13" s="590"/>
      <c r="X13" s="588"/>
      <c r="Y13" s="586" t="s">
        <v>269</v>
      </c>
      <c r="Z13" s="597">
        <v>2.5</v>
      </c>
      <c r="AA13" s="591">
        <v>3.5</v>
      </c>
      <c r="AB13" s="589"/>
      <c r="AC13" s="590"/>
      <c r="AD13" s="588"/>
      <c r="AE13" s="586" t="s">
        <v>261</v>
      </c>
      <c r="AF13" s="597">
        <v>2.5</v>
      </c>
      <c r="AG13" s="585">
        <v>4.0</v>
      </c>
      <c r="AH13" s="586" t="s">
        <v>260</v>
      </c>
      <c r="AI13" s="590"/>
      <c r="AJ13" s="588"/>
      <c r="AK13" s="588"/>
      <c r="AL13" s="593"/>
    </row>
    <row r="14">
      <c r="A14" s="578">
        <v>9.0</v>
      </c>
      <c r="B14" s="579" t="s">
        <v>138</v>
      </c>
      <c r="C14" s="580">
        <f t="shared" si="1"/>
        <v>26</v>
      </c>
      <c r="D14" s="594">
        <f t="shared" si="2"/>
        <v>4</v>
      </c>
      <c r="E14" s="595">
        <f t="shared" si="3"/>
        <v>10</v>
      </c>
      <c r="F14" s="596">
        <f t="shared" si="4"/>
        <v>16</v>
      </c>
      <c r="G14" s="584" t="s">
        <v>261</v>
      </c>
      <c r="H14" s="585">
        <v>2.5</v>
      </c>
      <c r="I14" s="585">
        <v>3.0</v>
      </c>
      <c r="J14" s="586"/>
      <c r="K14" s="585"/>
      <c r="L14" s="587"/>
      <c r="M14" s="584" t="s">
        <v>269</v>
      </c>
      <c r="N14" s="590"/>
      <c r="O14" s="585">
        <v>2.25</v>
      </c>
      <c r="P14" s="586"/>
      <c r="Q14" s="585"/>
      <c r="R14" s="588"/>
      <c r="S14" s="586" t="s">
        <v>269</v>
      </c>
      <c r="T14" s="585">
        <v>2.5</v>
      </c>
      <c r="U14" s="585">
        <v>3.0</v>
      </c>
      <c r="V14" s="589"/>
      <c r="W14" s="590"/>
      <c r="X14" s="588"/>
      <c r="Y14" s="586" t="s">
        <v>269</v>
      </c>
      <c r="Z14" s="585">
        <v>2.5</v>
      </c>
      <c r="AA14" s="591">
        <v>4.0</v>
      </c>
      <c r="AB14" s="589"/>
      <c r="AC14" s="590"/>
      <c r="AD14" s="588"/>
      <c r="AE14" s="586" t="s">
        <v>261</v>
      </c>
      <c r="AF14" s="585">
        <v>2.5</v>
      </c>
      <c r="AG14" s="585">
        <v>3.75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81</v>
      </c>
      <c r="C15" s="580">
        <f t="shared" si="1"/>
        <v>20</v>
      </c>
      <c r="D15" s="603">
        <f t="shared" si="2"/>
        <v>2</v>
      </c>
      <c r="E15" s="604">
        <f t="shared" si="3"/>
        <v>5</v>
      </c>
      <c r="F15" s="605">
        <f t="shared" si="4"/>
        <v>15</v>
      </c>
      <c r="G15" s="606" t="s">
        <v>265</v>
      </c>
      <c r="H15" s="609"/>
      <c r="I15" s="607">
        <v>2.0</v>
      </c>
      <c r="J15" s="608"/>
      <c r="K15" s="609"/>
      <c r="L15" s="610"/>
      <c r="M15" s="606" t="s">
        <v>261</v>
      </c>
      <c r="N15" s="607">
        <v>2.5</v>
      </c>
      <c r="O15" s="607">
        <v>2.5</v>
      </c>
      <c r="P15" s="611" t="s">
        <v>11</v>
      </c>
      <c r="Q15" s="607">
        <v>0.5</v>
      </c>
      <c r="R15" s="612">
        <v>0.5</v>
      </c>
      <c r="S15" s="611" t="s">
        <v>261</v>
      </c>
      <c r="T15" s="609"/>
      <c r="U15" s="607">
        <v>4.25</v>
      </c>
      <c r="V15" s="611" t="s">
        <v>263</v>
      </c>
      <c r="W15" s="609"/>
      <c r="X15" s="610"/>
      <c r="Y15" s="611" t="s">
        <v>261</v>
      </c>
      <c r="Z15" s="609"/>
      <c r="AA15" s="634">
        <v>1.5</v>
      </c>
      <c r="AB15" s="608"/>
      <c r="AC15" s="609"/>
      <c r="AD15" s="610"/>
      <c r="AE15" s="611" t="s">
        <v>261</v>
      </c>
      <c r="AF15" s="607">
        <v>2.5</v>
      </c>
      <c r="AG15" s="607">
        <v>2.75</v>
      </c>
      <c r="AH15" s="611" t="s">
        <v>11</v>
      </c>
      <c r="AI15" s="609"/>
      <c r="AJ15" s="612">
        <v>1.0</v>
      </c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349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262</v>
      </c>
      <c r="H18" s="548"/>
      <c r="I18" s="548"/>
      <c r="J18" s="548"/>
      <c r="K18" s="548"/>
      <c r="L18" s="549"/>
      <c r="M18" s="621" t="s">
        <v>264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352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91</v>
      </c>
      <c r="C6" s="580">
        <f t="shared" ref="C6:C15" si="1">SUM(H6:AK6)</f>
        <v>23.25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15.75</v>
      </c>
      <c r="G6" s="584" t="s">
        <v>269</v>
      </c>
      <c r="H6" s="585">
        <v>2.5</v>
      </c>
      <c r="I6" s="585">
        <v>4.25</v>
      </c>
      <c r="J6" s="589"/>
      <c r="K6" s="590"/>
      <c r="L6" s="588"/>
      <c r="M6" s="584" t="s">
        <v>261</v>
      </c>
      <c r="N6" s="590"/>
      <c r="O6" s="585">
        <v>2.0</v>
      </c>
      <c r="P6" s="589"/>
      <c r="Q6" s="590"/>
      <c r="R6" s="587">
        <v>0.5</v>
      </c>
      <c r="S6" s="586" t="s">
        <v>261</v>
      </c>
      <c r="T6" s="585">
        <v>2.5</v>
      </c>
      <c r="U6" s="585">
        <v>3.75</v>
      </c>
      <c r="V6" s="586" t="s">
        <v>260</v>
      </c>
      <c r="W6" s="590"/>
      <c r="X6" s="587"/>
      <c r="Y6" s="586" t="s">
        <v>261</v>
      </c>
      <c r="Z6" s="590"/>
      <c r="AA6" s="585">
        <v>2.0</v>
      </c>
      <c r="AB6" s="589"/>
      <c r="AC6" s="590"/>
      <c r="AD6" s="588"/>
      <c r="AE6" s="586" t="s">
        <v>269</v>
      </c>
      <c r="AF6" s="585">
        <v>2.5</v>
      </c>
      <c r="AG6" s="585">
        <v>3.25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123</v>
      </c>
      <c r="C7" s="580">
        <f t="shared" si="1"/>
        <v>22.75</v>
      </c>
      <c r="D7" s="594">
        <f t="shared" si="2"/>
        <v>3</v>
      </c>
      <c r="E7" s="595">
        <f t="shared" si="3"/>
        <v>7.5</v>
      </c>
      <c r="F7" s="596">
        <f t="shared" si="4"/>
        <v>15.25</v>
      </c>
      <c r="G7" s="584" t="s">
        <v>261</v>
      </c>
      <c r="H7" s="590"/>
      <c r="I7" s="585">
        <v>3.0</v>
      </c>
      <c r="J7" s="589"/>
      <c r="K7" s="590"/>
      <c r="L7" s="588"/>
      <c r="M7" s="584" t="s">
        <v>265</v>
      </c>
      <c r="N7" s="585">
        <v>2.5</v>
      </c>
      <c r="O7" s="585">
        <v>3.75</v>
      </c>
      <c r="P7" s="589"/>
      <c r="Q7" s="590"/>
      <c r="R7" s="588"/>
      <c r="S7" s="586" t="s">
        <v>261</v>
      </c>
      <c r="T7" s="585">
        <v>2.5</v>
      </c>
      <c r="U7" s="585">
        <v>2.75</v>
      </c>
      <c r="V7" s="586"/>
      <c r="W7" s="590"/>
      <c r="X7" s="587">
        <v>0.5</v>
      </c>
      <c r="Y7" s="586" t="s">
        <v>269</v>
      </c>
      <c r="Z7" s="585">
        <v>2.5</v>
      </c>
      <c r="AA7" s="591">
        <v>3.5</v>
      </c>
      <c r="AB7" s="589"/>
      <c r="AC7" s="590"/>
      <c r="AD7" s="588"/>
      <c r="AE7" s="586" t="s">
        <v>261</v>
      </c>
      <c r="AF7" s="590"/>
      <c r="AG7" s="585">
        <v>1.75</v>
      </c>
      <c r="AH7" s="589"/>
      <c r="AI7" s="590"/>
      <c r="AJ7" s="588"/>
      <c r="AK7" s="588"/>
      <c r="AL7" s="593"/>
    </row>
    <row r="8">
      <c r="A8" s="578">
        <v>3.0</v>
      </c>
      <c r="B8" s="579" t="s">
        <v>132</v>
      </c>
      <c r="C8" s="580">
        <f t="shared" si="1"/>
        <v>22.25</v>
      </c>
      <c r="D8" s="594">
        <f t="shared" si="2"/>
        <v>3</v>
      </c>
      <c r="E8" s="595">
        <f t="shared" si="3"/>
        <v>7.5</v>
      </c>
      <c r="F8" s="596">
        <f t="shared" si="4"/>
        <v>14.75</v>
      </c>
      <c r="G8" s="584" t="s">
        <v>271</v>
      </c>
      <c r="H8" s="598"/>
      <c r="I8" s="585">
        <v>2.25</v>
      </c>
      <c r="J8" s="586"/>
      <c r="K8" s="590"/>
      <c r="L8" s="588"/>
      <c r="M8" s="584" t="s">
        <v>269</v>
      </c>
      <c r="N8" s="597">
        <v>2.5</v>
      </c>
      <c r="O8" s="585">
        <v>4.0</v>
      </c>
      <c r="P8" s="589"/>
      <c r="Q8" s="590"/>
      <c r="R8" s="588"/>
      <c r="S8" s="586" t="s">
        <v>261</v>
      </c>
      <c r="T8" s="597">
        <v>2.5</v>
      </c>
      <c r="U8" s="585">
        <v>3.5</v>
      </c>
      <c r="V8" s="586" t="s">
        <v>260</v>
      </c>
      <c r="W8" s="590"/>
      <c r="X8" s="588"/>
      <c r="Y8" s="586" t="s">
        <v>265</v>
      </c>
      <c r="Z8" s="597">
        <v>2.5</v>
      </c>
      <c r="AA8" s="591">
        <v>3.5</v>
      </c>
      <c r="AB8" s="586"/>
      <c r="AC8" s="585"/>
      <c r="AD8" s="587"/>
      <c r="AE8" s="586" t="s">
        <v>261</v>
      </c>
      <c r="AF8" s="598"/>
      <c r="AG8" s="585">
        <v>1.5</v>
      </c>
      <c r="AH8" s="586"/>
      <c r="AI8" s="590"/>
      <c r="AJ8" s="587"/>
      <c r="AK8" s="588"/>
      <c r="AL8" s="593"/>
    </row>
    <row r="9">
      <c r="A9" s="578">
        <v>4.0</v>
      </c>
      <c r="B9" s="579" t="s">
        <v>126</v>
      </c>
      <c r="C9" s="580">
        <f t="shared" si="1"/>
        <v>18.5</v>
      </c>
      <c r="D9" s="594">
        <f t="shared" si="2"/>
        <v>2</v>
      </c>
      <c r="E9" s="595">
        <f t="shared" si="3"/>
        <v>5</v>
      </c>
      <c r="F9" s="596">
        <f t="shared" si="4"/>
        <v>13.5</v>
      </c>
      <c r="G9" s="584" t="s">
        <v>265</v>
      </c>
      <c r="H9" s="585">
        <v>2.5</v>
      </c>
      <c r="I9" s="585">
        <v>3.75</v>
      </c>
      <c r="J9" s="586"/>
      <c r="K9" s="590"/>
      <c r="L9" s="588"/>
      <c r="M9" s="584" t="s">
        <v>261</v>
      </c>
      <c r="N9" s="590"/>
      <c r="O9" s="585">
        <v>2.0</v>
      </c>
      <c r="P9" s="586"/>
      <c r="Q9" s="585"/>
      <c r="R9" s="587"/>
      <c r="S9" s="586" t="s">
        <v>265</v>
      </c>
      <c r="T9" s="590"/>
      <c r="U9" s="585">
        <v>3.0</v>
      </c>
      <c r="V9" s="589"/>
      <c r="W9" s="590"/>
      <c r="X9" s="588"/>
      <c r="Y9" s="586" t="s">
        <v>269</v>
      </c>
      <c r="Z9" s="585">
        <v>2.5</v>
      </c>
      <c r="AA9" s="591">
        <v>3.0</v>
      </c>
      <c r="AB9" s="589"/>
      <c r="AC9" s="590"/>
      <c r="AD9" s="588"/>
      <c r="AE9" s="586" t="s">
        <v>261</v>
      </c>
      <c r="AF9" s="590"/>
      <c r="AG9" s="585">
        <v>1.75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118</v>
      </c>
      <c r="C10" s="580">
        <f t="shared" si="1"/>
        <v>17.5</v>
      </c>
      <c r="D10" s="594">
        <f t="shared" si="2"/>
        <v>2</v>
      </c>
      <c r="E10" s="595">
        <f t="shared" si="3"/>
        <v>5</v>
      </c>
      <c r="F10" s="596">
        <f t="shared" si="4"/>
        <v>12.5</v>
      </c>
      <c r="G10" s="584" t="s">
        <v>269</v>
      </c>
      <c r="H10" s="597">
        <v>2.5</v>
      </c>
      <c r="I10" s="585">
        <v>2.25</v>
      </c>
      <c r="J10" s="586"/>
      <c r="K10" s="590"/>
      <c r="L10" s="588"/>
      <c r="M10" s="584" t="s">
        <v>261</v>
      </c>
      <c r="N10" s="598"/>
      <c r="O10" s="585">
        <v>3.25</v>
      </c>
      <c r="P10" s="589"/>
      <c r="Q10" s="590"/>
      <c r="R10" s="588"/>
      <c r="S10" s="586" t="s">
        <v>261</v>
      </c>
      <c r="T10" s="597">
        <v>2.5</v>
      </c>
      <c r="U10" s="585">
        <v>2.0</v>
      </c>
      <c r="V10" s="586"/>
      <c r="W10" s="590"/>
      <c r="X10" s="588"/>
      <c r="Y10" s="586" t="s">
        <v>261</v>
      </c>
      <c r="Z10" s="598"/>
      <c r="AA10" s="591">
        <v>2.0</v>
      </c>
      <c r="AB10" s="589"/>
      <c r="AC10" s="590"/>
      <c r="AD10" s="588"/>
      <c r="AE10" s="586" t="s">
        <v>271</v>
      </c>
      <c r="AF10" s="598"/>
      <c r="AG10" s="585">
        <v>2.5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137</v>
      </c>
      <c r="C11" s="580">
        <f t="shared" si="1"/>
        <v>17.5</v>
      </c>
      <c r="D11" s="594">
        <f t="shared" si="2"/>
        <v>2</v>
      </c>
      <c r="E11" s="595">
        <f t="shared" si="3"/>
        <v>5</v>
      </c>
      <c r="F11" s="596">
        <f t="shared" si="4"/>
        <v>12.5</v>
      </c>
      <c r="G11" s="584" t="s">
        <v>261</v>
      </c>
      <c r="H11" s="590"/>
      <c r="I11" s="585">
        <v>2.75</v>
      </c>
      <c r="J11" s="586"/>
      <c r="K11" s="585"/>
      <c r="L11" s="587"/>
      <c r="M11" s="584" t="s">
        <v>269</v>
      </c>
      <c r="N11" s="585">
        <v>2.5</v>
      </c>
      <c r="O11" s="585">
        <v>3.0</v>
      </c>
      <c r="P11" s="586"/>
      <c r="Q11" s="585"/>
      <c r="R11" s="588"/>
      <c r="S11" s="586" t="s">
        <v>261</v>
      </c>
      <c r="T11" s="585">
        <v>2.5</v>
      </c>
      <c r="U11" s="585">
        <v>2.5</v>
      </c>
      <c r="V11" s="586" t="s">
        <v>260</v>
      </c>
      <c r="W11" s="590"/>
      <c r="X11" s="588"/>
      <c r="Y11" s="586" t="s">
        <v>271</v>
      </c>
      <c r="Z11" s="590"/>
      <c r="AA11" s="591">
        <v>2.25</v>
      </c>
      <c r="AB11" s="589"/>
      <c r="AC11" s="590"/>
      <c r="AD11" s="588"/>
      <c r="AE11" s="586" t="s">
        <v>261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95</v>
      </c>
      <c r="C12" s="580">
        <f t="shared" si="1"/>
        <v>15.5</v>
      </c>
      <c r="D12" s="594">
        <f t="shared" si="2"/>
        <v>1</v>
      </c>
      <c r="E12" s="595">
        <f t="shared" si="3"/>
        <v>2.5</v>
      </c>
      <c r="F12" s="596">
        <f t="shared" si="4"/>
        <v>13</v>
      </c>
      <c r="G12" s="584" t="s">
        <v>261</v>
      </c>
      <c r="H12" s="590"/>
      <c r="I12" s="585">
        <v>2.0</v>
      </c>
      <c r="J12" s="586"/>
      <c r="K12" s="590"/>
      <c r="L12" s="587">
        <v>0.5</v>
      </c>
      <c r="M12" s="584" t="s">
        <v>271</v>
      </c>
      <c r="N12" s="590"/>
      <c r="O12" s="600">
        <v>2.75</v>
      </c>
      <c r="P12" s="589"/>
      <c r="Q12" s="590"/>
      <c r="R12" s="588"/>
      <c r="S12" s="586" t="s">
        <v>269</v>
      </c>
      <c r="T12" s="590"/>
      <c r="U12" s="585">
        <v>1.75</v>
      </c>
      <c r="V12" s="586" t="s">
        <v>263</v>
      </c>
      <c r="W12" s="590"/>
      <c r="X12" s="587"/>
      <c r="Y12" s="586" t="s">
        <v>261</v>
      </c>
      <c r="Z12" s="590"/>
      <c r="AA12" s="585">
        <v>2.25</v>
      </c>
      <c r="AB12" s="589"/>
      <c r="AC12" s="590"/>
      <c r="AD12" s="588"/>
      <c r="AE12" s="586" t="s">
        <v>265</v>
      </c>
      <c r="AF12" s="585">
        <v>2.5</v>
      </c>
      <c r="AG12" s="585">
        <v>3.75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131</v>
      </c>
      <c r="C13" s="580">
        <f t="shared" si="1"/>
        <v>15</v>
      </c>
      <c r="D13" s="594">
        <f t="shared" si="2"/>
        <v>1</v>
      </c>
      <c r="E13" s="595">
        <f t="shared" si="3"/>
        <v>2.5</v>
      </c>
      <c r="F13" s="596">
        <f t="shared" si="4"/>
        <v>12.5</v>
      </c>
      <c r="G13" s="584" t="s">
        <v>261</v>
      </c>
      <c r="H13" s="590"/>
      <c r="I13" s="585">
        <v>1.75</v>
      </c>
      <c r="J13" s="589"/>
      <c r="K13" s="590"/>
      <c r="L13" s="588"/>
      <c r="M13" s="584" t="s">
        <v>261</v>
      </c>
      <c r="N13" s="590"/>
      <c r="O13" s="585">
        <v>2.5</v>
      </c>
      <c r="P13" s="586"/>
      <c r="Q13" s="590"/>
      <c r="R13" s="587"/>
      <c r="S13" s="586" t="s">
        <v>269</v>
      </c>
      <c r="T13" s="590"/>
      <c r="U13" s="585">
        <v>2.5</v>
      </c>
      <c r="V13" s="586"/>
      <c r="W13" s="590"/>
      <c r="X13" s="588"/>
      <c r="Y13" s="586" t="s">
        <v>261</v>
      </c>
      <c r="Z13" s="590"/>
      <c r="AA13" s="591">
        <v>2.25</v>
      </c>
      <c r="AB13" s="586"/>
      <c r="AC13" s="590"/>
      <c r="AD13" s="587"/>
      <c r="AE13" s="586" t="s">
        <v>269</v>
      </c>
      <c r="AF13" s="585">
        <v>2.5</v>
      </c>
      <c r="AG13" s="585">
        <v>3.5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117</v>
      </c>
      <c r="C14" s="580">
        <f t="shared" si="1"/>
        <v>14.5</v>
      </c>
      <c r="D14" s="594">
        <f t="shared" si="2"/>
        <v>1</v>
      </c>
      <c r="E14" s="595">
        <f t="shared" si="3"/>
        <v>2.5</v>
      </c>
      <c r="F14" s="596">
        <f t="shared" si="4"/>
        <v>12</v>
      </c>
      <c r="G14" s="584" t="s">
        <v>261</v>
      </c>
      <c r="H14" s="590"/>
      <c r="I14" s="585">
        <v>1.75</v>
      </c>
      <c r="J14" s="586"/>
      <c r="K14" s="590"/>
      <c r="L14" s="588"/>
      <c r="M14" s="584" t="s">
        <v>261</v>
      </c>
      <c r="N14" s="590"/>
      <c r="O14" s="585">
        <v>2.25</v>
      </c>
      <c r="P14" s="586"/>
      <c r="Q14" s="590"/>
      <c r="R14" s="588"/>
      <c r="S14" s="586" t="s">
        <v>261</v>
      </c>
      <c r="T14" s="585">
        <v>2.5</v>
      </c>
      <c r="U14" s="585">
        <v>2.25</v>
      </c>
      <c r="V14" s="586"/>
      <c r="W14" s="590"/>
      <c r="X14" s="588"/>
      <c r="Y14" s="586" t="s">
        <v>261</v>
      </c>
      <c r="Z14" s="590"/>
      <c r="AA14" s="591">
        <v>2.75</v>
      </c>
      <c r="AB14" s="586" t="s">
        <v>11</v>
      </c>
      <c r="AC14" s="585">
        <v>0.5</v>
      </c>
      <c r="AD14" s="587">
        <v>0.5</v>
      </c>
      <c r="AE14" s="586" t="s">
        <v>261</v>
      </c>
      <c r="AF14" s="590"/>
      <c r="AG14" s="585">
        <v>2.0</v>
      </c>
      <c r="AH14" s="589"/>
      <c r="AI14" s="590"/>
      <c r="AJ14" s="588"/>
      <c r="AK14" s="599"/>
      <c r="AL14" s="593"/>
    </row>
    <row r="15">
      <c r="A15" s="601">
        <v>10.0</v>
      </c>
      <c r="B15" s="602" t="s">
        <v>136</v>
      </c>
      <c r="C15" s="580">
        <f t="shared" si="1"/>
        <v>14.5</v>
      </c>
      <c r="D15" s="603">
        <f t="shared" si="2"/>
        <v>1</v>
      </c>
      <c r="E15" s="604">
        <f t="shared" si="3"/>
        <v>2.5</v>
      </c>
      <c r="F15" s="605">
        <f t="shared" si="4"/>
        <v>12</v>
      </c>
      <c r="G15" s="606" t="s">
        <v>261</v>
      </c>
      <c r="H15" s="635"/>
      <c r="I15" s="607">
        <v>2.25</v>
      </c>
      <c r="J15" s="611"/>
      <c r="K15" s="607"/>
      <c r="L15" s="610"/>
      <c r="M15" s="606" t="s">
        <v>261</v>
      </c>
      <c r="N15" s="635"/>
      <c r="O15" s="607">
        <v>2.5</v>
      </c>
      <c r="P15" s="608"/>
      <c r="Q15" s="609"/>
      <c r="R15" s="610"/>
      <c r="S15" s="611" t="s">
        <v>271</v>
      </c>
      <c r="T15" s="636">
        <v>2.5</v>
      </c>
      <c r="U15" s="607">
        <v>2.5</v>
      </c>
      <c r="V15" s="611"/>
      <c r="W15" s="609"/>
      <c r="X15" s="610"/>
      <c r="Y15" s="611" t="s">
        <v>261</v>
      </c>
      <c r="Z15" s="635"/>
      <c r="AA15" s="634">
        <v>2.75</v>
      </c>
      <c r="AB15" s="608"/>
      <c r="AC15" s="609"/>
      <c r="AD15" s="610"/>
      <c r="AE15" s="611" t="s">
        <v>261</v>
      </c>
      <c r="AF15" s="635"/>
      <c r="AG15" s="607">
        <v>2.0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353</v>
      </c>
      <c r="L16" s="543"/>
      <c r="M16" s="616" t="s">
        <v>350</v>
      </c>
      <c r="R16" s="543"/>
      <c r="S16" s="616" t="s">
        <v>354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95</v>
      </c>
      <c r="C26" s="631" t="s">
        <v>16</v>
      </c>
      <c r="D26" s="630">
        <v>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356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79</v>
      </c>
      <c r="C6" s="580">
        <f t="shared" ref="C6:C15" si="1">SUM(H6:AK6)</f>
        <v>22.75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15.25</v>
      </c>
      <c r="G6" s="584" t="s">
        <v>261</v>
      </c>
      <c r="H6" s="598"/>
      <c r="I6" s="585">
        <v>1.75</v>
      </c>
      <c r="J6" s="586"/>
      <c r="K6" s="590"/>
      <c r="L6" s="588"/>
      <c r="M6" s="584" t="s">
        <v>261</v>
      </c>
      <c r="N6" s="597">
        <v>2.5</v>
      </c>
      <c r="O6" s="585">
        <v>3.75</v>
      </c>
      <c r="P6" s="589"/>
      <c r="Q6" s="590"/>
      <c r="R6" s="588"/>
      <c r="S6" s="586" t="s">
        <v>261</v>
      </c>
      <c r="T6" s="597">
        <v>2.5</v>
      </c>
      <c r="U6" s="585">
        <v>4.0</v>
      </c>
      <c r="V6" s="586"/>
      <c r="W6" s="590"/>
      <c r="X6" s="588"/>
      <c r="Y6" s="586" t="s">
        <v>261</v>
      </c>
      <c r="Z6" s="598"/>
      <c r="AA6" s="591">
        <v>2.25</v>
      </c>
      <c r="AB6" s="589"/>
      <c r="AC6" s="590"/>
      <c r="AD6" s="588"/>
      <c r="AE6" s="586" t="s">
        <v>261</v>
      </c>
      <c r="AF6" s="597">
        <v>2.5</v>
      </c>
      <c r="AG6" s="585">
        <v>3.5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122</v>
      </c>
      <c r="C7" s="580">
        <f t="shared" si="1"/>
        <v>20.75</v>
      </c>
      <c r="D7" s="594">
        <f t="shared" si="2"/>
        <v>3</v>
      </c>
      <c r="E7" s="595">
        <f t="shared" si="3"/>
        <v>7.5</v>
      </c>
      <c r="F7" s="596">
        <f t="shared" si="4"/>
        <v>13.25</v>
      </c>
      <c r="G7" s="584" t="s">
        <v>261</v>
      </c>
      <c r="H7" s="598"/>
      <c r="I7" s="585">
        <v>2.5</v>
      </c>
      <c r="J7" s="586" t="s">
        <v>11</v>
      </c>
      <c r="K7" s="590"/>
      <c r="L7" s="587">
        <v>0.5</v>
      </c>
      <c r="M7" s="584" t="s">
        <v>261</v>
      </c>
      <c r="N7" s="597">
        <v>2.5</v>
      </c>
      <c r="O7" s="585">
        <v>4.25</v>
      </c>
      <c r="P7" s="589"/>
      <c r="Q7" s="590"/>
      <c r="R7" s="588"/>
      <c r="S7" s="586" t="s">
        <v>261</v>
      </c>
      <c r="T7" s="597">
        <v>2.5</v>
      </c>
      <c r="U7" s="585">
        <v>2.5</v>
      </c>
      <c r="V7" s="586"/>
      <c r="W7" s="590"/>
      <c r="X7" s="588"/>
      <c r="Y7" s="586" t="s">
        <v>261</v>
      </c>
      <c r="Z7" s="598"/>
      <c r="AA7" s="591">
        <v>2.0</v>
      </c>
      <c r="AB7" s="586"/>
      <c r="AC7" s="585"/>
      <c r="AD7" s="587"/>
      <c r="AE7" s="586" t="s">
        <v>261</v>
      </c>
      <c r="AF7" s="597">
        <v>2.5</v>
      </c>
      <c r="AG7" s="585">
        <v>1.5</v>
      </c>
      <c r="AH7" s="586"/>
      <c r="AI7" s="590"/>
      <c r="AJ7" s="587"/>
      <c r="AK7" s="588"/>
      <c r="AL7" s="593"/>
    </row>
    <row r="8">
      <c r="A8" s="578">
        <v>3.0</v>
      </c>
      <c r="B8" s="579" t="s">
        <v>85</v>
      </c>
      <c r="C8" s="580">
        <f t="shared" si="1"/>
        <v>16.5</v>
      </c>
      <c r="D8" s="594">
        <f t="shared" si="2"/>
        <v>1</v>
      </c>
      <c r="E8" s="595">
        <f t="shared" si="3"/>
        <v>2.5</v>
      </c>
      <c r="F8" s="596">
        <f t="shared" si="4"/>
        <v>14</v>
      </c>
      <c r="G8" s="584" t="s">
        <v>261</v>
      </c>
      <c r="H8" s="590"/>
      <c r="I8" s="585">
        <v>2.0</v>
      </c>
      <c r="J8" s="589"/>
      <c r="K8" s="590"/>
      <c r="L8" s="588"/>
      <c r="M8" s="584" t="s">
        <v>265</v>
      </c>
      <c r="N8" s="590"/>
      <c r="O8" s="585">
        <v>2.25</v>
      </c>
      <c r="P8" s="589"/>
      <c r="Q8" s="590"/>
      <c r="R8" s="588"/>
      <c r="S8" s="586" t="s">
        <v>261</v>
      </c>
      <c r="T8" s="585">
        <v>2.5</v>
      </c>
      <c r="U8" s="585">
        <v>5.0</v>
      </c>
      <c r="V8" s="586"/>
      <c r="W8" s="590"/>
      <c r="X8" s="587"/>
      <c r="Y8" s="586" t="s">
        <v>261</v>
      </c>
      <c r="Z8" s="590"/>
      <c r="AA8" s="585">
        <v>2.0</v>
      </c>
      <c r="AB8" s="589"/>
      <c r="AC8" s="590"/>
      <c r="AD8" s="588"/>
      <c r="AE8" s="586" t="s">
        <v>269</v>
      </c>
      <c r="AF8" s="590"/>
      <c r="AG8" s="585">
        <v>2.75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133</v>
      </c>
      <c r="C9" s="580">
        <f t="shared" si="1"/>
        <v>16.5</v>
      </c>
      <c r="D9" s="594">
        <f t="shared" si="2"/>
        <v>1</v>
      </c>
      <c r="E9" s="595">
        <f t="shared" si="3"/>
        <v>2.5</v>
      </c>
      <c r="F9" s="596">
        <f t="shared" si="4"/>
        <v>14</v>
      </c>
      <c r="G9" s="584" t="s">
        <v>261</v>
      </c>
      <c r="H9" s="590"/>
      <c r="I9" s="585">
        <v>2.0</v>
      </c>
      <c r="J9" s="586"/>
      <c r="K9" s="590"/>
      <c r="L9" s="588"/>
      <c r="M9" s="584" t="s">
        <v>271</v>
      </c>
      <c r="N9" s="585">
        <v>2.5</v>
      </c>
      <c r="O9" s="585">
        <v>4.0</v>
      </c>
      <c r="P9" s="586"/>
      <c r="Q9" s="590"/>
      <c r="R9" s="588"/>
      <c r="S9" s="586" t="s">
        <v>269</v>
      </c>
      <c r="T9" s="590"/>
      <c r="U9" s="585">
        <v>2.5</v>
      </c>
      <c r="V9" s="586"/>
      <c r="W9" s="590"/>
      <c r="X9" s="588"/>
      <c r="Y9" s="586" t="s">
        <v>261</v>
      </c>
      <c r="Z9" s="590"/>
      <c r="AA9" s="591">
        <v>2.25</v>
      </c>
      <c r="AB9" s="586" t="s">
        <v>11</v>
      </c>
      <c r="AC9" s="590"/>
      <c r="AD9" s="587">
        <v>0.5</v>
      </c>
      <c r="AE9" s="586" t="s">
        <v>265</v>
      </c>
      <c r="AF9" s="590"/>
      <c r="AG9" s="585">
        <v>2.75</v>
      </c>
      <c r="AH9" s="589"/>
      <c r="AI9" s="590"/>
      <c r="AJ9" s="588"/>
      <c r="AK9" s="599"/>
      <c r="AL9" s="593"/>
    </row>
    <row r="10">
      <c r="A10" s="578">
        <v>5.0</v>
      </c>
      <c r="B10" s="579" t="s">
        <v>94</v>
      </c>
      <c r="C10" s="580">
        <f t="shared" si="1"/>
        <v>18.25</v>
      </c>
      <c r="D10" s="594">
        <f t="shared" si="2"/>
        <v>2</v>
      </c>
      <c r="E10" s="595">
        <f t="shared" si="3"/>
        <v>5</v>
      </c>
      <c r="F10" s="596">
        <f t="shared" si="4"/>
        <v>13.25</v>
      </c>
      <c r="G10" s="584" t="s">
        <v>269</v>
      </c>
      <c r="H10" s="585">
        <v>2.5</v>
      </c>
      <c r="I10" s="585">
        <v>2.75</v>
      </c>
      <c r="J10" s="589"/>
      <c r="K10" s="590"/>
      <c r="L10" s="588"/>
      <c r="M10" s="584" t="s">
        <v>269</v>
      </c>
      <c r="N10" s="590"/>
      <c r="O10" s="585">
        <v>2.5</v>
      </c>
      <c r="P10" s="586"/>
      <c r="Q10" s="590"/>
      <c r="R10" s="587"/>
      <c r="S10" s="586" t="s">
        <v>261</v>
      </c>
      <c r="T10" s="585">
        <v>2.5</v>
      </c>
      <c r="U10" s="585">
        <v>3.0</v>
      </c>
      <c r="V10" s="586"/>
      <c r="W10" s="590"/>
      <c r="X10" s="588"/>
      <c r="Y10" s="586" t="s">
        <v>271</v>
      </c>
      <c r="Z10" s="590"/>
      <c r="AA10" s="591">
        <v>3.25</v>
      </c>
      <c r="AB10" s="586"/>
      <c r="AC10" s="590"/>
      <c r="AD10" s="587"/>
      <c r="AE10" s="586" t="s">
        <v>269</v>
      </c>
      <c r="AF10" s="590"/>
      <c r="AG10" s="585">
        <v>1.75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123</v>
      </c>
      <c r="C11" s="580">
        <f t="shared" si="1"/>
        <v>26.5</v>
      </c>
      <c r="D11" s="594">
        <f t="shared" si="2"/>
        <v>4</v>
      </c>
      <c r="E11" s="595">
        <f t="shared" si="3"/>
        <v>10</v>
      </c>
      <c r="F11" s="596">
        <f t="shared" si="4"/>
        <v>16.5</v>
      </c>
      <c r="G11" s="584" t="s">
        <v>269</v>
      </c>
      <c r="H11" s="585">
        <v>2.5</v>
      </c>
      <c r="I11" s="585">
        <v>3.75</v>
      </c>
      <c r="J11" s="586"/>
      <c r="K11" s="590"/>
      <c r="L11" s="588"/>
      <c r="M11" s="584" t="s">
        <v>261</v>
      </c>
      <c r="N11" s="585">
        <v>2.5</v>
      </c>
      <c r="O11" s="585">
        <v>4.5</v>
      </c>
      <c r="P11" s="586"/>
      <c r="Q11" s="585"/>
      <c r="R11" s="587"/>
      <c r="S11" s="586" t="s">
        <v>269</v>
      </c>
      <c r="T11" s="590"/>
      <c r="U11" s="585">
        <v>2.5</v>
      </c>
      <c r="V11" s="589"/>
      <c r="W11" s="590"/>
      <c r="X11" s="588"/>
      <c r="Y11" s="586" t="s">
        <v>265</v>
      </c>
      <c r="Z11" s="585">
        <v>2.5</v>
      </c>
      <c r="AA11" s="591">
        <v>3.25</v>
      </c>
      <c r="AB11" s="589"/>
      <c r="AC11" s="590"/>
      <c r="AD11" s="588"/>
      <c r="AE11" s="586" t="s">
        <v>271</v>
      </c>
      <c r="AF11" s="585">
        <v>2.5</v>
      </c>
      <c r="AG11" s="600">
        <v>2.5</v>
      </c>
      <c r="AH11" s="586" t="s">
        <v>260</v>
      </c>
      <c r="AI11" s="590"/>
      <c r="AJ11" s="588"/>
      <c r="AK11" s="588"/>
      <c r="AL11" s="593"/>
    </row>
    <row r="12">
      <c r="A12" s="578">
        <v>7.0</v>
      </c>
      <c r="B12" s="579" t="s">
        <v>96</v>
      </c>
      <c r="C12" s="580">
        <f t="shared" si="1"/>
        <v>22.5</v>
      </c>
      <c r="D12" s="594">
        <f t="shared" si="2"/>
        <v>4</v>
      </c>
      <c r="E12" s="595">
        <f t="shared" si="3"/>
        <v>10</v>
      </c>
      <c r="F12" s="596">
        <f t="shared" si="4"/>
        <v>12.5</v>
      </c>
      <c r="G12" s="584" t="s">
        <v>261</v>
      </c>
      <c r="H12" s="590"/>
      <c r="I12" s="600">
        <v>2.5</v>
      </c>
      <c r="J12" s="586"/>
      <c r="K12" s="590"/>
      <c r="L12" s="588"/>
      <c r="M12" s="584" t="s">
        <v>261</v>
      </c>
      <c r="N12" s="585">
        <v>2.5</v>
      </c>
      <c r="O12" s="585">
        <v>2.75</v>
      </c>
      <c r="P12" s="586" t="s">
        <v>11</v>
      </c>
      <c r="Q12" s="590"/>
      <c r="R12" s="587">
        <v>0.5</v>
      </c>
      <c r="S12" s="586" t="s">
        <v>271</v>
      </c>
      <c r="T12" s="585">
        <v>2.5</v>
      </c>
      <c r="U12" s="585">
        <v>3.25</v>
      </c>
      <c r="V12" s="586"/>
      <c r="W12" s="590"/>
      <c r="X12" s="587"/>
      <c r="Y12" s="586" t="s">
        <v>269</v>
      </c>
      <c r="Z12" s="585">
        <v>2.5</v>
      </c>
      <c r="AA12" s="585">
        <v>2.25</v>
      </c>
      <c r="AB12" s="589"/>
      <c r="AC12" s="590"/>
      <c r="AD12" s="588"/>
      <c r="AE12" s="586" t="s">
        <v>261</v>
      </c>
      <c r="AF12" s="585">
        <v>2.5</v>
      </c>
      <c r="AG12" s="585">
        <v>1.25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135</v>
      </c>
      <c r="C13" s="580">
        <f t="shared" si="1"/>
        <v>19</v>
      </c>
      <c r="D13" s="594">
        <f t="shared" si="2"/>
        <v>3</v>
      </c>
      <c r="E13" s="595">
        <f t="shared" si="3"/>
        <v>7.5</v>
      </c>
      <c r="F13" s="596">
        <f t="shared" si="4"/>
        <v>11.5</v>
      </c>
      <c r="G13" s="584" t="s">
        <v>261</v>
      </c>
      <c r="H13" s="598"/>
      <c r="I13" s="585">
        <v>1.75</v>
      </c>
      <c r="J13" s="586"/>
      <c r="K13" s="585"/>
      <c r="L13" s="588"/>
      <c r="M13" s="584" t="s">
        <v>269</v>
      </c>
      <c r="N13" s="598"/>
      <c r="O13" s="585">
        <v>1.75</v>
      </c>
      <c r="P13" s="589"/>
      <c r="Q13" s="590"/>
      <c r="R13" s="588"/>
      <c r="S13" s="586" t="s">
        <v>261</v>
      </c>
      <c r="T13" s="597">
        <v>2.5</v>
      </c>
      <c r="U13" s="585">
        <v>2.5</v>
      </c>
      <c r="V13" s="586"/>
      <c r="W13" s="590"/>
      <c r="X13" s="588"/>
      <c r="Y13" s="586" t="s">
        <v>269</v>
      </c>
      <c r="Z13" s="597">
        <v>2.5</v>
      </c>
      <c r="AA13" s="637">
        <v>3.5</v>
      </c>
      <c r="AB13" s="586" t="s">
        <v>260</v>
      </c>
      <c r="AC13" s="590"/>
      <c r="AD13" s="588"/>
      <c r="AE13" s="586" t="s">
        <v>261</v>
      </c>
      <c r="AF13" s="597">
        <v>2.5</v>
      </c>
      <c r="AG13" s="585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131</v>
      </c>
      <c r="C14" s="580">
        <f t="shared" si="1"/>
        <v>23.25</v>
      </c>
      <c r="D14" s="594">
        <f t="shared" si="2"/>
        <v>3</v>
      </c>
      <c r="E14" s="595">
        <f t="shared" si="3"/>
        <v>7.5</v>
      </c>
      <c r="F14" s="596">
        <f t="shared" si="4"/>
        <v>15.75</v>
      </c>
      <c r="G14" s="584" t="s">
        <v>271</v>
      </c>
      <c r="H14" s="590"/>
      <c r="I14" s="585">
        <v>2.0</v>
      </c>
      <c r="J14" s="586"/>
      <c r="K14" s="585"/>
      <c r="L14" s="587"/>
      <c r="M14" s="584" t="s">
        <v>261</v>
      </c>
      <c r="N14" s="585">
        <v>2.5</v>
      </c>
      <c r="O14" s="585">
        <v>3.0</v>
      </c>
      <c r="P14" s="586"/>
      <c r="Q14" s="585"/>
      <c r="R14" s="588"/>
      <c r="S14" s="586" t="s">
        <v>261</v>
      </c>
      <c r="T14" s="585">
        <v>2.5</v>
      </c>
      <c r="U14" s="585">
        <v>3.25</v>
      </c>
      <c r="V14" s="586" t="s">
        <v>11</v>
      </c>
      <c r="W14" s="585">
        <v>0.5</v>
      </c>
      <c r="X14" s="587">
        <v>0.5</v>
      </c>
      <c r="Y14" s="586" t="s">
        <v>261</v>
      </c>
      <c r="Z14" s="590"/>
      <c r="AA14" s="591">
        <v>2.0</v>
      </c>
      <c r="AB14" s="586" t="s">
        <v>263</v>
      </c>
      <c r="AC14" s="590"/>
      <c r="AD14" s="588"/>
      <c r="AE14" s="586" t="s">
        <v>261</v>
      </c>
      <c r="AF14" s="585">
        <v>2.5</v>
      </c>
      <c r="AG14" s="585">
        <v>4.5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102</v>
      </c>
      <c r="C15" s="580">
        <f t="shared" si="1"/>
        <v>22.5</v>
      </c>
      <c r="D15" s="603">
        <f t="shared" si="2"/>
        <v>3</v>
      </c>
      <c r="E15" s="604">
        <f t="shared" si="3"/>
        <v>7.5</v>
      </c>
      <c r="F15" s="605">
        <f t="shared" si="4"/>
        <v>15</v>
      </c>
      <c r="G15" s="606" t="s">
        <v>265</v>
      </c>
      <c r="H15" s="607">
        <v>2.5</v>
      </c>
      <c r="I15" s="607">
        <v>4.0</v>
      </c>
      <c r="J15" s="608"/>
      <c r="K15" s="609"/>
      <c r="L15" s="610"/>
      <c r="M15" s="606" t="s">
        <v>261</v>
      </c>
      <c r="N15" s="607">
        <v>2.5</v>
      </c>
      <c r="O15" s="607">
        <v>3.5</v>
      </c>
      <c r="P15" s="608"/>
      <c r="Q15" s="609"/>
      <c r="R15" s="610"/>
      <c r="S15" s="611" t="s">
        <v>265</v>
      </c>
      <c r="T15" s="609"/>
      <c r="U15" s="607">
        <v>1.5</v>
      </c>
      <c r="V15" s="611"/>
      <c r="W15" s="609"/>
      <c r="X15" s="610"/>
      <c r="Y15" s="611" t="s">
        <v>261</v>
      </c>
      <c r="Z15" s="609"/>
      <c r="AA15" s="634">
        <v>2.0</v>
      </c>
      <c r="AB15" s="611" t="s">
        <v>263</v>
      </c>
      <c r="AC15" s="609"/>
      <c r="AD15" s="610"/>
      <c r="AE15" s="611" t="s">
        <v>261</v>
      </c>
      <c r="AF15" s="607">
        <v>2.5</v>
      </c>
      <c r="AG15" s="607">
        <v>4.0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257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96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4.0</v>
      </c>
      <c r="B27" s="631" t="s">
        <v>135</v>
      </c>
      <c r="C27" s="631" t="s">
        <v>16</v>
      </c>
      <c r="D27" s="631">
        <v>-0.5</v>
      </c>
      <c r="E27" s="62"/>
      <c r="F27" s="62"/>
      <c r="AK27" s="62"/>
    </row>
    <row r="28">
      <c r="A28" s="631">
        <v>5.0</v>
      </c>
      <c r="B28" s="631" t="s">
        <v>123</v>
      </c>
      <c r="C28" s="631" t="s">
        <v>16</v>
      </c>
      <c r="D28" s="631">
        <v>-0.5</v>
      </c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358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131</v>
      </c>
      <c r="C6" s="580">
        <f t="shared" ref="C6:C15" si="1">SUM(H6:AK6)</f>
        <v>17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12</v>
      </c>
      <c r="G6" s="584" t="s">
        <v>261</v>
      </c>
      <c r="H6" s="598"/>
      <c r="I6" s="585">
        <v>1.75</v>
      </c>
      <c r="J6" s="586"/>
      <c r="K6" s="590"/>
      <c r="L6" s="588"/>
      <c r="M6" s="584" t="s">
        <v>269</v>
      </c>
      <c r="N6" s="597">
        <v>2.5</v>
      </c>
      <c r="O6" s="585">
        <v>2.5</v>
      </c>
      <c r="P6" s="589"/>
      <c r="Q6" s="590"/>
      <c r="R6" s="588"/>
      <c r="S6" s="586" t="s">
        <v>261</v>
      </c>
      <c r="T6" s="598"/>
      <c r="U6" s="585">
        <v>2.25</v>
      </c>
      <c r="V6" s="586" t="s">
        <v>263</v>
      </c>
      <c r="W6" s="590"/>
      <c r="X6" s="588"/>
      <c r="Y6" s="586" t="s">
        <v>261</v>
      </c>
      <c r="Z6" s="598"/>
      <c r="AA6" s="591">
        <v>1.5</v>
      </c>
      <c r="AB6" s="589"/>
      <c r="AC6" s="590"/>
      <c r="AD6" s="588"/>
      <c r="AE6" s="586" t="s">
        <v>261</v>
      </c>
      <c r="AF6" s="597">
        <v>2.5</v>
      </c>
      <c r="AG6" s="585">
        <v>4.0</v>
      </c>
      <c r="AH6" s="586" t="s">
        <v>260</v>
      </c>
      <c r="AI6" s="590"/>
      <c r="AJ6" s="587"/>
      <c r="AK6" s="592"/>
      <c r="AL6" s="593"/>
    </row>
    <row r="7" ht="23.25" customHeight="1">
      <c r="A7" s="578">
        <v>2.0</v>
      </c>
      <c r="B7" s="579" t="s">
        <v>105</v>
      </c>
      <c r="C7" s="580">
        <f t="shared" si="1"/>
        <v>22.5</v>
      </c>
      <c r="D7" s="594">
        <f t="shared" si="2"/>
        <v>3</v>
      </c>
      <c r="E7" s="595">
        <f t="shared" si="3"/>
        <v>7.5</v>
      </c>
      <c r="F7" s="596">
        <f t="shared" si="4"/>
        <v>15</v>
      </c>
      <c r="G7" s="584" t="s">
        <v>261</v>
      </c>
      <c r="H7" s="598"/>
      <c r="I7" s="585">
        <v>2.75</v>
      </c>
      <c r="J7" s="586"/>
      <c r="K7" s="590"/>
      <c r="L7" s="588"/>
      <c r="M7" s="584" t="s">
        <v>261</v>
      </c>
      <c r="N7" s="598"/>
      <c r="O7" s="585">
        <v>3.25</v>
      </c>
      <c r="P7" s="589"/>
      <c r="Q7" s="590"/>
      <c r="R7" s="588"/>
      <c r="S7" s="586" t="s">
        <v>269</v>
      </c>
      <c r="T7" s="597">
        <v>2.5</v>
      </c>
      <c r="U7" s="585">
        <v>2.5</v>
      </c>
      <c r="V7" s="586"/>
      <c r="W7" s="590"/>
      <c r="X7" s="588"/>
      <c r="Y7" s="586" t="s">
        <v>265</v>
      </c>
      <c r="Z7" s="597">
        <v>2.5</v>
      </c>
      <c r="AA7" s="591">
        <v>4.0</v>
      </c>
      <c r="AB7" s="586"/>
      <c r="AC7" s="585"/>
      <c r="AD7" s="587"/>
      <c r="AE7" s="586" t="s">
        <v>261</v>
      </c>
      <c r="AF7" s="597">
        <v>2.5</v>
      </c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103</v>
      </c>
      <c r="C8" s="580">
        <f t="shared" si="1"/>
        <v>14</v>
      </c>
      <c r="D8" s="594">
        <f t="shared" si="2"/>
        <v>2</v>
      </c>
      <c r="E8" s="595">
        <f t="shared" si="3"/>
        <v>5</v>
      </c>
      <c r="F8" s="596">
        <f t="shared" si="4"/>
        <v>9</v>
      </c>
      <c r="G8" s="584" t="s">
        <v>265</v>
      </c>
      <c r="H8" s="585">
        <v>2.5</v>
      </c>
      <c r="I8" s="585">
        <v>3.0</v>
      </c>
      <c r="J8" s="589"/>
      <c r="K8" s="590"/>
      <c r="L8" s="588"/>
      <c r="M8" s="584" t="s">
        <v>261</v>
      </c>
      <c r="N8" s="590"/>
      <c r="O8" s="600">
        <v>0.0</v>
      </c>
      <c r="P8" s="589"/>
      <c r="Q8" s="590"/>
      <c r="R8" s="588"/>
      <c r="S8" s="586" t="s">
        <v>261</v>
      </c>
      <c r="T8" s="590"/>
      <c r="U8" s="600">
        <v>1.0</v>
      </c>
      <c r="V8" s="586"/>
      <c r="W8" s="590"/>
      <c r="X8" s="587"/>
      <c r="Y8" s="586" t="s">
        <v>261</v>
      </c>
      <c r="Z8" s="590"/>
      <c r="AA8" s="585">
        <v>2.25</v>
      </c>
      <c r="AB8" s="589"/>
      <c r="AC8" s="590"/>
      <c r="AD8" s="588"/>
      <c r="AE8" s="586" t="s">
        <v>271</v>
      </c>
      <c r="AF8" s="585">
        <v>2.5</v>
      </c>
      <c r="AG8" s="585">
        <v>2.75</v>
      </c>
      <c r="AH8" s="589"/>
      <c r="AI8" s="590"/>
      <c r="AJ8" s="588"/>
      <c r="AK8" s="588"/>
      <c r="AL8" s="593"/>
    </row>
    <row r="9">
      <c r="A9" s="578">
        <v>4.0</v>
      </c>
      <c r="B9" s="579" t="s">
        <v>106</v>
      </c>
      <c r="C9" s="580">
        <f t="shared" si="1"/>
        <v>19.25</v>
      </c>
      <c r="D9" s="594">
        <f t="shared" si="2"/>
        <v>2</v>
      </c>
      <c r="E9" s="595">
        <f t="shared" si="3"/>
        <v>5</v>
      </c>
      <c r="F9" s="596">
        <f t="shared" si="4"/>
        <v>14.25</v>
      </c>
      <c r="G9" s="584" t="s">
        <v>269</v>
      </c>
      <c r="H9" s="585">
        <v>2.5</v>
      </c>
      <c r="I9" s="638">
        <v>3.5</v>
      </c>
      <c r="J9" s="586"/>
      <c r="K9" s="590"/>
      <c r="L9" s="588"/>
      <c r="M9" s="584" t="s">
        <v>261</v>
      </c>
      <c r="N9" s="590"/>
      <c r="O9" s="585">
        <v>3.5</v>
      </c>
      <c r="P9" s="586"/>
      <c r="Q9" s="590"/>
      <c r="R9" s="588"/>
      <c r="S9" s="586" t="s">
        <v>269</v>
      </c>
      <c r="T9" s="585">
        <v>2.5</v>
      </c>
      <c r="U9" s="585">
        <v>3.0</v>
      </c>
      <c r="V9" s="586"/>
      <c r="W9" s="590"/>
      <c r="X9" s="588"/>
      <c r="Y9" s="586" t="s">
        <v>261</v>
      </c>
      <c r="Z9" s="590"/>
      <c r="AA9" s="591">
        <v>1.75</v>
      </c>
      <c r="AB9" s="589"/>
      <c r="AC9" s="590"/>
      <c r="AD9" s="588"/>
      <c r="AE9" s="586" t="s">
        <v>269</v>
      </c>
      <c r="AF9" s="590"/>
      <c r="AG9" s="585">
        <v>2.5</v>
      </c>
      <c r="AH9" s="586" t="s">
        <v>263</v>
      </c>
      <c r="AI9" s="590"/>
      <c r="AJ9" s="588"/>
      <c r="AK9" s="599"/>
      <c r="AL9" s="593"/>
    </row>
    <row r="10">
      <c r="A10" s="578">
        <v>5.0</v>
      </c>
      <c r="B10" s="579" t="s">
        <v>112</v>
      </c>
      <c r="C10" s="580">
        <f t="shared" si="1"/>
        <v>17.5</v>
      </c>
      <c r="D10" s="594">
        <f t="shared" si="2"/>
        <v>2</v>
      </c>
      <c r="E10" s="595">
        <f t="shared" si="3"/>
        <v>5</v>
      </c>
      <c r="F10" s="596">
        <f t="shared" si="4"/>
        <v>12.5</v>
      </c>
      <c r="G10" s="584" t="s">
        <v>271</v>
      </c>
      <c r="H10" s="590"/>
      <c r="I10" s="585">
        <v>2.0</v>
      </c>
      <c r="J10" s="589"/>
      <c r="K10" s="590"/>
      <c r="L10" s="588"/>
      <c r="M10" s="584" t="s">
        <v>269</v>
      </c>
      <c r="N10" s="585">
        <v>2.5</v>
      </c>
      <c r="O10" s="585">
        <v>2.0</v>
      </c>
      <c r="P10" s="586"/>
      <c r="Q10" s="590"/>
      <c r="R10" s="587"/>
      <c r="S10" s="586" t="s">
        <v>261</v>
      </c>
      <c r="T10" s="590"/>
      <c r="U10" s="585">
        <v>3.0</v>
      </c>
      <c r="V10" s="586"/>
      <c r="W10" s="590"/>
      <c r="X10" s="588"/>
      <c r="Y10" s="586" t="s">
        <v>271</v>
      </c>
      <c r="Z10" s="590"/>
      <c r="AA10" s="591">
        <v>2.25</v>
      </c>
      <c r="AB10" s="586"/>
      <c r="AC10" s="590"/>
      <c r="AD10" s="587"/>
      <c r="AE10" s="586" t="s">
        <v>261</v>
      </c>
      <c r="AF10" s="585">
        <v>2.5</v>
      </c>
      <c r="AG10" s="585">
        <v>3.25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108</v>
      </c>
      <c r="C11" s="580">
        <f t="shared" si="1"/>
        <v>15.25</v>
      </c>
      <c r="D11" s="594">
        <f t="shared" si="2"/>
        <v>1</v>
      </c>
      <c r="E11" s="595">
        <f t="shared" si="3"/>
        <v>2.5</v>
      </c>
      <c r="F11" s="596">
        <f t="shared" si="4"/>
        <v>12.75</v>
      </c>
      <c r="G11" s="584" t="s">
        <v>261</v>
      </c>
      <c r="H11" s="590"/>
      <c r="I11" s="585">
        <v>2.25</v>
      </c>
      <c r="J11" s="586"/>
      <c r="K11" s="590"/>
      <c r="L11" s="588"/>
      <c r="M11" s="584" t="s">
        <v>261</v>
      </c>
      <c r="N11" s="590"/>
      <c r="O11" s="585">
        <v>2.0</v>
      </c>
      <c r="P11" s="586"/>
      <c r="Q11" s="585"/>
      <c r="R11" s="587"/>
      <c r="S11" s="586" t="s">
        <v>271</v>
      </c>
      <c r="T11" s="590"/>
      <c r="U11" s="585">
        <v>2.0</v>
      </c>
      <c r="V11" s="589"/>
      <c r="W11" s="590"/>
      <c r="X11" s="588"/>
      <c r="Y11" s="586" t="s">
        <v>261</v>
      </c>
      <c r="Z11" s="590"/>
      <c r="AA11" s="591">
        <v>2.5</v>
      </c>
      <c r="AB11" s="589"/>
      <c r="AC11" s="590"/>
      <c r="AD11" s="587">
        <v>0.5</v>
      </c>
      <c r="AE11" s="586" t="s">
        <v>261</v>
      </c>
      <c r="AF11" s="585">
        <v>2.5</v>
      </c>
      <c r="AG11" s="585">
        <v>3.5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86</v>
      </c>
      <c r="C12" s="580">
        <f t="shared" si="1"/>
        <v>21.75</v>
      </c>
      <c r="D12" s="594">
        <f t="shared" si="2"/>
        <v>3</v>
      </c>
      <c r="E12" s="595">
        <f t="shared" si="3"/>
        <v>7.5</v>
      </c>
      <c r="F12" s="596">
        <f t="shared" si="4"/>
        <v>14.25</v>
      </c>
      <c r="G12" s="584" t="s">
        <v>261</v>
      </c>
      <c r="H12" s="590"/>
      <c r="I12" s="585">
        <v>2.0</v>
      </c>
      <c r="J12" s="586"/>
      <c r="K12" s="590"/>
      <c r="L12" s="588"/>
      <c r="M12" s="584" t="s">
        <v>261</v>
      </c>
      <c r="N12" s="590"/>
      <c r="O12" s="585">
        <v>2.25</v>
      </c>
      <c r="P12" s="586" t="s">
        <v>11</v>
      </c>
      <c r="Q12" s="590"/>
      <c r="R12" s="587">
        <v>0.5</v>
      </c>
      <c r="S12" s="586" t="s">
        <v>265</v>
      </c>
      <c r="T12" s="585">
        <v>2.5</v>
      </c>
      <c r="U12" s="585">
        <v>3.5</v>
      </c>
      <c r="V12" s="586" t="s">
        <v>260</v>
      </c>
      <c r="W12" s="590"/>
      <c r="X12" s="587"/>
      <c r="Y12" s="586" t="s">
        <v>269</v>
      </c>
      <c r="Z12" s="585">
        <v>2.5</v>
      </c>
      <c r="AA12" s="585">
        <v>3.5</v>
      </c>
      <c r="AB12" s="589"/>
      <c r="AC12" s="590"/>
      <c r="AD12" s="588"/>
      <c r="AE12" s="586" t="s">
        <v>261</v>
      </c>
      <c r="AF12" s="585">
        <v>2.5</v>
      </c>
      <c r="AG12" s="585">
        <v>2.5</v>
      </c>
      <c r="AH12" s="586" t="s">
        <v>260</v>
      </c>
      <c r="AI12" s="590"/>
      <c r="AJ12" s="588"/>
      <c r="AK12" s="588"/>
      <c r="AL12" s="593"/>
    </row>
    <row r="13">
      <c r="A13" s="578">
        <v>8.0</v>
      </c>
      <c r="B13" s="579" t="s">
        <v>95</v>
      </c>
      <c r="C13" s="580">
        <f t="shared" si="1"/>
        <v>16.75</v>
      </c>
      <c r="D13" s="594">
        <f t="shared" si="2"/>
        <v>1</v>
      </c>
      <c r="E13" s="595">
        <f t="shared" si="3"/>
        <v>2.5</v>
      </c>
      <c r="F13" s="596">
        <f t="shared" si="4"/>
        <v>14.25</v>
      </c>
      <c r="G13" s="584" t="s">
        <v>261</v>
      </c>
      <c r="H13" s="598"/>
      <c r="I13" s="585">
        <v>1.75</v>
      </c>
      <c r="J13" s="586"/>
      <c r="K13" s="585"/>
      <c r="L13" s="588"/>
      <c r="M13" s="584" t="s">
        <v>271</v>
      </c>
      <c r="N13" s="598"/>
      <c r="O13" s="585">
        <v>3.0</v>
      </c>
      <c r="P13" s="589"/>
      <c r="Q13" s="590"/>
      <c r="R13" s="588"/>
      <c r="S13" s="586" t="s">
        <v>261</v>
      </c>
      <c r="T13" s="598"/>
      <c r="U13" s="585">
        <v>2.75</v>
      </c>
      <c r="V13" s="586" t="s">
        <v>11</v>
      </c>
      <c r="W13" s="585">
        <v>0.5</v>
      </c>
      <c r="X13" s="587">
        <v>0.5</v>
      </c>
      <c r="Y13" s="586" t="s">
        <v>269</v>
      </c>
      <c r="Z13" s="597">
        <v>2.5</v>
      </c>
      <c r="AA13" s="591">
        <v>3.5</v>
      </c>
      <c r="AB13" s="589"/>
      <c r="AC13" s="590"/>
      <c r="AD13" s="588"/>
      <c r="AE13" s="586" t="s">
        <v>265</v>
      </c>
      <c r="AF13" s="598"/>
      <c r="AG13" s="585">
        <v>2.25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91</v>
      </c>
      <c r="C14" s="580">
        <f t="shared" si="1"/>
        <v>20.5</v>
      </c>
      <c r="D14" s="594">
        <f t="shared" si="2"/>
        <v>3</v>
      </c>
      <c r="E14" s="595">
        <f t="shared" si="3"/>
        <v>7.5</v>
      </c>
      <c r="F14" s="596">
        <f t="shared" si="4"/>
        <v>13</v>
      </c>
      <c r="G14" s="584" t="s">
        <v>269</v>
      </c>
      <c r="H14" s="585">
        <v>2.5</v>
      </c>
      <c r="I14" s="585">
        <v>3.5</v>
      </c>
      <c r="J14" s="586"/>
      <c r="K14" s="585"/>
      <c r="L14" s="587"/>
      <c r="M14" s="584" t="s">
        <v>265</v>
      </c>
      <c r="N14" s="585">
        <v>2.5</v>
      </c>
      <c r="O14" s="585">
        <v>2.5</v>
      </c>
      <c r="P14" s="586"/>
      <c r="Q14" s="585"/>
      <c r="R14" s="588"/>
      <c r="S14" s="586" t="s">
        <v>261</v>
      </c>
      <c r="T14" s="590"/>
      <c r="U14" s="585">
        <v>2.75</v>
      </c>
      <c r="V14" s="589"/>
      <c r="W14" s="590"/>
      <c r="X14" s="588"/>
      <c r="Y14" s="586" t="s">
        <v>261</v>
      </c>
      <c r="Z14" s="590"/>
      <c r="AA14" s="637">
        <v>1.5</v>
      </c>
      <c r="AB14" s="589"/>
      <c r="AC14" s="590"/>
      <c r="AD14" s="588"/>
      <c r="AE14" s="586" t="s">
        <v>261</v>
      </c>
      <c r="AF14" s="585">
        <v>2.5</v>
      </c>
      <c r="AG14" s="585">
        <v>2.25</v>
      </c>
      <c r="AH14" s="586" t="s">
        <v>11</v>
      </c>
      <c r="AI14" s="585"/>
      <c r="AJ14" s="587">
        <v>0.5</v>
      </c>
      <c r="AK14" s="588"/>
      <c r="AL14" s="593"/>
    </row>
    <row r="15">
      <c r="A15" s="601">
        <v>10.0</v>
      </c>
      <c r="B15" s="602" t="s">
        <v>119</v>
      </c>
      <c r="C15" s="580">
        <f t="shared" si="1"/>
        <v>14.75</v>
      </c>
      <c r="D15" s="603">
        <f t="shared" si="2"/>
        <v>0</v>
      </c>
      <c r="E15" s="604">
        <f t="shared" si="3"/>
        <v>0</v>
      </c>
      <c r="F15" s="605">
        <f t="shared" si="4"/>
        <v>14.75</v>
      </c>
      <c r="G15" s="606" t="s">
        <v>261</v>
      </c>
      <c r="H15" s="609"/>
      <c r="I15" s="607">
        <v>3.25</v>
      </c>
      <c r="J15" s="611" t="s">
        <v>11</v>
      </c>
      <c r="K15" s="607">
        <v>1.0</v>
      </c>
      <c r="L15" s="612">
        <v>0.5</v>
      </c>
      <c r="M15" s="606" t="s">
        <v>261</v>
      </c>
      <c r="N15" s="609"/>
      <c r="O15" s="607">
        <v>3.25</v>
      </c>
      <c r="P15" s="608"/>
      <c r="Q15" s="609"/>
      <c r="R15" s="610"/>
      <c r="S15" s="611" t="s">
        <v>261</v>
      </c>
      <c r="T15" s="609"/>
      <c r="U15" s="607">
        <v>1.75</v>
      </c>
      <c r="V15" s="611" t="s">
        <v>263</v>
      </c>
      <c r="W15" s="609"/>
      <c r="X15" s="610"/>
      <c r="Y15" s="611" t="s">
        <v>261</v>
      </c>
      <c r="Z15" s="609"/>
      <c r="AA15" s="634">
        <v>2.75</v>
      </c>
      <c r="AB15" s="608"/>
      <c r="AC15" s="609"/>
      <c r="AD15" s="610"/>
      <c r="AE15" s="611" t="s">
        <v>269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103</v>
      </c>
      <c r="C26" s="631" t="s">
        <v>292</v>
      </c>
      <c r="D26" s="630">
        <v>-1.0</v>
      </c>
      <c r="E26" s="632"/>
      <c r="F26" s="632"/>
      <c r="AK26" s="62"/>
    </row>
    <row r="27">
      <c r="A27" s="631">
        <v>3.0</v>
      </c>
      <c r="B27" s="631" t="s">
        <v>103</v>
      </c>
      <c r="C27" s="631" t="s">
        <v>16</v>
      </c>
      <c r="D27" s="631">
        <v>0.5</v>
      </c>
      <c r="E27" s="62"/>
      <c r="F27" s="62"/>
      <c r="AK27" s="62"/>
    </row>
    <row r="28">
      <c r="A28" s="631">
        <v>4.0</v>
      </c>
      <c r="B28" s="631" t="s">
        <v>91</v>
      </c>
      <c r="C28" s="631" t="s">
        <v>16</v>
      </c>
      <c r="D28" s="631">
        <v>0.5</v>
      </c>
      <c r="E28" s="62"/>
      <c r="F28" s="62"/>
      <c r="AK28" s="62"/>
    </row>
    <row r="29">
      <c r="A29" s="62"/>
      <c r="B29" s="62"/>
      <c r="C29" s="62"/>
      <c r="D29" s="631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361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133</v>
      </c>
      <c r="C6" s="580">
        <f t="shared" ref="C6:C15" si="1">SUM(H6:AK6)</f>
        <v>16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13.5</v>
      </c>
      <c r="G6" s="584" t="s">
        <v>269</v>
      </c>
      <c r="H6" s="598"/>
      <c r="I6" s="585">
        <v>2.5</v>
      </c>
      <c r="J6" s="586"/>
      <c r="K6" s="590"/>
      <c r="L6" s="588"/>
      <c r="M6" s="584" t="s">
        <v>261</v>
      </c>
      <c r="N6" s="598"/>
      <c r="O6" s="585">
        <v>3.0</v>
      </c>
      <c r="P6" s="586" t="s">
        <v>263</v>
      </c>
      <c r="Q6" s="590"/>
      <c r="R6" s="588"/>
      <c r="S6" s="586" t="s">
        <v>261</v>
      </c>
      <c r="T6" s="598"/>
      <c r="U6" s="585">
        <v>2.25</v>
      </c>
      <c r="V6" s="586"/>
      <c r="W6" s="590"/>
      <c r="X6" s="588"/>
      <c r="Y6" s="586" t="s">
        <v>261</v>
      </c>
      <c r="Z6" s="598"/>
      <c r="AA6" s="591">
        <v>2.0</v>
      </c>
      <c r="AB6" s="589"/>
      <c r="AC6" s="590"/>
      <c r="AD6" s="588"/>
      <c r="AE6" s="586" t="s">
        <v>269</v>
      </c>
      <c r="AF6" s="597">
        <v>2.5</v>
      </c>
      <c r="AG6" s="585">
        <v>3.75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82</v>
      </c>
      <c r="C7" s="580">
        <f t="shared" si="1"/>
        <v>15.5</v>
      </c>
      <c r="D7" s="594">
        <f t="shared" si="2"/>
        <v>1</v>
      </c>
      <c r="E7" s="595">
        <f t="shared" si="3"/>
        <v>2.5</v>
      </c>
      <c r="F7" s="596">
        <f t="shared" si="4"/>
        <v>13</v>
      </c>
      <c r="G7" s="584" t="s">
        <v>261</v>
      </c>
      <c r="H7" s="597">
        <v>2.5</v>
      </c>
      <c r="I7" s="585">
        <v>3.0</v>
      </c>
      <c r="J7" s="586" t="s">
        <v>11</v>
      </c>
      <c r="K7" s="585">
        <v>0.5</v>
      </c>
      <c r="L7" s="587">
        <v>0.5</v>
      </c>
      <c r="M7" s="584" t="s">
        <v>261</v>
      </c>
      <c r="N7" s="598"/>
      <c r="O7" s="585">
        <v>2.25</v>
      </c>
      <c r="P7" s="589"/>
      <c r="Q7" s="590"/>
      <c r="R7" s="588"/>
      <c r="S7" s="586" t="s">
        <v>261</v>
      </c>
      <c r="T7" s="598"/>
      <c r="U7" s="585">
        <v>1.75</v>
      </c>
      <c r="V7" s="586"/>
      <c r="W7" s="590"/>
      <c r="X7" s="588"/>
      <c r="Y7" s="586" t="s">
        <v>261</v>
      </c>
      <c r="Z7" s="598"/>
      <c r="AA7" s="591">
        <v>1.75</v>
      </c>
      <c r="AB7" s="586"/>
      <c r="AC7" s="585"/>
      <c r="AD7" s="587"/>
      <c r="AE7" s="586" t="s">
        <v>261</v>
      </c>
      <c r="AF7" s="598"/>
      <c r="AG7" s="585">
        <v>2.25</v>
      </c>
      <c r="AH7" s="586" t="s">
        <v>11</v>
      </c>
      <c r="AI7" s="590"/>
      <c r="AJ7" s="587">
        <v>1.0</v>
      </c>
      <c r="AK7" s="588"/>
      <c r="AL7" s="593"/>
    </row>
    <row r="8">
      <c r="A8" s="578">
        <v>3.0</v>
      </c>
      <c r="B8" s="579" t="s">
        <v>94</v>
      </c>
      <c r="C8" s="580">
        <f t="shared" si="1"/>
        <v>14.25</v>
      </c>
      <c r="D8" s="594">
        <f t="shared" si="2"/>
        <v>1</v>
      </c>
      <c r="E8" s="595">
        <f t="shared" si="3"/>
        <v>2.5</v>
      </c>
      <c r="F8" s="596">
        <f t="shared" si="4"/>
        <v>11.75</v>
      </c>
      <c r="G8" s="584" t="s">
        <v>269</v>
      </c>
      <c r="H8" s="590"/>
      <c r="I8" s="585">
        <v>2.0</v>
      </c>
      <c r="J8" s="589"/>
      <c r="K8" s="590"/>
      <c r="L8" s="588"/>
      <c r="M8" s="584" t="s">
        <v>261</v>
      </c>
      <c r="N8" s="590"/>
      <c r="O8" s="585">
        <v>3.0</v>
      </c>
      <c r="P8" s="589"/>
      <c r="Q8" s="590"/>
      <c r="R8" s="588"/>
      <c r="S8" s="586" t="s">
        <v>271</v>
      </c>
      <c r="T8" s="590"/>
      <c r="U8" s="585">
        <v>2.0</v>
      </c>
      <c r="V8" s="586"/>
      <c r="W8" s="590"/>
      <c r="X8" s="587"/>
      <c r="Y8" s="586" t="s">
        <v>269</v>
      </c>
      <c r="Z8" s="585">
        <v>2.5</v>
      </c>
      <c r="AA8" s="585">
        <v>3.75</v>
      </c>
      <c r="AB8" s="589"/>
      <c r="AC8" s="590"/>
      <c r="AD8" s="588"/>
      <c r="AE8" s="586" t="s">
        <v>261</v>
      </c>
      <c r="AF8" s="590"/>
      <c r="AG8" s="585">
        <v>1.0</v>
      </c>
      <c r="AH8" s="589"/>
      <c r="AI8" s="590"/>
      <c r="AJ8" s="588"/>
      <c r="AK8" s="588"/>
      <c r="AL8" s="593"/>
    </row>
    <row r="9">
      <c r="A9" s="578">
        <v>4.0</v>
      </c>
      <c r="B9" s="579" t="s">
        <v>116</v>
      </c>
      <c r="C9" s="580">
        <f t="shared" si="1"/>
        <v>29</v>
      </c>
      <c r="D9" s="594">
        <f t="shared" si="2"/>
        <v>4</v>
      </c>
      <c r="E9" s="595">
        <f t="shared" si="3"/>
        <v>10</v>
      </c>
      <c r="F9" s="596">
        <f t="shared" si="4"/>
        <v>19</v>
      </c>
      <c r="G9" s="584" t="s">
        <v>261</v>
      </c>
      <c r="H9" s="585">
        <v>2.5</v>
      </c>
      <c r="I9" s="585">
        <v>4.0</v>
      </c>
      <c r="J9" s="586"/>
      <c r="K9" s="590"/>
      <c r="L9" s="588"/>
      <c r="M9" s="584" t="s">
        <v>269</v>
      </c>
      <c r="N9" s="585">
        <v>2.5</v>
      </c>
      <c r="O9" s="585">
        <v>2.5</v>
      </c>
      <c r="P9" s="586"/>
      <c r="Q9" s="590"/>
      <c r="R9" s="588"/>
      <c r="S9" s="586" t="s">
        <v>269</v>
      </c>
      <c r="T9" s="585">
        <v>2.5</v>
      </c>
      <c r="U9" s="585">
        <v>4.0</v>
      </c>
      <c r="V9" s="586"/>
      <c r="W9" s="590"/>
      <c r="X9" s="588"/>
      <c r="Y9" s="586" t="s">
        <v>261</v>
      </c>
      <c r="Z9" s="590"/>
      <c r="AA9" s="591">
        <v>3.5</v>
      </c>
      <c r="AB9" s="586" t="s">
        <v>11</v>
      </c>
      <c r="AC9" s="585">
        <v>0.5</v>
      </c>
      <c r="AD9" s="587">
        <v>0.5</v>
      </c>
      <c r="AE9" s="586" t="s">
        <v>269</v>
      </c>
      <c r="AF9" s="585">
        <v>2.5</v>
      </c>
      <c r="AG9" s="585">
        <v>4.0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131</v>
      </c>
      <c r="C10" s="580">
        <f t="shared" si="1"/>
        <v>17</v>
      </c>
      <c r="D10" s="594">
        <f t="shared" si="2"/>
        <v>1</v>
      </c>
      <c r="E10" s="595">
        <f t="shared" si="3"/>
        <v>2.5</v>
      </c>
      <c r="F10" s="596">
        <f t="shared" si="4"/>
        <v>14.5</v>
      </c>
      <c r="G10" s="584" t="s">
        <v>261</v>
      </c>
      <c r="H10" s="585">
        <v>2.5</v>
      </c>
      <c r="I10" s="585">
        <v>4.25</v>
      </c>
      <c r="J10" s="589"/>
      <c r="K10" s="590"/>
      <c r="L10" s="588"/>
      <c r="M10" s="584" t="s">
        <v>261</v>
      </c>
      <c r="N10" s="590"/>
      <c r="O10" s="585">
        <v>2.25</v>
      </c>
      <c r="P10" s="586"/>
      <c r="Q10" s="590"/>
      <c r="R10" s="587"/>
      <c r="S10" s="586" t="s">
        <v>261</v>
      </c>
      <c r="T10" s="590"/>
      <c r="U10" s="585">
        <v>1.75</v>
      </c>
      <c r="V10" s="586" t="s">
        <v>11</v>
      </c>
      <c r="W10" s="590"/>
      <c r="X10" s="587">
        <v>0.5</v>
      </c>
      <c r="Y10" s="586" t="s">
        <v>261</v>
      </c>
      <c r="Z10" s="590"/>
      <c r="AA10" s="591">
        <v>1.75</v>
      </c>
      <c r="AB10" s="586"/>
      <c r="AC10" s="590"/>
      <c r="AD10" s="587"/>
      <c r="AE10" s="586" t="s">
        <v>261</v>
      </c>
      <c r="AF10" s="590"/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86</v>
      </c>
      <c r="C11" s="580">
        <f t="shared" si="1"/>
        <v>19.5</v>
      </c>
      <c r="D11" s="594">
        <f t="shared" si="2"/>
        <v>2</v>
      </c>
      <c r="E11" s="595">
        <f t="shared" si="3"/>
        <v>5</v>
      </c>
      <c r="F11" s="596">
        <f t="shared" si="4"/>
        <v>14.5</v>
      </c>
      <c r="G11" s="584" t="s">
        <v>265</v>
      </c>
      <c r="H11" s="590"/>
      <c r="I11" s="585">
        <v>1.75</v>
      </c>
      <c r="J11" s="586"/>
      <c r="K11" s="590"/>
      <c r="L11" s="588"/>
      <c r="M11" s="584" t="s">
        <v>265</v>
      </c>
      <c r="N11" s="585">
        <v>2.5</v>
      </c>
      <c r="O11" s="585">
        <v>4.0</v>
      </c>
      <c r="P11" s="586" t="s">
        <v>260</v>
      </c>
      <c r="Q11" s="585"/>
      <c r="R11" s="587"/>
      <c r="S11" s="586" t="s">
        <v>261</v>
      </c>
      <c r="T11" s="590"/>
      <c r="U11" s="585">
        <v>1.75</v>
      </c>
      <c r="V11" s="589"/>
      <c r="W11" s="590"/>
      <c r="X11" s="588"/>
      <c r="Y11" s="586" t="s">
        <v>261</v>
      </c>
      <c r="Z11" s="590"/>
      <c r="AA11" s="591">
        <v>2.5</v>
      </c>
      <c r="AB11" s="589"/>
      <c r="AC11" s="590"/>
      <c r="AD11" s="588"/>
      <c r="AE11" s="586" t="s">
        <v>265</v>
      </c>
      <c r="AF11" s="585">
        <v>2.5</v>
      </c>
      <c r="AG11" s="585">
        <v>4.5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85</v>
      </c>
      <c r="C12" s="580">
        <f t="shared" si="1"/>
        <v>15.75</v>
      </c>
      <c r="D12" s="594">
        <f t="shared" si="2"/>
        <v>2</v>
      </c>
      <c r="E12" s="595">
        <f t="shared" si="3"/>
        <v>5</v>
      </c>
      <c r="F12" s="596">
        <f t="shared" si="4"/>
        <v>10.75</v>
      </c>
      <c r="G12" s="584" t="s">
        <v>271</v>
      </c>
      <c r="H12" s="585">
        <v>2.5</v>
      </c>
      <c r="I12" s="585">
        <v>4.0</v>
      </c>
      <c r="J12" s="586"/>
      <c r="K12" s="590"/>
      <c r="L12" s="588"/>
      <c r="M12" s="584" t="s">
        <v>261</v>
      </c>
      <c r="N12" s="590"/>
      <c r="O12" s="585">
        <v>1.5</v>
      </c>
      <c r="P12" s="589"/>
      <c r="Q12" s="590"/>
      <c r="R12" s="588"/>
      <c r="S12" s="586" t="s">
        <v>261</v>
      </c>
      <c r="T12" s="590"/>
      <c r="U12" s="585">
        <v>2.25</v>
      </c>
      <c r="V12" s="586"/>
      <c r="W12" s="590"/>
      <c r="X12" s="587"/>
      <c r="Y12" s="586" t="s">
        <v>265</v>
      </c>
      <c r="Z12" s="585">
        <v>2.5</v>
      </c>
      <c r="AA12" s="585">
        <v>2.0</v>
      </c>
      <c r="AB12" s="589"/>
      <c r="AC12" s="590"/>
      <c r="AD12" s="588"/>
      <c r="AE12" s="586" t="s">
        <v>261</v>
      </c>
      <c r="AF12" s="590"/>
      <c r="AG12" s="585">
        <v>1.0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124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261</v>
      </c>
      <c r="H13" s="597">
        <v>2.5</v>
      </c>
      <c r="I13" s="585">
        <v>3.75</v>
      </c>
      <c r="J13" s="586"/>
      <c r="K13" s="585"/>
      <c r="L13" s="588"/>
      <c r="M13" s="584" t="s">
        <v>261</v>
      </c>
      <c r="N13" s="598"/>
      <c r="O13" s="585">
        <v>2.0</v>
      </c>
      <c r="P13" s="586" t="s">
        <v>263</v>
      </c>
      <c r="Q13" s="590"/>
      <c r="R13" s="588"/>
      <c r="S13" s="586" t="s">
        <v>269</v>
      </c>
      <c r="T13" s="597">
        <v>2.5</v>
      </c>
      <c r="U13" s="585">
        <v>3.75</v>
      </c>
      <c r="V13" s="586"/>
      <c r="W13" s="590"/>
      <c r="X13" s="588"/>
      <c r="Y13" s="586" t="s">
        <v>261</v>
      </c>
      <c r="Z13" s="598"/>
      <c r="AA13" s="591">
        <v>2.0</v>
      </c>
      <c r="AB13" s="589"/>
      <c r="AC13" s="590"/>
      <c r="AD13" s="588"/>
      <c r="AE13" s="586" t="s">
        <v>261</v>
      </c>
      <c r="AF13" s="598"/>
      <c r="AG13" s="585">
        <v>1.0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108</v>
      </c>
      <c r="C14" s="580">
        <f t="shared" si="1"/>
        <v>19</v>
      </c>
      <c r="D14" s="594">
        <f t="shared" si="2"/>
        <v>2</v>
      </c>
      <c r="E14" s="595">
        <f t="shared" si="3"/>
        <v>5</v>
      </c>
      <c r="F14" s="596">
        <f t="shared" si="4"/>
        <v>14</v>
      </c>
      <c r="G14" s="584" t="s">
        <v>261</v>
      </c>
      <c r="H14" s="585">
        <v>2.5</v>
      </c>
      <c r="I14" s="585">
        <v>3.25</v>
      </c>
      <c r="J14" s="586"/>
      <c r="K14" s="585"/>
      <c r="L14" s="587"/>
      <c r="M14" s="584" t="s">
        <v>271</v>
      </c>
      <c r="N14" s="590"/>
      <c r="O14" s="585">
        <v>3.25</v>
      </c>
      <c r="P14" s="586" t="s">
        <v>11</v>
      </c>
      <c r="Q14" s="585">
        <v>0.5</v>
      </c>
      <c r="R14" s="587">
        <v>0.5</v>
      </c>
      <c r="S14" s="586" t="s">
        <v>265</v>
      </c>
      <c r="T14" s="585">
        <v>2.5</v>
      </c>
      <c r="U14" s="585">
        <v>3.75</v>
      </c>
      <c r="V14" s="589"/>
      <c r="W14" s="590"/>
      <c r="X14" s="588"/>
      <c r="Y14" s="586" t="s">
        <v>271</v>
      </c>
      <c r="Z14" s="590"/>
      <c r="AA14" s="591">
        <v>1.75</v>
      </c>
      <c r="AB14" s="589"/>
      <c r="AC14" s="590"/>
      <c r="AD14" s="588"/>
      <c r="AE14" s="586" t="s">
        <v>261</v>
      </c>
      <c r="AF14" s="590"/>
      <c r="AG14" s="585">
        <v>1.0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101</v>
      </c>
      <c r="C15" s="580">
        <f t="shared" si="1"/>
        <v>21</v>
      </c>
      <c r="D15" s="603">
        <f t="shared" si="2"/>
        <v>3</v>
      </c>
      <c r="E15" s="604">
        <f t="shared" si="3"/>
        <v>7.5</v>
      </c>
      <c r="F15" s="605">
        <f t="shared" si="4"/>
        <v>13.5</v>
      </c>
      <c r="G15" s="606" t="s">
        <v>261</v>
      </c>
      <c r="H15" s="607">
        <v>2.5</v>
      </c>
      <c r="I15" s="607">
        <v>3.5</v>
      </c>
      <c r="J15" s="608"/>
      <c r="K15" s="609"/>
      <c r="L15" s="610"/>
      <c r="M15" s="606" t="s">
        <v>269</v>
      </c>
      <c r="N15" s="607">
        <v>2.5</v>
      </c>
      <c r="O15" s="607">
        <v>2.25</v>
      </c>
      <c r="P15" s="608"/>
      <c r="Q15" s="609"/>
      <c r="R15" s="610"/>
      <c r="S15" s="611" t="s">
        <v>261</v>
      </c>
      <c r="T15" s="609"/>
      <c r="U15" s="607">
        <v>2.25</v>
      </c>
      <c r="V15" s="611"/>
      <c r="W15" s="609"/>
      <c r="X15" s="610"/>
      <c r="Y15" s="611" t="s">
        <v>269</v>
      </c>
      <c r="Z15" s="607">
        <v>2.5</v>
      </c>
      <c r="AA15" s="634">
        <v>3.5</v>
      </c>
      <c r="AB15" s="608"/>
      <c r="AC15" s="609"/>
      <c r="AD15" s="610"/>
      <c r="AE15" s="611" t="s">
        <v>271</v>
      </c>
      <c r="AF15" s="609"/>
      <c r="AG15" s="613">
        <v>2.0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362</v>
      </c>
      <c r="L16" s="543"/>
      <c r="M16" s="616" t="s">
        <v>363</v>
      </c>
      <c r="R16" s="543"/>
      <c r="S16" s="616" t="s">
        <v>364</v>
      </c>
      <c r="X16" s="543"/>
      <c r="Y16" s="616" t="s">
        <v>365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5.0</v>
      </c>
      <c r="B26" s="631" t="s">
        <v>101</v>
      </c>
      <c r="C26" s="631" t="s">
        <v>16</v>
      </c>
      <c r="D26" s="630">
        <v>-0.5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366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118</v>
      </c>
      <c r="C6" s="580">
        <f t="shared" ref="C6:C15" si="1">SUM(H6:AK6)</f>
        <v>19.75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12.25</v>
      </c>
      <c r="G6" s="584" t="s">
        <v>261</v>
      </c>
      <c r="H6" s="597">
        <v>2.5</v>
      </c>
      <c r="I6" s="585">
        <v>2.25</v>
      </c>
      <c r="J6" s="586"/>
      <c r="K6" s="590"/>
      <c r="L6" s="588"/>
      <c r="M6" s="584" t="s">
        <v>261</v>
      </c>
      <c r="N6" s="597">
        <v>2.5</v>
      </c>
      <c r="O6" s="585">
        <v>2.5</v>
      </c>
      <c r="P6" s="589"/>
      <c r="Q6" s="590"/>
      <c r="R6" s="588"/>
      <c r="S6" s="586" t="s">
        <v>269</v>
      </c>
      <c r="T6" s="597">
        <v>2.5</v>
      </c>
      <c r="U6" s="585">
        <v>2.5</v>
      </c>
      <c r="V6" s="586"/>
      <c r="W6" s="590"/>
      <c r="X6" s="588"/>
      <c r="Y6" s="586" t="s">
        <v>269</v>
      </c>
      <c r="Z6" s="598"/>
      <c r="AA6" s="591">
        <v>2.25</v>
      </c>
      <c r="AB6" s="589"/>
      <c r="AC6" s="590"/>
      <c r="AD6" s="588"/>
      <c r="AE6" s="586" t="s">
        <v>269</v>
      </c>
      <c r="AF6" s="598"/>
      <c r="AG6" s="585">
        <v>2.75</v>
      </c>
      <c r="AH6" s="586" t="s">
        <v>263</v>
      </c>
      <c r="AI6" s="590"/>
      <c r="AJ6" s="587"/>
      <c r="AK6" s="592"/>
      <c r="AL6" s="593"/>
    </row>
    <row r="7" ht="23.25" customHeight="1">
      <c r="A7" s="578">
        <v>2.0</v>
      </c>
      <c r="B7" s="579" t="s">
        <v>91</v>
      </c>
      <c r="C7" s="580">
        <f t="shared" si="1"/>
        <v>22</v>
      </c>
      <c r="D7" s="594">
        <f t="shared" si="2"/>
        <v>3</v>
      </c>
      <c r="E7" s="595">
        <f t="shared" si="3"/>
        <v>7.5</v>
      </c>
      <c r="F7" s="596">
        <f t="shared" si="4"/>
        <v>14.5</v>
      </c>
      <c r="G7" s="584" t="s">
        <v>261</v>
      </c>
      <c r="H7" s="597">
        <v>2.5</v>
      </c>
      <c r="I7" s="585">
        <v>3.5</v>
      </c>
      <c r="J7" s="586"/>
      <c r="K7" s="590"/>
      <c r="L7" s="588"/>
      <c r="M7" s="584" t="s">
        <v>265</v>
      </c>
      <c r="N7" s="598"/>
      <c r="O7" s="585">
        <v>1.75</v>
      </c>
      <c r="P7" s="589"/>
      <c r="Q7" s="590"/>
      <c r="R7" s="588"/>
      <c r="S7" s="586" t="s">
        <v>261</v>
      </c>
      <c r="T7" s="598"/>
      <c r="U7" s="585">
        <v>2.5</v>
      </c>
      <c r="V7" s="586"/>
      <c r="W7" s="590"/>
      <c r="X7" s="588"/>
      <c r="Y7" s="586" t="s">
        <v>261</v>
      </c>
      <c r="Z7" s="597">
        <v>2.5</v>
      </c>
      <c r="AA7" s="591">
        <v>3.5</v>
      </c>
      <c r="AB7" s="586" t="s">
        <v>260</v>
      </c>
      <c r="AC7" s="585"/>
      <c r="AD7" s="587"/>
      <c r="AE7" s="586" t="s">
        <v>261</v>
      </c>
      <c r="AF7" s="597">
        <v>2.5</v>
      </c>
      <c r="AG7" s="585">
        <v>3.25</v>
      </c>
      <c r="AH7" s="586" t="s">
        <v>260</v>
      </c>
      <c r="AI7" s="590"/>
      <c r="AJ7" s="587"/>
      <c r="AK7" s="588"/>
      <c r="AL7" s="593"/>
    </row>
    <row r="8">
      <c r="A8" s="578">
        <v>3.0</v>
      </c>
      <c r="B8" s="579" t="s">
        <v>103</v>
      </c>
      <c r="C8" s="580">
        <f t="shared" si="1"/>
        <v>19.5</v>
      </c>
      <c r="D8" s="594">
        <f t="shared" si="2"/>
        <v>3</v>
      </c>
      <c r="E8" s="595">
        <f t="shared" si="3"/>
        <v>7.5</v>
      </c>
      <c r="F8" s="596">
        <f t="shared" si="4"/>
        <v>12</v>
      </c>
      <c r="G8" s="584" t="s">
        <v>265</v>
      </c>
      <c r="H8" s="585"/>
      <c r="I8" s="585">
        <v>2.75</v>
      </c>
      <c r="J8" s="586" t="s">
        <v>263</v>
      </c>
      <c r="K8" s="590"/>
      <c r="L8" s="588"/>
      <c r="M8" s="584" t="s">
        <v>261</v>
      </c>
      <c r="N8" s="585">
        <v>2.5</v>
      </c>
      <c r="O8" s="585">
        <v>2.25</v>
      </c>
      <c r="P8" s="589"/>
      <c r="Q8" s="590"/>
      <c r="R8" s="588"/>
      <c r="S8" s="586" t="s">
        <v>271</v>
      </c>
      <c r="T8" s="590"/>
      <c r="U8" s="585">
        <v>0.5</v>
      </c>
      <c r="V8" s="586"/>
      <c r="W8" s="590"/>
      <c r="X8" s="587"/>
      <c r="Y8" s="586" t="s">
        <v>261</v>
      </c>
      <c r="Z8" s="585">
        <v>2.5</v>
      </c>
      <c r="AA8" s="585">
        <v>2.75</v>
      </c>
      <c r="AB8" s="586" t="s">
        <v>260</v>
      </c>
      <c r="AC8" s="590"/>
      <c r="AD8" s="588"/>
      <c r="AE8" s="586" t="s">
        <v>261</v>
      </c>
      <c r="AF8" s="585">
        <v>2.5</v>
      </c>
      <c r="AG8" s="585">
        <v>3.75</v>
      </c>
      <c r="AH8" s="586" t="s">
        <v>260</v>
      </c>
      <c r="AI8" s="590"/>
      <c r="AJ8" s="588"/>
      <c r="AK8" s="588"/>
      <c r="AL8" s="593"/>
    </row>
    <row r="9">
      <c r="A9" s="578">
        <v>4.0</v>
      </c>
      <c r="B9" s="579" t="s">
        <v>90</v>
      </c>
      <c r="C9" s="580">
        <f t="shared" si="1"/>
        <v>25</v>
      </c>
      <c r="D9" s="594">
        <f t="shared" si="2"/>
        <v>4</v>
      </c>
      <c r="E9" s="595">
        <f t="shared" si="3"/>
        <v>10</v>
      </c>
      <c r="F9" s="596">
        <f t="shared" si="4"/>
        <v>15</v>
      </c>
      <c r="G9" s="584" t="s">
        <v>261</v>
      </c>
      <c r="H9" s="585">
        <v>2.5</v>
      </c>
      <c r="I9" s="585">
        <v>4.25</v>
      </c>
      <c r="J9" s="586"/>
      <c r="K9" s="590"/>
      <c r="L9" s="588"/>
      <c r="M9" s="584" t="s">
        <v>261</v>
      </c>
      <c r="N9" s="585">
        <v>2.5</v>
      </c>
      <c r="O9" s="585">
        <v>2.75</v>
      </c>
      <c r="P9" s="586" t="s">
        <v>11</v>
      </c>
      <c r="Q9" s="590"/>
      <c r="R9" s="587">
        <v>0.5</v>
      </c>
      <c r="S9" s="586" t="s">
        <v>269</v>
      </c>
      <c r="T9" s="585">
        <v>2.5</v>
      </c>
      <c r="U9" s="585">
        <v>2.25</v>
      </c>
      <c r="V9" s="586"/>
      <c r="W9" s="590"/>
      <c r="X9" s="588"/>
      <c r="Y9" s="586" t="s">
        <v>261</v>
      </c>
      <c r="Z9" s="585">
        <v>2.5</v>
      </c>
      <c r="AA9" s="591">
        <v>2.75</v>
      </c>
      <c r="AB9" s="589"/>
      <c r="AC9" s="590"/>
      <c r="AD9" s="588"/>
      <c r="AE9" s="586" t="s">
        <v>269</v>
      </c>
      <c r="AF9" s="590"/>
      <c r="AG9" s="585">
        <v>2.5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107</v>
      </c>
      <c r="C10" s="580">
        <f t="shared" si="1"/>
        <v>30.75</v>
      </c>
      <c r="D10" s="594">
        <f t="shared" si="2"/>
        <v>5</v>
      </c>
      <c r="E10" s="595">
        <f t="shared" si="3"/>
        <v>12.5</v>
      </c>
      <c r="F10" s="596">
        <f t="shared" si="4"/>
        <v>18.25</v>
      </c>
      <c r="G10" s="584" t="s">
        <v>261</v>
      </c>
      <c r="H10" s="585">
        <v>2.5</v>
      </c>
      <c r="I10" s="585">
        <v>4.0</v>
      </c>
      <c r="J10" s="586" t="s">
        <v>260</v>
      </c>
      <c r="K10" s="590"/>
      <c r="L10" s="588"/>
      <c r="M10" s="584" t="s">
        <v>271</v>
      </c>
      <c r="N10" s="585">
        <v>2.5</v>
      </c>
      <c r="O10" s="585">
        <v>5.0</v>
      </c>
      <c r="P10" s="586"/>
      <c r="Q10" s="590"/>
      <c r="R10" s="587"/>
      <c r="S10" s="586" t="s">
        <v>265</v>
      </c>
      <c r="T10" s="585">
        <v>2.5</v>
      </c>
      <c r="U10" s="585">
        <v>3.0</v>
      </c>
      <c r="V10" s="586"/>
      <c r="W10" s="590"/>
      <c r="X10" s="588"/>
      <c r="Y10" s="586" t="s">
        <v>261</v>
      </c>
      <c r="Z10" s="585">
        <v>2.5</v>
      </c>
      <c r="AA10" s="637">
        <v>3.5</v>
      </c>
      <c r="AB10" s="586" t="s">
        <v>260</v>
      </c>
      <c r="AC10" s="590"/>
      <c r="AD10" s="587"/>
      <c r="AE10" s="586" t="s">
        <v>261</v>
      </c>
      <c r="AF10" s="585">
        <v>2.5</v>
      </c>
      <c r="AG10" s="585">
        <v>2.75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128</v>
      </c>
      <c r="C11" s="580">
        <f t="shared" si="1"/>
        <v>20.75</v>
      </c>
      <c r="D11" s="594">
        <f t="shared" si="2"/>
        <v>3</v>
      </c>
      <c r="E11" s="595">
        <f t="shared" si="3"/>
        <v>7.5</v>
      </c>
      <c r="F11" s="596">
        <f t="shared" si="4"/>
        <v>13.25</v>
      </c>
      <c r="G11" s="584" t="s">
        <v>261</v>
      </c>
      <c r="H11" s="585">
        <v>2.5</v>
      </c>
      <c r="I11" s="585">
        <v>2.75</v>
      </c>
      <c r="J11" s="586" t="s">
        <v>260</v>
      </c>
      <c r="K11" s="590"/>
      <c r="L11" s="588"/>
      <c r="M11" s="584" t="s">
        <v>261</v>
      </c>
      <c r="N11" s="585">
        <v>2.5</v>
      </c>
      <c r="O11" s="585">
        <v>3.5</v>
      </c>
      <c r="P11" s="586"/>
      <c r="Q11" s="585"/>
      <c r="R11" s="587"/>
      <c r="S11" s="586" t="s">
        <v>261</v>
      </c>
      <c r="T11" s="590"/>
      <c r="U11" s="585">
        <v>2.5</v>
      </c>
      <c r="V11" s="589"/>
      <c r="W11" s="590"/>
      <c r="X11" s="588"/>
      <c r="Y11" s="586" t="s">
        <v>261</v>
      </c>
      <c r="Z11" s="585">
        <v>2.5</v>
      </c>
      <c r="AA11" s="591">
        <v>3.25</v>
      </c>
      <c r="AB11" s="589"/>
      <c r="AC11" s="590"/>
      <c r="AD11" s="588"/>
      <c r="AE11" s="586" t="s">
        <v>265</v>
      </c>
      <c r="AF11" s="590"/>
      <c r="AG11" s="585">
        <v>1.25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89</v>
      </c>
      <c r="C12" s="580">
        <f t="shared" si="1"/>
        <v>24</v>
      </c>
      <c r="D12" s="594">
        <f t="shared" si="2"/>
        <v>4</v>
      </c>
      <c r="E12" s="595">
        <f t="shared" si="3"/>
        <v>10</v>
      </c>
      <c r="F12" s="596">
        <f t="shared" si="4"/>
        <v>14</v>
      </c>
      <c r="G12" s="584" t="s">
        <v>261</v>
      </c>
      <c r="H12" s="585">
        <v>2.5</v>
      </c>
      <c r="I12" s="585">
        <v>2.5</v>
      </c>
      <c r="J12" s="586"/>
      <c r="K12" s="590"/>
      <c r="L12" s="588"/>
      <c r="M12" s="584" t="s">
        <v>261</v>
      </c>
      <c r="N12" s="585">
        <v>2.5</v>
      </c>
      <c r="O12" s="638">
        <v>3.75</v>
      </c>
      <c r="P12" s="589"/>
      <c r="Q12" s="590"/>
      <c r="R12" s="588"/>
      <c r="S12" s="586" t="s">
        <v>261</v>
      </c>
      <c r="T12" s="590"/>
      <c r="U12" s="585">
        <v>2.5</v>
      </c>
      <c r="V12" s="586"/>
      <c r="W12" s="590"/>
      <c r="X12" s="587"/>
      <c r="Y12" s="586" t="s">
        <v>261</v>
      </c>
      <c r="Z12" s="585">
        <v>2.5</v>
      </c>
      <c r="AA12" s="585">
        <v>2.75</v>
      </c>
      <c r="AB12" s="589"/>
      <c r="AC12" s="590"/>
      <c r="AD12" s="588"/>
      <c r="AE12" s="586" t="s">
        <v>261</v>
      </c>
      <c r="AF12" s="585">
        <v>2.5</v>
      </c>
      <c r="AG12" s="585">
        <v>2.0</v>
      </c>
      <c r="AH12" s="586" t="s">
        <v>11</v>
      </c>
      <c r="AI12" s="590"/>
      <c r="AJ12" s="587">
        <v>0.5</v>
      </c>
      <c r="AK12" s="588"/>
      <c r="AL12" s="593"/>
    </row>
    <row r="13">
      <c r="A13" s="578">
        <v>8.0</v>
      </c>
      <c r="B13" s="579" t="s">
        <v>120</v>
      </c>
      <c r="C13" s="580">
        <f t="shared" si="1"/>
        <v>13.5</v>
      </c>
      <c r="D13" s="594">
        <f t="shared" si="2"/>
        <v>1</v>
      </c>
      <c r="E13" s="595">
        <f t="shared" si="3"/>
        <v>2.5</v>
      </c>
      <c r="F13" s="596">
        <f t="shared" si="4"/>
        <v>11</v>
      </c>
      <c r="G13" s="584" t="s">
        <v>269</v>
      </c>
      <c r="H13" s="597"/>
      <c r="I13" s="585">
        <v>1.75</v>
      </c>
      <c r="J13" s="586"/>
      <c r="K13" s="585"/>
      <c r="L13" s="588"/>
      <c r="M13" s="584" t="s">
        <v>269</v>
      </c>
      <c r="N13" s="598"/>
      <c r="O13" s="585">
        <v>1.5</v>
      </c>
      <c r="P13" s="589"/>
      <c r="Q13" s="590"/>
      <c r="R13" s="588"/>
      <c r="S13" s="586" t="s">
        <v>261</v>
      </c>
      <c r="T13" s="598"/>
      <c r="U13" s="585">
        <v>2.75</v>
      </c>
      <c r="V13" s="586"/>
      <c r="W13" s="590"/>
      <c r="X13" s="588"/>
      <c r="Y13" s="586" t="s">
        <v>265</v>
      </c>
      <c r="Z13" s="598"/>
      <c r="AA13" s="591">
        <v>2.0</v>
      </c>
      <c r="AB13" s="586" t="s">
        <v>263</v>
      </c>
      <c r="AC13" s="590"/>
      <c r="AD13" s="588"/>
      <c r="AE13" s="586" t="s">
        <v>271</v>
      </c>
      <c r="AF13" s="597">
        <v>2.5</v>
      </c>
      <c r="AG13" s="585">
        <v>3.0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110</v>
      </c>
      <c r="C14" s="580">
        <f t="shared" si="1"/>
        <v>18.75</v>
      </c>
      <c r="D14" s="594">
        <f t="shared" si="2"/>
        <v>2</v>
      </c>
      <c r="E14" s="595">
        <f t="shared" si="3"/>
        <v>5</v>
      </c>
      <c r="F14" s="596">
        <f t="shared" si="4"/>
        <v>13.75</v>
      </c>
      <c r="G14" s="584" t="s">
        <v>269</v>
      </c>
      <c r="H14" s="585"/>
      <c r="I14" s="585">
        <v>1.75</v>
      </c>
      <c r="J14" s="586"/>
      <c r="K14" s="585"/>
      <c r="L14" s="587"/>
      <c r="M14" s="584" t="s">
        <v>269</v>
      </c>
      <c r="N14" s="590"/>
      <c r="O14" s="585">
        <v>2.0</v>
      </c>
      <c r="P14" s="586"/>
      <c r="Q14" s="585"/>
      <c r="R14" s="588"/>
      <c r="S14" s="586" t="s">
        <v>261</v>
      </c>
      <c r="T14" s="590"/>
      <c r="U14" s="585">
        <v>2.5</v>
      </c>
      <c r="V14" s="586" t="s">
        <v>11</v>
      </c>
      <c r="W14" s="590"/>
      <c r="X14" s="587">
        <v>0.5</v>
      </c>
      <c r="Y14" s="586" t="s">
        <v>271</v>
      </c>
      <c r="Z14" s="585">
        <v>2.5</v>
      </c>
      <c r="AA14" s="591">
        <v>3.25</v>
      </c>
      <c r="AB14" s="586" t="s">
        <v>11</v>
      </c>
      <c r="AC14" s="585">
        <v>0.5</v>
      </c>
      <c r="AD14" s="587">
        <v>1.0</v>
      </c>
      <c r="AE14" s="586" t="s">
        <v>261</v>
      </c>
      <c r="AF14" s="585">
        <v>2.5</v>
      </c>
      <c r="AG14" s="585">
        <v>2.25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123</v>
      </c>
      <c r="C15" s="580">
        <f t="shared" si="1"/>
        <v>23.75</v>
      </c>
      <c r="D15" s="603">
        <f t="shared" si="2"/>
        <v>3</v>
      </c>
      <c r="E15" s="604">
        <f t="shared" si="3"/>
        <v>7.5</v>
      </c>
      <c r="F15" s="605">
        <f t="shared" si="4"/>
        <v>16.25</v>
      </c>
      <c r="G15" s="606" t="s">
        <v>271</v>
      </c>
      <c r="H15" s="607">
        <v>2.5</v>
      </c>
      <c r="I15" s="607">
        <v>2.5</v>
      </c>
      <c r="J15" s="611" t="s">
        <v>11</v>
      </c>
      <c r="K15" s="609"/>
      <c r="L15" s="612">
        <v>0.5</v>
      </c>
      <c r="M15" s="606" t="s">
        <v>261</v>
      </c>
      <c r="N15" s="607">
        <v>2.5</v>
      </c>
      <c r="O15" s="607">
        <v>3.75</v>
      </c>
      <c r="P15" s="608"/>
      <c r="Q15" s="609"/>
      <c r="R15" s="610"/>
      <c r="S15" s="611" t="s">
        <v>261</v>
      </c>
      <c r="T15" s="609"/>
      <c r="U15" s="607">
        <v>2.5</v>
      </c>
      <c r="V15" s="611"/>
      <c r="W15" s="609"/>
      <c r="X15" s="610"/>
      <c r="Y15" s="611" t="s">
        <v>269</v>
      </c>
      <c r="Z15" s="609"/>
      <c r="AA15" s="634">
        <v>2.5</v>
      </c>
      <c r="AB15" s="608"/>
      <c r="AC15" s="609"/>
      <c r="AD15" s="610"/>
      <c r="AE15" s="611" t="s">
        <v>261</v>
      </c>
      <c r="AF15" s="607">
        <v>2.5</v>
      </c>
      <c r="AG15" s="607">
        <v>4.5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257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264</v>
      </c>
      <c r="Z18" s="548"/>
      <c r="AA18" s="548"/>
      <c r="AB18" s="548"/>
      <c r="AC18" s="548"/>
      <c r="AD18" s="549"/>
      <c r="AE18" s="621" t="s">
        <v>264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/>
      <c r="B26" s="631"/>
      <c r="C26" s="631"/>
      <c r="D26" s="630"/>
      <c r="E26" s="632"/>
      <c r="F26" s="632"/>
      <c r="AK26" s="62"/>
    </row>
    <row r="27">
      <c r="A27" s="631">
        <v>4.0</v>
      </c>
      <c r="B27" s="631" t="s">
        <v>107</v>
      </c>
      <c r="C27" s="631" t="s">
        <v>16</v>
      </c>
      <c r="D27" s="631">
        <v>-0.5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367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639" t="s">
        <v>368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138</v>
      </c>
      <c r="C6" s="580">
        <f t="shared" ref="C6:C15" si="1">SUM(H6:AK6)</f>
        <v>15.75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13.25</v>
      </c>
      <c r="G6" s="584" t="s">
        <v>261</v>
      </c>
      <c r="H6" s="598"/>
      <c r="I6" s="585">
        <v>2.5</v>
      </c>
      <c r="J6" s="586"/>
      <c r="K6" s="585"/>
      <c r="L6" s="588"/>
      <c r="M6" s="584" t="s">
        <v>269</v>
      </c>
      <c r="N6" s="597">
        <v>2.5</v>
      </c>
      <c r="O6" s="585">
        <v>3.0</v>
      </c>
      <c r="P6" s="589"/>
      <c r="Q6" s="590"/>
      <c r="R6" s="588"/>
      <c r="S6" s="586" t="s">
        <v>261</v>
      </c>
      <c r="T6" s="598"/>
      <c r="U6" s="585">
        <v>2.5</v>
      </c>
      <c r="V6" s="586" t="s">
        <v>11</v>
      </c>
      <c r="W6" s="590"/>
      <c r="X6" s="587">
        <v>0.5</v>
      </c>
      <c r="Y6" s="586" t="s">
        <v>261</v>
      </c>
      <c r="Z6" s="598"/>
      <c r="AA6" s="591">
        <v>2.0</v>
      </c>
      <c r="AB6" s="589"/>
      <c r="AC6" s="590"/>
      <c r="AD6" s="588"/>
      <c r="AE6" s="586" t="s">
        <v>261</v>
      </c>
      <c r="AF6" s="598"/>
      <c r="AG6" s="585">
        <v>2.75</v>
      </c>
      <c r="AH6" s="586" t="s">
        <v>263</v>
      </c>
      <c r="AI6" s="590"/>
      <c r="AJ6" s="587"/>
      <c r="AK6" s="592"/>
      <c r="AL6" s="593"/>
    </row>
    <row r="7" ht="23.25" customHeight="1">
      <c r="A7" s="578">
        <v>2.0</v>
      </c>
      <c r="B7" s="579" t="s">
        <v>88</v>
      </c>
      <c r="C7" s="580">
        <f t="shared" si="1"/>
        <v>12</v>
      </c>
      <c r="D7" s="594">
        <f t="shared" si="2"/>
        <v>0</v>
      </c>
      <c r="E7" s="595">
        <f t="shared" si="3"/>
        <v>0</v>
      </c>
      <c r="F7" s="596">
        <f t="shared" si="4"/>
        <v>12</v>
      </c>
      <c r="G7" s="584" t="s">
        <v>261</v>
      </c>
      <c r="H7" s="598"/>
      <c r="I7" s="585">
        <v>2.75</v>
      </c>
      <c r="J7" s="586"/>
      <c r="K7" s="585"/>
      <c r="L7" s="588"/>
      <c r="M7" s="584" t="s">
        <v>261</v>
      </c>
      <c r="N7" s="598"/>
      <c r="O7" s="585">
        <v>2.0</v>
      </c>
      <c r="P7" s="589"/>
      <c r="Q7" s="590"/>
      <c r="R7" s="588"/>
      <c r="S7" s="586" t="s">
        <v>261</v>
      </c>
      <c r="T7" s="598"/>
      <c r="U7" s="585">
        <v>3.75</v>
      </c>
      <c r="V7" s="586"/>
      <c r="W7" s="590"/>
      <c r="X7" s="588"/>
      <c r="Y7" s="586" t="s">
        <v>261</v>
      </c>
      <c r="Z7" s="598"/>
      <c r="AA7" s="591">
        <v>2.5</v>
      </c>
      <c r="AB7" s="586"/>
      <c r="AC7" s="585"/>
      <c r="AD7" s="587"/>
      <c r="AE7" s="586" t="s">
        <v>261</v>
      </c>
      <c r="AF7" s="598"/>
      <c r="AG7" s="600">
        <v>1.0</v>
      </c>
      <c r="AH7" s="586"/>
      <c r="AI7" s="590"/>
      <c r="AJ7" s="587"/>
      <c r="AK7" s="588"/>
      <c r="AL7" s="593"/>
    </row>
    <row r="8">
      <c r="A8" s="578">
        <v>3.0</v>
      </c>
      <c r="B8" s="579" t="s">
        <v>116</v>
      </c>
      <c r="C8" s="580">
        <f t="shared" si="1"/>
        <v>25.25</v>
      </c>
      <c r="D8" s="594">
        <f t="shared" si="2"/>
        <v>4</v>
      </c>
      <c r="E8" s="595">
        <f t="shared" si="3"/>
        <v>10</v>
      </c>
      <c r="F8" s="596">
        <f t="shared" si="4"/>
        <v>15.25</v>
      </c>
      <c r="G8" s="584" t="s">
        <v>269</v>
      </c>
      <c r="H8" s="585">
        <v>2.5</v>
      </c>
      <c r="I8" s="585">
        <v>3.25</v>
      </c>
      <c r="J8" s="589"/>
      <c r="K8" s="585"/>
      <c r="L8" s="588"/>
      <c r="M8" s="584" t="s">
        <v>265</v>
      </c>
      <c r="N8" s="585">
        <v>2.5</v>
      </c>
      <c r="O8" s="585">
        <v>2.25</v>
      </c>
      <c r="P8" s="589"/>
      <c r="Q8" s="590"/>
      <c r="R8" s="588"/>
      <c r="S8" s="586" t="s">
        <v>265</v>
      </c>
      <c r="T8" s="585">
        <v>2.5</v>
      </c>
      <c r="U8" s="585">
        <v>3.75</v>
      </c>
      <c r="V8" s="586"/>
      <c r="W8" s="590"/>
      <c r="X8" s="587"/>
      <c r="Y8" s="586" t="s">
        <v>269</v>
      </c>
      <c r="Z8" s="585">
        <v>2.5</v>
      </c>
      <c r="AA8" s="585">
        <v>3.5</v>
      </c>
      <c r="AB8" s="589"/>
      <c r="AC8" s="590"/>
      <c r="AD8" s="588"/>
      <c r="AE8" s="586" t="s">
        <v>271</v>
      </c>
      <c r="AF8" s="590"/>
      <c r="AG8" s="585">
        <v>2.5</v>
      </c>
      <c r="AH8" s="589"/>
      <c r="AI8" s="590"/>
      <c r="AJ8" s="588"/>
      <c r="AK8" s="588"/>
      <c r="AL8" s="593"/>
    </row>
    <row r="9">
      <c r="A9" s="578">
        <v>4.0</v>
      </c>
      <c r="B9" s="579" t="s">
        <v>122</v>
      </c>
      <c r="C9" s="580">
        <f t="shared" si="1"/>
        <v>15.25</v>
      </c>
      <c r="D9" s="594">
        <f t="shared" si="2"/>
        <v>1</v>
      </c>
      <c r="E9" s="595">
        <f t="shared" si="3"/>
        <v>2.5</v>
      </c>
      <c r="F9" s="596">
        <f t="shared" si="4"/>
        <v>12.75</v>
      </c>
      <c r="G9" s="584" t="s">
        <v>261</v>
      </c>
      <c r="H9" s="590"/>
      <c r="I9" s="585">
        <v>3.75</v>
      </c>
      <c r="J9" s="586"/>
      <c r="K9" s="585"/>
      <c r="L9" s="588"/>
      <c r="M9" s="584" t="s">
        <v>271</v>
      </c>
      <c r="N9" s="590"/>
      <c r="O9" s="585">
        <v>2.0</v>
      </c>
      <c r="P9" s="586"/>
      <c r="Q9" s="590"/>
      <c r="R9" s="588"/>
      <c r="S9" s="586" t="s">
        <v>269</v>
      </c>
      <c r="T9" s="585">
        <v>2.5</v>
      </c>
      <c r="U9" s="585">
        <v>2.5</v>
      </c>
      <c r="V9" s="586"/>
      <c r="W9" s="590"/>
      <c r="X9" s="588"/>
      <c r="Y9" s="586" t="s">
        <v>261</v>
      </c>
      <c r="Z9" s="590"/>
      <c r="AA9" s="591">
        <v>2.5</v>
      </c>
      <c r="AB9" s="589"/>
      <c r="AC9" s="590"/>
      <c r="AD9" s="588"/>
      <c r="AE9" s="586" t="s">
        <v>261</v>
      </c>
      <c r="AF9" s="590"/>
      <c r="AG9" s="585">
        <v>2.0</v>
      </c>
      <c r="AH9" s="586" t="s">
        <v>263</v>
      </c>
      <c r="AI9" s="590"/>
      <c r="AJ9" s="588"/>
      <c r="AK9" s="599"/>
      <c r="AL9" s="593"/>
    </row>
    <row r="10">
      <c r="A10" s="578">
        <v>5.0</v>
      </c>
      <c r="B10" s="579" t="s">
        <v>96</v>
      </c>
      <c r="C10" s="580">
        <f t="shared" si="1"/>
        <v>13.25</v>
      </c>
      <c r="D10" s="594">
        <f t="shared" si="2"/>
        <v>1</v>
      </c>
      <c r="E10" s="595">
        <f t="shared" si="3"/>
        <v>2.5</v>
      </c>
      <c r="F10" s="596">
        <f t="shared" si="4"/>
        <v>10.75</v>
      </c>
      <c r="G10" s="584" t="s">
        <v>261</v>
      </c>
      <c r="H10" s="590"/>
      <c r="I10" s="585">
        <v>1.5</v>
      </c>
      <c r="J10" s="589"/>
      <c r="K10" s="585"/>
      <c r="L10" s="588"/>
      <c r="M10" s="584" t="s">
        <v>261</v>
      </c>
      <c r="N10" s="590"/>
      <c r="O10" s="585">
        <v>2.25</v>
      </c>
      <c r="P10" s="586"/>
      <c r="Q10" s="590"/>
      <c r="R10" s="587"/>
      <c r="S10" s="586" t="s">
        <v>261</v>
      </c>
      <c r="T10" s="590"/>
      <c r="U10" s="585">
        <v>2.0</v>
      </c>
      <c r="V10" s="586"/>
      <c r="W10" s="590"/>
      <c r="X10" s="588"/>
      <c r="Y10" s="586" t="s">
        <v>261</v>
      </c>
      <c r="Z10" s="590"/>
      <c r="AA10" s="591">
        <v>2.0</v>
      </c>
      <c r="AB10" s="586"/>
      <c r="AC10" s="590"/>
      <c r="AD10" s="587"/>
      <c r="AE10" s="586" t="s">
        <v>269</v>
      </c>
      <c r="AF10" s="585">
        <v>2.5</v>
      </c>
      <c r="AG10" s="600">
        <v>3.0</v>
      </c>
      <c r="AH10" s="586" t="s">
        <v>260</v>
      </c>
      <c r="AI10" s="590"/>
      <c r="AJ10" s="588"/>
      <c r="AK10" s="588"/>
      <c r="AL10" s="593"/>
    </row>
    <row r="11">
      <c r="A11" s="578">
        <v>6.0</v>
      </c>
      <c r="B11" s="579" t="s">
        <v>97</v>
      </c>
      <c r="C11" s="580">
        <f t="shared" si="1"/>
        <v>18.5</v>
      </c>
      <c r="D11" s="594">
        <f t="shared" si="2"/>
        <v>2</v>
      </c>
      <c r="E11" s="595">
        <f t="shared" si="3"/>
        <v>5</v>
      </c>
      <c r="F11" s="596">
        <f t="shared" si="4"/>
        <v>13.5</v>
      </c>
      <c r="G11" s="584" t="s">
        <v>261</v>
      </c>
      <c r="H11" s="590"/>
      <c r="I11" s="585">
        <v>1.5</v>
      </c>
      <c r="J11" s="586"/>
      <c r="K11" s="585"/>
      <c r="L11" s="588"/>
      <c r="M11" s="584" t="s">
        <v>269</v>
      </c>
      <c r="N11" s="585">
        <v>2.5</v>
      </c>
      <c r="O11" s="585">
        <v>3.75</v>
      </c>
      <c r="P11" s="586"/>
      <c r="Q11" s="585"/>
      <c r="R11" s="587"/>
      <c r="S11" s="586" t="s">
        <v>261</v>
      </c>
      <c r="T11" s="590"/>
      <c r="U11" s="585">
        <v>2.75</v>
      </c>
      <c r="V11" s="589"/>
      <c r="W11" s="590"/>
      <c r="X11" s="588"/>
      <c r="Y11" s="586" t="s">
        <v>269</v>
      </c>
      <c r="Z11" s="585">
        <v>2.5</v>
      </c>
      <c r="AA11" s="591">
        <v>3.0</v>
      </c>
      <c r="AB11" s="589"/>
      <c r="AC11" s="590"/>
      <c r="AD11" s="588"/>
      <c r="AE11" s="586" t="s">
        <v>261</v>
      </c>
      <c r="AF11" s="590"/>
      <c r="AG11" s="585">
        <v>2.5</v>
      </c>
      <c r="AH11" s="586" t="s">
        <v>263</v>
      </c>
      <c r="AI11" s="590"/>
      <c r="AJ11" s="588"/>
      <c r="AK11" s="588"/>
      <c r="AL11" s="593"/>
    </row>
    <row r="12">
      <c r="A12" s="578">
        <v>7.0</v>
      </c>
      <c r="B12" s="579" t="s">
        <v>99</v>
      </c>
      <c r="C12" s="580">
        <f t="shared" si="1"/>
        <v>15.25</v>
      </c>
      <c r="D12" s="594">
        <f t="shared" si="2"/>
        <v>1</v>
      </c>
      <c r="E12" s="595">
        <f t="shared" si="3"/>
        <v>2.5</v>
      </c>
      <c r="F12" s="596">
        <f t="shared" si="4"/>
        <v>12.75</v>
      </c>
      <c r="G12" s="584" t="s">
        <v>271</v>
      </c>
      <c r="H12" s="590"/>
      <c r="I12" s="585">
        <v>2.5</v>
      </c>
      <c r="J12" s="586"/>
      <c r="K12" s="585"/>
      <c r="L12" s="588"/>
      <c r="M12" s="584" t="s">
        <v>261</v>
      </c>
      <c r="N12" s="590"/>
      <c r="O12" s="585">
        <v>2.0</v>
      </c>
      <c r="P12" s="589"/>
      <c r="Q12" s="590"/>
      <c r="R12" s="588"/>
      <c r="S12" s="586" t="s">
        <v>261</v>
      </c>
      <c r="T12" s="590"/>
      <c r="U12" s="585">
        <v>2.75</v>
      </c>
      <c r="V12" s="586"/>
      <c r="W12" s="590"/>
      <c r="X12" s="587"/>
      <c r="Y12" s="586" t="s">
        <v>271</v>
      </c>
      <c r="Z12" s="590"/>
      <c r="AA12" s="585">
        <v>3.0</v>
      </c>
      <c r="AB12" s="589"/>
      <c r="AC12" s="590"/>
      <c r="AD12" s="588"/>
      <c r="AE12" s="586" t="s">
        <v>265</v>
      </c>
      <c r="AF12" s="585">
        <v>2.5</v>
      </c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89</v>
      </c>
      <c r="C13" s="580">
        <f t="shared" si="1"/>
        <v>22.25</v>
      </c>
      <c r="D13" s="594">
        <f t="shared" si="2"/>
        <v>3</v>
      </c>
      <c r="E13" s="595">
        <f t="shared" si="3"/>
        <v>7.5</v>
      </c>
      <c r="F13" s="596">
        <f t="shared" si="4"/>
        <v>14.75</v>
      </c>
      <c r="G13" s="584" t="s">
        <v>269</v>
      </c>
      <c r="H13" s="597">
        <v>2.5</v>
      </c>
      <c r="I13" s="585">
        <v>3.5</v>
      </c>
      <c r="J13" s="586"/>
      <c r="K13" s="585"/>
      <c r="L13" s="588"/>
      <c r="M13" s="584" t="s">
        <v>261</v>
      </c>
      <c r="N13" s="598"/>
      <c r="O13" s="600">
        <v>1.5</v>
      </c>
      <c r="P13" s="589"/>
      <c r="Q13" s="590"/>
      <c r="R13" s="588"/>
      <c r="S13" s="586" t="s">
        <v>271</v>
      </c>
      <c r="T13" s="598"/>
      <c r="U13" s="585">
        <v>3.25</v>
      </c>
      <c r="V13" s="586"/>
      <c r="W13" s="590"/>
      <c r="X13" s="588"/>
      <c r="Y13" s="586" t="s">
        <v>265</v>
      </c>
      <c r="Z13" s="597">
        <v>2.5</v>
      </c>
      <c r="AA13" s="591">
        <v>4.0</v>
      </c>
      <c r="AB13" s="589"/>
      <c r="AC13" s="590"/>
      <c r="AD13" s="588"/>
      <c r="AE13" s="586" t="s">
        <v>269</v>
      </c>
      <c r="AF13" s="597">
        <v>2.5</v>
      </c>
      <c r="AG13" s="585">
        <v>2.5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107</v>
      </c>
      <c r="C14" s="580">
        <f t="shared" si="1"/>
        <v>20.5</v>
      </c>
      <c r="D14" s="594">
        <f t="shared" si="2"/>
        <v>1</v>
      </c>
      <c r="E14" s="595">
        <f t="shared" si="3"/>
        <v>2.5</v>
      </c>
      <c r="F14" s="596">
        <f t="shared" si="4"/>
        <v>18</v>
      </c>
      <c r="G14" s="584" t="s">
        <v>265</v>
      </c>
      <c r="H14" s="585">
        <v>2.5</v>
      </c>
      <c r="I14" s="585">
        <v>4.0</v>
      </c>
      <c r="J14" s="586"/>
      <c r="K14" s="585"/>
      <c r="L14" s="587"/>
      <c r="M14" s="584" t="s">
        <v>261</v>
      </c>
      <c r="N14" s="590"/>
      <c r="O14" s="585">
        <v>4.0</v>
      </c>
      <c r="P14" s="586" t="s">
        <v>11</v>
      </c>
      <c r="Q14" s="585">
        <v>0.5</v>
      </c>
      <c r="R14" s="587">
        <v>0.5</v>
      </c>
      <c r="S14" s="586" t="s">
        <v>261</v>
      </c>
      <c r="T14" s="590"/>
      <c r="U14" s="585">
        <v>3.0</v>
      </c>
      <c r="V14" s="589"/>
      <c r="W14" s="590"/>
      <c r="X14" s="588"/>
      <c r="Y14" s="586" t="s">
        <v>261</v>
      </c>
      <c r="Z14" s="590"/>
      <c r="AA14" s="591">
        <v>1.25</v>
      </c>
      <c r="AB14" s="586" t="s">
        <v>11</v>
      </c>
      <c r="AC14" s="585">
        <v>0.5</v>
      </c>
      <c r="AD14" s="587">
        <v>1.0</v>
      </c>
      <c r="AE14" s="586" t="s">
        <v>261</v>
      </c>
      <c r="AF14" s="590"/>
      <c r="AG14" s="585">
        <v>3.25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98</v>
      </c>
      <c r="C15" s="580">
        <f t="shared" si="1"/>
        <v>13.75</v>
      </c>
      <c r="D15" s="603">
        <f t="shared" si="2"/>
        <v>1</v>
      </c>
      <c r="E15" s="604">
        <f t="shared" si="3"/>
        <v>2.5</v>
      </c>
      <c r="F15" s="605">
        <f t="shared" si="4"/>
        <v>11.25</v>
      </c>
      <c r="G15" s="606" t="s">
        <v>261</v>
      </c>
      <c r="H15" s="609"/>
      <c r="I15" s="607">
        <v>1.75</v>
      </c>
      <c r="J15" s="608"/>
      <c r="K15" s="607"/>
      <c r="L15" s="612">
        <v>0.5</v>
      </c>
      <c r="M15" s="606" t="s">
        <v>261</v>
      </c>
      <c r="N15" s="609"/>
      <c r="O15" s="607">
        <v>2.75</v>
      </c>
      <c r="P15" s="608"/>
      <c r="Q15" s="609"/>
      <c r="R15" s="610"/>
      <c r="S15" s="611" t="s">
        <v>269</v>
      </c>
      <c r="T15" s="607">
        <v>2.5</v>
      </c>
      <c r="U15" s="613">
        <v>2.75</v>
      </c>
      <c r="V15" s="611"/>
      <c r="W15" s="609"/>
      <c r="X15" s="610"/>
      <c r="Y15" s="611" t="s">
        <v>261</v>
      </c>
      <c r="Z15" s="609"/>
      <c r="AA15" s="634">
        <v>1.75</v>
      </c>
      <c r="AB15" s="608"/>
      <c r="AC15" s="609"/>
      <c r="AD15" s="610"/>
      <c r="AE15" s="611" t="s">
        <v>261</v>
      </c>
      <c r="AF15" s="609"/>
      <c r="AG15" s="607">
        <v>1.75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369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268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89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3.0</v>
      </c>
      <c r="B27" s="631" t="s">
        <v>98</v>
      </c>
      <c r="C27" s="631" t="s">
        <v>16</v>
      </c>
      <c r="D27" s="631">
        <v>-0.5</v>
      </c>
      <c r="E27" s="62"/>
      <c r="F27" s="62"/>
      <c r="AK27" s="62"/>
    </row>
    <row r="28">
      <c r="A28" s="631">
        <v>5.0</v>
      </c>
      <c r="B28" s="631" t="s">
        <v>88</v>
      </c>
      <c r="C28" s="631" t="s">
        <v>16</v>
      </c>
      <c r="D28" s="631">
        <v>-0.5</v>
      </c>
      <c r="E28" s="62"/>
      <c r="F28" s="62"/>
      <c r="AK28" s="62"/>
    </row>
    <row r="29">
      <c r="A29" s="631">
        <v>5.0</v>
      </c>
      <c r="B29" s="631" t="s">
        <v>96</v>
      </c>
      <c r="C29" s="631" t="s">
        <v>16</v>
      </c>
      <c r="D29" s="631">
        <v>-0.5</v>
      </c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G32" s="384" t="str">
        <v/>
      </c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370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45"/>
      <c r="B3" s="445"/>
      <c r="C3" s="445"/>
      <c r="D3" s="445"/>
      <c r="E3" s="445"/>
      <c r="F3" s="445"/>
      <c r="G3" s="448"/>
      <c r="H3" s="448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640" t="s">
        <v>283</v>
      </c>
      <c r="AK3" s="627"/>
      <c r="AL3" s="448"/>
    </row>
    <row r="4">
      <c r="A4" s="499"/>
      <c r="B4" s="499"/>
      <c r="C4" s="499"/>
      <c r="D4" s="499"/>
      <c r="E4" s="499"/>
      <c r="F4" s="499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64"/>
      <c r="AL4" s="448"/>
    </row>
    <row r="5">
      <c r="A5" s="565" t="s">
        <v>1</v>
      </c>
      <c r="B5" s="566" t="s">
        <v>291</v>
      </c>
      <c r="C5" s="567" t="s">
        <v>298</v>
      </c>
      <c r="D5" s="568" t="s">
        <v>12</v>
      </c>
      <c r="E5" s="569" t="s">
        <v>7</v>
      </c>
      <c r="F5" s="570" t="s">
        <v>336</v>
      </c>
      <c r="G5" s="571" t="s">
        <v>250</v>
      </c>
      <c r="H5" s="189"/>
      <c r="I5" s="189"/>
      <c r="J5" s="189"/>
      <c r="K5" s="189"/>
      <c r="L5" s="508"/>
      <c r="M5" s="571" t="s">
        <v>300</v>
      </c>
      <c r="N5" s="189"/>
      <c r="O5" s="189"/>
      <c r="P5" s="189"/>
      <c r="Q5" s="189"/>
      <c r="R5" s="508"/>
      <c r="S5" s="571" t="s">
        <v>301</v>
      </c>
      <c r="T5" s="189"/>
      <c r="U5" s="189"/>
      <c r="V5" s="189"/>
      <c r="W5" s="189"/>
      <c r="X5" s="508"/>
      <c r="Y5" s="571" t="s">
        <v>302</v>
      </c>
      <c r="Z5" s="189"/>
      <c r="AA5" s="189"/>
      <c r="AB5" s="189"/>
      <c r="AC5" s="189"/>
      <c r="AD5" s="508"/>
      <c r="AE5" s="571" t="s">
        <v>303</v>
      </c>
      <c r="AF5" s="189"/>
      <c r="AG5" s="189"/>
      <c r="AH5" s="189"/>
      <c r="AI5" s="189"/>
      <c r="AJ5" s="508"/>
      <c r="AK5" s="572" t="s">
        <v>337</v>
      </c>
      <c r="AL5" s="573"/>
    </row>
    <row r="6">
      <c r="A6" s="386"/>
      <c r="B6" s="508"/>
      <c r="C6" s="508"/>
      <c r="D6" s="386"/>
      <c r="E6" s="574"/>
      <c r="F6" s="189"/>
      <c r="G6" s="575" t="s">
        <v>255</v>
      </c>
      <c r="H6" s="575" t="s">
        <v>7</v>
      </c>
      <c r="I6" s="575" t="s">
        <v>8</v>
      </c>
      <c r="J6" s="575" t="s">
        <v>256</v>
      </c>
      <c r="K6" s="575" t="s">
        <v>9</v>
      </c>
      <c r="L6" s="576" t="s">
        <v>10</v>
      </c>
      <c r="M6" s="575" t="s">
        <v>255</v>
      </c>
      <c r="N6" s="575" t="s">
        <v>7</v>
      </c>
      <c r="O6" s="575" t="s">
        <v>8</v>
      </c>
      <c r="P6" s="575" t="s">
        <v>256</v>
      </c>
      <c r="Q6" s="575" t="s">
        <v>9</v>
      </c>
      <c r="R6" s="576" t="s">
        <v>10</v>
      </c>
      <c r="S6" s="575" t="s">
        <v>255</v>
      </c>
      <c r="T6" s="575" t="s">
        <v>7</v>
      </c>
      <c r="U6" s="575" t="s">
        <v>8</v>
      </c>
      <c r="V6" s="575" t="s">
        <v>256</v>
      </c>
      <c r="W6" s="575" t="s">
        <v>9</v>
      </c>
      <c r="X6" s="576" t="s">
        <v>10</v>
      </c>
      <c r="Y6" s="575" t="s">
        <v>255</v>
      </c>
      <c r="Z6" s="575" t="s">
        <v>7</v>
      </c>
      <c r="AA6" s="575" t="s">
        <v>8</v>
      </c>
      <c r="AB6" s="575" t="s">
        <v>309</v>
      </c>
      <c r="AC6" s="575" t="s">
        <v>9</v>
      </c>
      <c r="AD6" s="576" t="s">
        <v>10</v>
      </c>
      <c r="AE6" s="575" t="s">
        <v>255</v>
      </c>
      <c r="AF6" s="575" t="s">
        <v>7</v>
      </c>
      <c r="AG6" s="575" t="s">
        <v>8</v>
      </c>
      <c r="AH6" s="575" t="s">
        <v>256</v>
      </c>
      <c r="AI6" s="575" t="s">
        <v>9</v>
      </c>
      <c r="AJ6" s="576" t="s">
        <v>10</v>
      </c>
      <c r="AK6" s="189"/>
      <c r="AL6" s="577"/>
    </row>
    <row r="7">
      <c r="A7" s="578">
        <v>1.0</v>
      </c>
      <c r="B7" s="579" t="s">
        <v>79</v>
      </c>
      <c r="C7" s="580">
        <f t="shared" ref="C7:C16" si="1">SUM(H7:AK7)</f>
        <v>27</v>
      </c>
      <c r="D7" s="581">
        <f t="shared" ref="D7:D16" si="2">E7/2.5</f>
        <v>4</v>
      </c>
      <c r="E7" s="582">
        <f t="shared" ref="E7:E16" si="3">SUM(H7+N7+T7+Z7+AF7+AL7+AR7)</f>
        <v>10</v>
      </c>
      <c r="F7" s="583">
        <f t="shared" ref="F7:F16" si="4">C7-E7</f>
        <v>17</v>
      </c>
      <c r="G7" s="584" t="s">
        <v>271</v>
      </c>
      <c r="H7" s="597">
        <v>2.5</v>
      </c>
      <c r="I7" s="585">
        <v>3.75</v>
      </c>
      <c r="J7" s="586"/>
      <c r="K7" s="590"/>
      <c r="L7" s="588"/>
      <c r="M7" s="584" t="s">
        <v>261</v>
      </c>
      <c r="N7" s="598"/>
      <c r="O7" s="585">
        <v>4.25</v>
      </c>
      <c r="P7" s="589"/>
      <c r="Q7" s="590"/>
      <c r="R7" s="588"/>
      <c r="S7" s="586" t="s">
        <v>265</v>
      </c>
      <c r="T7" s="597">
        <v>2.5</v>
      </c>
      <c r="U7" s="585">
        <v>2.0</v>
      </c>
      <c r="V7" s="586"/>
      <c r="W7" s="590"/>
      <c r="X7" s="588"/>
      <c r="Y7" s="586" t="s">
        <v>261</v>
      </c>
      <c r="Z7" s="597">
        <v>2.5</v>
      </c>
      <c r="AA7" s="591">
        <v>3.0</v>
      </c>
      <c r="AB7" s="589"/>
      <c r="AC7" s="590"/>
      <c r="AD7" s="588"/>
      <c r="AE7" s="586" t="s">
        <v>261</v>
      </c>
      <c r="AF7" s="597">
        <v>2.5</v>
      </c>
      <c r="AG7" s="585">
        <v>3.0</v>
      </c>
      <c r="AH7" s="586" t="s">
        <v>11</v>
      </c>
      <c r="AI7" s="585">
        <v>0.5</v>
      </c>
      <c r="AJ7" s="587">
        <v>0.5</v>
      </c>
      <c r="AK7" s="592"/>
      <c r="AL7" s="593"/>
    </row>
    <row r="8" ht="23.25" customHeight="1">
      <c r="A8" s="578">
        <v>2.0</v>
      </c>
      <c r="B8" s="579" t="s">
        <v>107</v>
      </c>
      <c r="C8" s="580">
        <f t="shared" si="1"/>
        <v>24.75</v>
      </c>
      <c r="D8" s="594">
        <f t="shared" si="2"/>
        <v>3</v>
      </c>
      <c r="E8" s="595">
        <f t="shared" si="3"/>
        <v>7.5</v>
      </c>
      <c r="F8" s="596">
        <f t="shared" si="4"/>
        <v>17.25</v>
      </c>
      <c r="G8" s="584" t="s">
        <v>261</v>
      </c>
      <c r="H8" s="597">
        <v>2.5</v>
      </c>
      <c r="I8" s="585">
        <v>3.75</v>
      </c>
      <c r="J8" s="586"/>
      <c r="K8" s="590"/>
      <c r="L8" s="588"/>
      <c r="M8" s="584" t="s">
        <v>261</v>
      </c>
      <c r="N8" s="598"/>
      <c r="O8" s="585">
        <v>2.75</v>
      </c>
      <c r="P8" s="589"/>
      <c r="Q8" s="590"/>
      <c r="R8" s="588"/>
      <c r="S8" s="586" t="s">
        <v>271</v>
      </c>
      <c r="T8" s="598"/>
      <c r="U8" s="585">
        <v>2.0</v>
      </c>
      <c r="V8" s="586" t="s">
        <v>11</v>
      </c>
      <c r="W8" s="590"/>
      <c r="X8" s="587">
        <v>0.5</v>
      </c>
      <c r="Y8" s="586" t="s">
        <v>261</v>
      </c>
      <c r="Z8" s="597">
        <v>2.5</v>
      </c>
      <c r="AA8" s="591">
        <v>2.75</v>
      </c>
      <c r="AB8" s="586" t="s">
        <v>11</v>
      </c>
      <c r="AC8" s="585"/>
      <c r="AD8" s="587">
        <v>1.0</v>
      </c>
      <c r="AE8" s="586" t="s">
        <v>261</v>
      </c>
      <c r="AF8" s="597">
        <v>2.5</v>
      </c>
      <c r="AG8" s="585">
        <v>4.5</v>
      </c>
      <c r="AH8" s="586"/>
      <c r="AI8" s="590"/>
      <c r="AJ8" s="587"/>
      <c r="AK8" s="588"/>
      <c r="AL8" s="593"/>
    </row>
    <row r="9">
      <c r="A9" s="578">
        <v>3.0</v>
      </c>
      <c r="B9" s="579" t="s">
        <v>117</v>
      </c>
      <c r="C9" s="580">
        <f t="shared" si="1"/>
        <v>20.5</v>
      </c>
      <c r="D9" s="594">
        <f t="shared" si="2"/>
        <v>3</v>
      </c>
      <c r="E9" s="595">
        <f t="shared" si="3"/>
        <v>7.5</v>
      </c>
      <c r="F9" s="596">
        <f t="shared" si="4"/>
        <v>13</v>
      </c>
      <c r="G9" s="584" t="s">
        <v>261</v>
      </c>
      <c r="H9" s="585">
        <v>2.5</v>
      </c>
      <c r="I9" s="585">
        <v>3.0</v>
      </c>
      <c r="J9" s="589"/>
      <c r="K9" s="590"/>
      <c r="L9" s="588"/>
      <c r="M9" s="584" t="s">
        <v>261</v>
      </c>
      <c r="N9" s="590"/>
      <c r="O9" s="585">
        <v>1.75</v>
      </c>
      <c r="P9" s="586" t="s">
        <v>263</v>
      </c>
      <c r="Q9" s="590"/>
      <c r="R9" s="588"/>
      <c r="S9" s="586" t="s">
        <v>261</v>
      </c>
      <c r="T9" s="590"/>
      <c r="U9" s="585">
        <v>2.25</v>
      </c>
      <c r="V9" s="586"/>
      <c r="W9" s="590"/>
      <c r="X9" s="587"/>
      <c r="Y9" s="586" t="s">
        <v>261</v>
      </c>
      <c r="Z9" s="585">
        <v>2.5</v>
      </c>
      <c r="AA9" s="585">
        <v>2.5</v>
      </c>
      <c r="AB9" s="589"/>
      <c r="AC9" s="590"/>
      <c r="AD9" s="588"/>
      <c r="AE9" s="586" t="s">
        <v>261</v>
      </c>
      <c r="AF9" s="585">
        <v>2.5</v>
      </c>
      <c r="AG9" s="585">
        <v>3.5</v>
      </c>
      <c r="AH9" s="589"/>
      <c r="AI9" s="590"/>
      <c r="AJ9" s="588"/>
      <c r="AK9" s="588"/>
      <c r="AL9" s="593"/>
    </row>
    <row r="10">
      <c r="A10" s="578">
        <v>4.0</v>
      </c>
      <c r="B10" s="579" t="s">
        <v>126</v>
      </c>
      <c r="C10" s="580">
        <f t="shared" si="1"/>
        <v>20.5</v>
      </c>
      <c r="D10" s="594">
        <f t="shared" si="2"/>
        <v>3</v>
      </c>
      <c r="E10" s="595">
        <f t="shared" si="3"/>
        <v>7.5</v>
      </c>
      <c r="F10" s="596">
        <f t="shared" si="4"/>
        <v>13</v>
      </c>
      <c r="G10" s="584" t="s">
        <v>261</v>
      </c>
      <c r="H10" s="585">
        <v>2.5</v>
      </c>
      <c r="I10" s="585">
        <v>3.75</v>
      </c>
      <c r="J10" s="586"/>
      <c r="K10" s="590"/>
      <c r="L10" s="588"/>
      <c r="M10" s="584" t="s">
        <v>261</v>
      </c>
      <c r="N10" s="590"/>
      <c r="O10" s="585">
        <v>2.0</v>
      </c>
      <c r="P10" s="586"/>
      <c r="Q10" s="590"/>
      <c r="R10" s="588"/>
      <c r="S10" s="586" t="s">
        <v>261</v>
      </c>
      <c r="T10" s="590"/>
      <c r="U10" s="585">
        <v>2.0</v>
      </c>
      <c r="V10" s="586"/>
      <c r="W10" s="590"/>
      <c r="X10" s="588"/>
      <c r="Y10" s="586" t="s">
        <v>261</v>
      </c>
      <c r="Z10" s="585">
        <v>2.5</v>
      </c>
      <c r="AA10" s="591">
        <v>2.5</v>
      </c>
      <c r="AB10" s="589"/>
      <c r="AC10" s="590"/>
      <c r="AD10" s="588"/>
      <c r="AE10" s="586" t="s">
        <v>271</v>
      </c>
      <c r="AF10" s="585">
        <v>2.5</v>
      </c>
      <c r="AG10" s="585">
        <v>2.75</v>
      </c>
      <c r="AH10" s="589"/>
      <c r="AI10" s="590"/>
      <c r="AJ10" s="588"/>
      <c r="AK10" s="599"/>
      <c r="AL10" s="593"/>
    </row>
    <row r="11">
      <c r="A11" s="578">
        <v>5.0</v>
      </c>
      <c r="B11" s="579" t="s">
        <v>89</v>
      </c>
      <c r="C11" s="580">
        <f t="shared" si="1"/>
        <v>17.75</v>
      </c>
      <c r="D11" s="594">
        <f t="shared" si="2"/>
        <v>2</v>
      </c>
      <c r="E11" s="595">
        <f t="shared" si="3"/>
        <v>5</v>
      </c>
      <c r="F11" s="596">
        <f t="shared" si="4"/>
        <v>12.75</v>
      </c>
      <c r="G11" s="584" t="s">
        <v>269</v>
      </c>
      <c r="H11" s="590"/>
      <c r="I11" s="585">
        <v>2.25</v>
      </c>
      <c r="J11" s="589"/>
      <c r="K11" s="590"/>
      <c r="L11" s="588"/>
      <c r="M11" s="584" t="s">
        <v>269</v>
      </c>
      <c r="N11" s="585">
        <v>2.5</v>
      </c>
      <c r="O11" s="585">
        <v>3.0</v>
      </c>
      <c r="P11" s="586"/>
      <c r="Q11" s="590"/>
      <c r="R11" s="587"/>
      <c r="S11" s="586" t="s">
        <v>269</v>
      </c>
      <c r="T11" s="585">
        <v>2.5</v>
      </c>
      <c r="U11" s="585">
        <v>4.5</v>
      </c>
      <c r="V11" s="586"/>
      <c r="W11" s="590"/>
      <c r="X11" s="588"/>
      <c r="Y11" s="586" t="s">
        <v>265</v>
      </c>
      <c r="Z11" s="590"/>
      <c r="AA11" s="637">
        <v>1.0</v>
      </c>
      <c r="AB11" s="586"/>
      <c r="AC11" s="590"/>
      <c r="AD11" s="587"/>
      <c r="AE11" s="586" t="s">
        <v>269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6.0</v>
      </c>
      <c r="B12" s="579" t="s">
        <v>88</v>
      </c>
      <c r="C12" s="580">
        <f t="shared" si="1"/>
        <v>25</v>
      </c>
      <c r="D12" s="594">
        <f t="shared" si="2"/>
        <v>4</v>
      </c>
      <c r="E12" s="595">
        <f t="shared" si="3"/>
        <v>10</v>
      </c>
      <c r="F12" s="596">
        <f t="shared" si="4"/>
        <v>15</v>
      </c>
      <c r="G12" s="584" t="s">
        <v>269</v>
      </c>
      <c r="H12" s="590"/>
      <c r="I12" s="585">
        <v>2.0</v>
      </c>
      <c r="J12" s="586"/>
      <c r="K12" s="590"/>
      <c r="L12" s="588"/>
      <c r="M12" s="584" t="s">
        <v>265</v>
      </c>
      <c r="N12" s="585">
        <v>2.5</v>
      </c>
      <c r="O12" s="585">
        <v>2.75</v>
      </c>
      <c r="P12" s="586"/>
      <c r="Q12" s="585"/>
      <c r="R12" s="587"/>
      <c r="S12" s="586" t="s">
        <v>269</v>
      </c>
      <c r="T12" s="585">
        <v>2.5</v>
      </c>
      <c r="U12" s="585">
        <v>2.75</v>
      </c>
      <c r="V12" s="589"/>
      <c r="W12" s="590"/>
      <c r="X12" s="588"/>
      <c r="Y12" s="586" t="s">
        <v>261</v>
      </c>
      <c r="Z12" s="585">
        <v>2.5</v>
      </c>
      <c r="AA12" s="591">
        <v>3.25</v>
      </c>
      <c r="AB12" s="589"/>
      <c r="AC12" s="590"/>
      <c r="AD12" s="588"/>
      <c r="AE12" s="586" t="s">
        <v>261</v>
      </c>
      <c r="AF12" s="585">
        <v>2.5</v>
      </c>
      <c r="AG12" s="585">
        <v>4.25</v>
      </c>
      <c r="AH12" s="589"/>
      <c r="AI12" s="590"/>
      <c r="AJ12" s="588"/>
      <c r="AK12" s="588"/>
      <c r="AL12" s="593"/>
    </row>
    <row r="13">
      <c r="A13" s="578">
        <v>7.0</v>
      </c>
      <c r="B13" s="579" t="s">
        <v>132</v>
      </c>
      <c r="C13" s="580">
        <f t="shared" si="1"/>
        <v>16</v>
      </c>
      <c r="D13" s="594">
        <f t="shared" si="2"/>
        <v>1</v>
      </c>
      <c r="E13" s="595">
        <f t="shared" si="3"/>
        <v>2.5</v>
      </c>
      <c r="F13" s="596">
        <f t="shared" si="4"/>
        <v>13.5</v>
      </c>
      <c r="G13" s="584" t="s">
        <v>261</v>
      </c>
      <c r="H13" s="585">
        <v>2.5</v>
      </c>
      <c r="I13" s="585">
        <v>3.25</v>
      </c>
      <c r="J13" s="586"/>
      <c r="K13" s="590"/>
      <c r="L13" s="588"/>
      <c r="M13" s="584" t="s">
        <v>261</v>
      </c>
      <c r="N13" s="590"/>
      <c r="O13" s="585">
        <v>2.75</v>
      </c>
      <c r="P13" s="586" t="s">
        <v>263</v>
      </c>
      <c r="Q13" s="590"/>
      <c r="R13" s="588"/>
      <c r="S13" s="586" t="s">
        <v>261</v>
      </c>
      <c r="T13" s="590"/>
      <c r="U13" s="585">
        <v>2.5</v>
      </c>
      <c r="V13" s="586"/>
      <c r="W13" s="590"/>
      <c r="X13" s="587"/>
      <c r="Y13" s="586" t="s">
        <v>269</v>
      </c>
      <c r="Z13" s="590"/>
      <c r="AA13" s="585">
        <v>3.0</v>
      </c>
      <c r="AB13" s="589"/>
      <c r="AC13" s="590"/>
      <c r="AD13" s="588"/>
      <c r="AE13" s="586" t="s">
        <v>265</v>
      </c>
      <c r="AF13" s="590"/>
      <c r="AG13" s="585">
        <v>2.0</v>
      </c>
      <c r="AH13" s="589"/>
      <c r="AI13" s="590"/>
      <c r="AJ13" s="588"/>
      <c r="AK13" s="588"/>
      <c r="AL13" s="593"/>
    </row>
    <row r="14">
      <c r="A14" s="578">
        <v>8.0</v>
      </c>
      <c r="B14" s="579" t="s">
        <v>119</v>
      </c>
      <c r="C14" s="580">
        <f t="shared" si="1"/>
        <v>12</v>
      </c>
      <c r="D14" s="594">
        <f t="shared" si="2"/>
        <v>1</v>
      </c>
      <c r="E14" s="595">
        <f t="shared" si="3"/>
        <v>2.5</v>
      </c>
      <c r="F14" s="596">
        <f t="shared" si="4"/>
        <v>9.5</v>
      </c>
      <c r="G14" s="584" t="s">
        <v>265</v>
      </c>
      <c r="H14" s="598"/>
      <c r="I14" s="585">
        <v>2.0</v>
      </c>
      <c r="J14" s="586"/>
      <c r="K14" s="585"/>
      <c r="L14" s="588"/>
      <c r="M14" s="584" t="s">
        <v>261</v>
      </c>
      <c r="N14" s="598"/>
      <c r="O14" s="585">
        <v>1.75</v>
      </c>
      <c r="P14" s="589"/>
      <c r="Q14" s="590"/>
      <c r="R14" s="588"/>
      <c r="S14" s="586" t="s">
        <v>261</v>
      </c>
      <c r="T14" s="598"/>
      <c r="U14" s="585">
        <v>2.25</v>
      </c>
      <c r="V14" s="586"/>
      <c r="W14" s="590"/>
      <c r="X14" s="588"/>
      <c r="Y14" s="586" t="s">
        <v>269</v>
      </c>
      <c r="Z14" s="598"/>
      <c r="AA14" s="637">
        <v>0.0</v>
      </c>
      <c r="AB14" s="589"/>
      <c r="AC14" s="590"/>
      <c r="AD14" s="588"/>
      <c r="AE14" s="586" t="s">
        <v>261</v>
      </c>
      <c r="AF14" s="597">
        <v>2.5</v>
      </c>
      <c r="AG14" s="585">
        <v>3.5</v>
      </c>
      <c r="AH14" s="589"/>
      <c r="AI14" s="590"/>
      <c r="AJ14" s="588"/>
      <c r="AK14" s="588"/>
      <c r="AL14" s="593"/>
    </row>
    <row r="15">
      <c r="A15" s="578">
        <v>9.0</v>
      </c>
      <c r="B15" s="579" t="s">
        <v>127</v>
      </c>
      <c r="C15" s="580">
        <f t="shared" si="1"/>
        <v>18.75</v>
      </c>
      <c r="D15" s="594">
        <f t="shared" si="2"/>
        <v>2</v>
      </c>
      <c r="E15" s="595">
        <f t="shared" si="3"/>
        <v>5</v>
      </c>
      <c r="F15" s="596">
        <f t="shared" si="4"/>
        <v>13.75</v>
      </c>
      <c r="G15" s="584" t="s">
        <v>261</v>
      </c>
      <c r="H15" s="585">
        <v>2.5</v>
      </c>
      <c r="I15" s="585">
        <v>2.75</v>
      </c>
      <c r="J15" s="586" t="s">
        <v>11</v>
      </c>
      <c r="K15" s="585">
        <v>0.5</v>
      </c>
      <c r="L15" s="587">
        <v>0.5</v>
      </c>
      <c r="M15" s="584" t="s">
        <v>271</v>
      </c>
      <c r="N15" s="590"/>
      <c r="O15" s="585">
        <v>2.25</v>
      </c>
      <c r="P15" s="586" t="s">
        <v>11</v>
      </c>
      <c r="Q15" s="585"/>
      <c r="R15" s="587">
        <v>1.0</v>
      </c>
      <c r="S15" s="586" t="s">
        <v>261</v>
      </c>
      <c r="T15" s="590"/>
      <c r="U15" s="585">
        <v>1.5</v>
      </c>
      <c r="V15" s="589"/>
      <c r="W15" s="590"/>
      <c r="X15" s="588"/>
      <c r="Y15" s="586" t="s">
        <v>271</v>
      </c>
      <c r="Z15" s="585">
        <v>2.5</v>
      </c>
      <c r="AA15" s="591">
        <v>3.25</v>
      </c>
      <c r="AB15" s="589"/>
      <c r="AC15" s="590"/>
      <c r="AD15" s="588"/>
      <c r="AE15" s="586" t="s">
        <v>269</v>
      </c>
      <c r="AF15" s="590"/>
      <c r="AG15" s="585">
        <v>2.0</v>
      </c>
      <c r="AH15" s="589"/>
      <c r="AI15" s="590"/>
      <c r="AJ15" s="588"/>
      <c r="AK15" s="588"/>
      <c r="AL15" s="593"/>
    </row>
    <row r="16">
      <c r="A16" s="601">
        <v>10.0</v>
      </c>
      <c r="B16" s="602" t="s">
        <v>129</v>
      </c>
      <c r="C16" s="580">
        <f t="shared" si="1"/>
        <v>25.25</v>
      </c>
      <c r="D16" s="603">
        <f t="shared" si="2"/>
        <v>4</v>
      </c>
      <c r="E16" s="604">
        <f t="shared" si="3"/>
        <v>10</v>
      </c>
      <c r="F16" s="605">
        <f t="shared" si="4"/>
        <v>15.25</v>
      </c>
      <c r="G16" s="606" t="s">
        <v>261</v>
      </c>
      <c r="H16" s="607">
        <v>2.5</v>
      </c>
      <c r="I16" s="607">
        <v>2.5</v>
      </c>
      <c r="J16" s="608"/>
      <c r="K16" s="609"/>
      <c r="L16" s="610"/>
      <c r="M16" s="606" t="s">
        <v>269</v>
      </c>
      <c r="N16" s="607">
        <v>2.5</v>
      </c>
      <c r="O16" s="607">
        <v>4.25</v>
      </c>
      <c r="P16" s="611" t="s">
        <v>260</v>
      </c>
      <c r="Q16" s="609"/>
      <c r="R16" s="610"/>
      <c r="S16" s="611" t="s">
        <v>261</v>
      </c>
      <c r="T16" s="609"/>
      <c r="U16" s="607">
        <v>1.25</v>
      </c>
      <c r="V16" s="611"/>
      <c r="W16" s="609"/>
      <c r="X16" s="610"/>
      <c r="Y16" s="611" t="s">
        <v>261</v>
      </c>
      <c r="Z16" s="607">
        <v>2.5</v>
      </c>
      <c r="AA16" s="634">
        <v>3.25</v>
      </c>
      <c r="AB16" s="608"/>
      <c r="AC16" s="609"/>
      <c r="AD16" s="610"/>
      <c r="AE16" s="611" t="s">
        <v>261</v>
      </c>
      <c r="AF16" s="607">
        <v>2.5</v>
      </c>
      <c r="AG16" s="607">
        <v>4.0</v>
      </c>
      <c r="AH16" s="608"/>
      <c r="AI16" s="609"/>
      <c r="AJ16" s="610"/>
      <c r="AK16" s="610"/>
      <c r="AL16" s="593"/>
    </row>
    <row r="17">
      <c r="A17" s="614" t="s">
        <v>310</v>
      </c>
      <c r="B17" s="615"/>
      <c r="C17" s="615"/>
      <c r="D17" s="615"/>
      <c r="E17" s="615"/>
      <c r="F17" s="615"/>
      <c r="G17" s="616" t="s">
        <v>371</v>
      </c>
      <c r="L17" s="543"/>
      <c r="M17" s="616" t="s">
        <v>372</v>
      </c>
      <c r="R17" s="543"/>
      <c r="S17" s="616" t="s">
        <v>342</v>
      </c>
      <c r="X17" s="543"/>
      <c r="Y17" s="616" t="s">
        <v>339</v>
      </c>
      <c r="AD17" s="543"/>
      <c r="AE17" s="616" t="s">
        <v>373</v>
      </c>
      <c r="AJ17" s="543"/>
      <c r="AK17" s="617"/>
      <c r="AL17" s="577"/>
    </row>
    <row r="18">
      <c r="A18" s="618" t="s">
        <v>269</v>
      </c>
      <c r="B18" s="615"/>
      <c r="C18" s="615"/>
      <c r="D18" s="615"/>
      <c r="E18" s="615"/>
      <c r="F18" s="615"/>
      <c r="G18" s="189"/>
      <c r="H18" s="189"/>
      <c r="I18" s="189"/>
      <c r="J18" s="189"/>
      <c r="K18" s="189"/>
      <c r="L18" s="508"/>
      <c r="M18" s="189"/>
      <c r="N18" s="189"/>
      <c r="O18" s="189"/>
      <c r="P18" s="189"/>
      <c r="Q18" s="189"/>
      <c r="R18" s="508"/>
      <c r="S18" s="189"/>
      <c r="T18" s="189"/>
      <c r="U18" s="189"/>
      <c r="V18" s="189"/>
      <c r="W18" s="189"/>
      <c r="X18" s="508"/>
      <c r="Y18" s="189"/>
      <c r="Z18" s="189"/>
      <c r="AA18" s="189"/>
      <c r="AB18" s="189"/>
      <c r="AC18" s="189"/>
      <c r="AD18" s="508"/>
      <c r="AE18" s="189"/>
      <c r="AF18" s="189"/>
      <c r="AG18" s="189"/>
      <c r="AH18" s="189"/>
      <c r="AI18" s="189"/>
      <c r="AJ18" s="508"/>
      <c r="AK18" s="617"/>
      <c r="AL18" s="577"/>
    </row>
    <row r="19">
      <c r="A19" s="619" t="s">
        <v>271</v>
      </c>
      <c r="B19" s="615"/>
      <c r="C19" s="615"/>
      <c r="D19" s="615"/>
      <c r="E19" s="615"/>
      <c r="F19" s="615"/>
      <c r="G19" s="620" t="s">
        <v>257</v>
      </c>
      <c r="H19" s="548"/>
      <c r="I19" s="548"/>
      <c r="J19" s="548"/>
      <c r="K19" s="548"/>
      <c r="L19" s="549"/>
      <c r="M19" s="621" t="s">
        <v>272</v>
      </c>
      <c r="N19" s="548"/>
      <c r="O19" s="548"/>
      <c r="P19" s="548"/>
      <c r="Q19" s="548"/>
      <c r="R19" s="549"/>
      <c r="S19" s="621" t="s">
        <v>259</v>
      </c>
      <c r="T19" s="548"/>
      <c r="U19" s="548"/>
      <c r="V19" s="548"/>
      <c r="W19" s="548"/>
      <c r="X19" s="549"/>
      <c r="Y19" s="621" t="s">
        <v>264</v>
      </c>
      <c r="Z19" s="548"/>
      <c r="AA19" s="548"/>
      <c r="AB19" s="548"/>
      <c r="AC19" s="548"/>
      <c r="AD19" s="549"/>
      <c r="AE19" s="621" t="s">
        <v>262</v>
      </c>
      <c r="AF19" s="548"/>
      <c r="AG19" s="548"/>
      <c r="AH19" s="548"/>
      <c r="AI19" s="548"/>
      <c r="AJ19" s="549"/>
      <c r="AK19" s="617"/>
      <c r="AL19" s="573"/>
    </row>
    <row r="20">
      <c r="A20" s="622" t="s">
        <v>265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17"/>
      <c r="AL20" s="573"/>
    </row>
    <row r="21">
      <c r="A21" s="623" t="s">
        <v>11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15"/>
      <c r="AB21" s="615"/>
      <c r="AC21" s="615"/>
      <c r="AD21" s="615"/>
      <c r="AE21" s="615"/>
      <c r="AF21" s="615"/>
      <c r="AG21" s="615"/>
      <c r="AH21" s="615"/>
      <c r="AI21" s="615"/>
      <c r="AJ21" s="615"/>
      <c r="AK21" s="624"/>
      <c r="AL21" s="573"/>
    </row>
    <row r="22">
      <c r="A22" s="625" t="s">
        <v>343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23" s="625" t="s">
        <v>345</v>
      </c>
      <c r="B23" s="626" t="s">
        <v>346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563"/>
      <c r="AL23" s="1"/>
    </row>
    <row r="24">
      <c r="AK24" s="627"/>
    </row>
    <row r="25">
      <c r="A25" s="628" t="s">
        <v>290</v>
      </c>
      <c r="B25" s="628" t="s">
        <v>145</v>
      </c>
      <c r="C25" s="628" t="s">
        <v>323</v>
      </c>
      <c r="D25" s="628" t="s">
        <v>347</v>
      </c>
      <c r="AK25" s="62"/>
    </row>
    <row r="26">
      <c r="A26" s="629"/>
      <c r="B26" s="629"/>
      <c r="C26" s="629"/>
      <c r="D26" s="629"/>
      <c r="AK26" s="62"/>
    </row>
    <row r="27">
      <c r="A27" s="630">
        <v>4.0</v>
      </c>
      <c r="B27" s="631" t="s">
        <v>89</v>
      </c>
      <c r="C27" s="631" t="s">
        <v>292</v>
      </c>
      <c r="D27" s="630">
        <v>1.0</v>
      </c>
      <c r="E27" s="632"/>
      <c r="F27" s="632"/>
      <c r="AK27" s="62"/>
    </row>
    <row r="28">
      <c r="A28" s="631">
        <v>4.0</v>
      </c>
      <c r="B28" s="631" t="s">
        <v>119</v>
      </c>
      <c r="C28" s="631" t="s">
        <v>292</v>
      </c>
      <c r="D28" s="631">
        <v>1.0</v>
      </c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41" s="62"/>
      <c r="B41" s="62"/>
      <c r="C41" s="62"/>
      <c r="D41" s="62"/>
      <c r="E41" s="62"/>
      <c r="F41" s="62"/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  <row r="1004">
      <c r="AK1004" s="62"/>
    </row>
  </sheetData>
  <mergeCells count="26">
    <mergeCell ref="M5:R5"/>
    <mergeCell ref="S5:X5"/>
    <mergeCell ref="Y5:AD5"/>
    <mergeCell ref="AE5:AJ5"/>
    <mergeCell ref="AK5:AK6"/>
    <mergeCell ref="A5:A6"/>
    <mergeCell ref="B5:B6"/>
    <mergeCell ref="C5:C6"/>
    <mergeCell ref="D5:D6"/>
    <mergeCell ref="E5:E6"/>
    <mergeCell ref="F5:F6"/>
    <mergeCell ref="G5:L5"/>
    <mergeCell ref="S19:X19"/>
    <mergeCell ref="Y19:AD19"/>
    <mergeCell ref="A25:A26"/>
    <mergeCell ref="B25:B26"/>
    <mergeCell ref="C25:C26"/>
    <mergeCell ref="D25:D26"/>
    <mergeCell ref="G17:L18"/>
    <mergeCell ref="M17:R18"/>
    <mergeCell ref="S17:X18"/>
    <mergeCell ref="Y17:AD18"/>
    <mergeCell ref="AE17:AJ18"/>
    <mergeCell ref="G19:L19"/>
    <mergeCell ref="M19:R19"/>
    <mergeCell ref="AE19:AJ19"/>
  </mergeCells>
  <dataValidations>
    <dataValidation type="list" allowBlank="1" showErrorMessage="1" sqref="B7:B16">
      <formula1>'Турнирная таблица по Алфавиту'!$C$7:$C$70</formula1>
    </dataValidation>
    <dataValidation type="list" allowBlank="1" showErrorMessage="1" sqref="C27:C41">
      <formula1>"Удаление,Желтая карточка,Красная карточка,ППК,Опоздание,Дисциплинарный"</formula1>
    </dataValidation>
    <dataValidation type="list" allowBlank="1" showErrorMessage="1" sqref="G19 M19 S19 Y19 AE19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2:B23">
      <formula1>"Yesterday,Shaok,Ася,Бамблби,Жнец,Пила,Mary Poppins,BonAqua,Грибочки,Самаритянка,-"</formula1>
    </dataValidation>
    <dataValidation type="list" allowBlank="1" showErrorMessage="1" sqref="H7:H16 N7:N16 T7:T16 Z7:Z16 AF7:AF16">
      <formula1>"2,50"</formula1>
    </dataValidation>
    <dataValidation type="list" allowBlank="1" showErrorMessage="1" sqref="J7:J16 P7:P16 V7:V16 AB7:AB16 AH7:AH16">
      <formula1>"У/Победа,У/Проигрыш,ПУ"</formula1>
    </dataValidation>
    <dataValidation type="list" allowBlank="1" showErrorMessage="1" sqref="G7:G16 M7:M16 S7:S16 Y7:Y16 AE7:AE16">
      <formula1>"Мирный,Шериф,Мафия,Дон"</formula1>
    </dataValidation>
    <dataValidation type="list" allowBlank="1" showErrorMessage="1" sqref="B27:B41">
      <formula1>$B$7:$B$16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118</v>
      </c>
      <c r="C6" s="580">
        <f t="shared" ref="C6:C15" si="1">SUM(H6:AK6)</f>
        <v>23.5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13.5</v>
      </c>
      <c r="G6" s="584" t="s">
        <v>269</v>
      </c>
      <c r="H6" s="597">
        <v>2.5</v>
      </c>
      <c r="I6" s="585">
        <v>2.5</v>
      </c>
      <c r="J6" s="586"/>
      <c r="K6" s="590"/>
      <c r="L6" s="588"/>
      <c r="M6" s="584" t="s">
        <v>269</v>
      </c>
      <c r="N6" s="597">
        <v>2.5</v>
      </c>
      <c r="O6" s="585">
        <v>3.0</v>
      </c>
      <c r="P6" s="589"/>
      <c r="Q6" s="590"/>
      <c r="R6" s="588"/>
      <c r="S6" s="586" t="s">
        <v>261</v>
      </c>
      <c r="T6" s="597">
        <v>2.5</v>
      </c>
      <c r="U6" s="585">
        <v>2.5</v>
      </c>
      <c r="V6" s="586"/>
      <c r="W6" s="590"/>
      <c r="X6" s="588"/>
      <c r="Y6" s="586" t="s">
        <v>265</v>
      </c>
      <c r="Z6" s="598"/>
      <c r="AA6" s="591">
        <v>2.75</v>
      </c>
      <c r="AB6" s="586" t="s">
        <v>263</v>
      </c>
      <c r="AC6" s="590"/>
      <c r="AD6" s="588"/>
      <c r="AE6" s="586" t="s">
        <v>271</v>
      </c>
      <c r="AF6" s="597">
        <v>2.5</v>
      </c>
      <c r="AG6" s="585">
        <v>2.75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85</v>
      </c>
      <c r="C7" s="580">
        <f t="shared" si="1"/>
        <v>15.75</v>
      </c>
      <c r="D7" s="594">
        <f t="shared" si="2"/>
        <v>1</v>
      </c>
      <c r="E7" s="595">
        <f t="shared" si="3"/>
        <v>2.5</v>
      </c>
      <c r="F7" s="596">
        <f t="shared" si="4"/>
        <v>13.25</v>
      </c>
      <c r="G7" s="584" t="s">
        <v>261</v>
      </c>
      <c r="H7" s="598"/>
      <c r="I7" s="585">
        <v>1.75</v>
      </c>
      <c r="J7" s="586"/>
      <c r="K7" s="590"/>
      <c r="L7" s="588"/>
      <c r="M7" s="584" t="s">
        <v>261</v>
      </c>
      <c r="N7" s="598"/>
      <c r="O7" s="585">
        <v>3.0</v>
      </c>
      <c r="P7" s="589"/>
      <c r="Q7" s="590"/>
      <c r="R7" s="588"/>
      <c r="S7" s="586" t="s">
        <v>269</v>
      </c>
      <c r="T7" s="598"/>
      <c r="U7" s="585">
        <v>2.5</v>
      </c>
      <c r="V7" s="586"/>
      <c r="W7" s="590"/>
      <c r="X7" s="588"/>
      <c r="Y7" s="586" t="s">
        <v>261</v>
      </c>
      <c r="Z7" s="597">
        <v>2.5</v>
      </c>
      <c r="AA7" s="591">
        <v>3.5</v>
      </c>
      <c r="AB7" s="586"/>
      <c r="AC7" s="585"/>
      <c r="AD7" s="587"/>
      <c r="AE7" s="586" t="s">
        <v>269</v>
      </c>
      <c r="AF7" s="598"/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88</v>
      </c>
      <c r="C8" s="580">
        <f t="shared" si="1"/>
        <v>17.25</v>
      </c>
      <c r="D8" s="594">
        <f t="shared" si="2"/>
        <v>2</v>
      </c>
      <c r="E8" s="595">
        <f t="shared" si="3"/>
        <v>5</v>
      </c>
      <c r="F8" s="596">
        <f t="shared" si="4"/>
        <v>12.25</v>
      </c>
      <c r="G8" s="584" t="s">
        <v>271</v>
      </c>
      <c r="H8" s="590"/>
      <c r="I8" s="585">
        <v>1.75</v>
      </c>
      <c r="J8" s="589"/>
      <c r="K8" s="590"/>
      <c r="L8" s="588"/>
      <c r="M8" s="584" t="s">
        <v>261</v>
      </c>
      <c r="N8" s="590"/>
      <c r="O8" s="585">
        <v>1.5</v>
      </c>
      <c r="P8" s="589"/>
      <c r="Q8" s="590"/>
      <c r="R8" s="588"/>
      <c r="S8" s="586" t="s">
        <v>261</v>
      </c>
      <c r="T8" s="585">
        <v>2.5</v>
      </c>
      <c r="U8" s="585">
        <v>2.25</v>
      </c>
      <c r="V8" s="586" t="s">
        <v>11</v>
      </c>
      <c r="W8" s="590"/>
      <c r="X8" s="587">
        <v>0.5</v>
      </c>
      <c r="Y8" s="586" t="s">
        <v>261</v>
      </c>
      <c r="Z8" s="585">
        <v>2.5</v>
      </c>
      <c r="AA8" s="585">
        <v>4.0</v>
      </c>
      <c r="AB8" s="589"/>
      <c r="AC8" s="590"/>
      <c r="AD8" s="588"/>
      <c r="AE8" s="586" t="s">
        <v>269</v>
      </c>
      <c r="AF8" s="590"/>
      <c r="AG8" s="585">
        <v>2.25</v>
      </c>
      <c r="AH8" s="589"/>
      <c r="AI8" s="590"/>
      <c r="AJ8" s="588"/>
      <c r="AK8" s="588"/>
      <c r="AL8" s="593"/>
    </row>
    <row r="9">
      <c r="A9" s="578">
        <v>4.0</v>
      </c>
      <c r="B9" s="579" t="s">
        <v>89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90"/>
      <c r="I9" s="585">
        <v>2.75</v>
      </c>
      <c r="J9" s="586"/>
      <c r="K9" s="590"/>
      <c r="L9" s="588"/>
      <c r="M9" s="584" t="s">
        <v>271</v>
      </c>
      <c r="N9" s="590"/>
      <c r="O9" s="585">
        <v>2.0</v>
      </c>
      <c r="P9" s="586" t="s">
        <v>11</v>
      </c>
      <c r="Q9" s="590"/>
      <c r="R9" s="587">
        <v>0.5</v>
      </c>
      <c r="S9" s="586" t="s">
        <v>261</v>
      </c>
      <c r="T9" s="585">
        <v>2.5</v>
      </c>
      <c r="U9" s="585">
        <v>2.25</v>
      </c>
      <c r="V9" s="586"/>
      <c r="W9" s="590"/>
      <c r="X9" s="588"/>
      <c r="Y9" s="586" t="s">
        <v>261</v>
      </c>
      <c r="Z9" s="585">
        <v>2.5</v>
      </c>
      <c r="AA9" s="637">
        <v>3.0</v>
      </c>
      <c r="AB9" s="586" t="s">
        <v>260</v>
      </c>
      <c r="AC9" s="590"/>
      <c r="AD9" s="588"/>
      <c r="AE9" s="586" t="s">
        <v>261</v>
      </c>
      <c r="AF9" s="585">
        <v>2.5</v>
      </c>
      <c r="AG9" s="585">
        <v>3.5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81</v>
      </c>
      <c r="C10" s="580">
        <f t="shared" si="1"/>
        <v>22</v>
      </c>
      <c r="D10" s="594">
        <f t="shared" si="2"/>
        <v>3</v>
      </c>
      <c r="E10" s="595">
        <f t="shared" si="3"/>
        <v>7.5</v>
      </c>
      <c r="F10" s="596">
        <f t="shared" si="4"/>
        <v>14.5</v>
      </c>
      <c r="G10" s="584" t="s">
        <v>261</v>
      </c>
      <c r="H10" s="590"/>
      <c r="I10" s="585">
        <v>2.75</v>
      </c>
      <c r="J10" s="586" t="s">
        <v>263</v>
      </c>
      <c r="K10" s="590"/>
      <c r="L10" s="588"/>
      <c r="M10" s="584" t="s">
        <v>265</v>
      </c>
      <c r="N10" s="585">
        <v>2.5</v>
      </c>
      <c r="O10" s="585">
        <v>4.0</v>
      </c>
      <c r="P10" s="586"/>
      <c r="Q10" s="590"/>
      <c r="R10" s="587"/>
      <c r="S10" s="586" t="s">
        <v>261</v>
      </c>
      <c r="T10" s="585">
        <v>2.5</v>
      </c>
      <c r="U10" s="585">
        <v>3.0</v>
      </c>
      <c r="V10" s="586"/>
      <c r="W10" s="590"/>
      <c r="X10" s="588"/>
      <c r="Y10" s="586" t="s">
        <v>269</v>
      </c>
      <c r="Z10" s="590"/>
      <c r="AA10" s="591">
        <v>2.5</v>
      </c>
      <c r="AB10" s="586"/>
      <c r="AC10" s="590"/>
      <c r="AD10" s="587"/>
      <c r="AE10" s="586" t="s">
        <v>261</v>
      </c>
      <c r="AF10" s="585">
        <v>2.5</v>
      </c>
      <c r="AG10" s="585">
        <v>2.25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103</v>
      </c>
      <c r="C11" s="580">
        <f t="shared" si="1"/>
        <v>22.5</v>
      </c>
      <c r="D11" s="594">
        <f t="shared" si="2"/>
        <v>3</v>
      </c>
      <c r="E11" s="595">
        <f t="shared" si="3"/>
        <v>7.5</v>
      </c>
      <c r="F11" s="596">
        <f t="shared" si="4"/>
        <v>15</v>
      </c>
      <c r="G11" s="584" t="s">
        <v>261</v>
      </c>
      <c r="H11" s="590"/>
      <c r="I11" s="585">
        <v>2.0</v>
      </c>
      <c r="J11" s="586" t="s">
        <v>263</v>
      </c>
      <c r="K11" s="590"/>
      <c r="L11" s="588"/>
      <c r="M11" s="584" t="s">
        <v>269</v>
      </c>
      <c r="N11" s="585">
        <v>2.5</v>
      </c>
      <c r="O11" s="585">
        <v>3.25</v>
      </c>
      <c r="P11" s="586"/>
      <c r="Q11" s="585"/>
      <c r="R11" s="587"/>
      <c r="S11" s="586" t="s">
        <v>269</v>
      </c>
      <c r="T11" s="590"/>
      <c r="U11" s="585">
        <v>1.25</v>
      </c>
      <c r="V11" s="586" t="s">
        <v>263</v>
      </c>
      <c r="W11" s="590"/>
      <c r="X11" s="588"/>
      <c r="Y11" s="586" t="s">
        <v>261</v>
      </c>
      <c r="Z11" s="585">
        <v>2.5</v>
      </c>
      <c r="AA11" s="591">
        <v>4.0</v>
      </c>
      <c r="AB11" s="589"/>
      <c r="AC11" s="590"/>
      <c r="AD11" s="588"/>
      <c r="AE11" s="586" t="s">
        <v>261</v>
      </c>
      <c r="AF11" s="585">
        <v>2.5</v>
      </c>
      <c r="AG11" s="585">
        <v>4.5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136</v>
      </c>
      <c r="C12" s="580">
        <f t="shared" si="1"/>
        <v>23.75</v>
      </c>
      <c r="D12" s="594">
        <f t="shared" si="2"/>
        <v>4</v>
      </c>
      <c r="E12" s="595">
        <f t="shared" si="3"/>
        <v>10</v>
      </c>
      <c r="F12" s="596">
        <f t="shared" si="4"/>
        <v>13.75</v>
      </c>
      <c r="G12" s="584" t="s">
        <v>265</v>
      </c>
      <c r="H12" s="585">
        <v>2.5</v>
      </c>
      <c r="I12" s="585">
        <v>2.5</v>
      </c>
      <c r="J12" s="586"/>
      <c r="K12" s="590"/>
      <c r="L12" s="588"/>
      <c r="M12" s="584" t="s">
        <v>261</v>
      </c>
      <c r="N12" s="590"/>
      <c r="O12" s="585">
        <v>2.75</v>
      </c>
      <c r="P12" s="589"/>
      <c r="Q12" s="590"/>
      <c r="R12" s="588"/>
      <c r="S12" s="586" t="s">
        <v>261</v>
      </c>
      <c r="T12" s="585">
        <v>2.5</v>
      </c>
      <c r="U12" s="585">
        <v>3.5</v>
      </c>
      <c r="V12" s="586" t="s">
        <v>260</v>
      </c>
      <c r="W12" s="590"/>
      <c r="X12" s="587"/>
      <c r="Y12" s="586" t="s">
        <v>271</v>
      </c>
      <c r="Z12" s="585">
        <v>2.5</v>
      </c>
      <c r="AA12" s="585">
        <v>2.5</v>
      </c>
      <c r="AB12" s="589"/>
      <c r="AC12" s="590"/>
      <c r="AD12" s="588"/>
      <c r="AE12" s="586" t="s">
        <v>261</v>
      </c>
      <c r="AF12" s="585">
        <v>2.5</v>
      </c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129</v>
      </c>
      <c r="C13" s="580">
        <f t="shared" si="1"/>
        <v>18.5</v>
      </c>
      <c r="D13" s="594">
        <f t="shared" si="2"/>
        <v>2</v>
      </c>
      <c r="E13" s="595">
        <f t="shared" si="3"/>
        <v>5</v>
      </c>
      <c r="F13" s="596">
        <f t="shared" si="4"/>
        <v>13.5</v>
      </c>
      <c r="G13" s="584" t="s">
        <v>269</v>
      </c>
      <c r="H13" s="597">
        <v>2.5</v>
      </c>
      <c r="I13" s="585">
        <v>3.75</v>
      </c>
      <c r="J13" s="586" t="s">
        <v>260</v>
      </c>
      <c r="K13" s="585"/>
      <c r="L13" s="588"/>
      <c r="M13" s="584" t="s">
        <v>261</v>
      </c>
      <c r="N13" s="598"/>
      <c r="O13" s="585">
        <v>2.5</v>
      </c>
      <c r="P13" s="589"/>
      <c r="Q13" s="590"/>
      <c r="R13" s="588"/>
      <c r="S13" s="586" t="s">
        <v>265</v>
      </c>
      <c r="T13" s="598"/>
      <c r="U13" s="585">
        <v>2.0</v>
      </c>
      <c r="V13" s="586"/>
      <c r="W13" s="590"/>
      <c r="X13" s="588"/>
      <c r="Y13" s="586" t="s">
        <v>261</v>
      </c>
      <c r="Z13" s="597">
        <v>2.5</v>
      </c>
      <c r="AA13" s="591">
        <v>2.5</v>
      </c>
      <c r="AB13" s="586" t="s">
        <v>11</v>
      </c>
      <c r="AC13" s="590"/>
      <c r="AD13" s="587">
        <v>0.5</v>
      </c>
      <c r="AE13" s="586" t="s">
        <v>265</v>
      </c>
      <c r="AF13" s="598"/>
      <c r="AG13" s="585">
        <v>2.25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125</v>
      </c>
      <c r="C14" s="580">
        <f t="shared" si="1"/>
        <v>20.75</v>
      </c>
      <c r="D14" s="594">
        <f t="shared" si="2"/>
        <v>3</v>
      </c>
      <c r="E14" s="595">
        <f t="shared" si="3"/>
        <v>7.5</v>
      </c>
      <c r="F14" s="596">
        <f t="shared" si="4"/>
        <v>13.25</v>
      </c>
      <c r="G14" s="584" t="s">
        <v>261</v>
      </c>
      <c r="H14" s="590"/>
      <c r="I14" s="585">
        <v>2.0</v>
      </c>
      <c r="J14" s="586"/>
      <c r="K14" s="585"/>
      <c r="L14" s="587"/>
      <c r="M14" s="584" t="s">
        <v>261</v>
      </c>
      <c r="N14" s="590"/>
      <c r="O14" s="585">
        <v>2.5</v>
      </c>
      <c r="P14" s="586"/>
      <c r="Q14" s="585"/>
      <c r="R14" s="588"/>
      <c r="S14" s="586" t="s">
        <v>271</v>
      </c>
      <c r="T14" s="585">
        <v>2.5</v>
      </c>
      <c r="U14" s="585">
        <v>2.5</v>
      </c>
      <c r="V14" s="589"/>
      <c r="W14" s="590"/>
      <c r="X14" s="588"/>
      <c r="Y14" s="586" t="s">
        <v>261</v>
      </c>
      <c r="Z14" s="585">
        <v>2.5</v>
      </c>
      <c r="AA14" s="591">
        <v>2.25</v>
      </c>
      <c r="AB14" s="586" t="s">
        <v>260</v>
      </c>
      <c r="AC14" s="590"/>
      <c r="AD14" s="588"/>
      <c r="AE14" s="586" t="s">
        <v>261</v>
      </c>
      <c r="AF14" s="585">
        <v>2.5</v>
      </c>
      <c r="AG14" s="585">
        <v>3.5</v>
      </c>
      <c r="AH14" s="586" t="s">
        <v>11</v>
      </c>
      <c r="AI14" s="590"/>
      <c r="AJ14" s="587">
        <v>0.5</v>
      </c>
      <c r="AK14" s="588"/>
      <c r="AL14" s="593"/>
    </row>
    <row r="15">
      <c r="A15" s="601">
        <v>10.0</v>
      </c>
      <c r="B15" s="602" t="s">
        <v>107</v>
      </c>
      <c r="C15" s="580">
        <f t="shared" si="1"/>
        <v>19</v>
      </c>
      <c r="D15" s="603">
        <f t="shared" si="2"/>
        <v>2</v>
      </c>
      <c r="E15" s="604">
        <f t="shared" si="3"/>
        <v>5</v>
      </c>
      <c r="F15" s="605">
        <f t="shared" si="4"/>
        <v>14</v>
      </c>
      <c r="G15" s="606" t="s">
        <v>261</v>
      </c>
      <c r="H15" s="609"/>
      <c r="I15" s="607">
        <v>2.0</v>
      </c>
      <c r="J15" s="611" t="s">
        <v>11</v>
      </c>
      <c r="K15" s="609"/>
      <c r="L15" s="612">
        <v>0.5</v>
      </c>
      <c r="M15" s="606" t="s">
        <v>261</v>
      </c>
      <c r="N15" s="609"/>
      <c r="O15" s="607">
        <v>1.5</v>
      </c>
      <c r="P15" s="608"/>
      <c r="Q15" s="609"/>
      <c r="R15" s="610"/>
      <c r="S15" s="611" t="s">
        <v>261</v>
      </c>
      <c r="T15" s="607">
        <v>2.5</v>
      </c>
      <c r="U15" s="607">
        <v>3.5</v>
      </c>
      <c r="V15" s="611" t="s">
        <v>260</v>
      </c>
      <c r="W15" s="609"/>
      <c r="X15" s="610"/>
      <c r="Y15" s="611" t="s">
        <v>269</v>
      </c>
      <c r="Z15" s="609"/>
      <c r="AA15" s="634">
        <v>2.25</v>
      </c>
      <c r="AB15" s="608"/>
      <c r="AC15" s="609"/>
      <c r="AD15" s="610"/>
      <c r="AE15" s="611" t="s">
        <v>261</v>
      </c>
      <c r="AF15" s="607">
        <v>2.5</v>
      </c>
      <c r="AG15" s="607">
        <v>4.25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257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4.0</v>
      </c>
      <c r="B26" s="631" t="s">
        <v>89</v>
      </c>
      <c r="C26" s="631" t="s">
        <v>16</v>
      </c>
      <c r="D26" s="630">
        <v>-0.5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375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128</v>
      </c>
      <c r="C6" s="580">
        <f t="shared" ref="C6:C15" si="1">SUM(H6:AK6)</f>
        <v>17.5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12.5</v>
      </c>
      <c r="G6" s="584" t="s">
        <v>261</v>
      </c>
      <c r="H6" s="598"/>
      <c r="I6" s="585">
        <v>2.75</v>
      </c>
      <c r="J6" s="586" t="s">
        <v>263</v>
      </c>
      <c r="K6" s="590"/>
      <c r="L6" s="588"/>
      <c r="M6" s="584" t="s">
        <v>269</v>
      </c>
      <c r="N6" s="598"/>
      <c r="O6" s="585">
        <v>2.25</v>
      </c>
      <c r="P6" s="589"/>
      <c r="Q6" s="590"/>
      <c r="R6" s="588"/>
      <c r="S6" s="586" t="s">
        <v>265</v>
      </c>
      <c r="T6" s="598"/>
      <c r="U6" s="585">
        <v>2.0</v>
      </c>
      <c r="V6" s="586" t="s">
        <v>263</v>
      </c>
      <c r="W6" s="590"/>
      <c r="X6" s="588"/>
      <c r="Y6" s="586" t="s">
        <v>261</v>
      </c>
      <c r="Z6" s="597">
        <v>2.5</v>
      </c>
      <c r="AA6" s="591">
        <v>2.5</v>
      </c>
      <c r="AB6" s="589"/>
      <c r="AC6" s="590"/>
      <c r="AD6" s="588"/>
      <c r="AE6" s="586" t="s">
        <v>261</v>
      </c>
      <c r="AF6" s="597">
        <v>2.5</v>
      </c>
      <c r="AG6" s="585">
        <v>3.0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107</v>
      </c>
      <c r="C7" s="580">
        <f t="shared" si="1"/>
        <v>29</v>
      </c>
      <c r="D7" s="594">
        <f t="shared" si="2"/>
        <v>5</v>
      </c>
      <c r="E7" s="595">
        <f t="shared" si="3"/>
        <v>12.5</v>
      </c>
      <c r="F7" s="596">
        <f t="shared" si="4"/>
        <v>16.5</v>
      </c>
      <c r="G7" s="584" t="s">
        <v>269</v>
      </c>
      <c r="H7" s="597">
        <v>2.5</v>
      </c>
      <c r="I7" s="585">
        <v>2.0</v>
      </c>
      <c r="J7" s="586"/>
      <c r="K7" s="590"/>
      <c r="L7" s="588"/>
      <c r="M7" s="584" t="s">
        <v>271</v>
      </c>
      <c r="N7" s="597">
        <v>2.5</v>
      </c>
      <c r="O7" s="585">
        <v>3.5</v>
      </c>
      <c r="P7" s="586" t="s">
        <v>11</v>
      </c>
      <c r="Q7" s="585">
        <v>1.0</v>
      </c>
      <c r="R7" s="587">
        <v>0.5</v>
      </c>
      <c r="S7" s="586" t="s">
        <v>261</v>
      </c>
      <c r="T7" s="597">
        <v>2.5</v>
      </c>
      <c r="U7" s="585">
        <v>3.25</v>
      </c>
      <c r="V7" s="586"/>
      <c r="W7" s="590"/>
      <c r="X7" s="588"/>
      <c r="Y7" s="586" t="s">
        <v>271</v>
      </c>
      <c r="Z7" s="597">
        <v>2.5</v>
      </c>
      <c r="AA7" s="591">
        <v>2.75</v>
      </c>
      <c r="AB7" s="586"/>
      <c r="AC7" s="585"/>
      <c r="AD7" s="587"/>
      <c r="AE7" s="586" t="s">
        <v>261</v>
      </c>
      <c r="AF7" s="597">
        <v>2.5</v>
      </c>
      <c r="AG7" s="585">
        <v>2.5</v>
      </c>
      <c r="AH7" s="586" t="s">
        <v>11</v>
      </c>
      <c r="AI7" s="590"/>
      <c r="AJ7" s="587">
        <v>1.0</v>
      </c>
      <c r="AK7" s="588"/>
      <c r="AL7" s="593"/>
    </row>
    <row r="8">
      <c r="A8" s="578">
        <v>3.0</v>
      </c>
      <c r="B8" s="579" t="s">
        <v>138</v>
      </c>
      <c r="C8" s="580">
        <f t="shared" si="1"/>
        <v>17.75</v>
      </c>
      <c r="D8" s="594">
        <f t="shared" si="2"/>
        <v>2</v>
      </c>
      <c r="E8" s="595">
        <f t="shared" si="3"/>
        <v>5</v>
      </c>
      <c r="F8" s="596">
        <f t="shared" si="4"/>
        <v>12.75</v>
      </c>
      <c r="G8" s="584" t="s">
        <v>261</v>
      </c>
      <c r="H8" s="590"/>
      <c r="I8" s="585">
        <v>2.0</v>
      </c>
      <c r="J8" s="589"/>
      <c r="K8" s="590"/>
      <c r="L8" s="588"/>
      <c r="M8" s="584" t="s">
        <v>261</v>
      </c>
      <c r="N8" s="585">
        <v>2.5</v>
      </c>
      <c r="O8" s="585">
        <v>3.25</v>
      </c>
      <c r="P8" s="589"/>
      <c r="Q8" s="590"/>
      <c r="R8" s="588"/>
      <c r="S8" s="586" t="s">
        <v>269</v>
      </c>
      <c r="T8" s="590"/>
      <c r="U8" s="585">
        <v>2.75</v>
      </c>
      <c r="V8" s="586"/>
      <c r="W8" s="590"/>
      <c r="X8" s="587"/>
      <c r="Y8" s="586" t="s">
        <v>261</v>
      </c>
      <c r="Z8" s="585">
        <v>2.5</v>
      </c>
      <c r="AA8" s="585">
        <v>2.5</v>
      </c>
      <c r="AB8" s="586" t="s">
        <v>260</v>
      </c>
      <c r="AC8" s="590"/>
      <c r="AD8" s="588"/>
      <c r="AE8" s="586" t="s">
        <v>269</v>
      </c>
      <c r="AF8" s="590"/>
      <c r="AG8" s="585">
        <v>2.25</v>
      </c>
      <c r="AH8" s="589"/>
      <c r="AI8" s="590"/>
      <c r="AJ8" s="588"/>
      <c r="AK8" s="588"/>
      <c r="AL8" s="593"/>
    </row>
    <row r="9">
      <c r="A9" s="578">
        <v>4.0</v>
      </c>
      <c r="B9" s="579" t="s">
        <v>88</v>
      </c>
      <c r="C9" s="580">
        <f t="shared" si="1"/>
        <v>19.75</v>
      </c>
      <c r="D9" s="594">
        <f t="shared" si="2"/>
        <v>3</v>
      </c>
      <c r="E9" s="595">
        <f t="shared" si="3"/>
        <v>7.5</v>
      </c>
      <c r="F9" s="596">
        <f t="shared" si="4"/>
        <v>12.25</v>
      </c>
      <c r="G9" s="584" t="s">
        <v>261</v>
      </c>
      <c r="H9" s="590"/>
      <c r="I9" s="585">
        <v>1.75</v>
      </c>
      <c r="J9" s="586" t="s">
        <v>263</v>
      </c>
      <c r="K9" s="590"/>
      <c r="L9" s="588"/>
      <c r="M9" s="584" t="s">
        <v>261</v>
      </c>
      <c r="N9" s="585">
        <v>2.5</v>
      </c>
      <c r="O9" s="585">
        <v>3.75</v>
      </c>
      <c r="P9" s="586"/>
      <c r="Q9" s="590"/>
      <c r="R9" s="588"/>
      <c r="S9" s="586" t="s">
        <v>261</v>
      </c>
      <c r="T9" s="585">
        <v>2.5</v>
      </c>
      <c r="U9" s="585">
        <v>2.0</v>
      </c>
      <c r="V9" s="586" t="s">
        <v>260</v>
      </c>
      <c r="W9" s="590"/>
      <c r="X9" s="588"/>
      <c r="Y9" s="586" t="s">
        <v>261</v>
      </c>
      <c r="Z9" s="585">
        <v>2.5</v>
      </c>
      <c r="AA9" s="591">
        <v>2.75</v>
      </c>
      <c r="AB9" s="586" t="s">
        <v>260</v>
      </c>
      <c r="AC9" s="590"/>
      <c r="AD9" s="588"/>
      <c r="AE9" s="586" t="s">
        <v>269</v>
      </c>
      <c r="AF9" s="590"/>
      <c r="AG9" s="585">
        <v>2.0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97</v>
      </c>
      <c r="C10" s="580">
        <f t="shared" si="1"/>
        <v>26.75</v>
      </c>
      <c r="D10" s="594">
        <f t="shared" si="2"/>
        <v>4</v>
      </c>
      <c r="E10" s="595">
        <f t="shared" si="3"/>
        <v>10</v>
      </c>
      <c r="F10" s="596">
        <f t="shared" si="4"/>
        <v>16.75</v>
      </c>
      <c r="G10" s="584" t="s">
        <v>269</v>
      </c>
      <c r="H10" s="585">
        <v>2.5</v>
      </c>
      <c r="I10" s="600">
        <v>3.25</v>
      </c>
      <c r="J10" s="586" t="s">
        <v>260</v>
      </c>
      <c r="K10" s="590"/>
      <c r="L10" s="588"/>
      <c r="M10" s="584" t="s">
        <v>265</v>
      </c>
      <c r="N10" s="590"/>
      <c r="O10" s="585">
        <v>2.75</v>
      </c>
      <c r="P10" s="586"/>
      <c r="Q10" s="590"/>
      <c r="R10" s="587"/>
      <c r="S10" s="586" t="s">
        <v>261</v>
      </c>
      <c r="T10" s="585">
        <v>2.5</v>
      </c>
      <c r="U10" s="585">
        <v>3.75</v>
      </c>
      <c r="V10" s="586"/>
      <c r="W10" s="590"/>
      <c r="X10" s="588"/>
      <c r="Y10" s="586" t="s">
        <v>261</v>
      </c>
      <c r="Z10" s="585">
        <v>2.5</v>
      </c>
      <c r="AA10" s="591">
        <v>2.75</v>
      </c>
      <c r="AB10" s="586"/>
      <c r="AC10" s="590"/>
      <c r="AD10" s="587"/>
      <c r="AE10" s="586" t="s">
        <v>261</v>
      </c>
      <c r="AF10" s="585">
        <v>2.5</v>
      </c>
      <c r="AG10" s="585">
        <v>4.25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96</v>
      </c>
      <c r="C11" s="580">
        <f t="shared" si="1"/>
        <v>22.5</v>
      </c>
      <c r="D11" s="594">
        <f t="shared" si="2"/>
        <v>4</v>
      </c>
      <c r="E11" s="595">
        <f t="shared" si="3"/>
        <v>10</v>
      </c>
      <c r="F11" s="596">
        <f t="shared" si="4"/>
        <v>12.5</v>
      </c>
      <c r="G11" s="584" t="s">
        <v>261</v>
      </c>
      <c r="H11" s="590"/>
      <c r="I11" s="585">
        <v>1.75</v>
      </c>
      <c r="J11" s="586"/>
      <c r="K11" s="590"/>
      <c r="L11" s="588"/>
      <c r="M11" s="584" t="s">
        <v>261</v>
      </c>
      <c r="N11" s="585">
        <v>2.5</v>
      </c>
      <c r="O11" s="585">
        <v>3.5</v>
      </c>
      <c r="P11" s="586"/>
      <c r="Q11" s="585"/>
      <c r="R11" s="587"/>
      <c r="S11" s="586" t="s">
        <v>261</v>
      </c>
      <c r="T11" s="585">
        <v>2.5</v>
      </c>
      <c r="U11" s="585">
        <v>2.0</v>
      </c>
      <c r="V11" s="589"/>
      <c r="W11" s="590"/>
      <c r="X11" s="588"/>
      <c r="Y11" s="586" t="s">
        <v>261</v>
      </c>
      <c r="Z11" s="585">
        <v>2.5</v>
      </c>
      <c r="AA11" s="591">
        <v>2.75</v>
      </c>
      <c r="AB11" s="586" t="s">
        <v>260</v>
      </c>
      <c r="AC11" s="590"/>
      <c r="AD11" s="588"/>
      <c r="AE11" s="586" t="s">
        <v>261</v>
      </c>
      <c r="AF11" s="585">
        <v>2.5</v>
      </c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87</v>
      </c>
      <c r="C12" s="580">
        <f t="shared" si="1"/>
        <v>23</v>
      </c>
      <c r="D12" s="594">
        <f t="shared" si="2"/>
        <v>3</v>
      </c>
      <c r="E12" s="595">
        <f t="shared" si="3"/>
        <v>7.5</v>
      </c>
      <c r="F12" s="596">
        <f t="shared" si="4"/>
        <v>15.5</v>
      </c>
      <c r="G12" s="584" t="s">
        <v>261</v>
      </c>
      <c r="H12" s="590"/>
      <c r="I12" s="585">
        <v>2.5</v>
      </c>
      <c r="J12" s="586" t="s">
        <v>263</v>
      </c>
      <c r="K12" s="590"/>
      <c r="L12" s="588"/>
      <c r="M12" s="584" t="s">
        <v>261</v>
      </c>
      <c r="N12" s="585">
        <v>2.5</v>
      </c>
      <c r="O12" s="585">
        <v>4.5</v>
      </c>
      <c r="P12" s="589"/>
      <c r="Q12" s="590"/>
      <c r="R12" s="588"/>
      <c r="S12" s="586" t="s">
        <v>261</v>
      </c>
      <c r="T12" s="585">
        <v>2.5</v>
      </c>
      <c r="U12" s="585">
        <v>2.0</v>
      </c>
      <c r="V12" s="586" t="s">
        <v>11</v>
      </c>
      <c r="W12" s="590"/>
      <c r="X12" s="587">
        <v>0.5</v>
      </c>
      <c r="Y12" s="586" t="s">
        <v>269</v>
      </c>
      <c r="Z12" s="590"/>
      <c r="AA12" s="585">
        <v>1.75</v>
      </c>
      <c r="AB12" s="586" t="s">
        <v>263</v>
      </c>
      <c r="AC12" s="590"/>
      <c r="AD12" s="588"/>
      <c r="AE12" s="586" t="s">
        <v>271</v>
      </c>
      <c r="AF12" s="585">
        <v>2.5</v>
      </c>
      <c r="AG12" s="585">
        <v>4.25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106</v>
      </c>
      <c r="C13" s="580">
        <f t="shared" si="1"/>
        <v>18.25</v>
      </c>
      <c r="D13" s="594">
        <f t="shared" si="2"/>
        <v>2</v>
      </c>
      <c r="E13" s="595">
        <f t="shared" si="3"/>
        <v>5</v>
      </c>
      <c r="F13" s="596">
        <f t="shared" si="4"/>
        <v>13.25</v>
      </c>
      <c r="G13" s="584" t="s">
        <v>261</v>
      </c>
      <c r="H13" s="598"/>
      <c r="I13" s="585">
        <v>2.5</v>
      </c>
      <c r="J13" s="586" t="s">
        <v>11</v>
      </c>
      <c r="K13" s="585"/>
      <c r="L13" s="587">
        <v>0.5</v>
      </c>
      <c r="M13" s="584" t="s">
        <v>269</v>
      </c>
      <c r="N13" s="598"/>
      <c r="O13" s="585">
        <v>1.75</v>
      </c>
      <c r="P13" s="589"/>
      <c r="Q13" s="590"/>
      <c r="R13" s="588"/>
      <c r="S13" s="586" t="s">
        <v>271</v>
      </c>
      <c r="T13" s="597">
        <v>2.5</v>
      </c>
      <c r="U13" s="585">
        <v>4.5</v>
      </c>
      <c r="V13" s="586"/>
      <c r="W13" s="590"/>
      <c r="X13" s="588"/>
      <c r="Y13" s="586" t="s">
        <v>269</v>
      </c>
      <c r="Z13" s="598"/>
      <c r="AA13" s="591">
        <v>1.25</v>
      </c>
      <c r="AB13" s="589"/>
      <c r="AC13" s="590"/>
      <c r="AD13" s="588"/>
      <c r="AE13" s="586" t="s">
        <v>261</v>
      </c>
      <c r="AF13" s="597">
        <v>2.5</v>
      </c>
      <c r="AG13" s="585">
        <v>2.75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95</v>
      </c>
      <c r="C14" s="580">
        <f t="shared" si="1"/>
        <v>14</v>
      </c>
      <c r="D14" s="594">
        <f t="shared" si="2"/>
        <v>1</v>
      </c>
      <c r="E14" s="595">
        <f t="shared" si="3"/>
        <v>2.5</v>
      </c>
      <c r="F14" s="596">
        <f t="shared" si="4"/>
        <v>11.5</v>
      </c>
      <c r="G14" s="584" t="s">
        <v>271</v>
      </c>
      <c r="H14" s="590"/>
      <c r="I14" s="585">
        <v>2.5</v>
      </c>
      <c r="J14" s="586"/>
      <c r="K14" s="585"/>
      <c r="L14" s="587"/>
      <c r="M14" s="584" t="s">
        <v>261</v>
      </c>
      <c r="N14" s="585">
        <v>2.5</v>
      </c>
      <c r="O14" s="585">
        <v>2.0</v>
      </c>
      <c r="P14" s="586"/>
      <c r="Q14" s="585"/>
      <c r="R14" s="588"/>
      <c r="S14" s="586" t="s">
        <v>269</v>
      </c>
      <c r="T14" s="590"/>
      <c r="U14" s="585">
        <v>2.5</v>
      </c>
      <c r="V14" s="589"/>
      <c r="W14" s="590"/>
      <c r="X14" s="588"/>
      <c r="Y14" s="586" t="s">
        <v>265</v>
      </c>
      <c r="Z14" s="590"/>
      <c r="AA14" s="591">
        <v>2.0</v>
      </c>
      <c r="AB14" s="589"/>
      <c r="AC14" s="590"/>
      <c r="AD14" s="588"/>
      <c r="AE14" s="586" t="s">
        <v>265</v>
      </c>
      <c r="AF14" s="590"/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81</v>
      </c>
      <c r="C15" s="580">
        <f t="shared" si="1"/>
        <v>25</v>
      </c>
      <c r="D15" s="603">
        <f t="shared" si="2"/>
        <v>5</v>
      </c>
      <c r="E15" s="604">
        <f t="shared" si="3"/>
        <v>12.5</v>
      </c>
      <c r="F15" s="605">
        <f t="shared" si="4"/>
        <v>12.5</v>
      </c>
      <c r="G15" s="606" t="s">
        <v>265</v>
      </c>
      <c r="H15" s="607">
        <v>2.5</v>
      </c>
      <c r="I15" s="607">
        <v>2.5</v>
      </c>
      <c r="J15" s="608"/>
      <c r="K15" s="609"/>
      <c r="L15" s="610"/>
      <c r="M15" s="606" t="s">
        <v>261</v>
      </c>
      <c r="N15" s="607">
        <v>2.5</v>
      </c>
      <c r="O15" s="607">
        <v>2.0</v>
      </c>
      <c r="P15" s="608"/>
      <c r="Q15" s="609"/>
      <c r="R15" s="610"/>
      <c r="S15" s="611" t="s">
        <v>261</v>
      </c>
      <c r="T15" s="607">
        <v>2.5</v>
      </c>
      <c r="U15" s="607">
        <v>3.0</v>
      </c>
      <c r="V15" s="611" t="s">
        <v>260</v>
      </c>
      <c r="W15" s="609"/>
      <c r="X15" s="610"/>
      <c r="Y15" s="611" t="s">
        <v>261</v>
      </c>
      <c r="Z15" s="607">
        <v>2.5</v>
      </c>
      <c r="AA15" s="634">
        <v>2.25</v>
      </c>
      <c r="AB15" s="608"/>
      <c r="AC15" s="609"/>
      <c r="AD15" s="610"/>
      <c r="AE15" s="611" t="s">
        <v>261</v>
      </c>
      <c r="AF15" s="607">
        <v>2.5</v>
      </c>
      <c r="AG15" s="607">
        <v>2.75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264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97</v>
      </c>
      <c r="C26" s="631" t="s">
        <v>16</v>
      </c>
      <c r="D26" s="630">
        <v>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88</v>
      </c>
      <c r="C6" s="580">
        <f t="shared" ref="C6:C15" si="1">SUM(H6:AK6)</f>
        <v>27.75</v>
      </c>
      <c r="D6" s="581">
        <f t="shared" ref="D6:D15" si="2">E6/2.5</f>
        <v>5</v>
      </c>
      <c r="E6" s="582">
        <f t="shared" ref="E6:E15" si="3">SUM(H6+N6+T6+Z6+AF6+AL6+AR6)</f>
        <v>12.5</v>
      </c>
      <c r="F6" s="583">
        <f t="shared" ref="F6:F15" si="4">C6-E6</f>
        <v>15.25</v>
      </c>
      <c r="G6" s="584" t="s">
        <v>269</v>
      </c>
      <c r="H6" s="585">
        <v>2.5</v>
      </c>
      <c r="I6" s="585">
        <v>2.0</v>
      </c>
      <c r="J6" s="586"/>
      <c r="K6" s="590"/>
      <c r="L6" s="588"/>
      <c r="M6" s="584" t="s">
        <v>269</v>
      </c>
      <c r="N6" s="585">
        <v>2.5</v>
      </c>
      <c r="O6" s="585">
        <v>2.75</v>
      </c>
      <c r="P6" s="586"/>
      <c r="Q6" s="585"/>
      <c r="R6" s="587"/>
      <c r="S6" s="586" t="s">
        <v>261</v>
      </c>
      <c r="T6" s="585">
        <v>2.5</v>
      </c>
      <c r="U6" s="585">
        <v>4.5</v>
      </c>
      <c r="V6" s="586" t="s">
        <v>260</v>
      </c>
      <c r="W6" s="590"/>
      <c r="X6" s="588"/>
      <c r="Y6" s="586" t="s">
        <v>265</v>
      </c>
      <c r="Z6" s="585">
        <v>2.5</v>
      </c>
      <c r="AA6" s="591">
        <v>2.5</v>
      </c>
      <c r="AB6" s="589"/>
      <c r="AC6" s="590"/>
      <c r="AD6" s="588"/>
      <c r="AE6" s="586" t="s">
        <v>265</v>
      </c>
      <c r="AF6" s="585">
        <v>2.5</v>
      </c>
      <c r="AG6" s="585">
        <v>3.5</v>
      </c>
      <c r="AH6" s="586" t="s">
        <v>260</v>
      </c>
      <c r="AI6" s="590"/>
      <c r="AJ6" s="588"/>
      <c r="AK6" s="592"/>
      <c r="AL6" s="593"/>
    </row>
    <row r="7" ht="23.25" customHeight="1">
      <c r="A7" s="578">
        <v>2.0</v>
      </c>
      <c r="B7" s="579" t="s">
        <v>119</v>
      </c>
      <c r="C7" s="580">
        <f t="shared" si="1"/>
        <v>21</v>
      </c>
      <c r="D7" s="594">
        <f t="shared" si="2"/>
        <v>4</v>
      </c>
      <c r="E7" s="595">
        <f t="shared" si="3"/>
        <v>10</v>
      </c>
      <c r="F7" s="596">
        <f t="shared" si="4"/>
        <v>11</v>
      </c>
      <c r="G7" s="584" t="s">
        <v>261</v>
      </c>
      <c r="H7" s="590"/>
      <c r="I7" s="585">
        <v>2.0</v>
      </c>
      <c r="J7" s="589"/>
      <c r="K7" s="590"/>
      <c r="L7" s="588"/>
      <c r="M7" s="584" t="s">
        <v>269</v>
      </c>
      <c r="N7" s="585">
        <v>2.5</v>
      </c>
      <c r="O7" s="585">
        <v>3.25</v>
      </c>
      <c r="P7" s="586"/>
      <c r="Q7" s="590"/>
      <c r="R7" s="587"/>
      <c r="S7" s="586" t="s">
        <v>261</v>
      </c>
      <c r="T7" s="585">
        <v>2.5</v>
      </c>
      <c r="U7" s="585">
        <v>3.0</v>
      </c>
      <c r="V7" s="586"/>
      <c r="W7" s="590"/>
      <c r="X7" s="588"/>
      <c r="Y7" s="586" t="s">
        <v>269</v>
      </c>
      <c r="Z7" s="585">
        <v>2.5</v>
      </c>
      <c r="AA7" s="637">
        <v>0.5</v>
      </c>
      <c r="AB7" s="586"/>
      <c r="AC7" s="590"/>
      <c r="AD7" s="587"/>
      <c r="AE7" s="586" t="s">
        <v>269</v>
      </c>
      <c r="AF7" s="585">
        <v>2.5</v>
      </c>
      <c r="AG7" s="585">
        <v>2.25</v>
      </c>
      <c r="AH7" s="589"/>
      <c r="AI7" s="590"/>
      <c r="AJ7" s="588"/>
      <c r="AK7" s="588"/>
      <c r="AL7" s="593"/>
    </row>
    <row r="8">
      <c r="A8" s="578">
        <v>3.0</v>
      </c>
      <c r="B8" s="579" t="s">
        <v>118</v>
      </c>
      <c r="C8" s="580">
        <f t="shared" si="1"/>
        <v>19.25</v>
      </c>
      <c r="D8" s="594">
        <f t="shared" si="2"/>
        <v>2</v>
      </c>
      <c r="E8" s="595">
        <f t="shared" si="3"/>
        <v>5</v>
      </c>
      <c r="F8" s="596">
        <f t="shared" si="4"/>
        <v>14.25</v>
      </c>
      <c r="G8" s="584" t="s">
        <v>265</v>
      </c>
      <c r="H8" s="597">
        <v>2.5</v>
      </c>
      <c r="I8" s="585">
        <v>1.75</v>
      </c>
      <c r="J8" s="586"/>
      <c r="K8" s="590"/>
      <c r="L8" s="588"/>
      <c r="M8" s="584" t="s">
        <v>261</v>
      </c>
      <c r="N8" s="598"/>
      <c r="O8" s="585">
        <v>3.25</v>
      </c>
      <c r="P8" s="589"/>
      <c r="Q8" s="590"/>
      <c r="R8" s="588"/>
      <c r="S8" s="586" t="s">
        <v>271</v>
      </c>
      <c r="T8" s="597">
        <v>2.5</v>
      </c>
      <c r="U8" s="585">
        <v>4.0</v>
      </c>
      <c r="V8" s="586"/>
      <c r="W8" s="590"/>
      <c r="X8" s="588"/>
      <c r="Y8" s="586" t="s">
        <v>261</v>
      </c>
      <c r="Z8" s="598"/>
      <c r="AA8" s="591">
        <v>1.75</v>
      </c>
      <c r="AB8" s="586" t="s">
        <v>263</v>
      </c>
      <c r="AC8" s="590"/>
      <c r="AD8" s="588"/>
      <c r="AE8" s="586" t="s">
        <v>261</v>
      </c>
      <c r="AF8" s="598"/>
      <c r="AG8" s="585">
        <v>3.5</v>
      </c>
      <c r="AH8" s="586"/>
      <c r="AI8" s="590"/>
      <c r="AJ8" s="587"/>
      <c r="AK8" s="588"/>
      <c r="AL8" s="593"/>
    </row>
    <row r="9">
      <c r="A9" s="578">
        <v>4.0</v>
      </c>
      <c r="B9" s="579" t="s">
        <v>134</v>
      </c>
      <c r="C9" s="580">
        <f t="shared" si="1"/>
        <v>18.75</v>
      </c>
      <c r="D9" s="594">
        <f t="shared" si="2"/>
        <v>2</v>
      </c>
      <c r="E9" s="595">
        <f t="shared" si="3"/>
        <v>5</v>
      </c>
      <c r="F9" s="596">
        <f t="shared" si="4"/>
        <v>13.75</v>
      </c>
      <c r="G9" s="584" t="s">
        <v>269</v>
      </c>
      <c r="H9" s="585">
        <v>2.5</v>
      </c>
      <c r="I9" s="585">
        <v>4.0</v>
      </c>
      <c r="J9" s="586" t="s">
        <v>260</v>
      </c>
      <c r="K9" s="590"/>
      <c r="L9" s="588"/>
      <c r="M9" s="584" t="s">
        <v>261</v>
      </c>
      <c r="N9" s="590"/>
      <c r="O9" s="585">
        <v>2.25</v>
      </c>
      <c r="P9" s="589"/>
      <c r="Q9" s="590"/>
      <c r="R9" s="588"/>
      <c r="S9" s="586" t="s">
        <v>261</v>
      </c>
      <c r="T9" s="585">
        <v>2.5</v>
      </c>
      <c r="U9" s="585">
        <v>3.0</v>
      </c>
      <c r="V9" s="586" t="s">
        <v>260</v>
      </c>
      <c r="W9" s="590"/>
      <c r="X9" s="587"/>
      <c r="Y9" s="586" t="s">
        <v>261</v>
      </c>
      <c r="Z9" s="590"/>
      <c r="AA9" s="585">
        <v>2.0</v>
      </c>
      <c r="AB9" s="589"/>
      <c r="AC9" s="590"/>
      <c r="AD9" s="588"/>
      <c r="AE9" s="586" t="s">
        <v>271</v>
      </c>
      <c r="AF9" s="590"/>
      <c r="AG9" s="585">
        <v>2.5</v>
      </c>
      <c r="AH9" s="589"/>
      <c r="AI9" s="590"/>
      <c r="AJ9" s="588"/>
      <c r="AK9" s="588"/>
      <c r="AL9" s="593"/>
    </row>
    <row r="10">
      <c r="A10" s="578">
        <v>5.0</v>
      </c>
      <c r="B10" s="579" t="s">
        <v>87</v>
      </c>
      <c r="C10" s="580">
        <f t="shared" si="1"/>
        <v>18.25</v>
      </c>
      <c r="D10" s="594">
        <f t="shared" si="2"/>
        <v>1</v>
      </c>
      <c r="E10" s="595">
        <f t="shared" si="3"/>
        <v>2.5</v>
      </c>
      <c r="F10" s="596">
        <f t="shared" si="4"/>
        <v>15.75</v>
      </c>
      <c r="G10" s="584" t="s">
        <v>261</v>
      </c>
      <c r="H10" s="598"/>
      <c r="I10" s="585">
        <v>2.0</v>
      </c>
      <c r="J10" s="586"/>
      <c r="K10" s="585"/>
      <c r="L10" s="588"/>
      <c r="M10" s="584" t="s">
        <v>261</v>
      </c>
      <c r="N10" s="598"/>
      <c r="O10" s="585">
        <v>2.5</v>
      </c>
      <c r="P10" s="586" t="s">
        <v>11</v>
      </c>
      <c r="Q10" s="590"/>
      <c r="R10" s="587">
        <v>0.5</v>
      </c>
      <c r="S10" s="586" t="s">
        <v>261</v>
      </c>
      <c r="T10" s="597">
        <v>2.5</v>
      </c>
      <c r="U10" s="585">
        <v>2.75</v>
      </c>
      <c r="V10" s="586"/>
      <c r="W10" s="590"/>
      <c r="X10" s="588"/>
      <c r="Y10" s="586" t="s">
        <v>261</v>
      </c>
      <c r="Z10" s="598"/>
      <c r="AA10" s="591">
        <v>2.75</v>
      </c>
      <c r="AB10" s="586" t="s">
        <v>11</v>
      </c>
      <c r="AC10" s="590"/>
      <c r="AD10" s="587">
        <v>1.0</v>
      </c>
      <c r="AE10" s="586" t="s">
        <v>261</v>
      </c>
      <c r="AF10" s="598"/>
      <c r="AG10" s="585">
        <v>4.25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126</v>
      </c>
      <c r="C11" s="580">
        <f t="shared" si="1"/>
        <v>18</v>
      </c>
      <c r="D11" s="594">
        <f t="shared" si="2"/>
        <v>2</v>
      </c>
      <c r="E11" s="595">
        <f t="shared" si="3"/>
        <v>5</v>
      </c>
      <c r="F11" s="596">
        <f t="shared" si="4"/>
        <v>13</v>
      </c>
      <c r="G11" s="584" t="s">
        <v>271</v>
      </c>
      <c r="H11" s="590"/>
      <c r="I11" s="585">
        <v>2.75</v>
      </c>
      <c r="J11" s="586"/>
      <c r="K11" s="585"/>
      <c r="L11" s="587"/>
      <c r="M11" s="584" t="s">
        <v>271</v>
      </c>
      <c r="N11" s="590"/>
      <c r="O11" s="585">
        <v>2.0</v>
      </c>
      <c r="P11" s="586"/>
      <c r="Q11" s="585"/>
      <c r="R11" s="588"/>
      <c r="S11" s="586" t="s">
        <v>269</v>
      </c>
      <c r="T11" s="590"/>
      <c r="U11" s="585">
        <v>2.0</v>
      </c>
      <c r="V11" s="586" t="s">
        <v>263</v>
      </c>
      <c r="W11" s="590"/>
      <c r="X11" s="588"/>
      <c r="Y11" s="586" t="s">
        <v>269</v>
      </c>
      <c r="Z11" s="585">
        <v>2.5</v>
      </c>
      <c r="AA11" s="591">
        <v>4.0</v>
      </c>
      <c r="AB11" s="586" t="s">
        <v>260</v>
      </c>
      <c r="AC11" s="590"/>
      <c r="AD11" s="588"/>
      <c r="AE11" s="586" t="s">
        <v>269</v>
      </c>
      <c r="AF11" s="585">
        <v>2.5</v>
      </c>
      <c r="AG11" s="600">
        <v>2.25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107</v>
      </c>
      <c r="C12" s="580">
        <f t="shared" si="1"/>
        <v>16.25</v>
      </c>
      <c r="D12" s="594">
        <f t="shared" si="2"/>
        <v>1</v>
      </c>
      <c r="E12" s="595">
        <f t="shared" si="3"/>
        <v>2.5</v>
      </c>
      <c r="F12" s="596">
        <f t="shared" si="4"/>
        <v>13.75</v>
      </c>
      <c r="G12" s="584" t="s">
        <v>261</v>
      </c>
      <c r="H12" s="590"/>
      <c r="I12" s="585">
        <v>3.0</v>
      </c>
      <c r="J12" s="586"/>
      <c r="K12" s="590"/>
      <c r="L12" s="588"/>
      <c r="M12" s="584" t="s">
        <v>265</v>
      </c>
      <c r="N12" s="585">
        <v>2.5</v>
      </c>
      <c r="O12" s="585">
        <v>3.75</v>
      </c>
      <c r="P12" s="586"/>
      <c r="Q12" s="590"/>
      <c r="R12" s="588"/>
      <c r="S12" s="586" t="s">
        <v>265</v>
      </c>
      <c r="T12" s="590"/>
      <c r="U12" s="585">
        <v>2.25</v>
      </c>
      <c r="V12" s="586"/>
      <c r="W12" s="590"/>
      <c r="X12" s="588"/>
      <c r="Y12" s="586" t="s">
        <v>261</v>
      </c>
      <c r="Z12" s="590"/>
      <c r="AA12" s="591">
        <v>2.25</v>
      </c>
      <c r="AB12" s="589"/>
      <c r="AC12" s="590"/>
      <c r="AD12" s="588"/>
      <c r="AE12" s="586" t="s">
        <v>261</v>
      </c>
      <c r="AF12" s="590"/>
      <c r="AG12" s="585">
        <v>2.0</v>
      </c>
      <c r="AH12" s="586" t="s">
        <v>11</v>
      </c>
      <c r="AI12" s="590"/>
      <c r="AJ12" s="587">
        <v>0.5</v>
      </c>
      <c r="AK12" s="599"/>
      <c r="AL12" s="593"/>
    </row>
    <row r="13">
      <c r="A13" s="578">
        <v>8.0</v>
      </c>
      <c r="B13" s="579" t="s">
        <v>116</v>
      </c>
      <c r="C13" s="580">
        <f t="shared" si="1"/>
        <v>15.5</v>
      </c>
      <c r="D13" s="594">
        <f t="shared" si="2"/>
        <v>1</v>
      </c>
      <c r="E13" s="595">
        <f t="shared" si="3"/>
        <v>2.5</v>
      </c>
      <c r="F13" s="596">
        <f t="shared" si="4"/>
        <v>13</v>
      </c>
      <c r="G13" s="584" t="s">
        <v>261</v>
      </c>
      <c r="H13" s="590"/>
      <c r="I13" s="585">
        <v>2.0</v>
      </c>
      <c r="J13" s="586" t="s">
        <v>263</v>
      </c>
      <c r="K13" s="590"/>
      <c r="L13" s="588"/>
      <c r="M13" s="584" t="s">
        <v>261</v>
      </c>
      <c r="N13" s="590"/>
      <c r="O13" s="585">
        <v>3.75</v>
      </c>
      <c r="P13" s="589"/>
      <c r="Q13" s="590"/>
      <c r="R13" s="588"/>
      <c r="S13" s="586" t="s">
        <v>261</v>
      </c>
      <c r="T13" s="585">
        <v>2.5</v>
      </c>
      <c r="U13" s="585">
        <v>2.75</v>
      </c>
      <c r="V13" s="586"/>
      <c r="W13" s="590"/>
      <c r="X13" s="588"/>
      <c r="Y13" s="586" t="s">
        <v>261</v>
      </c>
      <c r="Z13" s="590"/>
      <c r="AA13" s="591">
        <v>2.0</v>
      </c>
      <c r="AB13" s="586" t="s">
        <v>263</v>
      </c>
      <c r="AC13" s="590"/>
      <c r="AD13" s="588"/>
      <c r="AE13" s="586" t="s">
        <v>261</v>
      </c>
      <c r="AF13" s="590"/>
      <c r="AG13" s="585">
        <v>2.5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86</v>
      </c>
      <c r="C14" s="580">
        <f t="shared" si="1"/>
        <v>12</v>
      </c>
      <c r="D14" s="594">
        <f t="shared" si="2"/>
        <v>1</v>
      </c>
      <c r="E14" s="595">
        <f t="shared" si="3"/>
        <v>2.5</v>
      </c>
      <c r="F14" s="596">
        <f t="shared" si="4"/>
        <v>9.5</v>
      </c>
      <c r="G14" s="584" t="s">
        <v>261</v>
      </c>
      <c r="H14" s="590"/>
      <c r="I14" s="585">
        <v>1.5</v>
      </c>
      <c r="J14" s="586"/>
      <c r="K14" s="590"/>
      <c r="L14" s="588"/>
      <c r="M14" s="584" t="s">
        <v>261</v>
      </c>
      <c r="N14" s="590"/>
      <c r="O14" s="585">
        <v>2.25</v>
      </c>
      <c r="P14" s="589"/>
      <c r="Q14" s="590"/>
      <c r="R14" s="588"/>
      <c r="S14" s="586" t="s">
        <v>261</v>
      </c>
      <c r="T14" s="585">
        <v>2.5</v>
      </c>
      <c r="U14" s="585">
        <v>2.5</v>
      </c>
      <c r="V14" s="586"/>
      <c r="W14" s="590"/>
      <c r="X14" s="587"/>
      <c r="Y14" s="586" t="s">
        <v>271</v>
      </c>
      <c r="Z14" s="590"/>
      <c r="AA14" s="585">
        <v>2.0</v>
      </c>
      <c r="AB14" s="589"/>
      <c r="AC14" s="590"/>
      <c r="AD14" s="588"/>
      <c r="AE14" s="586" t="s">
        <v>261</v>
      </c>
      <c r="AF14" s="590"/>
      <c r="AG14" s="585">
        <v>1.25</v>
      </c>
      <c r="AH14" s="586" t="s">
        <v>263</v>
      </c>
      <c r="AI14" s="590"/>
      <c r="AJ14" s="588"/>
      <c r="AK14" s="588"/>
      <c r="AL14" s="593"/>
    </row>
    <row r="15">
      <c r="A15" s="601">
        <v>10.0</v>
      </c>
      <c r="B15" s="602" t="s">
        <v>169</v>
      </c>
      <c r="C15" s="580">
        <f t="shared" si="1"/>
        <v>11</v>
      </c>
      <c r="D15" s="603">
        <f t="shared" si="2"/>
        <v>0</v>
      </c>
      <c r="E15" s="604">
        <f t="shared" si="3"/>
        <v>0</v>
      </c>
      <c r="F15" s="605">
        <f t="shared" si="4"/>
        <v>11</v>
      </c>
      <c r="G15" s="606" t="s">
        <v>261</v>
      </c>
      <c r="H15" s="635"/>
      <c r="I15" s="607">
        <v>2.0</v>
      </c>
      <c r="J15" s="611" t="s">
        <v>263</v>
      </c>
      <c r="K15" s="609"/>
      <c r="L15" s="610"/>
      <c r="M15" s="606" t="s">
        <v>261</v>
      </c>
      <c r="N15" s="635"/>
      <c r="O15" s="607">
        <v>1.75</v>
      </c>
      <c r="P15" s="608"/>
      <c r="Q15" s="609"/>
      <c r="R15" s="610"/>
      <c r="S15" s="611" t="s">
        <v>269</v>
      </c>
      <c r="T15" s="635"/>
      <c r="U15" s="607">
        <v>2.25</v>
      </c>
      <c r="V15" s="611"/>
      <c r="W15" s="609"/>
      <c r="X15" s="610"/>
      <c r="Y15" s="611" t="s">
        <v>261</v>
      </c>
      <c r="Z15" s="635"/>
      <c r="AA15" s="634">
        <v>1.75</v>
      </c>
      <c r="AB15" s="611"/>
      <c r="AC15" s="607"/>
      <c r="AD15" s="612"/>
      <c r="AE15" s="611" t="s">
        <v>261</v>
      </c>
      <c r="AF15" s="635"/>
      <c r="AG15" s="613">
        <v>3.25</v>
      </c>
      <c r="AH15" s="611" t="s">
        <v>263</v>
      </c>
      <c r="AI15" s="609"/>
      <c r="AJ15" s="612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4.0</v>
      </c>
      <c r="B26" s="631" t="s">
        <v>119</v>
      </c>
      <c r="C26" s="631" t="s">
        <v>292</v>
      </c>
      <c r="D26" s="630">
        <v>1.0</v>
      </c>
      <c r="E26" s="632"/>
      <c r="F26" s="632"/>
      <c r="AK26" s="62"/>
    </row>
    <row r="27">
      <c r="A27" s="631">
        <v>5.0</v>
      </c>
      <c r="B27" s="631" t="s">
        <v>169</v>
      </c>
      <c r="C27" s="631" t="s">
        <v>16</v>
      </c>
      <c r="D27" s="631">
        <v>0.5</v>
      </c>
      <c r="E27" s="62"/>
      <c r="F27" s="62"/>
      <c r="AK27" s="62"/>
    </row>
    <row r="28">
      <c r="A28" s="631">
        <v>5.0</v>
      </c>
      <c r="B28" s="631" t="s">
        <v>126</v>
      </c>
      <c r="C28" s="631" t="s">
        <v>16</v>
      </c>
      <c r="D28" s="631">
        <v>0.5</v>
      </c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377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153</v>
      </c>
      <c r="C6" s="580">
        <f t="shared" ref="C6:C15" si="1">SUM(H6:AK6)</f>
        <v>13.75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11.25</v>
      </c>
      <c r="G6" s="584" t="s">
        <v>261</v>
      </c>
      <c r="H6" s="598"/>
      <c r="I6" s="585">
        <v>3.0</v>
      </c>
      <c r="J6" s="586"/>
      <c r="K6" s="590"/>
      <c r="L6" s="588"/>
      <c r="M6" s="584" t="s">
        <v>265</v>
      </c>
      <c r="N6" s="597">
        <v>2.5</v>
      </c>
      <c r="O6" s="585">
        <v>1.75</v>
      </c>
      <c r="P6" s="589"/>
      <c r="Q6" s="590"/>
      <c r="R6" s="588"/>
      <c r="S6" s="586" t="s">
        <v>261</v>
      </c>
      <c r="T6" s="598"/>
      <c r="U6" s="585">
        <v>2.0</v>
      </c>
      <c r="V6" s="586"/>
      <c r="W6" s="590"/>
      <c r="X6" s="588"/>
      <c r="Y6" s="586" t="s">
        <v>261</v>
      </c>
      <c r="Z6" s="598"/>
      <c r="AA6" s="591">
        <v>2.25</v>
      </c>
      <c r="AB6" s="589"/>
      <c r="AC6" s="590"/>
      <c r="AD6" s="588"/>
      <c r="AE6" s="586" t="s">
        <v>265</v>
      </c>
      <c r="AF6" s="598"/>
      <c r="AG6" s="585">
        <v>2.25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101</v>
      </c>
      <c r="C7" s="580">
        <f t="shared" si="1"/>
        <v>20.5</v>
      </c>
      <c r="D7" s="594">
        <f t="shared" si="2"/>
        <v>3</v>
      </c>
      <c r="E7" s="595">
        <f t="shared" si="3"/>
        <v>7.5</v>
      </c>
      <c r="F7" s="596">
        <f t="shared" si="4"/>
        <v>13</v>
      </c>
      <c r="G7" s="584" t="s">
        <v>269</v>
      </c>
      <c r="H7" s="597">
        <v>2.5</v>
      </c>
      <c r="I7" s="585">
        <v>3.0</v>
      </c>
      <c r="J7" s="586"/>
      <c r="K7" s="590"/>
      <c r="L7" s="588"/>
      <c r="M7" s="584" t="s">
        <v>261</v>
      </c>
      <c r="N7" s="598"/>
      <c r="O7" s="585">
        <v>2.5</v>
      </c>
      <c r="P7" s="589"/>
      <c r="Q7" s="590"/>
      <c r="R7" s="588"/>
      <c r="S7" s="586" t="s">
        <v>269</v>
      </c>
      <c r="T7" s="597">
        <v>2.5</v>
      </c>
      <c r="U7" s="585">
        <v>3.0</v>
      </c>
      <c r="V7" s="586"/>
      <c r="W7" s="590"/>
      <c r="X7" s="588"/>
      <c r="Y7" s="586" t="s">
        <v>261</v>
      </c>
      <c r="Z7" s="598"/>
      <c r="AA7" s="591">
        <v>1.75</v>
      </c>
      <c r="AB7" s="586"/>
      <c r="AC7" s="585"/>
      <c r="AD7" s="587"/>
      <c r="AE7" s="586" t="s">
        <v>261</v>
      </c>
      <c r="AF7" s="597">
        <v>2.5</v>
      </c>
      <c r="AG7" s="585">
        <v>2.75</v>
      </c>
      <c r="AH7" s="586" t="s">
        <v>260</v>
      </c>
      <c r="AI7" s="590"/>
      <c r="AJ7" s="587"/>
      <c r="AK7" s="588"/>
      <c r="AL7" s="593"/>
    </row>
    <row r="8">
      <c r="A8" s="578">
        <v>3.0</v>
      </c>
      <c r="B8" s="579" t="s">
        <v>129</v>
      </c>
      <c r="C8" s="580">
        <f t="shared" si="1"/>
        <v>14</v>
      </c>
      <c r="D8" s="594">
        <f t="shared" si="2"/>
        <v>1</v>
      </c>
      <c r="E8" s="595">
        <f t="shared" si="3"/>
        <v>2.5</v>
      </c>
      <c r="F8" s="596">
        <f t="shared" si="4"/>
        <v>11.5</v>
      </c>
      <c r="G8" s="584" t="s">
        <v>269</v>
      </c>
      <c r="H8" s="585">
        <v>2.5</v>
      </c>
      <c r="I8" s="585">
        <v>2.75</v>
      </c>
      <c r="J8" s="589"/>
      <c r="K8" s="590"/>
      <c r="L8" s="588"/>
      <c r="M8" s="584" t="s">
        <v>261</v>
      </c>
      <c r="N8" s="590"/>
      <c r="O8" s="585">
        <v>1.75</v>
      </c>
      <c r="P8" s="589"/>
      <c r="Q8" s="590"/>
      <c r="R8" s="588"/>
      <c r="S8" s="586" t="s">
        <v>271</v>
      </c>
      <c r="T8" s="590"/>
      <c r="U8" s="585">
        <v>2.5</v>
      </c>
      <c r="V8" s="586"/>
      <c r="W8" s="590"/>
      <c r="X8" s="587"/>
      <c r="Y8" s="586" t="s">
        <v>271</v>
      </c>
      <c r="Z8" s="590"/>
      <c r="AA8" s="585">
        <v>2.0</v>
      </c>
      <c r="AB8" s="589"/>
      <c r="AC8" s="590"/>
      <c r="AD8" s="588"/>
      <c r="AE8" s="586" t="s">
        <v>269</v>
      </c>
      <c r="AF8" s="590"/>
      <c r="AG8" s="585">
        <v>2.5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102</v>
      </c>
      <c r="C9" s="580">
        <f t="shared" si="1"/>
        <v>19.25</v>
      </c>
      <c r="D9" s="594">
        <f t="shared" si="2"/>
        <v>1</v>
      </c>
      <c r="E9" s="595">
        <f t="shared" si="3"/>
        <v>2.5</v>
      </c>
      <c r="F9" s="596">
        <f t="shared" si="4"/>
        <v>16.75</v>
      </c>
      <c r="G9" s="584" t="s">
        <v>261</v>
      </c>
      <c r="H9" s="590"/>
      <c r="I9" s="585">
        <v>2.0</v>
      </c>
      <c r="J9" s="586" t="s">
        <v>11</v>
      </c>
      <c r="K9" s="585">
        <v>0.5</v>
      </c>
      <c r="L9" s="587">
        <v>0.5</v>
      </c>
      <c r="M9" s="584" t="s">
        <v>261</v>
      </c>
      <c r="N9" s="590"/>
      <c r="O9" s="585">
        <v>4.0</v>
      </c>
      <c r="P9" s="586"/>
      <c r="Q9" s="590"/>
      <c r="R9" s="588"/>
      <c r="S9" s="586" t="s">
        <v>265</v>
      </c>
      <c r="T9" s="585">
        <v>2.5</v>
      </c>
      <c r="U9" s="585">
        <v>4.0</v>
      </c>
      <c r="V9" s="586"/>
      <c r="W9" s="590"/>
      <c r="X9" s="588"/>
      <c r="Y9" s="586" t="s">
        <v>261</v>
      </c>
      <c r="Z9" s="590"/>
      <c r="AA9" s="591">
        <v>3.25</v>
      </c>
      <c r="AB9" s="589"/>
      <c r="AC9" s="590"/>
      <c r="AD9" s="588"/>
      <c r="AE9" s="586" t="s">
        <v>269</v>
      </c>
      <c r="AF9" s="590"/>
      <c r="AG9" s="585">
        <v>2.5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132</v>
      </c>
      <c r="C10" s="580">
        <f t="shared" si="1"/>
        <v>20.5</v>
      </c>
      <c r="D10" s="594">
        <f t="shared" si="2"/>
        <v>2</v>
      </c>
      <c r="E10" s="595">
        <f t="shared" si="3"/>
        <v>5</v>
      </c>
      <c r="F10" s="596">
        <f t="shared" si="4"/>
        <v>15.5</v>
      </c>
      <c r="G10" s="584" t="s">
        <v>261</v>
      </c>
      <c r="H10" s="590"/>
      <c r="I10" s="585">
        <v>2.25</v>
      </c>
      <c r="J10" s="589"/>
      <c r="K10" s="590"/>
      <c r="L10" s="588"/>
      <c r="M10" s="584" t="s">
        <v>269</v>
      </c>
      <c r="N10" s="585">
        <v>2.5</v>
      </c>
      <c r="O10" s="585">
        <v>4.5</v>
      </c>
      <c r="P10" s="586" t="s">
        <v>260</v>
      </c>
      <c r="Q10" s="590"/>
      <c r="R10" s="587"/>
      <c r="S10" s="586" t="s">
        <v>261</v>
      </c>
      <c r="T10" s="590"/>
      <c r="U10" s="585">
        <v>2.75</v>
      </c>
      <c r="V10" s="586"/>
      <c r="W10" s="590"/>
      <c r="X10" s="587">
        <v>0.5</v>
      </c>
      <c r="Y10" s="586" t="s">
        <v>261</v>
      </c>
      <c r="Z10" s="590"/>
      <c r="AA10" s="591">
        <v>1.0</v>
      </c>
      <c r="AB10" s="586"/>
      <c r="AC10" s="590"/>
      <c r="AD10" s="587"/>
      <c r="AE10" s="586" t="s">
        <v>261</v>
      </c>
      <c r="AF10" s="585">
        <v>2.5</v>
      </c>
      <c r="AG10" s="585">
        <v>4.5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110</v>
      </c>
      <c r="C11" s="580">
        <f t="shared" si="1"/>
        <v>17</v>
      </c>
      <c r="D11" s="594">
        <f t="shared" si="2"/>
        <v>2</v>
      </c>
      <c r="E11" s="595">
        <f t="shared" si="3"/>
        <v>5</v>
      </c>
      <c r="F11" s="596">
        <f t="shared" si="4"/>
        <v>12</v>
      </c>
      <c r="G11" s="584" t="s">
        <v>261</v>
      </c>
      <c r="H11" s="590"/>
      <c r="I11" s="585">
        <v>2.0</v>
      </c>
      <c r="J11" s="586"/>
      <c r="K11" s="590"/>
      <c r="L11" s="588"/>
      <c r="M11" s="584" t="s">
        <v>271</v>
      </c>
      <c r="N11" s="590"/>
      <c r="O11" s="585">
        <v>2.25</v>
      </c>
      <c r="P11" s="586"/>
      <c r="Q11" s="585"/>
      <c r="R11" s="587"/>
      <c r="S11" s="586" t="s">
        <v>269</v>
      </c>
      <c r="T11" s="585">
        <v>2.5</v>
      </c>
      <c r="U11" s="585">
        <v>4.5</v>
      </c>
      <c r="V11" s="589"/>
      <c r="W11" s="590"/>
      <c r="X11" s="588"/>
      <c r="Y11" s="586" t="s">
        <v>261</v>
      </c>
      <c r="Z11" s="590"/>
      <c r="AA11" s="591">
        <v>1.25</v>
      </c>
      <c r="AB11" s="589"/>
      <c r="AC11" s="590"/>
      <c r="AD11" s="588"/>
      <c r="AE11" s="586" t="s">
        <v>261</v>
      </c>
      <c r="AF11" s="585">
        <v>2.5</v>
      </c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169</v>
      </c>
      <c r="C12" s="580">
        <f t="shared" si="1"/>
        <v>15</v>
      </c>
      <c r="D12" s="594">
        <f t="shared" si="2"/>
        <v>2</v>
      </c>
      <c r="E12" s="595">
        <f t="shared" si="3"/>
        <v>5</v>
      </c>
      <c r="F12" s="596">
        <f t="shared" si="4"/>
        <v>10</v>
      </c>
      <c r="G12" s="584" t="s">
        <v>261</v>
      </c>
      <c r="H12" s="590"/>
      <c r="I12" s="585">
        <v>1.5</v>
      </c>
      <c r="J12" s="586"/>
      <c r="K12" s="590"/>
      <c r="L12" s="588"/>
      <c r="M12" s="584" t="s">
        <v>269</v>
      </c>
      <c r="N12" s="585">
        <v>2.5</v>
      </c>
      <c r="O12" s="585">
        <v>2.25</v>
      </c>
      <c r="P12" s="589"/>
      <c r="Q12" s="590"/>
      <c r="R12" s="588"/>
      <c r="S12" s="586" t="s">
        <v>261</v>
      </c>
      <c r="T12" s="590"/>
      <c r="U12" s="585">
        <v>2.0</v>
      </c>
      <c r="V12" s="586"/>
      <c r="W12" s="590"/>
      <c r="X12" s="587"/>
      <c r="Y12" s="586" t="s">
        <v>261</v>
      </c>
      <c r="Z12" s="590"/>
      <c r="AA12" s="585">
        <v>2.0</v>
      </c>
      <c r="AB12" s="589"/>
      <c r="AC12" s="590"/>
      <c r="AD12" s="588"/>
      <c r="AE12" s="586" t="s">
        <v>261</v>
      </c>
      <c r="AF12" s="585">
        <v>2.5</v>
      </c>
      <c r="AG12" s="585">
        <v>2.25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104</v>
      </c>
      <c r="C13" s="580">
        <f t="shared" si="1"/>
        <v>15.75</v>
      </c>
      <c r="D13" s="594">
        <f t="shared" si="2"/>
        <v>2</v>
      </c>
      <c r="E13" s="595">
        <f t="shared" si="3"/>
        <v>5</v>
      </c>
      <c r="F13" s="596">
        <f t="shared" si="4"/>
        <v>10.75</v>
      </c>
      <c r="G13" s="584" t="s">
        <v>261</v>
      </c>
      <c r="H13" s="598"/>
      <c r="I13" s="585">
        <v>2.0</v>
      </c>
      <c r="J13" s="586"/>
      <c r="K13" s="585"/>
      <c r="L13" s="588"/>
      <c r="M13" s="584" t="s">
        <v>261</v>
      </c>
      <c r="N13" s="598"/>
      <c r="O13" s="585">
        <v>2.75</v>
      </c>
      <c r="P13" s="589"/>
      <c r="Q13" s="590"/>
      <c r="R13" s="588"/>
      <c r="S13" s="586" t="s">
        <v>261</v>
      </c>
      <c r="T13" s="598"/>
      <c r="U13" s="585">
        <v>1.75</v>
      </c>
      <c r="V13" s="586"/>
      <c r="W13" s="590"/>
      <c r="X13" s="588"/>
      <c r="Y13" s="586" t="s">
        <v>269</v>
      </c>
      <c r="Z13" s="597">
        <v>2.5</v>
      </c>
      <c r="AA13" s="591">
        <v>1.5</v>
      </c>
      <c r="AB13" s="589"/>
      <c r="AC13" s="590"/>
      <c r="AD13" s="588"/>
      <c r="AE13" s="586" t="s">
        <v>271</v>
      </c>
      <c r="AF13" s="597">
        <v>2.5</v>
      </c>
      <c r="AG13" s="585">
        <v>1.75</v>
      </c>
      <c r="AH13" s="586" t="s">
        <v>11</v>
      </c>
      <c r="AI13" s="585">
        <v>0.5</v>
      </c>
      <c r="AJ13" s="587">
        <v>0.5</v>
      </c>
      <c r="AK13" s="588"/>
      <c r="AL13" s="593"/>
    </row>
    <row r="14">
      <c r="A14" s="578">
        <v>9.0</v>
      </c>
      <c r="B14" s="579" t="s">
        <v>98</v>
      </c>
      <c r="C14" s="580">
        <f t="shared" si="1"/>
        <v>22.25</v>
      </c>
      <c r="D14" s="594">
        <f t="shared" si="2"/>
        <v>2</v>
      </c>
      <c r="E14" s="595">
        <f t="shared" si="3"/>
        <v>5</v>
      </c>
      <c r="F14" s="596">
        <f t="shared" si="4"/>
        <v>17.25</v>
      </c>
      <c r="G14" s="584" t="s">
        <v>271</v>
      </c>
      <c r="H14" s="590"/>
      <c r="I14" s="585">
        <v>2.0</v>
      </c>
      <c r="J14" s="586"/>
      <c r="K14" s="585"/>
      <c r="L14" s="587"/>
      <c r="M14" s="584" t="s">
        <v>261</v>
      </c>
      <c r="N14" s="590"/>
      <c r="O14" s="585">
        <v>3.75</v>
      </c>
      <c r="P14" s="586" t="s">
        <v>263</v>
      </c>
      <c r="Q14" s="585"/>
      <c r="R14" s="588"/>
      <c r="S14" s="586" t="s">
        <v>261</v>
      </c>
      <c r="T14" s="590"/>
      <c r="U14" s="585">
        <v>4.0</v>
      </c>
      <c r="V14" s="589"/>
      <c r="W14" s="590"/>
      <c r="X14" s="588"/>
      <c r="Y14" s="586" t="s">
        <v>265</v>
      </c>
      <c r="Z14" s="585">
        <v>2.5</v>
      </c>
      <c r="AA14" s="591">
        <v>4.5</v>
      </c>
      <c r="AB14" s="589"/>
      <c r="AC14" s="590"/>
      <c r="AD14" s="588"/>
      <c r="AE14" s="586" t="s">
        <v>261</v>
      </c>
      <c r="AF14" s="585">
        <v>2.5</v>
      </c>
      <c r="AG14" s="585">
        <v>3.0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87</v>
      </c>
      <c r="C15" s="580">
        <f t="shared" si="1"/>
        <v>25.75</v>
      </c>
      <c r="D15" s="603">
        <f t="shared" si="2"/>
        <v>3</v>
      </c>
      <c r="E15" s="604">
        <f t="shared" si="3"/>
        <v>7.5</v>
      </c>
      <c r="F15" s="605">
        <f t="shared" si="4"/>
        <v>18.25</v>
      </c>
      <c r="G15" s="606" t="s">
        <v>265</v>
      </c>
      <c r="H15" s="607">
        <v>2.5</v>
      </c>
      <c r="I15" s="607">
        <v>4.25</v>
      </c>
      <c r="J15" s="608"/>
      <c r="K15" s="609"/>
      <c r="L15" s="610"/>
      <c r="M15" s="606" t="s">
        <v>261</v>
      </c>
      <c r="N15" s="609"/>
      <c r="O15" s="607">
        <v>1.5</v>
      </c>
      <c r="P15" s="611" t="s">
        <v>263</v>
      </c>
      <c r="Q15" s="609"/>
      <c r="R15" s="610"/>
      <c r="S15" s="611" t="s">
        <v>261</v>
      </c>
      <c r="T15" s="609"/>
      <c r="U15" s="607">
        <v>3.25</v>
      </c>
      <c r="V15" s="611"/>
      <c r="W15" s="609"/>
      <c r="X15" s="610"/>
      <c r="Y15" s="611" t="s">
        <v>269</v>
      </c>
      <c r="Z15" s="607">
        <v>2.5</v>
      </c>
      <c r="AA15" s="634">
        <v>4.5</v>
      </c>
      <c r="AB15" s="608"/>
      <c r="AC15" s="609"/>
      <c r="AD15" s="610"/>
      <c r="AE15" s="611" t="s">
        <v>261</v>
      </c>
      <c r="AF15" s="607">
        <v>2.5</v>
      </c>
      <c r="AG15" s="607">
        <v>4.75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82</v>
      </c>
      <c r="C6" s="580">
        <f t="shared" ref="C6:C15" si="1">SUM(H6:AK6)</f>
        <v>29.25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19.25</v>
      </c>
      <c r="G6" s="584" t="s">
        <v>261</v>
      </c>
      <c r="H6" s="590"/>
      <c r="I6" s="585">
        <v>2.75</v>
      </c>
      <c r="J6" s="586" t="s">
        <v>11</v>
      </c>
      <c r="K6" s="590"/>
      <c r="L6" s="587">
        <v>0.5</v>
      </c>
      <c r="M6" s="584" t="s">
        <v>271</v>
      </c>
      <c r="N6" s="585">
        <v>2.5</v>
      </c>
      <c r="O6" s="585">
        <v>4.0</v>
      </c>
      <c r="P6" s="589"/>
      <c r="Q6" s="590"/>
      <c r="R6" s="588"/>
      <c r="S6" s="586" t="s">
        <v>271</v>
      </c>
      <c r="T6" s="585">
        <v>2.5</v>
      </c>
      <c r="U6" s="585">
        <v>4.5</v>
      </c>
      <c r="V6" s="586"/>
      <c r="W6" s="590"/>
      <c r="X6" s="588"/>
      <c r="Y6" s="586" t="s">
        <v>271</v>
      </c>
      <c r="Z6" s="585">
        <v>2.5</v>
      </c>
      <c r="AA6" s="591">
        <v>3.75</v>
      </c>
      <c r="AB6" s="589"/>
      <c r="AC6" s="590"/>
      <c r="AD6" s="588"/>
      <c r="AE6" s="586" t="s">
        <v>261</v>
      </c>
      <c r="AF6" s="585">
        <v>2.5</v>
      </c>
      <c r="AG6" s="585">
        <v>3.75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87</v>
      </c>
      <c r="C7" s="580">
        <f t="shared" si="1"/>
        <v>28.5</v>
      </c>
      <c r="D7" s="594">
        <f t="shared" si="2"/>
        <v>4</v>
      </c>
      <c r="E7" s="595">
        <f t="shared" si="3"/>
        <v>10</v>
      </c>
      <c r="F7" s="596">
        <f t="shared" si="4"/>
        <v>18.5</v>
      </c>
      <c r="G7" s="584" t="s">
        <v>261</v>
      </c>
      <c r="H7" s="598"/>
      <c r="I7" s="585">
        <v>4.25</v>
      </c>
      <c r="J7" s="586" t="s">
        <v>263</v>
      </c>
      <c r="K7" s="590"/>
      <c r="L7" s="588"/>
      <c r="M7" s="584" t="s">
        <v>261</v>
      </c>
      <c r="N7" s="597">
        <v>2.5</v>
      </c>
      <c r="O7" s="585">
        <v>3.75</v>
      </c>
      <c r="P7" s="589"/>
      <c r="Q7" s="590"/>
      <c r="R7" s="588"/>
      <c r="S7" s="586" t="s">
        <v>261</v>
      </c>
      <c r="T7" s="597">
        <v>2.5</v>
      </c>
      <c r="U7" s="585">
        <v>2.75</v>
      </c>
      <c r="V7" s="586" t="s">
        <v>11</v>
      </c>
      <c r="W7" s="590"/>
      <c r="X7" s="587">
        <v>0.5</v>
      </c>
      <c r="Y7" s="586" t="s">
        <v>261</v>
      </c>
      <c r="Z7" s="597">
        <v>2.5</v>
      </c>
      <c r="AA7" s="591">
        <v>3.5</v>
      </c>
      <c r="AB7" s="586" t="s">
        <v>260</v>
      </c>
      <c r="AC7" s="585"/>
      <c r="AD7" s="587"/>
      <c r="AE7" s="586" t="s">
        <v>261</v>
      </c>
      <c r="AF7" s="597">
        <v>2.5</v>
      </c>
      <c r="AG7" s="585">
        <v>3.75</v>
      </c>
      <c r="AH7" s="586"/>
      <c r="AI7" s="590"/>
      <c r="AJ7" s="587"/>
      <c r="AK7" s="588"/>
      <c r="AL7" s="593"/>
    </row>
    <row r="8">
      <c r="A8" s="578">
        <v>3.0</v>
      </c>
      <c r="B8" s="579" t="s">
        <v>136</v>
      </c>
      <c r="C8" s="580">
        <f t="shared" si="1"/>
        <v>27.75</v>
      </c>
      <c r="D8" s="594">
        <f t="shared" si="2"/>
        <v>4</v>
      </c>
      <c r="E8" s="595">
        <f t="shared" si="3"/>
        <v>10</v>
      </c>
      <c r="F8" s="596">
        <f t="shared" si="4"/>
        <v>17.75</v>
      </c>
      <c r="G8" s="584" t="s">
        <v>261</v>
      </c>
      <c r="H8" s="590"/>
      <c r="I8" s="585">
        <v>3.0</v>
      </c>
      <c r="J8" s="589"/>
      <c r="K8" s="590"/>
      <c r="L8" s="588"/>
      <c r="M8" s="584" t="s">
        <v>261</v>
      </c>
      <c r="N8" s="585">
        <v>2.5</v>
      </c>
      <c r="O8" s="585">
        <v>4.25</v>
      </c>
      <c r="P8" s="586"/>
      <c r="Q8" s="590"/>
      <c r="R8" s="587"/>
      <c r="S8" s="586" t="s">
        <v>261</v>
      </c>
      <c r="T8" s="585">
        <v>2.5</v>
      </c>
      <c r="U8" s="585">
        <v>3.25</v>
      </c>
      <c r="V8" s="586" t="s">
        <v>260</v>
      </c>
      <c r="W8" s="590"/>
      <c r="X8" s="588"/>
      <c r="Y8" s="586" t="s">
        <v>261</v>
      </c>
      <c r="Z8" s="585">
        <v>2.5</v>
      </c>
      <c r="AA8" s="591">
        <v>3.25</v>
      </c>
      <c r="AB8" s="586"/>
      <c r="AC8" s="590"/>
      <c r="AD8" s="587"/>
      <c r="AE8" s="586" t="s">
        <v>271</v>
      </c>
      <c r="AF8" s="585">
        <v>2.5</v>
      </c>
      <c r="AG8" s="585">
        <v>4.0</v>
      </c>
      <c r="AH8" s="589"/>
      <c r="AI8" s="590"/>
      <c r="AJ8" s="588"/>
      <c r="AK8" s="588"/>
      <c r="AL8" s="593"/>
    </row>
    <row r="9">
      <c r="A9" s="578">
        <v>4.0</v>
      </c>
      <c r="B9" s="579" t="s">
        <v>124</v>
      </c>
      <c r="C9" s="580">
        <f t="shared" si="1"/>
        <v>25.25</v>
      </c>
      <c r="D9" s="594">
        <f t="shared" si="2"/>
        <v>4</v>
      </c>
      <c r="E9" s="595">
        <f t="shared" si="3"/>
        <v>10</v>
      </c>
      <c r="F9" s="596">
        <f t="shared" si="4"/>
        <v>15.25</v>
      </c>
      <c r="G9" s="584" t="s">
        <v>265</v>
      </c>
      <c r="H9" s="585">
        <v>2.5</v>
      </c>
      <c r="I9" s="585">
        <v>3.75</v>
      </c>
      <c r="J9" s="586"/>
      <c r="K9" s="590"/>
      <c r="L9" s="588"/>
      <c r="M9" s="584" t="s">
        <v>261</v>
      </c>
      <c r="N9" s="585">
        <v>2.5</v>
      </c>
      <c r="O9" s="585">
        <v>3.0</v>
      </c>
      <c r="P9" s="586" t="s">
        <v>11</v>
      </c>
      <c r="Q9" s="585">
        <v>0.5</v>
      </c>
      <c r="R9" s="587">
        <v>0.5</v>
      </c>
      <c r="S9" s="586" t="s">
        <v>261</v>
      </c>
      <c r="T9" s="585">
        <v>2.5</v>
      </c>
      <c r="U9" s="600">
        <v>3.0</v>
      </c>
      <c r="V9" s="586"/>
      <c r="W9" s="590"/>
      <c r="X9" s="587"/>
      <c r="Y9" s="586" t="s">
        <v>261</v>
      </c>
      <c r="Z9" s="585">
        <v>2.5</v>
      </c>
      <c r="AA9" s="585">
        <v>2.75</v>
      </c>
      <c r="AB9" s="589"/>
      <c r="AC9" s="590"/>
      <c r="AD9" s="588"/>
      <c r="AE9" s="586" t="s">
        <v>269</v>
      </c>
      <c r="AF9" s="590"/>
      <c r="AG9" s="585">
        <v>1.75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138</v>
      </c>
      <c r="C10" s="580">
        <f t="shared" si="1"/>
        <v>23.75</v>
      </c>
      <c r="D10" s="594">
        <f t="shared" si="2"/>
        <v>3</v>
      </c>
      <c r="E10" s="595">
        <f t="shared" si="3"/>
        <v>7.5</v>
      </c>
      <c r="F10" s="596">
        <f t="shared" si="4"/>
        <v>16.25</v>
      </c>
      <c r="G10" s="584" t="s">
        <v>261</v>
      </c>
      <c r="H10" s="598"/>
      <c r="I10" s="585">
        <v>1.5</v>
      </c>
      <c r="J10" s="586" t="s">
        <v>263</v>
      </c>
      <c r="K10" s="590"/>
      <c r="L10" s="588"/>
      <c r="M10" s="584" t="s">
        <v>269</v>
      </c>
      <c r="N10" s="598"/>
      <c r="O10" s="585">
        <v>2.0</v>
      </c>
      <c r="P10" s="589"/>
      <c r="Q10" s="590"/>
      <c r="R10" s="588"/>
      <c r="S10" s="586" t="s">
        <v>261</v>
      </c>
      <c r="T10" s="597">
        <v>2.5</v>
      </c>
      <c r="U10" s="585">
        <v>5.0</v>
      </c>
      <c r="V10" s="586"/>
      <c r="W10" s="590"/>
      <c r="X10" s="588"/>
      <c r="Y10" s="586" t="s">
        <v>261</v>
      </c>
      <c r="Z10" s="597">
        <v>2.5</v>
      </c>
      <c r="AA10" s="591">
        <v>4.0</v>
      </c>
      <c r="AB10" s="589"/>
      <c r="AC10" s="590"/>
      <c r="AD10" s="588"/>
      <c r="AE10" s="586" t="s">
        <v>261</v>
      </c>
      <c r="AF10" s="597">
        <v>2.5</v>
      </c>
      <c r="AG10" s="585">
        <v>3.75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99</v>
      </c>
      <c r="C11" s="580">
        <f t="shared" si="1"/>
        <v>23</v>
      </c>
      <c r="D11" s="594">
        <f t="shared" si="2"/>
        <v>3</v>
      </c>
      <c r="E11" s="595">
        <f t="shared" si="3"/>
        <v>7.5</v>
      </c>
      <c r="F11" s="596">
        <f t="shared" si="4"/>
        <v>15.5</v>
      </c>
      <c r="G11" s="584" t="s">
        <v>261</v>
      </c>
      <c r="H11" s="590"/>
      <c r="I11" s="585">
        <v>3.0</v>
      </c>
      <c r="J11" s="589"/>
      <c r="K11" s="590"/>
      <c r="L11" s="588"/>
      <c r="M11" s="584" t="s">
        <v>261</v>
      </c>
      <c r="N11" s="585">
        <v>2.5</v>
      </c>
      <c r="O11" s="585">
        <v>2.75</v>
      </c>
      <c r="P11" s="589"/>
      <c r="Q11" s="590"/>
      <c r="R11" s="588"/>
      <c r="S11" s="586" t="s">
        <v>261</v>
      </c>
      <c r="T11" s="585">
        <v>2.5</v>
      </c>
      <c r="U11" s="585">
        <v>3.5</v>
      </c>
      <c r="V11" s="586"/>
      <c r="W11" s="590"/>
      <c r="X11" s="587"/>
      <c r="Y11" s="586" t="s">
        <v>269</v>
      </c>
      <c r="Z11" s="590"/>
      <c r="AA11" s="585">
        <v>2.5</v>
      </c>
      <c r="AB11" s="586" t="s">
        <v>263</v>
      </c>
      <c r="AC11" s="590"/>
      <c r="AD11" s="588"/>
      <c r="AE11" s="586" t="s">
        <v>261</v>
      </c>
      <c r="AF11" s="585">
        <v>2.5</v>
      </c>
      <c r="AG11" s="585">
        <v>3.75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118</v>
      </c>
      <c r="C12" s="580">
        <f t="shared" si="1"/>
        <v>19.75</v>
      </c>
      <c r="D12" s="594">
        <f t="shared" si="2"/>
        <v>2</v>
      </c>
      <c r="E12" s="595">
        <f t="shared" si="3"/>
        <v>5</v>
      </c>
      <c r="F12" s="596">
        <f t="shared" si="4"/>
        <v>14.75</v>
      </c>
      <c r="G12" s="584" t="s">
        <v>261</v>
      </c>
      <c r="H12" s="590"/>
      <c r="I12" s="585">
        <v>2.0</v>
      </c>
      <c r="J12" s="586"/>
      <c r="K12" s="590"/>
      <c r="L12" s="588"/>
      <c r="M12" s="584" t="s">
        <v>261</v>
      </c>
      <c r="N12" s="585">
        <v>2.5</v>
      </c>
      <c r="O12" s="585">
        <v>3.75</v>
      </c>
      <c r="P12" s="586"/>
      <c r="Q12" s="590"/>
      <c r="R12" s="588"/>
      <c r="S12" s="586" t="s">
        <v>269</v>
      </c>
      <c r="T12" s="590"/>
      <c r="U12" s="585">
        <v>2.5</v>
      </c>
      <c r="V12" s="586"/>
      <c r="W12" s="590"/>
      <c r="X12" s="588"/>
      <c r="Y12" s="586" t="s">
        <v>261</v>
      </c>
      <c r="Z12" s="585">
        <v>2.5</v>
      </c>
      <c r="AA12" s="591">
        <v>3.75</v>
      </c>
      <c r="AB12" s="586" t="s">
        <v>260</v>
      </c>
      <c r="AC12" s="590"/>
      <c r="AD12" s="588"/>
      <c r="AE12" s="586" t="s">
        <v>269</v>
      </c>
      <c r="AF12" s="590"/>
      <c r="AG12" s="585">
        <v>2.75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128</v>
      </c>
      <c r="C13" s="580">
        <f t="shared" si="1"/>
        <v>19.5</v>
      </c>
      <c r="D13" s="594">
        <f t="shared" si="2"/>
        <v>3</v>
      </c>
      <c r="E13" s="595">
        <f t="shared" si="3"/>
        <v>7.5</v>
      </c>
      <c r="F13" s="596">
        <f t="shared" si="4"/>
        <v>12</v>
      </c>
      <c r="G13" s="584" t="s">
        <v>269</v>
      </c>
      <c r="H13" s="585">
        <v>2.5</v>
      </c>
      <c r="I13" s="585">
        <v>3.5</v>
      </c>
      <c r="J13" s="586" t="s">
        <v>260</v>
      </c>
      <c r="K13" s="585"/>
      <c r="L13" s="587"/>
      <c r="M13" s="584" t="s">
        <v>261</v>
      </c>
      <c r="N13" s="585">
        <v>2.5</v>
      </c>
      <c r="O13" s="585">
        <v>2.0</v>
      </c>
      <c r="P13" s="586"/>
      <c r="Q13" s="585"/>
      <c r="R13" s="588"/>
      <c r="S13" s="586" t="s">
        <v>269</v>
      </c>
      <c r="T13" s="590"/>
      <c r="U13" s="585">
        <v>1.75</v>
      </c>
      <c r="V13" s="586" t="s">
        <v>263</v>
      </c>
      <c r="W13" s="590"/>
      <c r="X13" s="588"/>
      <c r="Y13" s="586" t="s">
        <v>265</v>
      </c>
      <c r="Z13" s="590"/>
      <c r="AA13" s="637">
        <v>1.0</v>
      </c>
      <c r="AB13" s="589"/>
      <c r="AC13" s="590"/>
      <c r="AD13" s="588"/>
      <c r="AE13" s="586" t="s">
        <v>261</v>
      </c>
      <c r="AF13" s="585">
        <v>2.5</v>
      </c>
      <c r="AG13" s="585">
        <v>2.75</v>
      </c>
      <c r="AH13" s="586" t="s">
        <v>11</v>
      </c>
      <c r="AI13" s="585">
        <v>0.5</v>
      </c>
      <c r="AJ13" s="587">
        <v>0.5</v>
      </c>
      <c r="AK13" s="588"/>
      <c r="AL13" s="593"/>
    </row>
    <row r="14">
      <c r="A14" s="578">
        <v>9.0</v>
      </c>
      <c r="B14" s="579" t="s">
        <v>153</v>
      </c>
      <c r="C14" s="580">
        <f t="shared" si="1"/>
        <v>18.75</v>
      </c>
      <c r="D14" s="594">
        <f t="shared" si="2"/>
        <v>2</v>
      </c>
      <c r="E14" s="595">
        <f t="shared" si="3"/>
        <v>5</v>
      </c>
      <c r="F14" s="596">
        <f t="shared" si="4"/>
        <v>13.75</v>
      </c>
      <c r="G14" s="584" t="s">
        <v>269</v>
      </c>
      <c r="H14" s="597">
        <v>2.5</v>
      </c>
      <c r="I14" s="585">
        <v>3.0</v>
      </c>
      <c r="J14" s="586"/>
      <c r="K14" s="585"/>
      <c r="L14" s="588"/>
      <c r="M14" s="584" t="s">
        <v>269</v>
      </c>
      <c r="N14" s="598"/>
      <c r="O14" s="585">
        <v>3.0</v>
      </c>
      <c r="P14" s="589"/>
      <c r="Q14" s="590"/>
      <c r="R14" s="588"/>
      <c r="S14" s="586" t="s">
        <v>265</v>
      </c>
      <c r="T14" s="598"/>
      <c r="U14" s="585">
        <v>2.25</v>
      </c>
      <c r="V14" s="586"/>
      <c r="W14" s="590"/>
      <c r="X14" s="588"/>
      <c r="Y14" s="586" t="s">
        <v>261</v>
      </c>
      <c r="Z14" s="597">
        <v>2.5</v>
      </c>
      <c r="AA14" s="591">
        <v>2.25</v>
      </c>
      <c r="AB14" s="586" t="s">
        <v>11</v>
      </c>
      <c r="AC14" s="590"/>
      <c r="AD14" s="587">
        <v>0.5</v>
      </c>
      <c r="AE14" s="586" t="s">
        <v>265</v>
      </c>
      <c r="AF14" s="598"/>
      <c r="AG14" s="585">
        <v>2.75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169</v>
      </c>
      <c r="C15" s="580">
        <f t="shared" si="1"/>
        <v>18.25</v>
      </c>
      <c r="D15" s="603">
        <f t="shared" si="2"/>
        <v>2</v>
      </c>
      <c r="E15" s="604">
        <f t="shared" si="3"/>
        <v>5</v>
      </c>
      <c r="F15" s="605">
        <f t="shared" si="4"/>
        <v>13.25</v>
      </c>
      <c r="G15" s="606" t="s">
        <v>271</v>
      </c>
      <c r="H15" s="609"/>
      <c r="I15" s="607">
        <v>2.5</v>
      </c>
      <c r="J15" s="611"/>
      <c r="K15" s="609"/>
      <c r="L15" s="610"/>
      <c r="M15" s="606" t="s">
        <v>265</v>
      </c>
      <c r="N15" s="609"/>
      <c r="O15" s="607">
        <v>2.25</v>
      </c>
      <c r="P15" s="611"/>
      <c r="Q15" s="607"/>
      <c r="R15" s="612"/>
      <c r="S15" s="611" t="s">
        <v>261</v>
      </c>
      <c r="T15" s="607">
        <v>2.5</v>
      </c>
      <c r="U15" s="607">
        <v>3.0</v>
      </c>
      <c r="V15" s="611" t="s">
        <v>260</v>
      </c>
      <c r="W15" s="609"/>
      <c r="X15" s="610"/>
      <c r="Y15" s="611" t="s">
        <v>269</v>
      </c>
      <c r="Z15" s="609"/>
      <c r="AA15" s="634">
        <v>2.5</v>
      </c>
      <c r="AB15" s="608"/>
      <c r="AC15" s="609"/>
      <c r="AD15" s="610"/>
      <c r="AE15" s="611" t="s">
        <v>261</v>
      </c>
      <c r="AF15" s="607">
        <v>2.5</v>
      </c>
      <c r="AG15" s="607">
        <v>3.0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257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124</v>
      </c>
      <c r="C26" s="631" t="s">
        <v>292</v>
      </c>
      <c r="D26" s="630">
        <v>-1.0</v>
      </c>
      <c r="E26" s="632"/>
      <c r="F26" s="632"/>
      <c r="AK26" s="62"/>
    </row>
    <row r="27">
      <c r="A27" s="62"/>
      <c r="B27" s="631" t="s">
        <v>128</v>
      </c>
      <c r="C27" s="631" t="s">
        <v>292</v>
      </c>
      <c r="D27" s="631">
        <v>-1.0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379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82</v>
      </c>
      <c r="C6" s="580">
        <f t="shared" ref="C6:C15" si="1">SUM(H6:AK6)</f>
        <v>28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18</v>
      </c>
      <c r="G6" s="584" t="s">
        <v>261</v>
      </c>
      <c r="H6" s="597">
        <v>2.5</v>
      </c>
      <c r="I6" s="585">
        <v>2.5</v>
      </c>
      <c r="J6" s="586" t="s">
        <v>11</v>
      </c>
      <c r="K6" s="585"/>
      <c r="L6" s="587">
        <v>0.5</v>
      </c>
      <c r="M6" s="584" t="s">
        <v>269</v>
      </c>
      <c r="N6" s="597">
        <v>2.5</v>
      </c>
      <c r="O6" s="585">
        <v>3.75</v>
      </c>
      <c r="P6" s="586" t="s">
        <v>260</v>
      </c>
      <c r="Q6" s="590"/>
      <c r="R6" s="588"/>
      <c r="S6" s="586" t="s">
        <v>271</v>
      </c>
      <c r="T6" s="597">
        <v>2.5</v>
      </c>
      <c r="U6" s="585">
        <v>2.75</v>
      </c>
      <c r="V6" s="586" t="s">
        <v>11</v>
      </c>
      <c r="W6" s="585">
        <v>0.5</v>
      </c>
      <c r="X6" s="587">
        <v>1.0</v>
      </c>
      <c r="Y6" s="586" t="s">
        <v>261</v>
      </c>
      <c r="Z6" s="597">
        <v>2.5</v>
      </c>
      <c r="AA6" s="591">
        <v>4.0</v>
      </c>
      <c r="AB6" s="589"/>
      <c r="AC6" s="590"/>
      <c r="AD6" s="588"/>
      <c r="AE6" s="586" t="s">
        <v>261</v>
      </c>
      <c r="AF6" s="598"/>
      <c r="AG6" s="585">
        <v>3.0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153</v>
      </c>
      <c r="C7" s="580">
        <f t="shared" si="1"/>
        <v>26</v>
      </c>
      <c r="D7" s="594">
        <f t="shared" si="2"/>
        <v>4</v>
      </c>
      <c r="E7" s="595">
        <f t="shared" si="3"/>
        <v>10</v>
      </c>
      <c r="F7" s="596">
        <f t="shared" si="4"/>
        <v>16</v>
      </c>
      <c r="G7" s="584" t="s">
        <v>261</v>
      </c>
      <c r="H7" s="585">
        <v>2.5</v>
      </c>
      <c r="I7" s="585">
        <v>2.75</v>
      </c>
      <c r="J7" s="586"/>
      <c r="K7" s="590"/>
      <c r="L7" s="588"/>
      <c r="M7" s="584" t="s">
        <v>261</v>
      </c>
      <c r="N7" s="590"/>
      <c r="O7" s="585">
        <v>3.25</v>
      </c>
      <c r="P7" s="586"/>
      <c r="Q7" s="590"/>
      <c r="R7" s="588"/>
      <c r="S7" s="586" t="s">
        <v>261</v>
      </c>
      <c r="T7" s="585">
        <v>2.5</v>
      </c>
      <c r="U7" s="585">
        <v>3.0</v>
      </c>
      <c r="V7" s="586" t="s">
        <v>260</v>
      </c>
      <c r="W7" s="590"/>
      <c r="X7" s="588"/>
      <c r="Y7" s="586" t="s">
        <v>261</v>
      </c>
      <c r="Z7" s="585">
        <v>2.5</v>
      </c>
      <c r="AA7" s="591">
        <v>3.5</v>
      </c>
      <c r="AB7" s="589"/>
      <c r="AC7" s="590"/>
      <c r="AD7" s="588"/>
      <c r="AE7" s="586" t="s">
        <v>265</v>
      </c>
      <c r="AF7" s="585">
        <v>2.5</v>
      </c>
      <c r="AG7" s="585">
        <v>3.5</v>
      </c>
      <c r="AH7" s="589"/>
      <c r="AI7" s="590"/>
      <c r="AJ7" s="588"/>
      <c r="AK7" s="599"/>
      <c r="AL7" s="593"/>
    </row>
    <row r="8">
      <c r="A8" s="578">
        <v>3.0</v>
      </c>
      <c r="B8" s="579" t="s">
        <v>92</v>
      </c>
      <c r="C8" s="580">
        <f t="shared" si="1"/>
        <v>25</v>
      </c>
      <c r="D8" s="594">
        <f t="shared" si="2"/>
        <v>4</v>
      </c>
      <c r="E8" s="595">
        <f t="shared" si="3"/>
        <v>10</v>
      </c>
      <c r="F8" s="596">
        <f t="shared" si="4"/>
        <v>15</v>
      </c>
      <c r="G8" s="584" t="s">
        <v>261</v>
      </c>
      <c r="H8" s="585">
        <v>2.5</v>
      </c>
      <c r="I8" s="585">
        <v>3.75</v>
      </c>
      <c r="J8" s="589"/>
      <c r="K8" s="590"/>
      <c r="L8" s="588"/>
      <c r="M8" s="584" t="s">
        <v>265</v>
      </c>
      <c r="N8" s="585">
        <v>2.5</v>
      </c>
      <c r="O8" s="600">
        <v>3.0</v>
      </c>
      <c r="P8" s="589"/>
      <c r="Q8" s="590"/>
      <c r="R8" s="588"/>
      <c r="S8" s="586" t="s">
        <v>261</v>
      </c>
      <c r="T8" s="585">
        <v>2.5</v>
      </c>
      <c r="U8" s="585">
        <v>3.0</v>
      </c>
      <c r="V8" s="586"/>
      <c r="W8" s="590"/>
      <c r="X8" s="588"/>
      <c r="Y8" s="586" t="s">
        <v>261</v>
      </c>
      <c r="Z8" s="585">
        <v>2.5</v>
      </c>
      <c r="AA8" s="591">
        <v>3.75</v>
      </c>
      <c r="AB8" s="589"/>
      <c r="AC8" s="590"/>
      <c r="AD8" s="588"/>
      <c r="AE8" s="586" t="s">
        <v>261</v>
      </c>
      <c r="AF8" s="590"/>
      <c r="AG8" s="585">
        <v>1.5</v>
      </c>
      <c r="AH8" s="589"/>
      <c r="AI8" s="590"/>
      <c r="AJ8" s="588"/>
      <c r="AK8" s="588"/>
      <c r="AL8" s="593"/>
    </row>
    <row r="9">
      <c r="A9" s="578">
        <v>4.0</v>
      </c>
      <c r="B9" s="579" t="s">
        <v>104</v>
      </c>
      <c r="C9" s="580">
        <f t="shared" si="1"/>
        <v>24.75</v>
      </c>
      <c r="D9" s="594">
        <f t="shared" si="2"/>
        <v>4</v>
      </c>
      <c r="E9" s="595">
        <f t="shared" si="3"/>
        <v>10</v>
      </c>
      <c r="F9" s="596">
        <f t="shared" si="4"/>
        <v>14.75</v>
      </c>
      <c r="G9" s="584" t="s">
        <v>271</v>
      </c>
      <c r="H9" s="597">
        <v>2.5</v>
      </c>
      <c r="I9" s="585">
        <v>3.25</v>
      </c>
      <c r="J9" s="586"/>
      <c r="K9" s="590"/>
      <c r="L9" s="588"/>
      <c r="M9" s="584" t="s">
        <v>271</v>
      </c>
      <c r="N9" s="598"/>
      <c r="O9" s="585">
        <v>2.0</v>
      </c>
      <c r="P9" s="586" t="s">
        <v>263</v>
      </c>
      <c r="Q9" s="590"/>
      <c r="R9" s="588"/>
      <c r="S9" s="586" t="s">
        <v>261</v>
      </c>
      <c r="T9" s="597">
        <v>2.5</v>
      </c>
      <c r="U9" s="585">
        <v>2.75</v>
      </c>
      <c r="V9" s="586" t="s">
        <v>260</v>
      </c>
      <c r="W9" s="590"/>
      <c r="X9" s="588"/>
      <c r="Y9" s="586" t="s">
        <v>261</v>
      </c>
      <c r="Z9" s="597">
        <v>2.5</v>
      </c>
      <c r="AA9" s="591">
        <v>3.25</v>
      </c>
      <c r="AB9" s="589"/>
      <c r="AC9" s="590"/>
      <c r="AD9" s="588"/>
      <c r="AE9" s="586" t="s">
        <v>269</v>
      </c>
      <c r="AF9" s="597">
        <v>2.5</v>
      </c>
      <c r="AG9" s="585">
        <v>3.5</v>
      </c>
      <c r="AH9" s="586"/>
      <c r="AI9" s="590"/>
      <c r="AJ9" s="587"/>
      <c r="AK9" s="588"/>
      <c r="AL9" s="593"/>
    </row>
    <row r="10">
      <c r="A10" s="578">
        <v>5.0</v>
      </c>
      <c r="B10" s="579" t="s">
        <v>120</v>
      </c>
      <c r="C10" s="580">
        <f t="shared" si="1"/>
        <v>21.5</v>
      </c>
      <c r="D10" s="594">
        <f t="shared" si="2"/>
        <v>3</v>
      </c>
      <c r="E10" s="595">
        <f t="shared" si="3"/>
        <v>7.5</v>
      </c>
      <c r="F10" s="596">
        <f t="shared" si="4"/>
        <v>14</v>
      </c>
      <c r="G10" s="584" t="s">
        <v>261</v>
      </c>
      <c r="H10" s="585">
        <v>2.5</v>
      </c>
      <c r="I10" s="585">
        <v>4.25</v>
      </c>
      <c r="J10" s="586"/>
      <c r="K10" s="585"/>
      <c r="L10" s="587"/>
      <c r="M10" s="584" t="s">
        <v>261</v>
      </c>
      <c r="N10" s="590"/>
      <c r="O10" s="585">
        <v>1.75</v>
      </c>
      <c r="P10" s="586"/>
      <c r="Q10" s="585"/>
      <c r="R10" s="588"/>
      <c r="S10" s="586" t="s">
        <v>261</v>
      </c>
      <c r="T10" s="585">
        <v>2.5</v>
      </c>
      <c r="U10" s="585">
        <v>3.25</v>
      </c>
      <c r="V10" s="586"/>
      <c r="W10" s="590"/>
      <c r="X10" s="587"/>
      <c r="Y10" s="586" t="s">
        <v>271</v>
      </c>
      <c r="Z10" s="585">
        <v>2.5</v>
      </c>
      <c r="AA10" s="591">
        <v>2.75</v>
      </c>
      <c r="AB10" s="589"/>
      <c r="AC10" s="590"/>
      <c r="AD10" s="588"/>
      <c r="AE10" s="586" t="s">
        <v>261</v>
      </c>
      <c r="AF10" s="590"/>
      <c r="AG10" s="585">
        <v>2.5</v>
      </c>
      <c r="AH10" s="586" t="s">
        <v>11</v>
      </c>
      <c r="AI10" s="590"/>
      <c r="AJ10" s="587">
        <v>0.5</v>
      </c>
      <c r="AK10" s="587">
        <v>-1.0</v>
      </c>
      <c r="AL10" s="593"/>
    </row>
    <row r="11">
      <c r="A11" s="578">
        <v>6.0</v>
      </c>
      <c r="B11" s="579" t="s">
        <v>87</v>
      </c>
      <c r="C11" s="580">
        <f t="shared" si="1"/>
        <v>18</v>
      </c>
      <c r="D11" s="594">
        <f t="shared" si="2"/>
        <v>2</v>
      </c>
      <c r="E11" s="595">
        <f t="shared" si="3"/>
        <v>5</v>
      </c>
      <c r="F11" s="596">
        <f t="shared" si="4"/>
        <v>13</v>
      </c>
      <c r="G11" s="584" t="s">
        <v>261</v>
      </c>
      <c r="H11" s="585">
        <v>2.5</v>
      </c>
      <c r="I11" s="585">
        <v>2.75</v>
      </c>
      <c r="J11" s="586"/>
      <c r="K11" s="590"/>
      <c r="L11" s="588"/>
      <c r="M11" s="584" t="s">
        <v>261</v>
      </c>
      <c r="N11" s="590"/>
      <c r="O11" s="585">
        <v>2.25</v>
      </c>
      <c r="P11" s="586" t="s">
        <v>11</v>
      </c>
      <c r="Q11" s="590"/>
      <c r="R11" s="587">
        <v>0.5</v>
      </c>
      <c r="S11" s="586" t="s">
        <v>269</v>
      </c>
      <c r="T11" s="590"/>
      <c r="U11" s="585">
        <v>2.5</v>
      </c>
      <c r="V11" s="586"/>
      <c r="W11" s="590"/>
      <c r="X11" s="587"/>
      <c r="Y11" s="586" t="s">
        <v>269</v>
      </c>
      <c r="Z11" s="590"/>
      <c r="AA11" s="585">
        <v>2.0</v>
      </c>
      <c r="AB11" s="589"/>
      <c r="AC11" s="590"/>
      <c r="AD11" s="588"/>
      <c r="AE11" s="586" t="s">
        <v>269</v>
      </c>
      <c r="AF11" s="585">
        <v>2.5</v>
      </c>
      <c r="AG11" s="585">
        <v>4.0</v>
      </c>
      <c r="AH11" s="589"/>
      <c r="AI11" s="590"/>
      <c r="AJ11" s="588"/>
      <c r="AK11" s="587">
        <v>-1.0</v>
      </c>
      <c r="AL11" s="593"/>
    </row>
    <row r="12">
      <c r="A12" s="578">
        <v>7.0</v>
      </c>
      <c r="B12" s="579" t="s">
        <v>125</v>
      </c>
      <c r="C12" s="580">
        <f t="shared" si="1"/>
        <v>17.5</v>
      </c>
      <c r="D12" s="594">
        <f t="shared" si="2"/>
        <v>2</v>
      </c>
      <c r="E12" s="595">
        <f t="shared" si="3"/>
        <v>5</v>
      </c>
      <c r="F12" s="596">
        <f t="shared" si="4"/>
        <v>12.5</v>
      </c>
      <c r="G12" s="584" t="s">
        <v>265</v>
      </c>
      <c r="H12" s="590"/>
      <c r="I12" s="585">
        <v>1.25</v>
      </c>
      <c r="J12" s="589"/>
      <c r="K12" s="590"/>
      <c r="L12" s="588"/>
      <c r="M12" s="584" t="s">
        <v>261</v>
      </c>
      <c r="N12" s="590"/>
      <c r="O12" s="585">
        <v>3.25</v>
      </c>
      <c r="P12" s="589"/>
      <c r="Q12" s="590"/>
      <c r="R12" s="588"/>
      <c r="S12" s="586" t="s">
        <v>261</v>
      </c>
      <c r="T12" s="585">
        <v>2.5</v>
      </c>
      <c r="U12" s="585">
        <v>3.25</v>
      </c>
      <c r="V12" s="586" t="s">
        <v>260</v>
      </c>
      <c r="W12" s="590"/>
      <c r="X12" s="587"/>
      <c r="Y12" s="586" t="s">
        <v>261</v>
      </c>
      <c r="Z12" s="585">
        <v>2.5</v>
      </c>
      <c r="AA12" s="585">
        <v>2.0</v>
      </c>
      <c r="AB12" s="589"/>
      <c r="AC12" s="590"/>
      <c r="AD12" s="588"/>
      <c r="AE12" s="586" t="s">
        <v>261</v>
      </c>
      <c r="AF12" s="590"/>
      <c r="AG12" s="585">
        <v>2.75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101</v>
      </c>
      <c r="C13" s="580">
        <f t="shared" si="1"/>
        <v>16.75</v>
      </c>
      <c r="D13" s="594">
        <f t="shared" si="2"/>
        <v>2</v>
      </c>
      <c r="E13" s="595">
        <f t="shared" si="3"/>
        <v>5</v>
      </c>
      <c r="F13" s="596">
        <f t="shared" si="4"/>
        <v>11.75</v>
      </c>
      <c r="G13" s="584" t="s">
        <v>261</v>
      </c>
      <c r="H13" s="585">
        <v>2.5</v>
      </c>
      <c r="I13" s="585">
        <v>3.0</v>
      </c>
      <c r="J13" s="589"/>
      <c r="K13" s="590"/>
      <c r="L13" s="588"/>
      <c r="M13" s="584" t="s">
        <v>261</v>
      </c>
      <c r="N13" s="590"/>
      <c r="O13" s="585">
        <v>1.75</v>
      </c>
      <c r="P13" s="586" t="s">
        <v>263</v>
      </c>
      <c r="Q13" s="590"/>
      <c r="R13" s="587"/>
      <c r="S13" s="586" t="s">
        <v>265</v>
      </c>
      <c r="T13" s="590"/>
      <c r="U13" s="585">
        <v>2.5</v>
      </c>
      <c r="V13" s="586" t="s">
        <v>263</v>
      </c>
      <c r="W13" s="590"/>
      <c r="X13" s="588"/>
      <c r="Y13" s="586" t="s">
        <v>261</v>
      </c>
      <c r="Z13" s="585">
        <v>2.5</v>
      </c>
      <c r="AA13" s="591">
        <v>2.25</v>
      </c>
      <c r="AB13" s="586" t="s">
        <v>11</v>
      </c>
      <c r="AC13" s="590"/>
      <c r="AD13" s="587">
        <v>0.5</v>
      </c>
      <c r="AE13" s="586" t="s">
        <v>261</v>
      </c>
      <c r="AF13" s="590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94</v>
      </c>
      <c r="C14" s="580">
        <f t="shared" si="1"/>
        <v>16.5</v>
      </c>
      <c r="D14" s="594">
        <f t="shared" si="2"/>
        <v>2</v>
      </c>
      <c r="E14" s="595">
        <f t="shared" si="3"/>
        <v>5</v>
      </c>
      <c r="F14" s="596">
        <f t="shared" si="4"/>
        <v>11.5</v>
      </c>
      <c r="G14" s="584" t="s">
        <v>269</v>
      </c>
      <c r="H14" s="598"/>
      <c r="I14" s="585">
        <v>2.25</v>
      </c>
      <c r="J14" s="586"/>
      <c r="K14" s="590"/>
      <c r="L14" s="588"/>
      <c r="M14" s="584" t="s">
        <v>269</v>
      </c>
      <c r="N14" s="597">
        <v>2.5</v>
      </c>
      <c r="O14" s="585">
        <v>2.5</v>
      </c>
      <c r="P14" s="589"/>
      <c r="Q14" s="590"/>
      <c r="R14" s="588"/>
      <c r="S14" s="586" t="s">
        <v>261</v>
      </c>
      <c r="T14" s="597">
        <v>2.5</v>
      </c>
      <c r="U14" s="600">
        <v>2.0</v>
      </c>
      <c r="V14" s="586"/>
      <c r="W14" s="590"/>
      <c r="X14" s="588"/>
      <c r="Y14" s="586" t="s">
        <v>269</v>
      </c>
      <c r="Z14" s="598"/>
      <c r="AA14" s="591">
        <v>2.25</v>
      </c>
      <c r="AB14" s="586"/>
      <c r="AC14" s="585"/>
      <c r="AD14" s="587"/>
      <c r="AE14" s="586" t="s">
        <v>261</v>
      </c>
      <c r="AF14" s="598"/>
      <c r="AG14" s="585">
        <v>2.5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105</v>
      </c>
      <c r="C15" s="580">
        <f t="shared" si="1"/>
        <v>10.75</v>
      </c>
      <c r="D15" s="603">
        <f t="shared" si="2"/>
        <v>0</v>
      </c>
      <c r="E15" s="604">
        <f t="shared" si="3"/>
        <v>0</v>
      </c>
      <c r="F15" s="605">
        <f t="shared" si="4"/>
        <v>10.75</v>
      </c>
      <c r="G15" s="606" t="s">
        <v>269</v>
      </c>
      <c r="H15" s="609"/>
      <c r="I15" s="607">
        <v>1.5</v>
      </c>
      <c r="J15" s="611"/>
      <c r="K15" s="609"/>
      <c r="L15" s="610"/>
      <c r="M15" s="606" t="s">
        <v>261</v>
      </c>
      <c r="N15" s="609"/>
      <c r="O15" s="607">
        <v>3.0</v>
      </c>
      <c r="P15" s="611"/>
      <c r="Q15" s="607"/>
      <c r="R15" s="612"/>
      <c r="S15" s="611" t="s">
        <v>269</v>
      </c>
      <c r="T15" s="609"/>
      <c r="U15" s="607">
        <v>2.0</v>
      </c>
      <c r="V15" s="608"/>
      <c r="W15" s="609"/>
      <c r="X15" s="610"/>
      <c r="Y15" s="611" t="s">
        <v>265</v>
      </c>
      <c r="Z15" s="609"/>
      <c r="AA15" s="634">
        <v>2.0</v>
      </c>
      <c r="AB15" s="608"/>
      <c r="AC15" s="609"/>
      <c r="AD15" s="610"/>
      <c r="AE15" s="611" t="s">
        <v>271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264</v>
      </c>
      <c r="T18" s="548"/>
      <c r="U18" s="548"/>
      <c r="V18" s="548"/>
      <c r="W18" s="548"/>
      <c r="X18" s="549"/>
      <c r="Y18" s="621" t="s">
        <v>262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380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110</v>
      </c>
      <c r="C6" s="580">
        <f t="shared" ref="C6:C15" si="1">SUM(H6:AK6)</f>
        <v>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</v>
      </c>
      <c r="G6" s="584" t="s">
        <v>261</v>
      </c>
      <c r="H6" s="585">
        <v>2.5</v>
      </c>
      <c r="I6" s="585">
        <v>3.25</v>
      </c>
      <c r="J6" s="586"/>
      <c r="K6" s="585"/>
      <c r="L6" s="587"/>
      <c r="M6" s="584" t="s">
        <v>261</v>
      </c>
      <c r="N6" s="585">
        <v>2.5</v>
      </c>
      <c r="O6" s="585">
        <v>2.75</v>
      </c>
      <c r="P6" s="586"/>
      <c r="Q6" s="585"/>
      <c r="R6" s="588"/>
      <c r="S6" s="586" t="s">
        <v>269</v>
      </c>
      <c r="T6" s="585">
        <v>2.5</v>
      </c>
      <c r="U6" s="585">
        <v>3.25</v>
      </c>
      <c r="V6" s="589"/>
      <c r="W6" s="590"/>
      <c r="X6" s="588"/>
      <c r="Y6" s="586" t="s">
        <v>265</v>
      </c>
      <c r="Z6" s="585">
        <v>2.5</v>
      </c>
      <c r="AA6" s="591">
        <v>3.75</v>
      </c>
      <c r="AB6" s="589"/>
      <c r="AC6" s="590"/>
      <c r="AD6" s="588"/>
      <c r="AE6" s="586" t="s">
        <v>265</v>
      </c>
      <c r="AF6" s="585"/>
      <c r="AG6" s="585">
        <v>2.0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153</v>
      </c>
      <c r="C7" s="580">
        <f t="shared" si="1"/>
        <v>23.5</v>
      </c>
      <c r="D7" s="594">
        <f t="shared" si="2"/>
        <v>3</v>
      </c>
      <c r="E7" s="595">
        <f t="shared" si="3"/>
        <v>7.5</v>
      </c>
      <c r="F7" s="596">
        <f t="shared" si="4"/>
        <v>16</v>
      </c>
      <c r="G7" s="584" t="s">
        <v>265</v>
      </c>
      <c r="H7" s="597"/>
      <c r="I7" s="585">
        <v>3.0</v>
      </c>
      <c r="J7" s="586"/>
      <c r="K7" s="585"/>
      <c r="L7" s="588"/>
      <c r="M7" s="584" t="s">
        <v>261</v>
      </c>
      <c r="N7" s="597">
        <v>2.5</v>
      </c>
      <c r="O7" s="585">
        <v>3.75</v>
      </c>
      <c r="P7" s="586" t="s">
        <v>11</v>
      </c>
      <c r="Q7" s="585">
        <v>0.5</v>
      </c>
      <c r="R7" s="587">
        <v>0.5</v>
      </c>
      <c r="S7" s="586" t="s">
        <v>261</v>
      </c>
      <c r="T7" s="598"/>
      <c r="U7" s="585">
        <v>1.0</v>
      </c>
      <c r="V7" s="586"/>
      <c r="W7" s="590"/>
      <c r="X7" s="588"/>
      <c r="Y7" s="586" t="s">
        <v>269</v>
      </c>
      <c r="Z7" s="597">
        <v>2.5</v>
      </c>
      <c r="AA7" s="591">
        <v>3.75</v>
      </c>
      <c r="AB7" s="589"/>
      <c r="AC7" s="590"/>
      <c r="AD7" s="588"/>
      <c r="AE7" s="586" t="s">
        <v>261</v>
      </c>
      <c r="AF7" s="597">
        <v>2.5</v>
      </c>
      <c r="AG7" s="585">
        <v>3.5</v>
      </c>
      <c r="AH7" s="589"/>
      <c r="AI7" s="590"/>
      <c r="AJ7" s="588"/>
      <c r="AK7" s="588"/>
      <c r="AL7" s="593"/>
    </row>
    <row r="8">
      <c r="A8" s="578">
        <v>3.0</v>
      </c>
      <c r="B8" s="579" t="s">
        <v>96</v>
      </c>
      <c r="C8" s="580">
        <f t="shared" si="1"/>
        <v>23.25</v>
      </c>
      <c r="D8" s="594">
        <f t="shared" si="2"/>
        <v>3</v>
      </c>
      <c r="E8" s="595">
        <f t="shared" si="3"/>
        <v>7.5</v>
      </c>
      <c r="F8" s="596">
        <f t="shared" si="4"/>
        <v>15.75</v>
      </c>
      <c r="G8" s="584" t="s">
        <v>271</v>
      </c>
      <c r="H8" s="585">
        <v>2.5</v>
      </c>
      <c r="I8" s="585">
        <v>3.75</v>
      </c>
      <c r="J8" s="586"/>
      <c r="K8" s="590"/>
      <c r="L8" s="588"/>
      <c r="M8" s="584" t="s">
        <v>261</v>
      </c>
      <c r="N8" s="585">
        <v>2.5</v>
      </c>
      <c r="O8" s="585">
        <v>4.0</v>
      </c>
      <c r="P8" s="586" t="s">
        <v>260</v>
      </c>
      <c r="Q8" s="585"/>
      <c r="R8" s="587"/>
      <c r="S8" s="586" t="s">
        <v>261</v>
      </c>
      <c r="T8" s="590"/>
      <c r="U8" s="585">
        <v>2.5</v>
      </c>
      <c r="V8" s="586" t="s">
        <v>11</v>
      </c>
      <c r="W8" s="590"/>
      <c r="X8" s="587">
        <v>0.5</v>
      </c>
      <c r="Y8" s="586" t="s">
        <v>261</v>
      </c>
      <c r="Z8" s="590"/>
      <c r="AA8" s="591">
        <v>1.75</v>
      </c>
      <c r="AB8" s="589"/>
      <c r="AC8" s="590"/>
      <c r="AD8" s="588"/>
      <c r="AE8" s="586" t="s">
        <v>261</v>
      </c>
      <c r="AF8" s="585">
        <v>2.5</v>
      </c>
      <c r="AG8" s="600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104</v>
      </c>
      <c r="C9" s="580">
        <f t="shared" si="1"/>
        <v>21</v>
      </c>
      <c r="D9" s="594">
        <f t="shared" si="2"/>
        <v>3</v>
      </c>
      <c r="E9" s="595">
        <f t="shared" si="3"/>
        <v>7.5</v>
      </c>
      <c r="F9" s="596">
        <f t="shared" si="4"/>
        <v>13.5</v>
      </c>
      <c r="G9" s="584" t="s">
        <v>261</v>
      </c>
      <c r="H9" s="597">
        <v>2.5</v>
      </c>
      <c r="I9" s="585">
        <v>2.0</v>
      </c>
      <c r="J9" s="586"/>
      <c r="K9" s="590"/>
      <c r="L9" s="588"/>
      <c r="M9" s="584" t="s">
        <v>265</v>
      </c>
      <c r="N9" s="597"/>
      <c r="O9" s="585">
        <v>2.0</v>
      </c>
      <c r="P9" s="589"/>
      <c r="Q9" s="590"/>
      <c r="R9" s="588"/>
      <c r="S9" s="586" t="s">
        <v>265</v>
      </c>
      <c r="T9" s="597">
        <v>2.5</v>
      </c>
      <c r="U9" s="585">
        <v>4.5</v>
      </c>
      <c r="V9" s="586"/>
      <c r="W9" s="590"/>
      <c r="X9" s="588"/>
      <c r="Y9" s="586" t="s">
        <v>261</v>
      </c>
      <c r="Z9" s="598"/>
      <c r="AA9" s="591">
        <v>2.5</v>
      </c>
      <c r="AB9" s="586"/>
      <c r="AC9" s="585"/>
      <c r="AD9" s="587"/>
      <c r="AE9" s="586" t="s">
        <v>261</v>
      </c>
      <c r="AF9" s="597">
        <v>2.5</v>
      </c>
      <c r="AG9" s="585">
        <v>2.5</v>
      </c>
      <c r="AH9" s="586"/>
      <c r="AI9" s="590"/>
      <c r="AJ9" s="587"/>
      <c r="AK9" s="588"/>
      <c r="AL9" s="593"/>
    </row>
    <row r="10">
      <c r="A10" s="578">
        <v>5.0</v>
      </c>
      <c r="B10" s="579" t="s">
        <v>113</v>
      </c>
      <c r="C10" s="580">
        <f t="shared" si="1"/>
        <v>21</v>
      </c>
      <c r="D10" s="594">
        <f t="shared" si="2"/>
        <v>2</v>
      </c>
      <c r="E10" s="595">
        <f t="shared" si="3"/>
        <v>5</v>
      </c>
      <c r="F10" s="596">
        <f t="shared" si="4"/>
        <v>16</v>
      </c>
      <c r="G10" s="584" t="s">
        <v>261</v>
      </c>
      <c r="H10" s="585">
        <v>2.5</v>
      </c>
      <c r="I10" s="585">
        <v>3.5</v>
      </c>
      <c r="J10" s="589"/>
      <c r="K10" s="590"/>
      <c r="L10" s="588"/>
      <c r="M10" s="584" t="s">
        <v>269</v>
      </c>
      <c r="N10" s="585"/>
      <c r="O10" s="585">
        <v>2.5</v>
      </c>
      <c r="P10" s="586" t="s">
        <v>263</v>
      </c>
      <c r="Q10" s="590"/>
      <c r="R10" s="588"/>
      <c r="S10" s="586" t="s">
        <v>269</v>
      </c>
      <c r="T10" s="585">
        <v>2.5</v>
      </c>
      <c r="U10" s="585">
        <v>3.25</v>
      </c>
      <c r="V10" s="586"/>
      <c r="W10" s="590"/>
      <c r="X10" s="587"/>
      <c r="Y10" s="586" t="s">
        <v>261</v>
      </c>
      <c r="Z10" s="590"/>
      <c r="AA10" s="585">
        <v>3.25</v>
      </c>
      <c r="AB10" s="586" t="s">
        <v>11</v>
      </c>
      <c r="AC10" s="585">
        <v>0.5</v>
      </c>
      <c r="AD10" s="587">
        <v>0.5</v>
      </c>
      <c r="AE10" s="586" t="s">
        <v>269</v>
      </c>
      <c r="AF10" s="585"/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79</v>
      </c>
      <c r="C11" s="580">
        <f t="shared" si="1"/>
        <v>20.75</v>
      </c>
      <c r="D11" s="594">
        <f t="shared" si="2"/>
        <v>3</v>
      </c>
      <c r="E11" s="595">
        <f t="shared" si="3"/>
        <v>7.5</v>
      </c>
      <c r="F11" s="596">
        <f t="shared" si="4"/>
        <v>13.25</v>
      </c>
      <c r="G11" s="584" t="s">
        <v>261</v>
      </c>
      <c r="H11" s="597">
        <v>2.5</v>
      </c>
      <c r="I11" s="585">
        <v>2.5</v>
      </c>
      <c r="J11" s="586" t="s">
        <v>11</v>
      </c>
      <c r="K11" s="590"/>
      <c r="L11" s="587">
        <v>0.5</v>
      </c>
      <c r="M11" s="584" t="s">
        <v>261</v>
      </c>
      <c r="N11" s="597">
        <v>2.5</v>
      </c>
      <c r="O11" s="585">
        <v>3.25</v>
      </c>
      <c r="P11" s="589"/>
      <c r="Q11" s="590"/>
      <c r="R11" s="588"/>
      <c r="S11" s="586" t="s">
        <v>271</v>
      </c>
      <c r="T11" s="598"/>
      <c r="U11" s="585">
        <v>1.75</v>
      </c>
      <c r="V11" s="586"/>
      <c r="W11" s="590"/>
      <c r="X11" s="588"/>
      <c r="Y11" s="586" t="s">
        <v>261</v>
      </c>
      <c r="Z11" s="598"/>
      <c r="AA11" s="591">
        <v>1.75</v>
      </c>
      <c r="AB11" s="589"/>
      <c r="AC11" s="590"/>
      <c r="AD11" s="588"/>
      <c r="AE11" s="586" t="s">
        <v>261</v>
      </c>
      <c r="AF11" s="597">
        <v>2.5</v>
      </c>
      <c r="AG11" s="585">
        <v>3.5</v>
      </c>
      <c r="AH11" s="586"/>
      <c r="AI11" s="590"/>
      <c r="AJ11" s="587"/>
      <c r="AK11" s="588"/>
      <c r="AL11" s="593"/>
    </row>
    <row r="12">
      <c r="A12" s="578">
        <v>7.0</v>
      </c>
      <c r="B12" s="579" t="s">
        <v>99</v>
      </c>
      <c r="C12" s="580">
        <f t="shared" si="1"/>
        <v>19</v>
      </c>
      <c r="D12" s="594">
        <f t="shared" si="2"/>
        <v>2</v>
      </c>
      <c r="E12" s="595">
        <f t="shared" si="3"/>
        <v>5</v>
      </c>
      <c r="F12" s="596">
        <f t="shared" si="4"/>
        <v>14</v>
      </c>
      <c r="G12" s="584" t="s">
        <v>269</v>
      </c>
      <c r="H12" s="590"/>
      <c r="I12" s="585">
        <v>2.5</v>
      </c>
      <c r="J12" s="589"/>
      <c r="K12" s="590"/>
      <c r="L12" s="588"/>
      <c r="M12" s="584" t="s">
        <v>271</v>
      </c>
      <c r="N12" s="585">
        <v>2.5</v>
      </c>
      <c r="O12" s="585">
        <v>3.0</v>
      </c>
      <c r="P12" s="586"/>
      <c r="Q12" s="590"/>
      <c r="R12" s="587"/>
      <c r="S12" s="586" t="s">
        <v>261</v>
      </c>
      <c r="T12" s="590"/>
      <c r="U12" s="585">
        <v>2.25</v>
      </c>
      <c r="V12" s="586"/>
      <c r="W12" s="590"/>
      <c r="X12" s="588"/>
      <c r="Y12" s="586" t="s">
        <v>261</v>
      </c>
      <c r="Z12" s="590"/>
      <c r="AA12" s="591">
        <v>3.25</v>
      </c>
      <c r="AB12" s="586"/>
      <c r="AC12" s="590"/>
      <c r="AD12" s="587"/>
      <c r="AE12" s="586" t="s">
        <v>261</v>
      </c>
      <c r="AF12" s="585">
        <v>2.5</v>
      </c>
      <c r="AG12" s="585">
        <v>3.0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169</v>
      </c>
      <c r="C13" s="580">
        <f t="shared" si="1"/>
        <v>18.75</v>
      </c>
      <c r="D13" s="594">
        <f t="shared" si="2"/>
        <v>3</v>
      </c>
      <c r="E13" s="595">
        <f t="shared" si="3"/>
        <v>7.5</v>
      </c>
      <c r="F13" s="596">
        <f t="shared" si="4"/>
        <v>11.25</v>
      </c>
      <c r="G13" s="584" t="s">
        <v>269</v>
      </c>
      <c r="H13" s="585"/>
      <c r="I13" s="641">
        <v>1.0</v>
      </c>
      <c r="J13" s="586"/>
      <c r="K13" s="590"/>
      <c r="L13" s="588"/>
      <c r="M13" s="584" t="s">
        <v>261</v>
      </c>
      <c r="N13" s="585">
        <v>2.5</v>
      </c>
      <c r="O13" s="585">
        <v>2.0</v>
      </c>
      <c r="P13" s="586" t="s">
        <v>260</v>
      </c>
      <c r="Q13" s="590"/>
      <c r="R13" s="588"/>
      <c r="S13" s="586" t="s">
        <v>261</v>
      </c>
      <c r="T13" s="590"/>
      <c r="U13" s="585">
        <v>2.25</v>
      </c>
      <c r="V13" s="586"/>
      <c r="W13" s="590"/>
      <c r="X13" s="587"/>
      <c r="Y13" s="586" t="s">
        <v>269</v>
      </c>
      <c r="Z13" s="585">
        <v>2.5</v>
      </c>
      <c r="AA13" s="585">
        <v>3.0</v>
      </c>
      <c r="AB13" s="589"/>
      <c r="AC13" s="590"/>
      <c r="AD13" s="588"/>
      <c r="AE13" s="586" t="s">
        <v>271</v>
      </c>
      <c r="AF13" s="585">
        <v>2.5</v>
      </c>
      <c r="AG13" s="585">
        <v>3.0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133</v>
      </c>
      <c r="C14" s="580">
        <f t="shared" si="1"/>
        <v>17</v>
      </c>
      <c r="D14" s="594">
        <f t="shared" si="2"/>
        <v>2</v>
      </c>
      <c r="E14" s="595">
        <f t="shared" si="3"/>
        <v>5</v>
      </c>
      <c r="F14" s="596">
        <f t="shared" si="4"/>
        <v>12</v>
      </c>
      <c r="G14" s="584" t="s">
        <v>261</v>
      </c>
      <c r="H14" s="585">
        <v>2.5</v>
      </c>
      <c r="I14" s="585">
        <v>3.75</v>
      </c>
      <c r="J14" s="589"/>
      <c r="K14" s="590"/>
      <c r="L14" s="588"/>
      <c r="M14" s="584" t="s">
        <v>261</v>
      </c>
      <c r="N14" s="585">
        <v>2.5</v>
      </c>
      <c r="O14" s="585">
        <v>2.75</v>
      </c>
      <c r="P14" s="589"/>
      <c r="Q14" s="590"/>
      <c r="R14" s="588"/>
      <c r="S14" s="586" t="s">
        <v>261</v>
      </c>
      <c r="T14" s="590"/>
      <c r="U14" s="585">
        <v>1.0</v>
      </c>
      <c r="V14" s="586"/>
      <c r="W14" s="590"/>
      <c r="X14" s="588"/>
      <c r="Y14" s="586" t="s">
        <v>261</v>
      </c>
      <c r="Z14" s="590"/>
      <c r="AA14" s="591">
        <v>1.75</v>
      </c>
      <c r="AB14" s="589"/>
      <c r="AC14" s="590"/>
      <c r="AD14" s="588"/>
      <c r="AE14" s="586" t="s">
        <v>269</v>
      </c>
      <c r="AF14" s="585"/>
      <c r="AG14" s="585">
        <v>2.75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92</v>
      </c>
      <c r="C15" s="580">
        <f t="shared" si="1"/>
        <v>16</v>
      </c>
      <c r="D15" s="603">
        <f t="shared" si="2"/>
        <v>2</v>
      </c>
      <c r="E15" s="604">
        <f t="shared" si="3"/>
        <v>5</v>
      </c>
      <c r="F15" s="605">
        <f t="shared" si="4"/>
        <v>11</v>
      </c>
      <c r="G15" s="606" t="s">
        <v>261</v>
      </c>
      <c r="H15" s="607">
        <v>2.5</v>
      </c>
      <c r="I15" s="607">
        <v>3.0</v>
      </c>
      <c r="J15" s="611"/>
      <c r="K15" s="609"/>
      <c r="L15" s="610"/>
      <c r="M15" s="606" t="s">
        <v>269</v>
      </c>
      <c r="N15" s="607"/>
      <c r="O15" s="607">
        <v>2.0</v>
      </c>
      <c r="P15" s="611"/>
      <c r="Q15" s="609"/>
      <c r="R15" s="610"/>
      <c r="S15" s="611" t="s">
        <v>261</v>
      </c>
      <c r="T15" s="609"/>
      <c r="U15" s="607">
        <v>1.0</v>
      </c>
      <c r="V15" s="611"/>
      <c r="W15" s="609"/>
      <c r="X15" s="610"/>
      <c r="Y15" s="611" t="s">
        <v>271</v>
      </c>
      <c r="Z15" s="609"/>
      <c r="AA15" s="634">
        <v>2.5</v>
      </c>
      <c r="AB15" s="608"/>
      <c r="AC15" s="609"/>
      <c r="AD15" s="610"/>
      <c r="AE15" s="611" t="s">
        <v>261</v>
      </c>
      <c r="AF15" s="607">
        <v>2.5</v>
      </c>
      <c r="AG15" s="607">
        <v>2.0</v>
      </c>
      <c r="AH15" s="611" t="s">
        <v>11</v>
      </c>
      <c r="AI15" s="609"/>
      <c r="AJ15" s="612">
        <v>0.5</v>
      </c>
      <c r="AK15" s="642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339</v>
      </c>
      <c r="L16" s="543"/>
      <c r="M16" s="616" t="s">
        <v>381</v>
      </c>
      <c r="R16" s="543"/>
      <c r="S16" s="616" t="s">
        <v>382</v>
      </c>
      <c r="X16" s="543"/>
      <c r="Y16" s="616" t="s">
        <v>373</v>
      </c>
      <c r="AD16" s="543"/>
      <c r="AE16" s="616" t="s">
        <v>383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169</v>
      </c>
      <c r="C26" s="631" t="s">
        <v>16</v>
      </c>
      <c r="D26" s="630">
        <v>0.5</v>
      </c>
      <c r="E26" s="632"/>
      <c r="F26" s="632"/>
      <c r="AK26" s="62"/>
    </row>
    <row r="27">
      <c r="A27" s="631">
        <v>5.0</v>
      </c>
      <c r="B27" s="631" t="s">
        <v>96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384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84</v>
      </c>
      <c r="C6" s="580">
        <f t="shared" ref="C6:C15" si="1">SUM(H6:AK6)</f>
        <v>17.75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12.75</v>
      </c>
      <c r="G6" s="584" t="s">
        <v>261</v>
      </c>
      <c r="H6" s="598"/>
      <c r="I6" s="585">
        <v>1.75</v>
      </c>
      <c r="J6" s="586"/>
      <c r="K6" s="590"/>
      <c r="L6" s="588"/>
      <c r="M6" s="584" t="s">
        <v>269</v>
      </c>
      <c r="N6" s="597">
        <v>2.5</v>
      </c>
      <c r="O6" s="585">
        <v>3.75</v>
      </c>
      <c r="P6" s="589"/>
      <c r="Q6" s="590"/>
      <c r="R6" s="588"/>
      <c r="S6" s="586" t="s">
        <v>261</v>
      </c>
      <c r="T6" s="598"/>
      <c r="U6" s="585">
        <v>2.0</v>
      </c>
      <c r="V6" s="586"/>
      <c r="W6" s="590"/>
      <c r="X6" s="588"/>
      <c r="Y6" s="586" t="s">
        <v>261</v>
      </c>
      <c r="Z6" s="598"/>
      <c r="AA6" s="591">
        <v>3.0</v>
      </c>
      <c r="AB6" s="589"/>
      <c r="AC6" s="590"/>
      <c r="AD6" s="588"/>
      <c r="AE6" s="586" t="s">
        <v>261</v>
      </c>
      <c r="AF6" s="597">
        <v>2.5</v>
      </c>
      <c r="AG6" s="585">
        <v>2.25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97</v>
      </c>
      <c r="C7" s="580">
        <f t="shared" si="1"/>
        <v>18</v>
      </c>
      <c r="D7" s="594">
        <f t="shared" si="2"/>
        <v>2</v>
      </c>
      <c r="E7" s="595">
        <f t="shared" si="3"/>
        <v>5</v>
      </c>
      <c r="F7" s="596">
        <f t="shared" si="4"/>
        <v>13</v>
      </c>
      <c r="G7" s="584" t="s">
        <v>271</v>
      </c>
      <c r="H7" s="598"/>
      <c r="I7" s="585">
        <v>1.75</v>
      </c>
      <c r="J7" s="586"/>
      <c r="K7" s="590"/>
      <c r="L7" s="588"/>
      <c r="M7" s="584" t="s">
        <v>261</v>
      </c>
      <c r="N7" s="598"/>
      <c r="O7" s="585">
        <v>2.5</v>
      </c>
      <c r="P7" s="589"/>
      <c r="Q7" s="590"/>
      <c r="R7" s="588"/>
      <c r="S7" s="586" t="s">
        <v>265</v>
      </c>
      <c r="T7" s="597">
        <v>2.5</v>
      </c>
      <c r="U7" s="585">
        <v>3.75</v>
      </c>
      <c r="V7" s="586" t="s">
        <v>260</v>
      </c>
      <c r="W7" s="590"/>
      <c r="X7" s="588"/>
      <c r="Y7" s="586" t="s">
        <v>269</v>
      </c>
      <c r="Z7" s="597">
        <v>2.5</v>
      </c>
      <c r="AA7" s="591">
        <v>3.0</v>
      </c>
      <c r="AB7" s="586"/>
      <c r="AC7" s="585"/>
      <c r="AD7" s="587"/>
      <c r="AE7" s="586" t="s">
        <v>269</v>
      </c>
      <c r="AF7" s="598"/>
      <c r="AG7" s="585">
        <v>2.0</v>
      </c>
      <c r="AH7" s="586"/>
      <c r="AI7" s="590"/>
      <c r="AJ7" s="587"/>
      <c r="AK7" s="588"/>
      <c r="AL7" s="593"/>
    </row>
    <row r="8">
      <c r="A8" s="578">
        <v>3.0</v>
      </c>
      <c r="B8" s="579" t="s">
        <v>153</v>
      </c>
      <c r="C8" s="580">
        <f t="shared" si="1"/>
        <v>23.75</v>
      </c>
      <c r="D8" s="594">
        <f t="shared" si="2"/>
        <v>3</v>
      </c>
      <c r="E8" s="595">
        <f t="shared" si="3"/>
        <v>7.5</v>
      </c>
      <c r="F8" s="596">
        <f t="shared" si="4"/>
        <v>16.25</v>
      </c>
      <c r="G8" s="584" t="s">
        <v>261</v>
      </c>
      <c r="H8" s="590"/>
      <c r="I8" s="585">
        <v>3.5</v>
      </c>
      <c r="J8" s="589"/>
      <c r="K8" s="590"/>
      <c r="L8" s="588"/>
      <c r="M8" s="584" t="s">
        <v>265</v>
      </c>
      <c r="N8" s="585">
        <v>2.5</v>
      </c>
      <c r="O8" s="585">
        <v>2.75</v>
      </c>
      <c r="P8" s="589"/>
      <c r="Q8" s="590"/>
      <c r="R8" s="588"/>
      <c r="S8" s="586" t="s">
        <v>269</v>
      </c>
      <c r="T8" s="585">
        <v>2.5</v>
      </c>
      <c r="U8" s="585">
        <v>3.5</v>
      </c>
      <c r="V8" s="586"/>
      <c r="W8" s="590"/>
      <c r="X8" s="587"/>
      <c r="Y8" s="586" t="s">
        <v>265</v>
      </c>
      <c r="Z8" s="585">
        <v>2.5</v>
      </c>
      <c r="AA8" s="585">
        <v>4.5</v>
      </c>
      <c r="AB8" s="589"/>
      <c r="AC8" s="590"/>
      <c r="AD8" s="588"/>
      <c r="AE8" s="586" t="s">
        <v>269</v>
      </c>
      <c r="AF8" s="585"/>
      <c r="AG8" s="585">
        <v>2.0</v>
      </c>
      <c r="AH8" s="589"/>
      <c r="AI8" s="590"/>
      <c r="AJ8" s="588"/>
      <c r="AK8" s="588"/>
      <c r="AL8" s="593"/>
    </row>
    <row r="9">
      <c r="A9" s="578">
        <v>4.0</v>
      </c>
      <c r="B9" s="579" t="s">
        <v>98</v>
      </c>
      <c r="C9" s="580">
        <f t="shared" si="1"/>
        <v>23.5</v>
      </c>
      <c r="D9" s="594">
        <f t="shared" si="2"/>
        <v>3</v>
      </c>
      <c r="E9" s="595">
        <f t="shared" si="3"/>
        <v>7.5</v>
      </c>
      <c r="F9" s="596">
        <f t="shared" si="4"/>
        <v>16</v>
      </c>
      <c r="G9" s="584" t="s">
        <v>265</v>
      </c>
      <c r="H9" s="585">
        <v>2.5</v>
      </c>
      <c r="I9" s="585">
        <v>4.5</v>
      </c>
      <c r="J9" s="586"/>
      <c r="K9" s="590"/>
      <c r="L9" s="588"/>
      <c r="M9" s="584" t="s">
        <v>261</v>
      </c>
      <c r="N9" s="590"/>
      <c r="O9" s="585">
        <v>2.5</v>
      </c>
      <c r="P9" s="586"/>
      <c r="Q9" s="590"/>
      <c r="R9" s="588"/>
      <c r="S9" s="586" t="s">
        <v>271</v>
      </c>
      <c r="T9" s="590"/>
      <c r="U9" s="585">
        <v>2.5</v>
      </c>
      <c r="V9" s="586"/>
      <c r="W9" s="590"/>
      <c r="X9" s="588"/>
      <c r="Y9" s="586" t="s">
        <v>269</v>
      </c>
      <c r="Z9" s="585">
        <v>2.5</v>
      </c>
      <c r="AA9" s="591">
        <v>3.5</v>
      </c>
      <c r="AB9" s="589"/>
      <c r="AC9" s="590"/>
      <c r="AD9" s="588"/>
      <c r="AE9" s="586" t="s">
        <v>261</v>
      </c>
      <c r="AF9" s="585">
        <v>2.5</v>
      </c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108</v>
      </c>
      <c r="C10" s="580">
        <f t="shared" si="1"/>
        <v>18.5</v>
      </c>
      <c r="D10" s="594">
        <f t="shared" si="2"/>
        <v>2</v>
      </c>
      <c r="E10" s="595">
        <f t="shared" si="3"/>
        <v>5</v>
      </c>
      <c r="F10" s="596">
        <f t="shared" si="4"/>
        <v>13.5</v>
      </c>
      <c r="G10" s="584" t="s">
        <v>269</v>
      </c>
      <c r="H10" s="585">
        <v>2.5</v>
      </c>
      <c r="I10" s="585">
        <v>2.75</v>
      </c>
      <c r="J10" s="589"/>
      <c r="K10" s="590"/>
      <c r="L10" s="588"/>
      <c r="M10" s="584" t="s">
        <v>271</v>
      </c>
      <c r="N10" s="590"/>
      <c r="O10" s="585">
        <v>2.25</v>
      </c>
      <c r="P10" s="586"/>
      <c r="Q10" s="590"/>
      <c r="R10" s="587"/>
      <c r="S10" s="586" t="s">
        <v>261</v>
      </c>
      <c r="T10" s="590"/>
      <c r="U10" s="585">
        <v>2.5</v>
      </c>
      <c r="V10" s="586"/>
      <c r="W10" s="590"/>
      <c r="X10" s="588"/>
      <c r="Y10" s="586" t="s">
        <v>261</v>
      </c>
      <c r="Z10" s="590"/>
      <c r="AA10" s="591">
        <v>2.5</v>
      </c>
      <c r="AB10" s="586" t="s">
        <v>11</v>
      </c>
      <c r="AC10" s="590"/>
      <c r="AD10" s="587">
        <v>0.5</v>
      </c>
      <c r="AE10" s="586" t="s">
        <v>261</v>
      </c>
      <c r="AF10" s="585">
        <v>2.5</v>
      </c>
      <c r="AG10" s="585">
        <v>3.0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137</v>
      </c>
      <c r="C11" s="580">
        <f t="shared" si="1"/>
        <v>14</v>
      </c>
      <c r="D11" s="594">
        <f t="shared" si="2"/>
        <v>1</v>
      </c>
      <c r="E11" s="595">
        <f t="shared" si="3"/>
        <v>2.5</v>
      </c>
      <c r="F11" s="596">
        <f t="shared" si="4"/>
        <v>11.5</v>
      </c>
      <c r="G11" s="584" t="s">
        <v>261</v>
      </c>
      <c r="H11" s="590"/>
      <c r="I11" s="585">
        <v>2.0</v>
      </c>
      <c r="J11" s="586"/>
      <c r="K11" s="590"/>
      <c r="L11" s="588"/>
      <c r="M11" s="584" t="s">
        <v>261</v>
      </c>
      <c r="N11" s="590"/>
      <c r="O11" s="585">
        <v>2.0</v>
      </c>
      <c r="P11" s="586"/>
      <c r="Q11" s="585"/>
      <c r="R11" s="587"/>
      <c r="S11" s="586" t="s">
        <v>261</v>
      </c>
      <c r="T11" s="590"/>
      <c r="U11" s="585">
        <v>2.5</v>
      </c>
      <c r="V11" s="589"/>
      <c r="W11" s="590"/>
      <c r="X11" s="588"/>
      <c r="Y11" s="586" t="s">
        <v>261</v>
      </c>
      <c r="Z11" s="590"/>
      <c r="AA11" s="591">
        <v>1.0</v>
      </c>
      <c r="AB11" s="589"/>
      <c r="AC11" s="590"/>
      <c r="AD11" s="588"/>
      <c r="AE11" s="586" t="s">
        <v>261</v>
      </c>
      <c r="AF11" s="585">
        <v>2.5</v>
      </c>
      <c r="AG11" s="585">
        <v>4.0</v>
      </c>
      <c r="AH11" s="586" t="s">
        <v>260</v>
      </c>
      <c r="AI11" s="590"/>
      <c r="AJ11" s="588"/>
      <c r="AK11" s="588"/>
      <c r="AL11" s="593"/>
    </row>
    <row r="12">
      <c r="A12" s="578">
        <v>7.0</v>
      </c>
      <c r="B12" s="579" t="s">
        <v>118</v>
      </c>
      <c r="C12" s="580">
        <f t="shared" si="1"/>
        <v>15.5</v>
      </c>
      <c r="D12" s="594">
        <f t="shared" si="2"/>
        <v>1</v>
      </c>
      <c r="E12" s="595">
        <f t="shared" si="3"/>
        <v>2.5</v>
      </c>
      <c r="F12" s="596">
        <f t="shared" si="4"/>
        <v>13</v>
      </c>
      <c r="G12" s="584" t="s">
        <v>261</v>
      </c>
      <c r="H12" s="590"/>
      <c r="I12" s="585">
        <v>2.0</v>
      </c>
      <c r="J12" s="586"/>
      <c r="K12" s="590"/>
      <c r="L12" s="588"/>
      <c r="M12" s="584" t="s">
        <v>261</v>
      </c>
      <c r="N12" s="590"/>
      <c r="O12" s="585">
        <v>2.75</v>
      </c>
      <c r="P12" s="589"/>
      <c r="Q12" s="590"/>
      <c r="R12" s="588"/>
      <c r="S12" s="586" t="s">
        <v>261</v>
      </c>
      <c r="T12" s="590"/>
      <c r="U12" s="585">
        <v>2.75</v>
      </c>
      <c r="V12" s="586" t="s">
        <v>11</v>
      </c>
      <c r="W12" s="590"/>
      <c r="X12" s="587">
        <v>0.5</v>
      </c>
      <c r="Y12" s="586" t="s">
        <v>261</v>
      </c>
      <c r="Z12" s="590"/>
      <c r="AA12" s="585">
        <v>1.0</v>
      </c>
      <c r="AB12" s="589"/>
      <c r="AC12" s="590"/>
      <c r="AD12" s="588"/>
      <c r="AE12" s="586" t="s">
        <v>261</v>
      </c>
      <c r="AF12" s="585">
        <v>2.5</v>
      </c>
      <c r="AG12" s="585">
        <v>4.0</v>
      </c>
      <c r="AH12" s="586" t="s">
        <v>260</v>
      </c>
      <c r="AI12" s="590"/>
      <c r="AJ12" s="588"/>
      <c r="AK12" s="588"/>
      <c r="AL12" s="593"/>
    </row>
    <row r="13">
      <c r="A13" s="578">
        <v>8.0</v>
      </c>
      <c r="B13" s="579" t="s">
        <v>100</v>
      </c>
      <c r="C13" s="580">
        <f t="shared" si="1"/>
        <v>11.5</v>
      </c>
      <c r="D13" s="594">
        <f t="shared" si="2"/>
        <v>0</v>
      </c>
      <c r="E13" s="595">
        <f t="shared" si="3"/>
        <v>0</v>
      </c>
      <c r="F13" s="596">
        <f t="shared" si="4"/>
        <v>11.5</v>
      </c>
      <c r="G13" s="584" t="s">
        <v>261</v>
      </c>
      <c r="H13" s="598"/>
      <c r="I13" s="585">
        <v>2.5</v>
      </c>
      <c r="J13" s="586" t="s">
        <v>11</v>
      </c>
      <c r="K13" s="585"/>
      <c r="L13" s="587">
        <v>0.5</v>
      </c>
      <c r="M13" s="584" t="s">
        <v>261</v>
      </c>
      <c r="N13" s="598"/>
      <c r="O13" s="600">
        <v>1.0</v>
      </c>
      <c r="P13" s="589"/>
      <c r="Q13" s="590"/>
      <c r="R13" s="588"/>
      <c r="S13" s="586" t="s">
        <v>261</v>
      </c>
      <c r="T13" s="598"/>
      <c r="U13" s="585">
        <v>2.0</v>
      </c>
      <c r="V13" s="586" t="s">
        <v>263</v>
      </c>
      <c r="W13" s="590"/>
      <c r="X13" s="588"/>
      <c r="Y13" s="586" t="s">
        <v>261</v>
      </c>
      <c r="Z13" s="598"/>
      <c r="AA13" s="591">
        <v>2.5</v>
      </c>
      <c r="AB13" s="589"/>
      <c r="AC13" s="590"/>
      <c r="AD13" s="588"/>
      <c r="AE13" s="586" t="s">
        <v>265</v>
      </c>
      <c r="AF13" s="598"/>
      <c r="AG13" s="585">
        <v>3.0</v>
      </c>
      <c r="AH13" s="586" t="s">
        <v>263</v>
      </c>
      <c r="AI13" s="590"/>
      <c r="AJ13" s="588"/>
      <c r="AK13" s="588"/>
      <c r="AL13" s="593"/>
    </row>
    <row r="14">
      <c r="A14" s="578">
        <v>9.0</v>
      </c>
      <c r="B14" s="579" t="s">
        <v>83</v>
      </c>
      <c r="C14" s="580">
        <f t="shared" si="1"/>
        <v>17.75</v>
      </c>
      <c r="D14" s="594">
        <f t="shared" si="2"/>
        <v>2</v>
      </c>
      <c r="E14" s="595">
        <f t="shared" si="3"/>
        <v>5</v>
      </c>
      <c r="F14" s="596">
        <f t="shared" si="4"/>
        <v>12.75</v>
      </c>
      <c r="G14" s="584" t="s">
        <v>261</v>
      </c>
      <c r="H14" s="590"/>
      <c r="I14" s="585">
        <v>1.25</v>
      </c>
      <c r="J14" s="586"/>
      <c r="K14" s="585"/>
      <c r="L14" s="587"/>
      <c r="M14" s="584" t="s">
        <v>269</v>
      </c>
      <c r="N14" s="585">
        <v>2.5</v>
      </c>
      <c r="O14" s="585">
        <v>3.75</v>
      </c>
      <c r="P14" s="586"/>
      <c r="Q14" s="585"/>
      <c r="R14" s="588"/>
      <c r="S14" s="586" t="s">
        <v>261</v>
      </c>
      <c r="T14" s="590"/>
      <c r="U14" s="585">
        <v>1.5</v>
      </c>
      <c r="V14" s="586" t="s">
        <v>263</v>
      </c>
      <c r="W14" s="590"/>
      <c r="X14" s="588"/>
      <c r="Y14" s="586" t="s">
        <v>261</v>
      </c>
      <c r="Z14" s="590"/>
      <c r="AA14" s="591">
        <v>2.5</v>
      </c>
      <c r="AB14" s="589"/>
      <c r="AC14" s="590"/>
      <c r="AD14" s="588"/>
      <c r="AE14" s="586" t="s">
        <v>271</v>
      </c>
      <c r="AF14" s="585">
        <v>2.5</v>
      </c>
      <c r="AG14" s="585">
        <v>2.75</v>
      </c>
      <c r="AH14" s="586" t="s">
        <v>11</v>
      </c>
      <c r="AI14" s="585">
        <v>0.5</v>
      </c>
      <c r="AJ14" s="587">
        <v>0.5</v>
      </c>
      <c r="AK14" s="588"/>
      <c r="AL14" s="593"/>
    </row>
    <row r="15">
      <c r="A15" s="601">
        <v>10.0</v>
      </c>
      <c r="B15" s="602" t="s">
        <v>81</v>
      </c>
      <c r="C15" s="580">
        <f t="shared" si="1"/>
        <v>20.5</v>
      </c>
      <c r="D15" s="603">
        <f t="shared" si="2"/>
        <v>3</v>
      </c>
      <c r="E15" s="604">
        <f t="shared" si="3"/>
        <v>7.5</v>
      </c>
      <c r="F15" s="605">
        <f t="shared" si="4"/>
        <v>13</v>
      </c>
      <c r="G15" s="606" t="s">
        <v>269</v>
      </c>
      <c r="H15" s="607">
        <v>2.5</v>
      </c>
      <c r="I15" s="607">
        <v>3.5</v>
      </c>
      <c r="J15" s="608"/>
      <c r="K15" s="609"/>
      <c r="L15" s="610"/>
      <c r="M15" s="606" t="s">
        <v>261</v>
      </c>
      <c r="N15" s="609"/>
      <c r="O15" s="607">
        <v>2.5</v>
      </c>
      <c r="P15" s="611" t="s">
        <v>11</v>
      </c>
      <c r="Q15" s="609"/>
      <c r="R15" s="612">
        <v>0.5</v>
      </c>
      <c r="S15" s="611" t="s">
        <v>269</v>
      </c>
      <c r="T15" s="607">
        <v>2.5</v>
      </c>
      <c r="U15" s="607">
        <v>3.0</v>
      </c>
      <c r="V15" s="611"/>
      <c r="W15" s="609"/>
      <c r="X15" s="610"/>
      <c r="Y15" s="611" t="s">
        <v>271</v>
      </c>
      <c r="Z15" s="609"/>
      <c r="AA15" s="634">
        <v>1.5</v>
      </c>
      <c r="AB15" s="608"/>
      <c r="AC15" s="609"/>
      <c r="AD15" s="610"/>
      <c r="AE15" s="611" t="s">
        <v>261</v>
      </c>
      <c r="AF15" s="607">
        <v>2.5</v>
      </c>
      <c r="AG15" s="607">
        <v>2.0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100</v>
      </c>
      <c r="C26" s="631" t="s">
        <v>16</v>
      </c>
      <c r="D26" s="630">
        <v>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386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84</v>
      </c>
      <c r="C6" s="580">
        <f t="shared" ref="C6:C15" si="1">SUM(H6:AK6)</f>
        <v>23.25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15.75</v>
      </c>
      <c r="G6" s="584" t="s">
        <v>269</v>
      </c>
      <c r="H6" s="597">
        <v>2.5</v>
      </c>
      <c r="I6" s="585">
        <v>3.25</v>
      </c>
      <c r="J6" s="586"/>
      <c r="K6" s="590"/>
      <c r="L6" s="588"/>
      <c r="M6" s="584" t="s">
        <v>261</v>
      </c>
      <c r="N6" s="598"/>
      <c r="O6" s="585">
        <v>3.75</v>
      </c>
      <c r="P6" s="589"/>
      <c r="Q6" s="590"/>
      <c r="R6" s="588"/>
      <c r="S6" s="586" t="s">
        <v>269</v>
      </c>
      <c r="T6" s="597"/>
      <c r="U6" s="585">
        <v>2.25</v>
      </c>
      <c r="V6" s="586"/>
      <c r="W6" s="590"/>
      <c r="X6" s="588"/>
      <c r="Y6" s="586" t="s">
        <v>261</v>
      </c>
      <c r="Z6" s="597">
        <v>2.5</v>
      </c>
      <c r="AA6" s="591">
        <v>3.75</v>
      </c>
      <c r="AB6" s="589"/>
      <c r="AC6" s="590"/>
      <c r="AD6" s="588"/>
      <c r="AE6" s="586" t="s">
        <v>269</v>
      </c>
      <c r="AF6" s="597">
        <v>2.5</v>
      </c>
      <c r="AG6" s="585">
        <v>2.75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108</v>
      </c>
      <c r="C7" s="580">
        <f t="shared" si="1"/>
        <v>26.5</v>
      </c>
      <c r="D7" s="594">
        <f t="shared" si="2"/>
        <v>4</v>
      </c>
      <c r="E7" s="595">
        <f t="shared" si="3"/>
        <v>10</v>
      </c>
      <c r="F7" s="596">
        <f t="shared" si="4"/>
        <v>16.5</v>
      </c>
      <c r="G7" s="584" t="s">
        <v>265</v>
      </c>
      <c r="H7" s="597">
        <v>2.5</v>
      </c>
      <c r="I7" s="585">
        <v>3.75</v>
      </c>
      <c r="J7" s="586"/>
      <c r="K7" s="590"/>
      <c r="L7" s="588"/>
      <c r="M7" s="584" t="s">
        <v>265</v>
      </c>
      <c r="N7" s="597">
        <v>2.5</v>
      </c>
      <c r="O7" s="600">
        <v>3.25</v>
      </c>
      <c r="P7" s="589"/>
      <c r="Q7" s="590"/>
      <c r="R7" s="588"/>
      <c r="S7" s="586" t="s">
        <v>261</v>
      </c>
      <c r="T7" s="597">
        <v>2.5</v>
      </c>
      <c r="U7" s="585">
        <v>3.5</v>
      </c>
      <c r="V7" s="586" t="s">
        <v>260</v>
      </c>
      <c r="W7" s="590"/>
      <c r="X7" s="588"/>
      <c r="Y7" s="586" t="s">
        <v>261</v>
      </c>
      <c r="Z7" s="597">
        <v>2.5</v>
      </c>
      <c r="AA7" s="591">
        <v>3.5</v>
      </c>
      <c r="AB7" s="586"/>
      <c r="AC7" s="585"/>
      <c r="AD7" s="587"/>
      <c r="AE7" s="586" t="s">
        <v>271</v>
      </c>
      <c r="AF7" s="598"/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133</v>
      </c>
      <c r="C8" s="580">
        <f t="shared" si="1"/>
        <v>24.25</v>
      </c>
      <c r="D8" s="594">
        <f t="shared" si="2"/>
        <v>4</v>
      </c>
      <c r="E8" s="595">
        <f t="shared" si="3"/>
        <v>10</v>
      </c>
      <c r="F8" s="596">
        <f t="shared" si="4"/>
        <v>14.25</v>
      </c>
      <c r="G8" s="584" t="s">
        <v>261</v>
      </c>
      <c r="H8" s="590"/>
      <c r="I8" s="585">
        <v>1.25</v>
      </c>
      <c r="J8" s="589"/>
      <c r="K8" s="590"/>
      <c r="L8" s="588"/>
      <c r="M8" s="584" t="s">
        <v>269</v>
      </c>
      <c r="N8" s="585">
        <v>2.5</v>
      </c>
      <c r="O8" s="585">
        <v>3.0</v>
      </c>
      <c r="P8" s="589"/>
      <c r="Q8" s="590"/>
      <c r="R8" s="588"/>
      <c r="S8" s="586" t="s">
        <v>271</v>
      </c>
      <c r="T8" s="585">
        <v>2.5</v>
      </c>
      <c r="U8" s="585">
        <v>3.25</v>
      </c>
      <c r="V8" s="586"/>
      <c r="W8" s="590"/>
      <c r="X8" s="587"/>
      <c r="Y8" s="586" t="s">
        <v>261</v>
      </c>
      <c r="Z8" s="585">
        <v>2.5</v>
      </c>
      <c r="AA8" s="585">
        <v>2.5</v>
      </c>
      <c r="AB8" s="589"/>
      <c r="AC8" s="590"/>
      <c r="AD8" s="588"/>
      <c r="AE8" s="586" t="s">
        <v>269</v>
      </c>
      <c r="AF8" s="585">
        <v>2.5</v>
      </c>
      <c r="AG8" s="585">
        <v>4.25</v>
      </c>
      <c r="AH8" s="589"/>
      <c r="AI8" s="590"/>
      <c r="AJ8" s="588"/>
      <c r="AK8" s="588"/>
      <c r="AL8" s="593"/>
    </row>
    <row r="9">
      <c r="A9" s="578">
        <v>4.0</v>
      </c>
      <c r="B9" s="579" t="s">
        <v>83</v>
      </c>
      <c r="C9" s="580">
        <f t="shared" si="1"/>
        <v>19.5</v>
      </c>
      <c r="D9" s="594">
        <f t="shared" si="2"/>
        <v>2</v>
      </c>
      <c r="E9" s="595">
        <f t="shared" si="3"/>
        <v>5</v>
      </c>
      <c r="F9" s="596">
        <f t="shared" si="4"/>
        <v>14.5</v>
      </c>
      <c r="G9" s="584" t="s">
        <v>261</v>
      </c>
      <c r="H9" s="590"/>
      <c r="I9" s="585">
        <v>3.25</v>
      </c>
      <c r="J9" s="586"/>
      <c r="K9" s="590"/>
      <c r="L9" s="588"/>
      <c r="M9" s="584" t="s">
        <v>261</v>
      </c>
      <c r="N9" s="590"/>
      <c r="O9" s="585">
        <v>2.75</v>
      </c>
      <c r="P9" s="586"/>
      <c r="Q9" s="590"/>
      <c r="R9" s="588"/>
      <c r="S9" s="586" t="s">
        <v>261</v>
      </c>
      <c r="T9" s="585">
        <v>2.5</v>
      </c>
      <c r="U9" s="585">
        <v>2.75</v>
      </c>
      <c r="V9" s="586"/>
      <c r="W9" s="590"/>
      <c r="X9" s="588"/>
      <c r="Y9" s="586" t="s">
        <v>261</v>
      </c>
      <c r="Z9" s="585">
        <v>2.5</v>
      </c>
      <c r="AA9" s="591">
        <v>2.25</v>
      </c>
      <c r="AB9" s="586" t="s">
        <v>11</v>
      </c>
      <c r="AC9" s="590"/>
      <c r="AD9" s="587">
        <v>0.5</v>
      </c>
      <c r="AE9" s="586" t="s">
        <v>261</v>
      </c>
      <c r="AF9" s="590"/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86</v>
      </c>
      <c r="C10" s="580">
        <f t="shared" si="1"/>
        <v>21.75</v>
      </c>
      <c r="D10" s="594">
        <f t="shared" si="2"/>
        <v>3</v>
      </c>
      <c r="E10" s="595">
        <f t="shared" si="3"/>
        <v>7.5</v>
      </c>
      <c r="F10" s="596">
        <f t="shared" si="4"/>
        <v>14.25</v>
      </c>
      <c r="G10" s="584" t="s">
        <v>261</v>
      </c>
      <c r="H10" s="590"/>
      <c r="I10" s="585">
        <v>1.0</v>
      </c>
      <c r="J10" s="589"/>
      <c r="K10" s="590"/>
      <c r="L10" s="588"/>
      <c r="M10" s="584" t="s">
        <v>261</v>
      </c>
      <c r="N10" s="590"/>
      <c r="O10" s="585">
        <v>2.0</v>
      </c>
      <c r="P10" s="586"/>
      <c r="Q10" s="590"/>
      <c r="R10" s="587"/>
      <c r="S10" s="586" t="s">
        <v>261</v>
      </c>
      <c r="T10" s="585">
        <v>2.5</v>
      </c>
      <c r="U10" s="585">
        <v>4.25</v>
      </c>
      <c r="V10" s="586" t="s">
        <v>260</v>
      </c>
      <c r="W10" s="590"/>
      <c r="X10" s="588"/>
      <c r="Y10" s="586" t="s">
        <v>271</v>
      </c>
      <c r="Z10" s="585">
        <v>2.5</v>
      </c>
      <c r="AA10" s="591">
        <v>3.0</v>
      </c>
      <c r="AB10" s="586"/>
      <c r="AC10" s="590"/>
      <c r="AD10" s="587"/>
      <c r="AE10" s="586" t="s">
        <v>265</v>
      </c>
      <c r="AF10" s="585">
        <v>2.5</v>
      </c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95</v>
      </c>
      <c r="C11" s="580">
        <f t="shared" si="1"/>
        <v>17.5</v>
      </c>
      <c r="D11" s="594">
        <f t="shared" si="2"/>
        <v>2</v>
      </c>
      <c r="E11" s="595">
        <f t="shared" si="3"/>
        <v>5</v>
      </c>
      <c r="F11" s="596">
        <f t="shared" si="4"/>
        <v>12.5</v>
      </c>
      <c r="G11" s="584" t="s">
        <v>269</v>
      </c>
      <c r="H11" s="585">
        <v>2.5</v>
      </c>
      <c r="I11" s="585">
        <v>2.75</v>
      </c>
      <c r="J11" s="586"/>
      <c r="K11" s="590"/>
      <c r="L11" s="588"/>
      <c r="M11" s="584" t="s">
        <v>261</v>
      </c>
      <c r="N11" s="590"/>
      <c r="O11" s="585">
        <v>3.25</v>
      </c>
      <c r="P11" s="586"/>
      <c r="Q11" s="585"/>
      <c r="R11" s="587"/>
      <c r="S11" s="586" t="s">
        <v>261</v>
      </c>
      <c r="T11" s="585">
        <v>2.5</v>
      </c>
      <c r="U11" s="585">
        <v>2.25</v>
      </c>
      <c r="V11" s="586" t="s">
        <v>11</v>
      </c>
      <c r="W11" s="590"/>
      <c r="X11" s="587">
        <v>0.5</v>
      </c>
      <c r="Y11" s="586" t="s">
        <v>269</v>
      </c>
      <c r="Z11" s="590"/>
      <c r="AA11" s="637">
        <v>0.25</v>
      </c>
      <c r="AB11" s="589"/>
      <c r="AC11" s="590"/>
      <c r="AD11" s="588"/>
      <c r="AE11" s="586" t="s">
        <v>261</v>
      </c>
      <c r="AF11" s="590"/>
      <c r="AG11" s="585">
        <v>3.5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100</v>
      </c>
      <c r="C12" s="580">
        <f t="shared" si="1"/>
        <v>15.75</v>
      </c>
      <c r="D12" s="594">
        <f t="shared" si="2"/>
        <v>1</v>
      </c>
      <c r="E12" s="595">
        <f t="shared" si="3"/>
        <v>2.5</v>
      </c>
      <c r="F12" s="596">
        <f t="shared" si="4"/>
        <v>13.25</v>
      </c>
      <c r="G12" s="584" t="s">
        <v>271</v>
      </c>
      <c r="H12" s="590"/>
      <c r="I12" s="585">
        <v>2.25</v>
      </c>
      <c r="J12" s="586"/>
      <c r="K12" s="590"/>
      <c r="L12" s="588"/>
      <c r="M12" s="584" t="s">
        <v>269</v>
      </c>
      <c r="N12" s="585">
        <v>2.5</v>
      </c>
      <c r="O12" s="585">
        <v>3.25</v>
      </c>
      <c r="P12" s="589"/>
      <c r="Q12" s="590"/>
      <c r="R12" s="588"/>
      <c r="S12" s="586" t="s">
        <v>269</v>
      </c>
      <c r="T12" s="590"/>
      <c r="U12" s="585">
        <v>2.5</v>
      </c>
      <c r="V12" s="586"/>
      <c r="W12" s="590"/>
      <c r="X12" s="587"/>
      <c r="Y12" s="586" t="s">
        <v>265</v>
      </c>
      <c r="Z12" s="590"/>
      <c r="AA12" s="585">
        <v>2.25</v>
      </c>
      <c r="AB12" s="589"/>
      <c r="AC12" s="590"/>
      <c r="AD12" s="588"/>
      <c r="AE12" s="586" t="s">
        <v>261</v>
      </c>
      <c r="AF12" s="590"/>
      <c r="AG12" s="585">
        <v>2.5</v>
      </c>
      <c r="AH12" s="586" t="s">
        <v>11</v>
      </c>
      <c r="AI12" s="590"/>
      <c r="AJ12" s="587">
        <v>0.5</v>
      </c>
      <c r="AK12" s="588"/>
      <c r="AL12" s="593"/>
    </row>
    <row r="13">
      <c r="A13" s="578">
        <v>8.0</v>
      </c>
      <c r="B13" s="579" t="s">
        <v>126</v>
      </c>
      <c r="C13" s="580">
        <f t="shared" si="1"/>
        <v>10.5</v>
      </c>
      <c r="D13" s="594">
        <f t="shared" si="2"/>
        <v>0</v>
      </c>
      <c r="E13" s="595">
        <f t="shared" si="3"/>
        <v>0</v>
      </c>
      <c r="F13" s="596">
        <f t="shared" si="4"/>
        <v>10.5</v>
      </c>
      <c r="G13" s="584" t="s">
        <v>261</v>
      </c>
      <c r="H13" s="598"/>
      <c r="I13" s="585">
        <v>1.75</v>
      </c>
      <c r="J13" s="586" t="s">
        <v>11</v>
      </c>
      <c r="K13" s="585"/>
      <c r="L13" s="587">
        <v>0.5</v>
      </c>
      <c r="M13" s="584" t="s">
        <v>261</v>
      </c>
      <c r="N13" s="598"/>
      <c r="O13" s="585">
        <v>1.75</v>
      </c>
      <c r="P13" s="589"/>
      <c r="Q13" s="590"/>
      <c r="R13" s="588"/>
      <c r="S13" s="586" t="s">
        <v>265</v>
      </c>
      <c r="T13" s="598"/>
      <c r="U13" s="585">
        <v>2.25</v>
      </c>
      <c r="V13" s="586" t="s">
        <v>263</v>
      </c>
      <c r="W13" s="590"/>
      <c r="X13" s="588"/>
      <c r="Y13" s="586" t="s">
        <v>269</v>
      </c>
      <c r="Z13" s="598"/>
      <c r="AA13" s="591">
        <v>2.5</v>
      </c>
      <c r="AB13" s="589"/>
      <c r="AC13" s="590"/>
      <c r="AD13" s="588"/>
      <c r="AE13" s="586" t="s">
        <v>261</v>
      </c>
      <c r="AF13" s="598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114</v>
      </c>
      <c r="C14" s="580">
        <f t="shared" si="1"/>
        <v>18.25</v>
      </c>
      <c r="D14" s="594">
        <f t="shared" si="2"/>
        <v>2</v>
      </c>
      <c r="E14" s="595">
        <f t="shared" si="3"/>
        <v>5</v>
      </c>
      <c r="F14" s="596">
        <f t="shared" si="4"/>
        <v>13.25</v>
      </c>
      <c r="G14" s="584" t="s">
        <v>261</v>
      </c>
      <c r="H14" s="590"/>
      <c r="I14" s="585">
        <v>2.0</v>
      </c>
      <c r="J14" s="586"/>
      <c r="K14" s="585"/>
      <c r="L14" s="587"/>
      <c r="M14" s="584" t="s">
        <v>261</v>
      </c>
      <c r="N14" s="590"/>
      <c r="O14" s="585">
        <v>1.75</v>
      </c>
      <c r="P14" s="586" t="s">
        <v>11</v>
      </c>
      <c r="Q14" s="585"/>
      <c r="R14" s="587">
        <v>0.5</v>
      </c>
      <c r="S14" s="586" t="s">
        <v>261</v>
      </c>
      <c r="T14" s="585">
        <v>2.5</v>
      </c>
      <c r="U14" s="585">
        <v>3.75</v>
      </c>
      <c r="V14" s="589"/>
      <c r="W14" s="590"/>
      <c r="X14" s="588"/>
      <c r="Y14" s="586" t="s">
        <v>261</v>
      </c>
      <c r="Z14" s="585">
        <v>2.5</v>
      </c>
      <c r="AA14" s="591">
        <v>3.25</v>
      </c>
      <c r="AB14" s="589"/>
      <c r="AC14" s="590"/>
      <c r="AD14" s="588"/>
      <c r="AE14" s="586" t="s">
        <v>261</v>
      </c>
      <c r="AF14" s="590"/>
      <c r="AG14" s="585">
        <v>2.0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91</v>
      </c>
      <c r="C15" s="580">
        <f t="shared" si="1"/>
        <v>18.25</v>
      </c>
      <c r="D15" s="603">
        <f t="shared" si="2"/>
        <v>2</v>
      </c>
      <c r="E15" s="604">
        <f t="shared" si="3"/>
        <v>5</v>
      </c>
      <c r="F15" s="605">
        <f t="shared" si="4"/>
        <v>13.25</v>
      </c>
      <c r="G15" s="606" t="s">
        <v>261</v>
      </c>
      <c r="H15" s="609"/>
      <c r="I15" s="607">
        <v>3.5</v>
      </c>
      <c r="J15" s="608"/>
      <c r="K15" s="609"/>
      <c r="L15" s="610"/>
      <c r="M15" s="606" t="s">
        <v>271</v>
      </c>
      <c r="N15" s="609"/>
      <c r="O15" s="607">
        <v>2.75</v>
      </c>
      <c r="P15" s="608"/>
      <c r="Q15" s="609"/>
      <c r="R15" s="610"/>
      <c r="S15" s="611" t="s">
        <v>261</v>
      </c>
      <c r="T15" s="607">
        <v>2.5</v>
      </c>
      <c r="U15" s="607">
        <v>2.0</v>
      </c>
      <c r="V15" s="611"/>
      <c r="W15" s="609"/>
      <c r="X15" s="610"/>
      <c r="Y15" s="611" t="s">
        <v>261</v>
      </c>
      <c r="Z15" s="607">
        <v>2.5</v>
      </c>
      <c r="AA15" s="634">
        <v>3.25</v>
      </c>
      <c r="AB15" s="608"/>
      <c r="AC15" s="609"/>
      <c r="AD15" s="610"/>
      <c r="AE15" s="611" t="s">
        <v>261</v>
      </c>
      <c r="AF15" s="609"/>
      <c r="AG15" s="607">
        <v>1.75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262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108</v>
      </c>
      <c r="C26" s="631" t="s">
        <v>16</v>
      </c>
      <c r="D26" s="630">
        <v>0.5</v>
      </c>
      <c r="E26" s="632"/>
      <c r="F26" s="632"/>
      <c r="AK26" s="62"/>
    </row>
    <row r="27">
      <c r="A27" s="631">
        <v>4.0</v>
      </c>
      <c r="B27" s="631" t="s">
        <v>95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387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100</v>
      </c>
      <c r="C6" s="580">
        <f t="shared" ref="C6:C15" si="1">SUM(H6:AK6)</f>
        <v>23.25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15.75</v>
      </c>
      <c r="G6" s="584" t="s">
        <v>269</v>
      </c>
      <c r="H6" s="585">
        <v>2.5</v>
      </c>
      <c r="I6" s="585">
        <v>3.5</v>
      </c>
      <c r="J6" s="589"/>
      <c r="K6" s="590"/>
      <c r="L6" s="588"/>
      <c r="M6" s="584" t="s">
        <v>271</v>
      </c>
      <c r="N6" s="590"/>
      <c r="O6" s="585">
        <v>2.25</v>
      </c>
      <c r="P6" s="586"/>
      <c r="Q6" s="590"/>
      <c r="R6" s="587"/>
      <c r="S6" s="586" t="s">
        <v>265</v>
      </c>
      <c r="T6" s="585">
        <v>2.5</v>
      </c>
      <c r="U6" s="585">
        <v>2.75</v>
      </c>
      <c r="V6" s="586"/>
      <c r="W6" s="590"/>
      <c r="X6" s="588"/>
      <c r="Y6" s="586" t="s">
        <v>261</v>
      </c>
      <c r="Z6" s="590"/>
      <c r="AA6" s="591">
        <v>3.25</v>
      </c>
      <c r="AB6" s="586"/>
      <c r="AC6" s="590"/>
      <c r="AD6" s="587"/>
      <c r="AE6" s="586" t="s">
        <v>261</v>
      </c>
      <c r="AF6" s="585">
        <v>2.5</v>
      </c>
      <c r="AG6" s="585">
        <v>4.0</v>
      </c>
      <c r="AH6" s="586" t="s">
        <v>260</v>
      </c>
      <c r="AI6" s="590"/>
      <c r="AJ6" s="588"/>
      <c r="AK6" s="592"/>
      <c r="AL6" s="593"/>
    </row>
    <row r="7" ht="23.25" customHeight="1">
      <c r="A7" s="578">
        <v>2.0</v>
      </c>
      <c r="B7" s="579" t="s">
        <v>114</v>
      </c>
      <c r="C7" s="580">
        <f t="shared" si="1"/>
        <v>22.75</v>
      </c>
      <c r="D7" s="594">
        <f t="shared" si="2"/>
        <v>3</v>
      </c>
      <c r="E7" s="595">
        <f t="shared" si="3"/>
        <v>7.5</v>
      </c>
      <c r="F7" s="596">
        <f t="shared" si="4"/>
        <v>15.25</v>
      </c>
      <c r="G7" s="584" t="s">
        <v>261</v>
      </c>
      <c r="H7" s="598"/>
      <c r="I7" s="585">
        <v>1.75</v>
      </c>
      <c r="J7" s="586"/>
      <c r="K7" s="590"/>
      <c r="L7" s="588"/>
      <c r="M7" s="584" t="s">
        <v>269</v>
      </c>
      <c r="N7" s="597">
        <v>2.5</v>
      </c>
      <c r="O7" s="585">
        <v>3.5</v>
      </c>
      <c r="P7" s="586" t="s">
        <v>260</v>
      </c>
      <c r="Q7" s="590"/>
      <c r="R7" s="588"/>
      <c r="S7" s="586" t="s">
        <v>271</v>
      </c>
      <c r="T7" s="598"/>
      <c r="U7" s="585">
        <v>2.75</v>
      </c>
      <c r="V7" s="586" t="s">
        <v>11</v>
      </c>
      <c r="W7" s="585">
        <v>0.5</v>
      </c>
      <c r="X7" s="587">
        <v>0.5</v>
      </c>
      <c r="Y7" s="586" t="s">
        <v>269</v>
      </c>
      <c r="Z7" s="597">
        <v>2.5</v>
      </c>
      <c r="AA7" s="591">
        <v>2.75</v>
      </c>
      <c r="AB7" s="586"/>
      <c r="AC7" s="585"/>
      <c r="AD7" s="587"/>
      <c r="AE7" s="586" t="s">
        <v>261</v>
      </c>
      <c r="AF7" s="597">
        <v>2.5</v>
      </c>
      <c r="AG7" s="585">
        <v>3.5</v>
      </c>
      <c r="AH7" s="586"/>
      <c r="AI7" s="590"/>
      <c r="AJ7" s="587"/>
      <c r="AK7" s="588"/>
      <c r="AL7" s="593"/>
    </row>
    <row r="8">
      <c r="A8" s="578">
        <v>3.0</v>
      </c>
      <c r="B8" s="579" t="s">
        <v>135</v>
      </c>
      <c r="C8" s="580">
        <f t="shared" si="1"/>
        <v>22.25</v>
      </c>
      <c r="D8" s="594">
        <f t="shared" si="2"/>
        <v>3</v>
      </c>
      <c r="E8" s="595">
        <f t="shared" si="3"/>
        <v>7.5</v>
      </c>
      <c r="F8" s="596">
        <f t="shared" si="4"/>
        <v>14.75</v>
      </c>
      <c r="G8" s="584" t="s">
        <v>271</v>
      </c>
      <c r="H8" s="598"/>
      <c r="I8" s="585">
        <v>2.75</v>
      </c>
      <c r="J8" s="586"/>
      <c r="K8" s="585"/>
      <c r="L8" s="588"/>
      <c r="M8" s="584" t="s">
        <v>265</v>
      </c>
      <c r="N8" s="597">
        <v>2.5</v>
      </c>
      <c r="O8" s="585">
        <v>3.0</v>
      </c>
      <c r="P8" s="589"/>
      <c r="Q8" s="590"/>
      <c r="R8" s="588"/>
      <c r="S8" s="586" t="s">
        <v>269</v>
      </c>
      <c r="T8" s="597">
        <v>2.5</v>
      </c>
      <c r="U8" s="585">
        <v>4.0</v>
      </c>
      <c r="V8" s="586"/>
      <c r="W8" s="590"/>
      <c r="X8" s="588"/>
      <c r="Y8" s="586" t="s">
        <v>261</v>
      </c>
      <c r="Z8" s="598"/>
      <c r="AA8" s="591">
        <v>2.0</v>
      </c>
      <c r="AB8" s="586" t="s">
        <v>11</v>
      </c>
      <c r="AC8" s="590"/>
      <c r="AD8" s="587">
        <v>0.5</v>
      </c>
      <c r="AE8" s="586" t="s">
        <v>261</v>
      </c>
      <c r="AF8" s="597">
        <v>2.5</v>
      </c>
      <c r="AG8" s="585">
        <v>2.5</v>
      </c>
      <c r="AH8" s="589"/>
      <c r="AI8" s="590"/>
      <c r="AJ8" s="588"/>
      <c r="AK8" s="588"/>
      <c r="AL8" s="593"/>
    </row>
    <row r="9">
      <c r="A9" s="578">
        <v>4.0</v>
      </c>
      <c r="B9" s="579" t="s">
        <v>108</v>
      </c>
      <c r="C9" s="580">
        <f t="shared" si="1"/>
        <v>21.25</v>
      </c>
      <c r="D9" s="594">
        <f t="shared" si="2"/>
        <v>2</v>
      </c>
      <c r="E9" s="595">
        <f t="shared" si="3"/>
        <v>5</v>
      </c>
      <c r="F9" s="596">
        <f t="shared" si="4"/>
        <v>16.25</v>
      </c>
      <c r="G9" s="584" t="s">
        <v>261</v>
      </c>
      <c r="H9" s="590"/>
      <c r="I9" s="585">
        <v>3.25</v>
      </c>
      <c r="J9" s="586"/>
      <c r="K9" s="590"/>
      <c r="L9" s="588"/>
      <c r="M9" s="584" t="s">
        <v>261</v>
      </c>
      <c r="N9" s="590"/>
      <c r="O9" s="585">
        <v>3.75</v>
      </c>
      <c r="P9" s="589"/>
      <c r="Q9" s="590"/>
      <c r="R9" s="588"/>
      <c r="S9" s="586" t="s">
        <v>261</v>
      </c>
      <c r="T9" s="590"/>
      <c r="U9" s="585">
        <v>2.75</v>
      </c>
      <c r="V9" s="586"/>
      <c r="W9" s="590"/>
      <c r="X9" s="587"/>
      <c r="Y9" s="586" t="s">
        <v>269</v>
      </c>
      <c r="Z9" s="585">
        <v>2.5</v>
      </c>
      <c r="AA9" s="585">
        <v>3.5</v>
      </c>
      <c r="AB9" s="589"/>
      <c r="AC9" s="590"/>
      <c r="AD9" s="588"/>
      <c r="AE9" s="586" t="s">
        <v>261</v>
      </c>
      <c r="AF9" s="585">
        <v>2.5</v>
      </c>
      <c r="AG9" s="585">
        <v>3.0</v>
      </c>
      <c r="AH9" s="589"/>
      <c r="AI9" s="590"/>
      <c r="AJ9" s="588"/>
      <c r="AK9" s="588"/>
      <c r="AL9" s="593"/>
    </row>
    <row r="10">
      <c r="A10" s="578">
        <v>5.0</v>
      </c>
      <c r="B10" s="579" t="s">
        <v>84</v>
      </c>
      <c r="C10" s="580">
        <f t="shared" si="1"/>
        <v>19.5</v>
      </c>
      <c r="D10" s="594">
        <f t="shared" si="2"/>
        <v>2</v>
      </c>
      <c r="E10" s="595">
        <f t="shared" si="3"/>
        <v>5</v>
      </c>
      <c r="F10" s="596">
        <f t="shared" si="4"/>
        <v>14.5</v>
      </c>
      <c r="G10" s="584" t="s">
        <v>265</v>
      </c>
      <c r="H10" s="597">
        <v>2.5</v>
      </c>
      <c r="I10" s="585">
        <v>3.75</v>
      </c>
      <c r="J10" s="586"/>
      <c r="K10" s="590"/>
      <c r="L10" s="588"/>
      <c r="M10" s="584" t="s">
        <v>261</v>
      </c>
      <c r="N10" s="598"/>
      <c r="O10" s="585">
        <v>2.5</v>
      </c>
      <c r="P10" s="589"/>
      <c r="Q10" s="590"/>
      <c r="R10" s="588"/>
      <c r="S10" s="586" t="s">
        <v>261</v>
      </c>
      <c r="T10" s="598"/>
      <c r="U10" s="585">
        <v>3.75</v>
      </c>
      <c r="V10" s="586"/>
      <c r="W10" s="590"/>
      <c r="X10" s="588"/>
      <c r="Y10" s="586" t="s">
        <v>261</v>
      </c>
      <c r="Z10" s="598"/>
      <c r="AA10" s="591">
        <v>1.75</v>
      </c>
      <c r="AB10" s="589"/>
      <c r="AC10" s="590"/>
      <c r="AD10" s="588"/>
      <c r="AE10" s="586" t="s">
        <v>261</v>
      </c>
      <c r="AF10" s="597">
        <v>2.5</v>
      </c>
      <c r="AG10" s="585">
        <v>2.75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134</v>
      </c>
      <c r="C11" s="580">
        <f t="shared" si="1"/>
        <v>18.25</v>
      </c>
      <c r="D11" s="594">
        <f t="shared" si="2"/>
        <v>2</v>
      </c>
      <c r="E11" s="595">
        <f t="shared" si="3"/>
        <v>5</v>
      </c>
      <c r="F11" s="596">
        <f t="shared" si="4"/>
        <v>13.25</v>
      </c>
      <c r="G11" s="584" t="s">
        <v>261</v>
      </c>
      <c r="H11" s="590"/>
      <c r="I11" s="585">
        <v>2.0</v>
      </c>
      <c r="J11" s="589"/>
      <c r="K11" s="590"/>
      <c r="L11" s="588"/>
      <c r="M11" s="584" t="s">
        <v>269</v>
      </c>
      <c r="N11" s="585">
        <v>2.5</v>
      </c>
      <c r="O11" s="585">
        <v>2.75</v>
      </c>
      <c r="P11" s="589"/>
      <c r="Q11" s="590"/>
      <c r="R11" s="588"/>
      <c r="S11" s="586" t="s">
        <v>261</v>
      </c>
      <c r="T11" s="590"/>
      <c r="U11" s="585">
        <v>2.5</v>
      </c>
      <c r="V11" s="586"/>
      <c r="W11" s="590"/>
      <c r="X11" s="588"/>
      <c r="Y11" s="586" t="s">
        <v>265</v>
      </c>
      <c r="Z11" s="585">
        <v>2.5</v>
      </c>
      <c r="AA11" s="637">
        <v>3.5</v>
      </c>
      <c r="AB11" s="589"/>
      <c r="AC11" s="590"/>
      <c r="AD11" s="588"/>
      <c r="AE11" s="586" t="s">
        <v>269</v>
      </c>
      <c r="AF11" s="590"/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128</v>
      </c>
      <c r="C12" s="580">
        <f t="shared" si="1"/>
        <v>16.5</v>
      </c>
      <c r="D12" s="594">
        <f t="shared" si="2"/>
        <v>2</v>
      </c>
      <c r="E12" s="595">
        <f t="shared" si="3"/>
        <v>5</v>
      </c>
      <c r="F12" s="596">
        <f t="shared" si="4"/>
        <v>11.5</v>
      </c>
      <c r="G12" s="584" t="s">
        <v>269</v>
      </c>
      <c r="H12" s="585">
        <v>2.5</v>
      </c>
      <c r="I12" s="585">
        <v>2.5</v>
      </c>
      <c r="J12" s="586"/>
      <c r="K12" s="590"/>
      <c r="L12" s="588"/>
      <c r="M12" s="584" t="s">
        <v>261</v>
      </c>
      <c r="N12" s="590"/>
      <c r="O12" s="585">
        <v>1.75</v>
      </c>
      <c r="P12" s="586" t="s">
        <v>263</v>
      </c>
      <c r="Q12" s="585"/>
      <c r="R12" s="587"/>
      <c r="S12" s="586" t="s">
        <v>269</v>
      </c>
      <c r="T12" s="585">
        <v>2.5</v>
      </c>
      <c r="U12" s="585">
        <v>3.5</v>
      </c>
      <c r="V12" s="589"/>
      <c r="W12" s="590"/>
      <c r="X12" s="588"/>
      <c r="Y12" s="586" t="s">
        <v>261</v>
      </c>
      <c r="Z12" s="590"/>
      <c r="AA12" s="591">
        <v>1.25</v>
      </c>
      <c r="AB12" s="589"/>
      <c r="AC12" s="590"/>
      <c r="AD12" s="588"/>
      <c r="AE12" s="586" t="s">
        <v>269</v>
      </c>
      <c r="AF12" s="590"/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105</v>
      </c>
      <c r="C13" s="580">
        <f t="shared" si="1"/>
        <v>15.5</v>
      </c>
      <c r="D13" s="594">
        <f t="shared" si="2"/>
        <v>1</v>
      </c>
      <c r="E13" s="595">
        <f t="shared" si="3"/>
        <v>2.5</v>
      </c>
      <c r="F13" s="596">
        <f t="shared" si="4"/>
        <v>13</v>
      </c>
      <c r="G13" s="584" t="s">
        <v>261</v>
      </c>
      <c r="H13" s="590"/>
      <c r="I13" s="585">
        <v>2.25</v>
      </c>
      <c r="J13" s="586" t="s">
        <v>11</v>
      </c>
      <c r="K13" s="590"/>
      <c r="L13" s="587">
        <v>0.5</v>
      </c>
      <c r="M13" s="584" t="s">
        <v>261</v>
      </c>
      <c r="N13" s="590"/>
      <c r="O13" s="585">
        <v>2.25</v>
      </c>
      <c r="P13" s="589"/>
      <c r="Q13" s="590"/>
      <c r="R13" s="588"/>
      <c r="S13" s="586" t="s">
        <v>261</v>
      </c>
      <c r="T13" s="590"/>
      <c r="U13" s="585">
        <v>2.0</v>
      </c>
      <c r="V13" s="586"/>
      <c r="W13" s="590"/>
      <c r="X13" s="587"/>
      <c r="Y13" s="586" t="s">
        <v>261</v>
      </c>
      <c r="Z13" s="590"/>
      <c r="AA13" s="585">
        <v>2.5</v>
      </c>
      <c r="AB13" s="589"/>
      <c r="AC13" s="590"/>
      <c r="AD13" s="588"/>
      <c r="AE13" s="586" t="s">
        <v>261</v>
      </c>
      <c r="AF13" s="585">
        <v>2.5</v>
      </c>
      <c r="AG13" s="585">
        <v>2.5</v>
      </c>
      <c r="AH13" s="586" t="s">
        <v>11</v>
      </c>
      <c r="AI13" s="590"/>
      <c r="AJ13" s="587">
        <v>1.0</v>
      </c>
      <c r="AK13" s="588"/>
      <c r="AL13" s="593"/>
    </row>
    <row r="14">
      <c r="A14" s="578">
        <v>9.0</v>
      </c>
      <c r="B14" s="579" t="s">
        <v>113</v>
      </c>
      <c r="C14" s="580">
        <f t="shared" si="1"/>
        <v>14.75</v>
      </c>
      <c r="D14" s="594">
        <f t="shared" si="2"/>
        <v>1</v>
      </c>
      <c r="E14" s="595">
        <f t="shared" si="3"/>
        <v>2.5</v>
      </c>
      <c r="F14" s="596">
        <f t="shared" si="4"/>
        <v>12.25</v>
      </c>
      <c r="G14" s="584" t="s">
        <v>261</v>
      </c>
      <c r="H14" s="590"/>
      <c r="I14" s="585">
        <v>1.0</v>
      </c>
      <c r="J14" s="586"/>
      <c r="K14" s="590"/>
      <c r="L14" s="588"/>
      <c r="M14" s="584" t="s">
        <v>261</v>
      </c>
      <c r="N14" s="590"/>
      <c r="O14" s="585">
        <v>2.0</v>
      </c>
      <c r="P14" s="586" t="s">
        <v>11</v>
      </c>
      <c r="Q14" s="590"/>
      <c r="R14" s="587">
        <v>0.5</v>
      </c>
      <c r="S14" s="586" t="s">
        <v>261</v>
      </c>
      <c r="T14" s="590"/>
      <c r="U14" s="600">
        <v>1.25</v>
      </c>
      <c r="V14" s="586"/>
      <c r="W14" s="590"/>
      <c r="X14" s="588"/>
      <c r="Y14" s="586" t="s">
        <v>271</v>
      </c>
      <c r="Z14" s="590"/>
      <c r="AA14" s="591">
        <v>3.0</v>
      </c>
      <c r="AB14" s="589"/>
      <c r="AC14" s="590"/>
      <c r="AD14" s="588"/>
      <c r="AE14" s="586" t="s">
        <v>271</v>
      </c>
      <c r="AF14" s="585">
        <v>2.5</v>
      </c>
      <c r="AG14" s="585">
        <v>4.5</v>
      </c>
      <c r="AH14" s="589"/>
      <c r="AI14" s="590"/>
      <c r="AJ14" s="588"/>
      <c r="AK14" s="599"/>
      <c r="AL14" s="593"/>
    </row>
    <row r="15">
      <c r="A15" s="601">
        <v>10.0</v>
      </c>
      <c r="B15" s="602" t="s">
        <v>83</v>
      </c>
      <c r="C15" s="580">
        <f t="shared" si="1"/>
        <v>11.25</v>
      </c>
      <c r="D15" s="603">
        <f t="shared" si="2"/>
        <v>0</v>
      </c>
      <c r="E15" s="604">
        <f t="shared" si="3"/>
        <v>0</v>
      </c>
      <c r="F15" s="605">
        <f t="shared" si="4"/>
        <v>11.25</v>
      </c>
      <c r="G15" s="606" t="s">
        <v>261</v>
      </c>
      <c r="H15" s="609"/>
      <c r="I15" s="607">
        <v>2.25</v>
      </c>
      <c r="J15" s="611"/>
      <c r="K15" s="607"/>
      <c r="L15" s="612"/>
      <c r="M15" s="606" t="s">
        <v>261</v>
      </c>
      <c r="N15" s="609"/>
      <c r="O15" s="607">
        <v>2.5</v>
      </c>
      <c r="P15" s="611" t="s">
        <v>263</v>
      </c>
      <c r="Q15" s="607"/>
      <c r="R15" s="610"/>
      <c r="S15" s="611" t="s">
        <v>261</v>
      </c>
      <c r="T15" s="609"/>
      <c r="U15" s="607">
        <v>2.25</v>
      </c>
      <c r="V15" s="608"/>
      <c r="W15" s="609"/>
      <c r="X15" s="610"/>
      <c r="Y15" s="611" t="s">
        <v>261</v>
      </c>
      <c r="Z15" s="609"/>
      <c r="AA15" s="634">
        <v>1.75</v>
      </c>
      <c r="AB15" s="608"/>
      <c r="AC15" s="609"/>
      <c r="AD15" s="610"/>
      <c r="AE15" s="611" t="s">
        <v>265</v>
      </c>
      <c r="AF15" s="609"/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3.0</v>
      </c>
      <c r="B26" s="631" t="s">
        <v>113</v>
      </c>
      <c r="C26" s="631" t="s">
        <v>16</v>
      </c>
      <c r="D26" s="630">
        <v>0.5</v>
      </c>
      <c r="E26" s="632"/>
      <c r="F26" s="632"/>
      <c r="AK26" s="62"/>
    </row>
    <row r="27">
      <c r="A27" s="631">
        <v>4.0</v>
      </c>
      <c r="B27" s="631" t="s">
        <v>134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388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643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127</v>
      </c>
      <c r="C6" s="580">
        <f t="shared" ref="C6:C15" si="1">SUM(H6:AK6)</f>
        <v>20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12.5</v>
      </c>
      <c r="G6" s="584" t="s">
        <v>269</v>
      </c>
      <c r="H6" s="597">
        <v>2.5</v>
      </c>
      <c r="I6" s="585">
        <v>2.5</v>
      </c>
      <c r="J6" s="586"/>
      <c r="K6" s="590"/>
      <c r="L6" s="588"/>
      <c r="M6" s="584" t="s">
        <v>261</v>
      </c>
      <c r="N6" s="597">
        <v>2.5</v>
      </c>
      <c r="O6" s="585">
        <v>2.25</v>
      </c>
      <c r="P6" s="589"/>
      <c r="Q6" s="590"/>
      <c r="R6" s="588"/>
      <c r="S6" s="586" t="s">
        <v>265</v>
      </c>
      <c r="T6" s="597"/>
      <c r="U6" s="585">
        <v>2.0</v>
      </c>
      <c r="V6" s="586"/>
      <c r="W6" s="590"/>
      <c r="X6" s="588"/>
      <c r="Y6" s="586" t="s">
        <v>261</v>
      </c>
      <c r="Z6" s="598"/>
      <c r="AA6" s="591">
        <v>2.0</v>
      </c>
      <c r="AB6" s="586" t="s">
        <v>263</v>
      </c>
      <c r="AC6" s="590"/>
      <c r="AD6" s="588"/>
      <c r="AE6" s="586" t="s">
        <v>261</v>
      </c>
      <c r="AF6" s="597">
        <v>2.5</v>
      </c>
      <c r="AG6" s="585">
        <v>3.75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83</v>
      </c>
      <c r="C7" s="580">
        <f t="shared" si="1"/>
        <v>23</v>
      </c>
      <c r="D7" s="594">
        <f t="shared" si="2"/>
        <v>3</v>
      </c>
      <c r="E7" s="595">
        <f t="shared" si="3"/>
        <v>7.5</v>
      </c>
      <c r="F7" s="596">
        <f t="shared" si="4"/>
        <v>15.5</v>
      </c>
      <c r="G7" s="584" t="s">
        <v>269</v>
      </c>
      <c r="H7" s="597">
        <v>2.5</v>
      </c>
      <c r="I7" s="585">
        <v>3.5</v>
      </c>
      <c r="J7" s="586"/>
      <c r="K7" s="590"/>
      <c r="L7" s="588"/>
      <c r="M7" s="584" t="s">
        <v>265</v>
      </c>
      <c r="N7" s="598"/>
      <c r="O7" s="585">
        <v>2.5</v>
      </c>
      <c r="P7" s="589"/>
      <c r="Q7" s="590"/>
      <c r="R7" s="588"/>
      <c r="S7" s="586" t="s">
        <v>261</v>
      </c>
      <c r="T7" s="597">
        <v>2.5</v>
      </c>
      <c r="U7" s="585">
        <v>3.25</v>
      </c>
      <c r="V7" s="586"/>
      <c r="W7" s="590"/>
      <c r="X7" s="588"/>
      <c r="Y7" s="586" t="s">
        <v>261</v>
      </c>
      <c r="Z7" s="598"/>
      <c r="AA7" s="591">
        <v>3.0</v>
      </c>
      <c r="AB7" s="586"/>
      <c r="AC7" s="585"/>
      <c r="AD7" s="587"/>
      <c r="AE7" s="586" t="s">
        <v>261</v>
      </c>
      <c r="AF7" s="597">
        <v>2.5</v>
      </c>
      <c r="AG7" s="585">
        <v>3.25</v>
      </c>
      <c r="AH7" s="586"/>
      <c r="AI7" s="590"/>
      <c r="AJ7" s="587"/>
      <c r="AK7" s="588"/>
      <c r="AL7" s="593"/>
    </row>
    <row r="8">
      <c r="A8" s="578">
        <v>3.0</v>
      </c>
      <c r="B8" s="579" t="s">
        <v>117</v>
      </c>
      <c r="C8" s="580">
        <f t="shared" si="1"/>
        <v>21</v>
      </c>
      <c r="D8" s="594">
        <f t="shared" si="2"/>
        <v>3</v>
      </c>
      <c r="E8" s="595">
        <f t="shared" si="3"/>
        <v>7.5</v>
      </c>
      <c r="F8" s="596">
        <f t="shared" si="4"/>
        <v>13.5</v>
      </c>
      <c r="G8" s="584" t="s">
        <v>261</v>
      </c>
      <c r="H8" s="590"/>
      <c r="I8" s="585">
        <v>2.25</v>
      </c>
      <c r="J8" s="589"/>
      <c r="K8" s="590"/>
      <c r="L8" s="588"/>
      <c r="M8" s="584" t="s">
        <v>261</v>
      </c>
      <c r="N8" s="585">
        <v>2.5</v>
      </c>
      <c r="O8" s="585">
        <v>3.0</v>
      </c>
      <c r="P8" s="589"/>
      <c r="Q8" s="590"/>
      <c r="R8" s="588"/>
      <c r="S8" s="586" t="s">
        <v>261</v>
      </c>
      <c r="T8" s="585">
        <v>2.5</v>
      </c>
      <c r="U8" s="585">
        <v>2.75</v>
      </c>
      <c r="V8" s="586"/>
      <c r="W8" s="590"/>
      <c r="X8" s="587"/>
      <c r="Y8" s="586" t="s">
        <v>261</v>
      </c>
      <c r="Z8" s="590"/>
      <c r="AA8" s="585">
        <v>2.0</v>
      </c>
      <c r="AB8" s="589"/>
      <c r="AC8" s="590"/>
      <c r="AD8" s="588"/>
      <c r="AE8" s="586" t="s">
        <v>261</v>
      </c>
      <c r="AF8" s="585">
        <v>2.5</v>
      </c>
      <c r="AG8" s="585">
        <v>3.0</v>
      </c>
      <c r="AH8" s="586" t="s">
        <v>11</v>
      </c>
      <c r="AI8" s="590"/>
      <c r="AJ8" s="587">
        <v>0.5</v>
      </c>
      <c r="AK8" s="588"/>
      <c r="AL8" s="593"/>
    </row>
    <row r="9">
      <c r="A9" s="578">
        <v>4.0</v>
      </c>
      <c r="B9" s="579" t="s">
        <v>118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90"/>
      <c r="I9" s="585">
        <v>2.0</v>
      </c>
      <c r="J9" s="586"/>
      <c r="K9" s="590"/>
      <c r="L9" s="588"/>
      <c r="M9" s="584" t="s">
        <v>261</v>
      </c>
      <c r="N9" s="585">
        <v>2.5</v>
      </c>
      <c r="O9" s="585">
        <v>3.25</v>
      </c>
      <c r="P9" s="586"/>
      <c r="Q9" s="590"/>
      <c r="R9" s="588"/>
      <c r="S9" s="586" t="s">
        <v>261</v>
      </c>
      <c r="T9" s="585">
        <v>2.5</v>
      </c>
      <c r="U9" s="585">
        <v>4.0</v>
      </c>
      <c r="V9" s="586"/>
      <c r="W9" s="590"/>
      <c r="X9" s="588"/>
      <c r="Y9" s="586" t="s">
        <v>261</v>
      </c>
      <c r="Z9" s="590"/>
      <c r="AA9" s="591">
        <v>1.75</v>
      </c>
      <c r="AB9" s="586" t="s">
        <v>263</v>
      </c>
      <c r="AC9" s="590"/>
      <c r="AD9" s="588"/>
      <c r="AE9" s="586" t="s">
        <v>271</v>
      </c>
      <c r="AF9" s="585">
        <v>2.5</v>
      </c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100</v>
      </c>
      <c r="C10" s="580">
        <f t="shared" si="1"/>
        <v>23.5</v>
      </c>
      <c r="D10" s="594">
        <f t="shared" si="2"/>
        <v>3</v>
      </c>
      <c r="E10" s="595">
        <f t="shared" si="3"/>
        <v>7.5</v>
      </c>
      <c r="F10" s="596">
        <f t="shared" si="4"/>
        <v>16</v>
      </c>
      <c r="G10" s="584" t="s">
        <v>261</v>
      </c>
      <c r="H10" s="590"/>
      <c r="I10" s="585">
        <v>1.75</v>
      </c>
      <c r="J10" s="586" t="s">
        <v>11</v>
      </c>
      <c r="K10" s="590"/>
      <c r="L10" s="587">
        <v>0.5</v>
      </c>
      <c r="M10" s="584" t="s">
        <v>269</v>
      </c>
      <c r="N10" s="590"/>
      <c r="O10" s="585">
        <v>2.25</v>
      </c>
      <c r="P10" s="586"/>
      <c r="Q10" s="590"/>
      <c r="R10" s="587"/>
      <c r="S10" s="586" t="s">
        <v>271</v>
      </c>
      <c r="T10" s="585">
        <v>2.5</v>
      </c>
      <c r="U10" s="585">
        <v>3.5</v>
      </c>
      <c r="V10" s="586"/>
      <c r="W10" s="590"/>
      <c r="X10" s="588"/>
      <c r="Y10" s="586" t="s">
        <v>269</v>
      </c>
      <c r="Z10" s="585">
        <v>2.5</v>
      </c>
      <c r="AA10" s="591">
        <v>4.0</v>
      </c>
      <c r="AB10" s="586" t="s">
        <v>260</v>
      </c>
      <c r="AC10" s="590"/>
      <c r="AD10" s="587"/>
      <c r="AE10" s="586" t="s">
        <v>261</v>
      </c>
      <c r="AF10" s="585">
        <v>2.5</v>
      </c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130</v>
      </c>
      <c r="C11" s="580">
        <f t="shared" si="1"/>
        <v>22</v>
      </c>
      <c r="D11" s="594">
        <f t="shared" si="2"/>
        <v>3</v>
      </c>
      <c r="E11" s="595">
        <f t="shared" si="3"/>
        <v>7.5</v>
      </c>
      <c r="F11" s="596">
        <f t="shared" si="4"/>
        <v>14.5</v>
      </c>
      <c r="G11" s="584" t="s">
        <v>265</v>
      </c>
      <c r="H11" s="585">
        <v>2.5</v>
      </c>
      <c r="I11" s="585">
        <v>4.25</v>
      </c>
      <c r="J11" s="586"/>
      <c r="K11" s="590"/>
      <c r="L11" s="588"/>
      <c r="M11" s="584" t="s">
        <v>261</v>
      </c>
      <c r="N11" s="585">
        <v>2.5</v>
      </c>
      <c r="O11" s="585">
        <v>2.5</v>
      </c>
      <c r="P11" s="586"/>
      <c r="Q11" s="585"/>
      <c r="R11" s="587"/>
      <c r="S11" s="586" t="s">
        <v>261</v>
      </c>
      <c r="T11" s="585">
        <v>2.5</v>
      </c>
      <c r="U11" s="585">
        <v>2.0</v>
      </c>
      <c r="V11" s="589"/>
      <c r="W11" s="590"/>
      <c r="X11" s="588"/>
      <c r="Y11" s="586" t="s">
        <v>261</v>
      </c>
      <c r="Z11" s="590"/>
      <c r="AA11" s="591">
        <v>3.0</v>
      </c>
      <c r="AB11" s="586" t="s">
        <v>11</v>
      </c>
      <c r="AC11" s="585">
        <v>0.5</v>
      </c>
      <c r="AD11" s="587">
        <v>0.5</v>
      </c>
      <c r="AE11" s="586" t="s">
        <v>265</v>
      </c>
      <c r="AF11" s="590"/>
      <c r="AG11" s="585">
        <v>1.75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169</v>
      </c>
      <c r="C12" s="580">
        <f t="shared" si="1"/>
        <v>15</v>
      </c>
      <c r="D12" s="594">
        <f t="shared" si="2"/>
        <v>2</v>
      </c>
      <c r="E12" s="595">
        <f t="shared" si="3"/>
        <v>5</v>
      </c>
      <c r="F12" s="596">
        <f t="shared" si="4"/>
        <v>10</v>
      </c>
      <c r="G12" s="584" t="s">
        <v>261</v>
      </c>
      <c r="H12" s="590"/>
      <c r="I12" s="585">
        <v>1.75</v>
      </c>
      <c r="J12" s="586"/>
      <c r="K12" s="590"/>
      <c r="L12" s="588"/>
      <c r="M12" s="584" t="s">
        <v>269</v>
      </c>
      <c r="N12" s="590"/>
      <c r="O12" s="585">
        <v>2.5</v>
      </c>
      <c r="P12" s="589"/>
      <c r="Q12" s="590"/>
      <c r="R12" s="588"/>
      <c r="S12" s="586" t="s">
        <v>261</v>
      </c>
      <c r="T12" s="585">
        <v>2.5</v>
      </c>
      <c r="U12" s="585">
        <v>2.5</v>
      </c>
      <c r="V12" s="586"/>
      <c r="W12" s="590"/>
      <c r="X12" s="587"/>
      <c r="Y12" s="586" t="s">
        <v>269</v>
      </c>
      <c r="Z12" s="585">
        <v>2.5</v>
      </c>
      <c r="AA12" s="585">
        <v>2.5</v>
      </c>
      <c r="AB12" s="589"/>
      <c r="AC12" s="590"/>
      <c r="AD12" s="588"/>
      <c r="AE12" s="586" t="s">
        <v>269</v>
      </c>
      <c r="AF12" s="590"/>
      <c r="AG12" s="585">
        <v>0.75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114</v>
      </c>
      <c r="C13" s="580">
        <f t="shared" si="1"/>
        <v>20.5</v>
      </c>
      <c r="D13" s="594">
        <f t="shared" si="2"/>
        <v>2</v>
      </c>
      <c r="E13" s="595">
        <f t="shared" si="3"/>
        <v>5</v>
      </c>
      <c r="F13" s="596">
        <f t="shared" si="4"/>
        <v>15.5</v>
      </c>
      <c r="G13" s="584" t="s">
        <v>271</v>
      </c>
      <c r="H13" s="598"/>
      <c r="I13" s="585">
        <v>2.5</v>
      </c>
      <c r="J13" s="586"/>
      <c r="K13" s="585"/>
      <c r="L13" s="588"/>
      <c r="M13" s="584" t="s">
        <v>261</v>
      </c>
      <c r="N13" s="597">
        <v>2.5</v>
      </c>
      <c r="O13" s="585">
        <v>4.5</v>
      </c>
      <c r="P13" s="589"/>
      <c r="Q13" s="590"/>
      <c r="R13" s="588"/>
      <c r="S13" s="586" t="s">
        <v>261</v>
      </c>
      <c r="T13" s="597">
        <v>2.5</v>
      </c>
      <c r="U13" s="585">
        <v>3.5</v>
      </c>
      <c r="V13" s="586" t="s">
        <v>11</v>
      </c>
      <c r="W13" s="590"/>
      <c r="X13" s="587">
        <v>0.5</v>
      </c>
      <c r="Y13" s="586" t="s">
        <v>271</v>
      </c>
      <c r="Z13" s="598"/>
      <c r="AA13" s="591">
        <v>2.5</v>
      </c>
      <c r="AB13" s="589"/>
      <c r="AC13" s="590"/>
      <c r="AD13" s="588"/>
      <c r="AE13" s="586" t="s">
        <v>269</v>
      </c>
      <c r="AF13" s="598"/>
      <c r="AG13" s="600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102</v>
      </c>
      <c r="C14" s="580">
        <f t="shared" si="1"/>
        <v>22.75</v>
      </c>
      <c r="D14" s="594">
        <f t="shared" si="2"/>
        <v>3</v>
      </c>
      <c r="E14" s="595">
        <f t="shared" si="3"/>
        <v>7.5</v>
      </c>
      <c r="F14" s="596">
        <f t="shared" si="4"/>
        <v>15.25</v>
      </c>
      <c r="G14" s="584" t="s">
        <v>261</v>
      </c>
      <c r="H14" s="590"/>
      <c r="I14" s="585">
        <v>1.75</v>
      </c>
      <c r="J14" s="586"/>
      <c r="K14" s="585"/>
      <c r="L14" s="587"/>
      <c r="M14" s="584" t="s">
        <v>261</v>
      </c>
      <c r="N14" s="585">
        <v>2.5</v>
      </c>
      <c r="O14" s="585">
        <v>2.75</v>
      </c>
      <c r="P14" s="586" t="s">
        <v>11</v>
      </c>
      <c r="Q14" s="585"/>
      <c r="R14" s="587">
        <v>0.5</v>
      </c>
      <c r="S14" s="586" t="s">
        <v>269</v>
      </c>
      <c r="T14" s="590"/>
      <c r="U14" s="585">
        <v>2.5</v>
      </c>
      <c r="V14" s="589"/>
      <c r="W14" s="590"/>
      <c r="X14" s="588"/>
      <c r="Y14" s="586" t="s">
        <v>265</v>
      </c>
      <c r="Z14" s="585">
        <v>2.5</v>
      </c>
      <c r="AA14" s="591">
        <v>3.75</v>
      </c>
      <c r="AB14" s="589"/>
      <c r="AC14" s="590"/>
      <c r="AD14" s="588"/>
      <c r="AE14" s="586" t="s">
        <v>261</v>
      </c>
      <c r="AF14" s="585">
        <v>2.5</v>
      </c>
      <c r="AG14" s="585">
        <v>4.0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120</v>
      </c>
      <c r="C15" s="580">
        <f t="shared" si="1"/>
        <v>19.75</v>
      </c>
      <c r="D15" s="603">
        <f t="shared" si="2"/>
        <v>2</v>
      </c>
      <c r="E15" s="604">
        <f t="shared" si="3"/>
        <v>5</v>
      </c>
      <c r="F15" s="605">
        <f t="shared" si="4"/>
        <v>14.75</v>
      </c>
      <c r="G15" s="606" t="s">
        <v>261</v>
      </c>
      <c r="H15" s="609"/>
      <c r="I15" s="607">
        <v>3.0</v>
      </c>
      <c r="J15" s="608"/>
      <c r="K15" s="609"/>
      <c r="L15" s="610"/>
      <c r="M15" s="606" t="s">
        <v>271</v>
      </c>
      <c r="N15" s="607">
        <v>2.5</v>
      </c>
      <c r="O15" s="607">
        <v>4.5</v>
      </c>
      <c r="P15" s="608"/>
      <c r="Q15" s="609"/>
      <c r="R15" s="610"/>
      <c r="S15" s="611" t="s">
        <v>269</v>
      </c>
      <c r="T15" s="609"/>
      <c r="U15" s="607">
        <v>1.75</v>
      </c>
      <c r="V15" s="611"/>
      <c r="W15" s="609"/>
      <c r="X15" s="610"/>
      <c r="Y15" s="611" t="s">
        <v>261</v>
      </c>
      <c r="Z15" s="609"/>
      <c r="AA15" s="634">
        <v>3.0</v>
      </c>
      <c r="AB15" s="608"/>
      <c r="AC15" s="609"/>
      <c r="AD15" s="610"/>
      <c r="AE15" s="611" t="s">
        <v>261</v>
      </c>
      <c r="AF15" s="607">
        <v>2.5</v>
      </c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389</v>
      </c>
      <c r="L16" s="543"/>
      <c r="M16" s="616" t="s">
        <v>338</v>
      </c>
      <c r="R16" s="543"/>
      <c r="S16" s="616" t="s">
        <v>373</v>
      </c>
      <c r="X16" s="543"/>
      <c r="Y16" s="616" t="s">
        <v>341</v>
      </c>
      <c r="AD16" s="543"/>
      <c r="AE16" s="616" t="s">
        <v>390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258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114</v>
      </c>
      <c r="C26" s="631" t="s">
        <v>16</v>
      </c>
      <c r="D26" s="630">
        <v>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391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130</v>
      </c>
      <c r="C6" s="580">
        <f t="shared" ref="C6:C15" si="1">SUM(H6:AK6)</f>
        <v>24.5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14.5</v>
      </c>
      <c r="G6" s="584" t="s">
        <v>269</v>
      </c>
      <c r="H6" s="597">
        <v>2.5</v>
      </c>
      <c r="I6" s="585">
        <v>2.5</v>
      </c>
      <c r="J6" s="586"/>
      <c r="K6" s="590"/>
      <c r="L6" s="588"/>
      <c r="M6" s="584" t="s">
        <v>261</v>
      </c>
      <c r="N6" s="597">
        <v>2.5</v>
      </c>
      <c r="O6" s="585">
        <v>3.25</v>
      </c>
      <c r="P6" s="589"/>
      <c r="Q6" s="590"/>
      <c r="R6" s="588"/>
      <c r="S6" s="586" t="s">
        <v>261</v>
      </c>
      <c r="T6" s="597">
        <v>2.5</v>
      </c>
      <c r="U6" s="585">
        <v>3.5</v>
      </c>
      <c r="V6" s="586"/>
      <c r="W6" s="590"/>
      <c r="X6" s="588"/>
      <c r="Y6" s="586" t="s">
        <v>261</v>
      </c>
      <c r="Z6" s="597">
        <v>2.5</v>
      </c>
      <c r="AA6" s="591">
        <v>2.25</v>
      </c>
      <c r="AB6" s="586" t="s">
        <v>11</v>
      </c>
      <c r="AC6" s="590"/>
      <c r="AD6" s="587">
        <v>0.5</v>
      </c>
      <c r="AE6" s="586" t="s">
        <v>269</v>
      </c>
      <c r="AF6" s="598"/>
      <c r="AG6" s="585">
        <v>2.5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114</v>
      </c>
      <c r="C7" s="580">
        <f t="shared" si="1"/>
        <v>29</v>
      </c>
      <c r="D7" s="594">
        <f t="shared" si="2"/>
        <v>5</v>
      </c>
      <c r="E7" s="595">
        <f t="shared" si="3"/>
        <v>12.5</v>
      </c>
      <c r="F7" s="596">
        <f t="shared" si="4"/>
        <v>16.5</v>
      </c>
      <c r="G7" s="584" t="s">
        <v>265</v>
      </c>
      <c r="H7" s="597">
        <v>2.5</v>
      </c>
      <c r="I7" s="585">
        <v>2.0</v>
      </c>
      <c r="J7" s="586"/>
      <c r="K7" s="590"/>
      <c r="L7" s="588"/>
      <c r="M7" s="584" t="s">
        <v>261</v>
      </c>
      <c r="N7" s="597">
        <v>2.5</v>
      </c>
      <c r="O7" s="585">
        <v>3.0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 t="s">
        <v>260</v>
      </c>
      <c r="W7" s="590"/>
      <c r="X7" s="588"/>
      <c r="Y7" s="586" t="s">
        <v>271</v>
      </c>
      <c r="Z7" s="597">
        <v>2.5</v>
      </c>
      <c r="AA7" s="591">
        <v>5.0</v>
      </c>
      <c r="AB7" s="586"/>
      <c r="AC7" s="585"/>
      <c r="AD7" s="587"/>
      <c r="AE7" s="586" t="s">
        <v>261</v>
      </c>
      <c r="AF7" s="597">
        <v>2.5</v>
      </c>
      <c r="AG7" s="585">
        <v>2.75</v>
      </c>
      <c r="AH7" s="586"/>
      <c r="AI7" s="590"/>
      <c r="AJ7" s="587"/>
      <c r="AK7" s="588"/>
      <c r="AL7" s="593"/>
    </row>
    <row r="8">
      <c r="A8" s="578">
        <v>3.0</v>
      </c>
      <c r="B8" s="579" t="s">
        <v>113</v>
      </c>
      <c r="C8" s="580">
        <f t="shared" si="1"/>
        <v>19.5</v>
      </c>
      <c r="D8" s="594">
        <f t="shared" si="2"/>
        <v>2</v>
      </c>
      <c r="E8" s="595">
        <f t="shared" si="3"/>
        <v>5</v>
      </c>
      <c r="F8" s="596">
        <f t="shared" si="4"/>
        <v>14.5</v>
      </c>
      <c r="G8" s="584" t="s">
        <v>261</v>
      </c>
      <c r="H8" s="590"/>
      <c r="I8" s="585">
        <v>3.0</v>
      </c>
      <c r="J8" s="589"/>
      <c r="K8" s="590"/>
      <c r="L8" s="588"/>
      <c r="M8" s="584" t="s">
        <v>271</v>
      </c>
      <c r="N8" s="585">
        <v>2.5</v>
      </c>
      <c r="O8" s="585">
        <v>4.5</v>
      </c>
      <c r="P8" s="589"/>
      <c r="Q8" s="590"/>
      <c r="R8" s="588"/>
      <c r="S8" s="586" t="s">
        <v>265</v>
      </c>
      <c r="T8" s="590"/>
      <c r="U8" s="600">
        <v>1.5</v>
      </c>
      <c r="V8" s="586"/>
      <c r="W8" s="590"/>
      <c r="X8" s="587"/>
      <c r="Y8" s="586" t="s">
        <v>261</v>
      </c>
      <c r="Z8" s="585">
        <v>2.5</v>
      </c>
      <c r="AA8" s="585">
        <v>4.0</v>
      </c>
      <c r="AB8" s="589"/>
      <c r="AC8" s="590"/>
      <c r="AD8" s="588"/>
      <c r="AE8" s="586" t="s">
        <v>269</v>
      </c>
      <c r="AF8" s="590"/>
      <c r="AG8" s="585">
        <v>1.5</v>
      </c>
      <c r="AH8" s="589"/>
      <c r="AI8" s="590"/>
      <c r="AJ8" s="588"/>
      <c r="AK8" s="588"/>
      <c r="AL8" s="593"/>
    </row>
    <row r="9">
      <c r="A9" s="578">
        <v>4.0</v>
      </c>
      <c r="B9" s="579" t="s">
        <v>90</v>
      </c>
      <c r="C9" s="580">
        <f t="shared" si="1"/>
        <v>24.25</v>
      </c>
      <c r="D9" s="594">
        <f t="shared" si="2"/>
        <v>4</v>
      </c>
      <c r="E9" s="595">
        <f t="shared" si="3"/>
        <v>10</v>
      </c>
      <c r="F9" s="596">
        <f t="shared" si="4"/>
        <v>14.25</v>
      </c>
      <c r="G9" s="584" t="s">
        <v>261</v>
      </c>
      <c r="H9" s="590"/>
      <c r="I9" s="585">
        <v>2.5</v>
      </c>
      <c r="J9" s="586"/>
      <c r="K9" s="590"/>
      <c r="L9" s="588"/>
      <c r="M9" s="584" t="s">
        <v>261</v>
      </c>
      <c r="N9" s="585">
        <v>2.5</v>
      </c>
      <c r="O9" s="585">
        <v>2.75</v>
      </c>
      <c r="P9" s="586"/>
      <c r="Q9" s="590"/>
      <c r="R9" s="588"/>
      <c r="S9" s="586" t="s">
        <v>261</v>
      </c>
      <c r="T9" s="585">
        <v>2.5</v>
      </c>
      <c r="U9" s="585">
        <v>3.5</v>
      </c>
      <c r="V9" s="586"/>
      <c r="W9" s="590"/>
      <c r="X9" s="588"/>
      <c r="Y9" s="586" t="s">
        <v>261</v>
      </c>
      <c r="Z9" s="585">
        <v>2.5</v>
      </c>
      <c r="AA9" s="591">
        <v>2.5</v>
      </c>
      <c r="AB9" s="589"/>
      <c r="AC9" s="590"/>
      <c r="AD9" s="588"/>
      <c r="AE9" s="586" t="s">
        <v>261</v>
      </c>
      <c r="AF9" s="585">
        <v>2.5</v>
      </c>
      <c r="AG9" s="585">
        <v>3.0</v>
      </c>
      <c r="AH9" s="586" t="s">
        <v>260</v>
      </c>
      <c r="AI9" s="590"/>
      <c r="AJ9" s="588"/>
      <c r="AK9" s="599"/>
      <c r="AL9" s="593"/>
    </row>
    <row r="10">
      <c r="A10" s="578">
        <v>5.0</v>
      </c>
      <c r="B10" s="579" t="s">
        <v>101</v>
      </c>
      <c r="C10" s="580">
        <f t="shared" si="1"/>
        <v>18.25</v>
      </c>
      <c r="D10" s="594">
        <f t="shared" si="2"/>
        <v>3</v>
      </c>
      <c r="E10" s="595">
        <f t="shared" si="3"/>
        <v>7.5</v>
      </c>
      <c r="F10" s="596">
        <f t="shared" si="4"/>
        <v>10.75</v>
      </c>
      <c r="G10" s="584" t="s">
        <v>271</v>
      </c>
      <c r="H10" s="590"/>
      <c r="I10" s="600">
        <v>0.0</v>
      </c>
      <c r="J10" s="589"/>
      <c r="K10" s="590"/>
      <c r="L10" s="588"/>
      <c r="M10" s="584" t="s">
        <v>269</v>
      </c>
      <c r="N10" s="590"/>
      <c r="O10" s="585">
        <v>1.75</v>
      </c>
      <c r="P10" s="586"/>
      <c r="Q10" s="590"/>
      <c r="R10" s="587"/>
      <c r="S10" s="586" t="s">
        <v>271</v>
      </c>
      <c r="T10" s="585">
        <v>2.5</v>
      </c>
      <c r="U10" s="585">
        <v>3.75</v>
      </c>
      <c r="V10" s="586" t="s">
        <v>260</v>
      </c>
      <c r="W10" s="590"/>
      <c r="X10" s="588"/>
      <c r="Y10" s="586" t="s">
        <v>261</v>
      </c>
      <c r="Z10" s="585">
        <v>2.5</v>
      </c>
      <c r="AA10" s="591">
        <v>2.5</v>
      </c>
      <c r="AB10" s="586"/>
      <c r="AC10" s="590"/>
      <c r="AD10" s="587"/>
      <c r="AE10" s="586" t="s">
        <v>261</v>
      </c>
      <c r="AF10" s="585">
        <v>2.5</v>
      </c>
      <c r="AG10" s="585">
        <v>2.25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112</v>
      </c>
      <c r="C11" s="580">
        <f t="shared" si="1"/>
        <v>16.5</v>
      </c>
      <c r="D11" s="594">
        <f t="shared" si="2"/>
        <v>2</v>
      </c>
      <c r="E11" s="595">
        <f t="shared" si="3"/>
        <v>5</v>
      </c>
      <c r="F11" s="596">
        <f t="shared" si="4"/>
        <v>11.5</v>
      </c>
      <c r="G11" s="584" t="s">
        <v>261</v>
      </c>
      <c r="H11" s="590"/>
      <c r="I11" s="585">
        <v>2.25</v>
      </c>
      <c r="J11" s="586"/>
      <c r="K11" s="590"/>
      <c r="L11" s="588"/>
      <c r="M11" s="584" t="s">
        <v>265</v>
      </c>
      <c r="N11" s="590"/>
      <c r="O11" s="585">
        <v>1.5</v>
      </c>
      <c r="P11" s="586"/>
      <c r="Q11" s="585"/>
      <c r="R11" s="587"/>
      <c r="S11" s="586" t="s">
        <v>261</v>
      </c>
      <c r="T11" s="585">
        <v>2.5</v>
      </c>
      <c r="U11" s="585">
        <v>2.5</v>
      </c>
      <c r="V11" s="586" t="s">
        <v>11</v>
      </c>
      <c r="W11" s="590"/>
      <c r="X11" s="587">
        <v>0.5</v>
      </c>
      <c r="Y11" s="586" t="s">
        <v>269</v>
      </c>
      <c r="Z11" s="590"/>
      <c r="AA11" s="591">
        <v>1.75</v>
      </c>
      <c r="AB11" s="589"/>
      <c r="AC11" s="590"/>
      <c r="AD11" s="588"/>
      <c r="AE11" s="586" t="s">
        <v>271</v>
      </c>
      <c r="AF11" s="585">
        <v>2.5</v>
      </c>
      <c r="AG11" s="585">
        <v>3.0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97</v>
      </c>
      <c r="C12" s="580">
        <f t="shared" si="1"/>
        <v>14.5</v>
      </c>
      <c r="D12" s="594">
        <f t="shared" si="2"/>
        <v>1</v>
      </c>
      <c r="E12" s="595">
        <f t="shared" si="3"/>
        <v>2.5</v>
      </c>
      <c r="F12" s="596">
        <f t="shared" si="4"/>
        <v>12</v>
      </c>
      <c r="G12" s="584" t="s">
        <v>261</v>
      </c>
      <c r="H12" s="590"/>
      <c r="I12" s="585">
        <v>2.5</v>
      </c>
      <c r="J12" s="586"/>
      <c r="K12" s="590"/>
      <c r="L12" s="588"/>
      <c r="M12" s="584" t="s">
        <v>261</v>
      </c>
      <c r="N12" s="585">
        <v>2.5</v>
      </c>
      <c r="O12" s="585">
        <v>3.25</v>
      </c>
      <c r="P12" s="589"/>
      <c r="Q12" s="590"/>
      <c r="R12" s="588"/>
      <c r="S12" s="586" t="s">
        <v>269</v>
      </c>
      <c r="T12" s="590"/>
      <c r="U12" s="585">
        <v>2.5</v>
      </c>
      <c r="V12" s="586" t="s">
        <v>263</v>
      </c>
      <c r="W12" s="590"/>
      <c r="X12" s="587"/>
      <c r="Y12" s="586" t="s">
        <v>269</v>
      </c>
      <c r="Z12" s="590"/>
      <c r="AA12" s="585">
        <v>2.0</v>
      </c>
      <c r="AB12" s="589"/>
      <c r="AC12" s="590"/>
      <c r="AD12" s="588"/>
      <c r="AE12" s="586" t="s">
        <v>265</v>
      </c>
      <c r="AF12" s="590"/>
      <c r="AG12" s="585">
        <v>1.75</v>
      </c>
      <c r="AH12" s="586" t="s">
        <v>263</v>
      </c>
      <c r="AI12" s="590"/>
      <c r="AJ12" s="588"/>
      <c r="AK12" s="588"/>
      <c r="AL12" s="593"/>
    </row>
    <row r="13">
      <c r="A13" s="578">
        <v>8.0</v>
      </c>
      <c r="B13" s="579" t="s">
        <v>281</v>
      </c>
      <c r="C13" s="580">
        <f t="shared" si="1"/>
        <v>21.25</v>
      </c>
      <c r="D13" s="594">
        <f t="shared" si="2"/>
        <v>3</v>
      </c>
      <c r="E13" s="595">
        <f t="shared" si="3"/>
        <v>7.5</v>
      </c>
      <c r="F13" s="596">
        <f t="shared" si="4"/>
        <v>13.75</v>
      </c>
      <c r="G13" s="584" t="s">
        <v>261</v>
      </c>
      <c r="H13" s="598"/>
      <c r="I13" s="585">
        <v>2.25</v>
      </c>
      <c r="J13" s="586"/>
      <c r="K13" s="585"/>
      <c r="L13" s="588"/>
      <c r="M13" s="584" t="s">
        <v>261</v>
      </c>
      <c r="N13" s="597">
        <v>2.5</v>
      </c>
      <c r="O13" s="585">
        <v>2.75</v>
      </c>
      <c r="P13" s="589"/>
      <c r="Q13" s="590"/>
      <c r="R13" s="588"/>
      <c r="S13" s="586" t="s">
        <v>261</v>
      </c>
      <c r="T13" s="597">
        <v>2.5</v>
      </c>
      <c r="U13" s="585">
        <v>4.5</v>
      </c>
      <c r="V13" s="586"/>
      <c r="W13" s="590"/>
      <c r="X13" s="588"/>
      <c r="Y13" s="586" t="s">
        <v>265</v>
      </c>
      <c r="Z13" s="598"/>
      <c r="AA13" s="591">
        <v>1.5</v>
      </c>
      <c r="AB13" s="589"/>
      <c r="AC13" s="590"/>
      <c r="AD13" s="588"/>
      <c r="AE13" s="586" t="s">
        <v>261</v>
      </c>
      <c r="AF13" s="597">
        <v>2.5</v>
      </c>
      <c r="AG13" s="585">
        <v>2.75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86</v>
      </c>
      <c r="C14" s="580">
        <f t="shared" si="1"/>
        <v>24.25</v>
      </c>
      <c r="D14" s="594">
        <f t="shared" si="2"/>
        <v>4</v>
      </c>
      <c r="E14" s="595">
        <f t="shared" si="3"/>
        <v>10</v>
      </c>
      <c r="F14" s="596">
        <f t="shared" si="4"/>
        <v>14.25</v>
      </c>
      <c r="G14" s="584" t="s">
        <v>269</v>
      </c>
      <c r="H14" s="585">
        <v>2.5</v>
      </c>
      <c r="I14" s="585">
        <v>2.0</v>
      </c>
      <c r="J14" s="586"/>
      <c r="K14" s="585"/>
      <c r="L14" s="587"/>
      <c r="M14" s="584" t="s">
        <v>269</v>
      </c>
      <c r="N14" s="590"/>
      <c r="O14" s="585">
        <v>1.75</v>
      </c>
      <c r="P14" s="586"/>
      <c r="Q14" s="585"/>
      <c r="R14" s="588"/>
      <c r="S14" s="586" t="s">
        <v>261</v>
      </c>
      <c r="T14" s="585">
        <v>2.5</v>
      </c>
      <c r="U14" s="585">
        <v>3.5</v>
      </c>
      <c r="V14" s="589"/>
      <c r="W14" s="590"/>
      <c r="X14" s="588"/>
      <c r="Y14" s="586" t="s">
        <v>261</v>
      </c>
      <c r="Z14" s="585">
        <v>2.5</v>
      </c>
      <c r="AA14" s="591">
        <v>3.75</v>
      </c>
      <c r="AB14" s="589"/>
      <c r="AC14" s="590"/>
      <c r="AD14" s="588"/>
      <c r="AE14" s="586" t="s">
        <v>261</v>
      </c>
      <c r="AF14" s="585">
        <v>2.5</v>
      </c>
      <c r="AG14" s="585">
        <v>3.25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100</v>
      </c>
      <c r="C15" s="580">
        <f t="shared" si="1"/>
        <v>22.5</v>
      </c>
      <c r="D15" s="603">
        <f t="shared" si="2"/>
        <v>3</v>
      </c>
      <c r="E15" s="604">
        <f t="shared" si="3"/>
        <v>7.5</v>
      </c>
      <c r="F15" s="605">
        <f t="shared" si="4"/>
        <v>15</v>
      </c>
      <c r="G15" s="606" t="s">
        <v>261</v>
      </c>
      <c r="H15" s="609"/>
      <c r="I15" s="607">
        <v>2.75</v>
      </c>
      <c r="J15" s="608"/>
      <c r="K15" s="609"/>
      <c r="L15" s="610"/>
      <c r="M15" s="606" t="s">
        <v>261</v>
      </c>
      <c r="N15" s="607">
        <v>2.5</v>
      </c>
      <c r="O15" s="607">
        <v>3.5</v>
      </c>
      <c r="P15" s="611" t="s">
        <v>11</v>
      </c>
      <c r="Q15" s="609"/>
      <c r="R15" s="612">
        <v>0.5</v>
      </c>
      <c r="S15" s="611" t="s">
        <v>269</v>
      </c>
      <c r="T15" s="609"/>
      <c r="U15" s="607">
        <v>2.5</v>
      </c>
      <c r="V15" s="611"/>
      <c r="W15" s="609"/>
      <c r="X15" s="610"/>
      <c r="Y15" s="611" t="s">
        <v>261</v>
      </c>
      <c r="Z15" s="607">
        <v>2.5</v>
      </c>
      <c r="AA15" s="634">
        <v>3.25</v>
      </c>
      <c r="AB15" s="608"/>
      <c r="AC15" s="609"/>
      <c r="AD15" s="610"/>
      <c r="AE15" s="611" t="s">
        <v>261</v>
      </c>
      <c r="AF15" s="607">
        <v>2.5</v>
      </c>
      <c r="AG15" s="607">
        <v>2.5</v>
      </c>
      <c r="AH15" s="611" t="s">
        <v>260</v>
      </c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268</v>
      </c>
      <c r="H18" s="548"/>
      <c r="I18" s="548"/>
      <c r="J18" s="548"/>
      <c r="K18" s="548"/>
      <c r="L18" s="549"/>
      <c r="M18" s="621" t="s">
        <v>257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3.0</v>
      </c>
      <c r="B26" s="631" t="s">
        <v>113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1.0</v>
      </c>
      <c r="B27" s="631" t="s">
        <v>101</v>
      </c>
      <c r="C27" s="631" t="s">
        <v>292</v>
      </c>
      <c r="D27" s="631" t="s">
        <v>392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393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568" t="s">
        <v>12</v>
      </c>
      <c r="E4" s="569" t="s">
        <v>7</v>
      </c>
      <c r="F4" s="570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130</v>
      </c>
      <c r="C6" s="580">
        <f t="shared" ref="C6:C15" si="1">SUM(H6:AK6)</f>
        <v>19.5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14.5</v>
      </c>
      <c r="G6" s="584" t="s">
        <v>261</v>
      </c>
      <c r="H6" s="598"/>
      <c r="I6" s="585">
        <v>3.0</v>
      </c>
      <c r="J6" s="586"/>
      <c r="K6" s="590"/>
      <c r="L6" s="588"/>
      <c r="M6" s="584" t="s">
        <v>269</v>
      </c>
      <c r="N6" s="597">
        <v>2.5</v>
      </c>
      <c r="O6" s="585">
        <v>4.0</v>
      </c>
      <c r="P6" s="589"/>
      <c r="Q6" s="590"/>
      <c r="R6" s="588"/>
      <c r="S6" s="586" t="s">
        <v>261</v>
      </c>
      <c r="T6" s="597">
        <v>2.5</v>
      </c>
      <c r="U6" s="585">
        <v>3.25</v>
      </c>
      <c r="V6" s="586"/>
      <c r="W6" s="590"/>
      <c r="X6" s="588"/>
      <c r="Y6" s="586" t="s">
        <v>261</v>
      </c>
      <c r="Z6" s="598"/>
      <c r="AA6" s="591">
        <v>2.25</v>
      </c>
      <c r="AB6" s="589"/>
      <c r="AC6" s="590"/>
      <c r="AD6" s="588"/>
      <c r="AE6" s="586" t="s">
        <v>265</v>
      </c>
      <c r="AF6" s="598"/>
      <c r="AG6" s="585">
        <v>2.0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114</v>
      </c>
      <c r="C7" s="580">
        <f t="shared" si="1"/>
        <v>19.25</v>
      </c>
      <c r="D7" s="594">
        <f t="shared" si="2"/>
        <v>2</v>
      </c>
      <c r="E7" s="595">
        <f t="shared" si="3"/>
        <v>5</v>
      </c>
      <c r="F7" s="596">
        <f t="shared" si="4"/>
        <v>14.25</v>
      </c>
      <c r="G7" s="584" t="s">
        <v>261</v>
      </c>
      <c r="H7" s="598"/>
      <c r="I7" s="585">
        <v>2.25</v>
      </c>
      <c r="J7" s="586"/>
      <c r="K7" s="590"/>
      <c r="L7" s="588"/>
      <c r="M7" s="584" t="s">
        <v>265</v>
      </c>
      <c r="N7" s="597">
        <v>2.5</v>
      </c>
      <c r="O7" s="585">
        <v>3.5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/>
      <c r="W7" s="590"/>
      <c r="X7" s="588"/>
      <c r="Y7" s="586" t="s">
        <v>271</v>
      </c>
      <c r="Z7" s="598"/>
      <c r="AA7" s="591">
        <v>1.75</v>
      </c>
      <c r="AB7" s="586" t="s">
        <v>11</v>
      </c>
      <c r="AC7" s="585"/>
      <c r="AD7" s="587">
        <v>0.5</v>
      </c>
      <c r="AE7" s="586" t="s">
        <v>269</v>
      </c>
      <c r="AF7" s="598"/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113</v>
      </c>
      <c r="C8" s="580">
        <f t="shared" si="1"/>
        <v>22</v>
      </c>
      <c r="D8" s="594">
        <f t="shared" si="2"/>
        <v>2</v>
      </c>
      <c r="E8" s="595">
        <f t="shared" si="3"/>
        <v>5</v>
      </c>
      <c r="F8" s="596">
        <f t="shared" si="4"/>
        <v>17</v>
      </c>
      <c r="G8" s="584" t="s">
        <v>261</v>
      </c>
      <c r="H8" s="590"/>
      <c r="I8" s="585">
        <v>2.25</v>
      </c>
      <c r="J8" s="586" t="s">
        <v>11</v>
      </c>
      <c r="K8" s="590"/>
      <c r="L8" s="587">
        <v>0.5</v>
      </c>
      <c r="M8" s="584" t="s">
        <v>261</v>
      </c>
      <c r="N8" s="590"/>
      <c r="O8" s="585">
        <v>2.0</v>
      </c>
      <c r="P8" s="589"/>
      <c r="Q8" s="590"/>
      <c r="R8" s="588"/>
      <c r="S8" s="586" t="s">
        <v>261</v>
      </c>
      <c r="T8" s="585">
        <v>2.5</v>
      </c>
      <c r="U8" s="585">
        <v>4.25</v>
      </c>
      <c r="V8" s="586"/>
      <c r="W8" s="590"/>
      <c r="X8" s="587"/>
      <c r="Y8" s="586" t="s">
        <v>261</v>
      </c>
      <c r="Z8" s="590"/>
      <c r="AA8" s="585">
        <v>3.5</v>
      </c>
      <c r="AB8" s="589"/>
      <c r="AC8" s="590"/>
      <c r="AD8" s="588"/>
      <c r="AE8" s="586" t="s">
        <v>261</v>
      </c>
      <c r="AF8" s="585">
        <v>2.5</v>
      </c>
      <c r="AG8" s="585">
        <v>4.5</v>
      </c>
      <c r="AH8" s="589"/>
      <c r="AI8" s="590"/>
      <c r="AJ8" s="588"/>
      <c r="AK8" s="588"/>
      <c r="AL8" s="593"/>
    </row>
    <row r="9">
      <c r="A9" s="578">
        <v>4.0</v>
      </c>
      <c r="B9" s="579" t="s">
        <v>137</v>
      </c>
      <c r="C9" s="580">
        <f t="shared" si="1"/>
        <v>20.25</v>
      </c>
      <c r="D9" s="594">
        <f t="shared" si="2"/>
        <v>3</v>
      </c>
      <c r="E9" s="595">
        <f t="shared" si="3"/>
        <v>7.5</v>
      </c>
      <c r="F9" s="596">
        <f t="shared" si="4"/>
        <v>12.75</v>
      </c>
      <c r="G9" s="584" t="s">
        <v>261</v>
      </c>
      <c r="H9" s="590"/>
      <c r="I9" s="585">
        <v>1.5</v>
      </c>
      <c r="J9" s="586"/>
      <c r="K9" s="590"/>
      <c r="L9" s="588"/>
      <c r="M9" s="584" t="s">
        <v>261</v>
      </c>
      <c r="N9" s="590"/>
      <c r="O9" s="585">
        <v>2.0</v>
      </c>
      <c r="P9" s="586"/>
      <c r="Q9" s="590"/>
      <c r="R9" s="588"/>
      <c r="S9" s="586" t="s">
        <v>261</v>
      </c>
      <c r="T9" s="585">
        <v>2.5</v>
      </c>
      <c r="U9" s="585">
        <v>3.25</v>
      </c>
      <c r="V9" s="586"/>
      <c r="W9" s="590"/>
      <c r="X9" s="588"/>
      <c r="Y9" s="586" t="s">
        <v>269</v>
      </c>
      <c r="Z9" s="585">
        <v>2.5</v>
      </c>
      <c r="AA9" s="591">
        <v>3.5</v>
      </c>
      <c r="AB9" s="589"/>
      <c r="AC9" s="590"/>
      <c r="AD9" s="588"/>
      <c r="AE9" s="586" t="s">
        <v>261</v>
      </c>
      <c r="AF9" s="585">
        <v>2.5</v>
      </c>
      <c r="AG9" s="585">
        <v>2.5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92</v>
      </c>
      <c r="C10" s="580">
        <f t="shared" si="1"/>
        <v>21.25</v>
      </c>
      <c r="D10" s="594">
        <f t="shared" si="2"/>
        <v>3</v>
      </c>
      <c r="E10" s="595">
        <f t="shared" si="3"/>
        <v>7.5</v>
      </c>
      <c r="F10" s="596">
        <f t="shared" si="4"/>
        <v>13.75</v>
      </c>
      <c r="G10" s="584" t="s">
        <v>261</v>
      </c>
      <c r="H10" s="590"/>
      <c r="I10" s="585">
        <v>1.75</v>
      </c>
      <c r="J10" s="589"/>
      <c r="K10" s="590"/>
      <c r="L10" s="588"/>
      <c r="M10" s="584" t="s">
        <v>269</v>
      </c>
      <c r="N10" s="585">
        <v>2.5</v>
      </c>
      <c r="O10" s="585">
        <v>3.5</v>
      </c>
      <c r="P10" s="586"/>
      <c r="Q10" s="590"/>
      <c r="R10" s="587"/>
      <c r="S10" s="586" t="s">
        <v>269</v>
      </c>
      <c r="T10" s="590"/>
      <c r="U10" s="585">
        <v>2.0</v>
      </c>
      <c r="V10" s="586"/>
      <c r="W10" s="590"/>
      <c r="X10" s="588"/>
      <c r="Y10" s="586" t="s">
        <v>265</v>
      </c>
      <c r="Z10" s="585">
        <v>2.5</v>
      </c>
      <c r="AA10" s="591">
        <v>3.5</v>
      </c>
      <c r="AB10" s="586"/>
      <c r="AC10" s="590"/>
      <c r="AD10" s="587"/>
      <c r="AE10" s="586" t="s">
        <v>261</v>
      </c>
      <c r="AF10" s="585">
        <v>2.5</v>
      </c>
      <c r="AG10" s="585">
        <v>3.0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281</v>
      </c>
      <c r="C11" s="580">
        <f t="shared" si="1"/>
        <v>21.25</v>
      </c>
      <c r="D11" s="594">
        <f t="shared" si="2"/>
        <v>3</v>
      </c>
      <c r="E11" s="595">
        <f t="shared" si="3"/>
        <v>7.5</v>
      </c>
      <c r="F11" s="596">
        <f t="shared" si="4"/>
        <v>13.75</v>
      </c>
      <c r="G11" s="584" t="s">
        <v>269</v>
      </c>
      <c r="H11" s="585">
        <v>2.5</v>
      </c>
      <c r="I11" s="585">
        <v>3.5</v>
      </c>
      <c r="J11" s="586"/>
      <c r="K11" s="590"/>
      <c r="L11" s="588"/>
      <c r="M11" s="584" t="s">
        <v>261</v>
      </c>
      <c r="N11" s="590"/>
      <c r="O11" s="585">
        <v>2.25</v>
      </c>
      <c r="P11" s="586"/>
      <c r="Q11" s="585"/>
      <c r="R11" s="587"/>
      <c r="S11" s="586" t="s">
        <v>261</v>
      </c>
      <c r="T11" s="585">
        <v>2.5</v>
      </c>
      <c r="U11" s="600">
        <v>1.5</v>
      </c>
      <c r="V11" s="586" t="s">
        <v>11</v>
      </c>
      <c r="W11" s="590"/>
      <c r="X11" s="587">
        <v>0.5</v>
      </c>
      <c r="Y11" s="586" t="s">
        <v>261</v>
      </c>
      <c r="Z11" s="590"/>
      <c r="AA11" s="591">
        <v>1.75</v>
      </c>
      <c r="AB11" s="589"/>
      <c r="AC11" s="590"/>
      <c r="AD11" s="588"/>
      <c r="AE11" s="586" t="s">
        <v>261</v>
      </c>
      <c r="AF11" s="585">
        <v>2.5</v>
      </c>
      <c r="AG11" s="585">
        <v>4.25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122</v>
      </c>
      <c r="C12" s="580">
        <f t="shared" si="1"/>
        <v>11.75</v>
      </c>
      <c r="D12" s="594">
        <f t="shared" si="2"/>
        <v>1</v>
      </c>
      <c r="E12" s="595">
        <f t="shared" si="3"/>
        <v>2.5</v>
      </c>
      <c r="F12" s="596">
        <f t="shared" si="4"/>
        <v>9.25</v>
      </c>
      <c r="G12" s="584" t="s">
        <v>261</v>
      </c>
      <c r="H12" s="590"/>
      <c r="I12" s="585">
        <v>2.0</v>
      </c>
      <c r="J12" s="586"/>
      <c r="K12" s="590"/>
      <c r="L12" s="588"/>
      <c r="M12" s="584" t="s">
        <v>261</v>
      </c>
      <c r="N12" s="590"/>
      <c r="O12" s="585">
        <v>1.75</v>
      </c>
      <c r="P12" s="589"/>
      <c r="Q12" s="590"/>
      <c r="R12" s="588"/>
      <c r="S12" s="586" t="s">
        <v>265</v>
      </c>
      <c r="T12" s="590"/>
      <c r="U12" s="585">
        <v>1.5</v>
      </c>
      <c r="V12" s="586"/>
      <c r="W12" s="590"/>
      <c r="X12" s="587"/>
      <c r="Y12" s="586" t="s">
        <v>261</v>
      </c>
      <c r="Z12" s="590"/>
      <c r="AA12" s="585">
        <v>2.0</v>
      </c>
      <c r="AB12" s="589"/>
      <c r="AC12" s="590"/>
      <c r="AD12" s="588"/>
      <c r="AE12" s="586" t="s">
        <v>261</v>
      </c>
      <c r="AF12" s="585">
        <v>2.5</v>
      </c>
      <c r="AG12" s="585">
        <v>2.0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120</v>
      </c>
      <c r="C13" s="580">
        <f t="shared" si="1"/>
        <v>26</v>
      </c>
      <c r="D13" s="594">
        <f t="shared" si="2"/>
        <v>4</v>
      </c>
      <c r="E13" s="595">
        <f t="shared" si="3"/>
        <v>10</v>
      </c>
      <c r="F13" s="596">
        <f t="shared" si="4"/>
        <v>16</v>
      </c>
      <c r="G13" s="584" t="s">
        <v>269</v>
      </c>
      <c r="H13" s="597">
        <v>2.5</v>
      </c>
      <c r="I13" s="585">
        <v>3.5</v>
      </c>
      <c r="J13" s="586"/>
      <c r="K13" s="585"/>
      <c r="L13" s="588"/>
      <c r="M13" s="584" t="s">
        <v>261</v>
      </c>
      <c r="N13" s="598"/>
      <c r="O13" s="585">
        <v>2.0</v>
      </c>
      <c r="P13" s="589"/>
      <c r="Q13" s="590"/>
      <c r="R13" s="588"/>
      <c r="S13" s="586" t="s">
        <v>261</v>
      </c>
      <c r="T13" s="597">
        <v>2.5</v>
      </c>
      <c r="U13" s="585">
        <v>3.75</v>
      </c>
      <c r="V13" s="586"/>
      <c r="W13" s="590"/>
      <c r="X13" s="588"/>
      <c r="Y13" s="586" t="s">
        <v>269</v>
      </c>
      <c r="Z13" s="597">
        <v>2.5</v>
      </c>
      <c r="AA13" s="591">
        <v>4.0</v>
      </c>
      <c r="AB13" s="589"/>
      <c r="AC13" s="590"/>
      <c r="AD13" s="588"/>
      <c r="AE13" s="586" t="s">
        <v>261</v>
      </c>
      <c r="AF13" s="597">
        <v>2.5</v>
      </c>
      <c r="AG13" s="585">
        <v>2.25</v>
      </c>
      <c r="AH13" s="586" t="s">
        <v>11</v>
      </c>
      <c r="AI13" s="590"/>
      <c r="AJ13" s="587">
        <v>0.5</v>
      </c>
      <c r="AK13" s="588"/>
      <c r="AL13" s="593"/>
    </row>
    <row r="14">
      <c r="A14" s="578">
        <v>9.0</v>
      </c>
      <c r="B14" s="579" t="s">
        <v>85</v>
      </c>
      <c r="C14" s="580">
        <f t="shared" si="1"/>
        <v>14.25</v>
      </c>
      <c r="D14" s="594">
        <f t="shared" si="2"/>
        <v>1</v>
      </c>
      <c r="E14" s="595">
        <f t="shared" si="3"/>
        <v>2.5</v>
      </c>
      <c r="F14" s="596">
        <f t="shared" si="4"/>
        <v>11.75</v>
      </c>
      <c r="G14" s="584" t="s">
        <v>271</v>
      </c>
      <c r="H14" s="590"/>
      <c r="I14" s="585">
        <v>2.25</v>
      </c>
      <c r="J14" s="586"/>
      <c r="K14" s="585"/>
      <c r="L14" s="587"/>
      <c r="M14" s="584" t="s">
        <v>271</v>
      </c>
      <c r="N14" s="590"/>
      <c r="O14" s="600">
        <v>1.0</v>
      </c>
      <c r="P14" s="586"/>
      <c r="Q14" s="585"/>
      <c r="R14" s="588"/>
      <c r="S14" s="586" t="s">
        <v>271</v>
      </c>
      <c r="T14" s="585">
        <v>2.5</v>
      </c>
      <c r="U14" s="585">
        <v>4.5</v>
      </c>
      <c r="V14" s="589"/>
      <c r="W14" s="590"/>
      <c r="X14" s="588"/>
      <c r="Y14" s="586" t="s">
        <v>261</v>
      </c>
      <c r="Z14" s="590"/>
      <c r="AA14" s="591">
        <v>1.5</v>
      </c>
      <c r="AB14" s="589"/>
      <c r="AC14" s="590"/>
      <c r="AD14" s="588"/>
      <c r="AE14" s="586" t="s">
        <v>269</v>
      </c>
      <c r="AF14" s="590"/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138</v>
      </c>
      <c r="C15" s="580">
        <f t="shared" si="1"/>
        <v>18.75</v>
      </c>
      <c r="D15" s="603">
        <f t="shared" si="2"/>
        <v>2</v>
      </c>
      <c r="E15" s="604">
        <f t="shared" si="3"/>
        <v>5</v>
      </c>
      <c r="F15" s="605">
        <f t="shared" si="4"/>
        <v>13.75</v>
      </c>
      <c r="G15" s="606" t="s">
        <v>265</v>
      </c>
      <c r="H15" s="607">
        <v>2.5</v>
      </c>
      <c r="I15" s="607">
        <v>4.25</v>
      </c>
      <c r="J15" s="608"/>
      <c r="K15" s="609"/>
      <c r="L15" s="610"/>
      <c r="M15" s="606" t="s">
        <v>261</v>
      </c>
      <c r="N15" s="609"/>
      <c r="O15" s="607">
        <v>2.75</v>
      </c>
      <c r="P15" s="611" t="s">
        <v>11</v>
      </c>
      <c r="Q15" s="609"/>
      <c r="R15" s="612">
        <v>0.5</v>
      </c>
      <c r="S15" s="611" t="s">
        <v>269</v>
      </c>
      <c r="T15" s="609"/>
      <c r="U15" s="607">
        <v>2.25</v>
      </c>
      <c r="V15" s="611"/>
      <c r="W15" s="609"/>
      <c r="X15" s="610"/>
      <c r="Y15" s="611" t="s">
        <v>261</v>
      </c>
      <c r="Z15" s="609"/>
      <c r="AA15" s="634">
        <v>1.5</v>
      </c>
      <c r="AB15" s="608"/>
      <c r="AC15" s="609"/>
      <c r="AD15" s="610"/>
      <c r="AE15" s="611" t="s">
        <v>271</v>
      </c>
      <c r="AF15" s="607">
        <v>2.5</v>
      </c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268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85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3.0</v>
      </c>
      <c r="B27" s="631" t="s">
        <v>281</v>
      </c>
      <c r="C27" s="631" t="s">
        <v>292</v>
      </c>
      <c r="D27" s="631">
        <v>-1.0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394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640" t="s">
        <v>283</v>
      </c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121</v>
      </c>
      <c r="C6" s="580">
        <f t="shared" ref="C6:C15" si="1">SUM(H6:AK6)</f>
        <v>31.5</v>
      </c>
      <c r="D6" s="581">
        <f t="shared" ref="D6:D15" si="2">E6/2.5</f>
        <v>5</v>
      </c>
      <c r="E6" s="582">
        <f t="shared" ref="E6:E15" si="3">SUM(H6+N6+T6+Z6+AF6+AL6+AR6)</f>
        <v>12.5</v>
      </c>
      <c r="F6" s="583">
        <f t="shared" ref="F6:F15" si="4">C6-E6</f>
        <v>19</v>
      </c>
      <c r="G6" s="584" t="s">
        <v>261</v>
      </c>
      <c r="H6" s="585">
        <v>2.5</v>
      </c>
      <c r="I6" s="585">
        <v>2.75</v>
      </c>
      <c r="J6" s="586" t="s">
        <v>11</v>
      </c>
      <c r="K6" s="585">
        <v>0.5</v>
      </c>
      <c r="L6" s="587">
        <v>0.5</v>
      </c>
      <c r="M6" s="584" t="s">
        <v>265</v>
      </c>
      <c r="N6" s="585">
        <v>2.5</v>
      </c>
      <c r="O6" s="585">
        <v>4.5</v>
      </c>
      <c r="P6" s="586"/>
      <c r="Q6" s="590"/>
      <c r="R6" s="588"/>
      <c r="S6" s="586" t="s">
        <v>269</v>
      </c>
      <c r="T6" s="585">
        <v>2.5</v>
      </c>
      <c r="U6" s="585">
        <v>3.5</v>
      </c>
      <c r="V6" s="586" t="s">
        <v>260</v>
      </c>
      <c r="W6" s="590"/>
      <c r="X6" s="588"/>
      <c r="Y6" s="586" t="s">
        <v>261</v>
      </c>
      <c r="Z6" s="585">
        <v>2.5</v>
      </c>
      <c r="AA6" s="591">
        <v>4.25</v>
      </c>
      <c r="AB6" s="589"/>
      <c r="AC6" s="590"/>
      <c r="AD6" s="588"/>
      <c r="AE6" s="586" t="s">
        <v>269</v>
      </c>
      <c r="AF6" s="585">
        <v>2.5</v>
      </c>
      <c r="AG6" s="585">
        <v>3.0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89</v>
      </c>
      <c r="C7" s="580">
        <f t="shared" si="1"/>
        <v>26.25</v>
      </c>
      <c r="D7" s="594">
        <f t="shared" si="2"/>
        <v>4</v>
      </c>
      <c r="E7" s="595">
        <f t="shared" si="3"/>
        <v>10</v>
      </c>
      <c r="F7" s="596">
        <f t="shared" si="4"/>
        <v>16.25</v>
      </c>
      <c r="G7" s="584" t="s">
        <v>261</v>
      </c>
      <c r="H7" s="585">
        <v>2.5</v>
      </c>
      <c r="I7" s="585">
        <v>2.75</v>
      </c>
      <c r="J7" s="586"/>
      <c r="K7" s="590"/>
      <c r="L7" s="588"/>
      <c r="M7" s="584" t="s">
        <v>269</v>
      </c>
      <c r="N7" s="585">
        <v>2.5</v>
      </c>
      <c r="O7" s="585">
        <v>3.75</v>
      </c>
      <c r="P7" s="586"/>
      <c r="Q7" s="585"/>
      <c r="R7" s="587"/>
      <c r="S7" s="586" t="s">
        <v>271</v>
      </c>
      <c r="T7" s="590"/>
      <c r="U7" s="585">
        <v>2.5</v>
      </c>
      <c r="V7" s="589"/>
      <c r="W7" s="590"/>
      <c r="X7" s="588"/>
      <c r="Y7" s="586" t="s">
        <v>271</v>
      </c>
      <c r="Z7" s="585">
        <v>2.5</v>
      </c>
      <c r="AA7" s="591">
        <v>3.75</v>
      </c>
      <c r="AB7" s="589"/>
      <c r="AC7" s="590"/>
      <c r="AD7" s="588"/>
      <c r="AE7" s="586" t="s">
        <v>265</v>
      </c>
      <c r="AF7" s="585">
        <v>2.5</v>
      </c>
      <c r="AG7" s="585">
        <v>3.5</v>
      </c>
      <c r="AH7" s="589"/>
      <c r="AI7" s="590"/>
      <c r="AJ7" s="588"/>
      <c r="AK7" s="588"/>
      <c r="AL7" s="593"/>
    </row>
    <row r="8">
      <c r="A8" s="578">
        <v>3.0</v>
      </c>
      <c r="B8" s="579" t="s">
        <v>113</v>
      </c>
      <c r="C8" s="580">
        <f t="shared" si="1"/>
        <v>25.75</v>
      </c>
      <c r="D8" s="594">
        <f t="shared" si="2"/>
        <v>3</v>
      </c>
      <c r="E8" s="595">
        <f t="shared" si="3"/>
        <v>7.5</v>
      </c>
      <c r="F8" s="596">
        <f t="shared" si="4"/>
        <v>18.25</v>
      </c>
      <c r="G8" s="584" t="s">
        <v>261</v>
      </c>
      <c r="H8" s="597">
        <v>2.5</v>
      </c>
      <c r="I8" s="585">
        <v>4.5</v>
      </c>
      <c r="J8" s="586"/>
      <c r="K8" s="585"/>
      <c r="L8" s="588"/>
      <c r="M8" s="584" t="s">
        <v>261</v>
      </c>
      <c r="N8" s="598"/>
      <c r="O8" s="585">
        <v>2.0</v>
      </c>
      <c r="P8" s="586" t="s">
        <v>11</v>
      </c>
      <c r="Q8" s="590"/>
      <c r="R8" s="587">
        <v>0.5</v>
      </c>
      <c r="S8" s="586" t="s">
        <v>269</v>
      </c>
      <c r="T8" s="597">
        <v>2.5</v>
      </c>
      <c r="U8" s="585">
        <v>4.25</v>
      </c>
      <c r="V8" s="586"/>
      <c r="W8" s="590"/>
      <c r="X8" s="588"/>
      <c r="Y8" s="586" t="s">
        <v>261</v>
      </c>
      <c r="Z8" s="597">
        <v>2.5</v>
      </c>
      <c r="AA8" s="591">
        <v>4.0</v>
      </c>
      <c r="AB8" s="589"/>
      <c r="AC8" s="590"/>
      <c r="AD8" s="588"/>
      <c r="AE8" s="586" t="s">
        <v>271</v>
      </c>
      <c r="AF8" s="598"/>
      <c r="AG8" s="585">
        <v>2.0</v>
      </c>
      <c r="AH8" s="586" t="s">
        <v>11</v>
      </c>
      <c r="AI8" s="590"/>
      <c r="AJ8" s="587">
        <v>1.0</v>
      </c>
      <c r="AK8" s="588"/>
      <c r="AL8" s="593"/>
    </row>
    <row r="9">
      <c r="A9" s="578">
        <v>4.0</v>
      </c>
      <c r="B9" s="579" t="s">
        <v>94</v>
      </c>
      <c r="C9" s="580">
        <f t="shared" si="1"/>
        <v>21.25</v>
      </c>
      <c r="D9" s="594">
        <f t="shared" si="2"/>
        <v>3</v>
      </c>
      <c r="E9" s="595">
        <f t="shared" si="3"/>
        <v>7.5</v>
      </c>
      <c r="F9" s="596">
        <f t="shared" si="4"/>
        <v>13.75</v>
      </c>
      <c r="G9" s="584" t="s">
        <v>271</v>
      </c>
      <c r="H9" s="585">
        <v>2.5</v>
      </c>
      <c r="I9" s="585">
        <v>4.25</v>
      </c>
      <c r="J9" s="589"/>
      <c r="K9" s="590"/>
      <c r="L9" s="588"/>
      <c r="M9" s="584" t="s">
        <v>269</v>
      </c>
      <c r="N9" s="585">
        <v>2.5</v>
      </c>
      <c r="O9" s="585">
        <v>2.75</v>
      </c>
      <c r="P9" s="589"/>
      <c r="Q9" s="590"/>
      <c r="R9" s="588"/>
      <c r="S9" s="586" t="s">
        <v>261</v>
      </c>
      <c r="T9" s="590"/>
      <c r="U9" s="585">
        <v>1.5</v>
      </c>
      <c r="V9" s="586" t="s">
        <v>263</v>
      </c>
      <c r="W9" s="590"/>
      <c r="X9" s="587"/>
      <c r="Y9" s="586" t="s">
        <v>269</v>
      </c>
      <c r="Z9" s="590"/>
      <c r="AA9" s="585">
        <v>2.25</v>
      </c>
      <c r="AB9" s="589"/>
      <c r="AC9" s="590"/>
      <c r="AD9" s="588"/>
      <c r="AE9" s="586" t="s">
        <v>269</v>
      </c>
      <c r="AF9" s="585">
        <v>2.5</v>
      </c>
      <c r="AG9" s="585">
        <v>3.0</v>
      </c>
      <c r="AH9" s="589"/>
      <c r="AI9" s="590"/>
      <c r="AJ9" s="588"/>
      <c r="AK9" s="588"/>
      <c r="AL9" s="593"/>
    </row>
    <row r="10">
      <c r="A10" s="578">
        <v>5.0</v>
      </c>
      <c r="B10" s="579" t="s">
        <v>124</v>
      </c>
      <c r="C10" s="580">
        <f t="shared" si="1"/>
        <v>20.25</v>
      </c>
      <c r="D10" s="594">
        <f t="shared" si="2"/>
        <v>3</v>
      </c>
      <c r="E10" s="595">
        <f t="shared" si="3"/>
        <v>7.5</v>
      </c>
      <c r="F10" s="596">
        <f t="shared" si="4"/>
        <v>12.75</v>
      </c>
      <c r="G10" s="584" t="s">
        <v>261</v>
      </c>
      <c r="H10" s="597">
        <v>2.5</v>
      </c>
      <c r="I10" s="585">
        <v>2.75</v>
      </c>
      <c r="J10" s="586" t="s">
        <v>260</v>
      </c>
      <c r="K10" s="590"/>
      <c r="L10" s="588"/>
      <c r="M10" s="584" t="s">
        <v>271</v>
      </c>
      <c r="N10" s="598"/>
      <c r="O10" s="585">
        <v>3.0</v>
      </c>
      <c r="P10" s="589"/>
      <c r="Q10" s="590"/>
      <c r="R10" s="588"/>
      <c r="S10" s="586" t="s">
        <v>265</v>
      </c>
      <c r="T10" s="597">
        <v>2.5</v>
      </c>
      <c r="U10" s="585">
        <v>1.75</v>
      </c>
      <c r="V10" s="586"/>
      <c r="W10" s="590"/>
      <c r="X10" s="588"/>
      <c r="Y10" s="586" t="s">
        <v>261</v>
      </c>
      <c r="Z10" s="597">
        <v>2.5</v>
      </c>
      <c r="AA10" s="591">
        <v>2.75</v>
      </c>
      <c r="AB10" s="589"/>
      <c r="AC10" s="590"/>
      <c r="AD10" s="588"/>
      <c r="AE10" s="586" t="s">
        <v>261</v>
      </c>
      <c r="AF10" s="598"/>
      <c r="AG10" s="585">
        <v>2.5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135</v>
      </c>
      <c r="C11" s="580">
        <f t="shared" si="1"/>
        <v>17.25</v>
      </c>
      <c r="D11" s="594">
        <f t="shared" si="2"/>
        <v>2</v>
      </c>
      <c r="E11" s="595">
        <f t="shared" si="3"/>
        <v>5</v>
      </c>
      <c r="F11" s="596">
        <f t="shared" si="4"/>
        <v>12.25</v>
      </c>
      <c r="G11" s="584" t="s">
        <v>261</v>
      </c>
      <c r="H11" s="597">
        <v>2.5</v>
      </c>
      <c r="I11" s="585">
        <v>4.0</v>
      </c>
      <c r="J11" s="586"/>
      <c r="K11" s="590"/>
      <c r="L11" s="588"/>
      <c r="M11" s="584" t="s">
        <v>261</v>
      </c>
      <c r="N11" s="598"/>
      <c r="O11" s="585">
        <v>2.0</v>
      </c>
      <c r="P11" s="589"/>
      <c r="Q11" s="590"/>
      <c r="R11" s="588"/>
      <c r="S11" s="586" t="s">
        <v>261</v>
      </c>
      <c r="T11" s="598"/>
      <c r="U11" s="585">
        <v>1.75</v>
      </c>
      <c r="V11" s="586"/>
      <c r="W11" s="590"/>
      <c r="X11" s="588"/>
      <c r="Y11" s="586" t="s">
        <v>261</v>
      </c>
      <c r="Z11" s="597">
        <v>2.5</v>
      </c>
      <c r="AA11" s="591">
        <v>2.0</v>
      </c>
      <c r="AB11" s="586" t="s">
        <v>11</v>
      </c>
      <c r="AC11" s="585"/>
      <c r="AD11" s="587">
        <v>0.5</v>
      </c>
      <c r="AE11" s="586" t="s">
        <v>261</v>
      </c>
      <c r="AF11" s="598"/>
      <c r="AG11" s="585">
        <v>2.0</v>
      </c>
      <c r="AH11" s="586"/>
      <c r="AI11" s="590"/>
      <c r="AJ11" s="587"/>
      <c r="AK11" s="588"/>
      <c r="AL11" s="593"/>
    </row>
    <row r="12">
      <c r="A12" s="578">
        <v>7.0</v>
      </c>
      <c r="B12" s="579" t="s">
        <v>110</v>
      </c>
      <c r="C12" s="580">
        <f t="shared" si="1"/>
        <v>15</v>
      </c>
      <c r="D12" s="594">
        <f t="shared" si="2"/>
        <v>1</v>
      </c>
      <c r="E12" s="595">
        <f t="shared" si="3"/>
        <v>2.5</v>
      </c>
      <c r="F12" s="596">
        <f t="shared" si="4"/>
        <v>12.5</v>
      </c>
      <c r="G12" s="584" t="s">
        <v>269</v>
      </c>
      <c r="H12" s="590"/>
      <c r="I12" s="585">
        <v>2.5</v>
      </c>
      <c r="J12" s="589"/>
      <c r="K12" s="590"/>
      <c r="L12" s="588"/>
      <c r="M12" s="584" t="s">
        <v>261</v>
      </c>
      <c r="N12" s="590"/>
      <c r="O12" s="585">
        <v>1.5</v>
      </c>
      <c r="P12" s="586"/>
      <c r="Q12" s="590"/>
      <c r="R12" s="587"/>
      <c r="S12" s="586" t="s">
        <v>261</v>
      </c>
      <c r="T12" s="590"/>
      <c r="U12" s="585">
        <v>2.75</v>
      </c>
      <c r="V12" s="586"/>
      <c r="W12" s="590"/>
      <c r="X12" s="588"/>
      <c r="Y12" s="586" t="s">
        <v>261</v>
      </c>
      <c r="Z12" s="585">
        <v>2.5</v>
      </c>
      <c r="AA12" s="591">
        <v>3.75</v>
      </c>
      <c r="AB12" s="586"/>
      <c r="AC12" s="590"/>
      <c r="AD12" s="587"/>
      <c r="AE12" s="586" t="s">
        <v>261</v>
      </c>
      <c r="AF12" s="590"/>
      <c r="AG12" s="585">
        <v>2.0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98</v>
      </c>
      <c r="C13" s="580">
        <f t="shared" si="1"/>
        <v>15</v>
      </c>
      <c r="D13" s="594">
        <f t="shared" si="2"/>
        <v>1</v>
      </c>
      <c r="E13" s="595">
        <f t="shared" si="3"/>
        <v>2.5</v>
      </c>
      <c r="F13" s="596">
        <f t="shared" si="4"/>
        <v>12.5</v>
      </c>
      <c r="G13" s="584" t="s">
        <v>265</v>
      </c>
      <c r="H13" s="590"/>
      <c r="I13" s="585">
        <v>1.75</v>
      </c>
      <c r="J13" s="586" t="s">
        <v>263</v>
      </c>
      <c r="K13" s="590"/>
      <c r="L13" s="588"/>
      <c r="M13" s="584" t="s">
        <v>261</v>
      </c>
      <c r="N13" s="590"/>
      <c r="O13" s="585">
        <v>2.75</v>
      </c>
      <c r="P13" s="589"/>
      <c r="Q13" s="590"/>
      <c r="R13" s="588"/>
      <c r="S13" s="586" t="s">
        <v>261</v>
      </c>
      <c r="T13" s="590"/>
      <c r="U13" s="585">
        <v>3.0</v>
      </c>
      <c r="V13" s="586" t="s">
        <v>11</v>
      </c>
      <c r="W13" s="585">
        <v>0.5</v>
      </c>
      <c r="X13" s="587">
        <v>0.5</v>
      </c>
      <c r="Y13" s="586" t="s">
        <v>261</v>
      </c>
      <c r="Z13" s="585">
        <v>2.5</v>
      </c>
      <c r="AA13" s="585">
        <v>2.25</v>
      </c>
      <c r="AB13" s="589"/>
      <c r="AC13" s="590"/>
      <c r="AD13" s="588"/>
      <c r="AE13" s="586" t="s">
        <v>261</v>
      </c>
      <c r="AF13" s="590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103</v>
      </c>
      <c r="C14" s="580">
        <f t="shared" si="1"/>
        <v>13.5</v>
      </c>
      <c r="D14" s="594">
        <f t="shared" si="2"/>
        <v>1</v>
      </c>
      <c r="E14" s="595">
        <f t="shared" si="3"/>
        <v>2.5</v>
      </c>
      <c r="F14" s="596">
        <f t="shared" si="4"/>
        <v>11</v>
      </c>
      <c r="G14" s="584" t="s">
        <v>261</v>
      </c>
      <c r="H14" s="585">
        <v>2.5</v>
      </c>
      <c r="I14" s="585">
        <v>2.75</v>
      </c>
      <c r="J14" s="586" t="s">
        <v>260</v>
      </c>
      <c r="K14" s="590"/>
      <c r="L14" s="588"/>
      <c r="M14" s="584" t="s">
        <v>261</v>
      </c>
      <c r="N14" s="590"/>
      <c r="O14" s="585">
        <v>2.0</v>
      </c>
      <c r="P14" s="589"/>
      <c r="Q14" s="590"/>
      <c r="R14" s="588"/>
      <c r="S14" s="586" t="s">
        <v>261</v>
      </c>
      <c r="T14" s="590"/>
      <c r="U14" s="585">
        <v>2.5</v>
      </c>
      <c r="V14" s="586" t="s">
        <v>263</v>
      </c>
      <c r="W14" s="590"/>
      <c r="X14" s="588"/>
      <c r="Y14" s="586" t="s">
        <v>265</v>
      </c>
      <c r="Z14" s="590"/>
      <c r="AA14" s="591">
        <v>1.75</v>
      </c>
      <c r="AB14" s="589"/>
      <c r="AC14" s="590"/>
      <c r="AD14" s="588"/>
      <c r="AE14" s="586" t="s">
        <v>261</v>
      </c>
      <c r="AF14" s="590"/>
      <c r="AG14" s="585">
        <v>2.0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130</v>
      </c>
      <c r="C15" s="580">
        <f t="shared" si="1"/>
        <v>11.75</v>
      </c>
      <c r="D15" s="603">
        <f t="shared" si="2"/>
        <v>0</v>
      </c>
      <c r="E15" s="604">
        <f t="shared" si="3"/>
        <v>0</v>
      </c>
      <c r="F15" s="605">
        <f t="shared" si="4"/>
        <v>11.75</v>
      </c>
      <c r="G15" s="606" t="s">
        <v>269</v>
      </c>
      <c r="H15" s="609"/>
      <c r="I15" s="607">
        <v>2.5</v>
      </c>
      <c r="J15" s="611"/>
      <c r="K15" s="607"/>
      <c r="L15" s="612"/>
      <c r="M15" s="606" t="s">
        <v>261</v>
      </c>
      <c r="N15" s="609"/>
      <c r="O15" s="607">
        <v>2.5</v>
      </c>
      <c r="P15" s="611"/>
      <c r="Q15" s="607"/>
      <c r="R15" s="610"/>
      <c r="S15" s="611" t="s">
        <v>261</v>
      </c>
      <c r="T15" s="609"/>
      <c r="U15" s="607">
        <v>2.25</v>
      </c>
      <c r="V15" s="608"/>
      <c r="W15" s="609"/>
      <c r="X15" s="610"/>
      <c r="Y15" s="611" t="s">
        <v>269</v>
      </c>
      <c r="Z15" s="609"/>
      <c r="AA15" s="634">
        <v>2.25</v>
      </c>
      <c r="AB15" s="608"/>
      <c r="AC15" s="609"/>
      <c r="AD15" s="610"/>
      <c r="AE15" s="611" t="s">
        <v>261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395</v>
      </c>
      <c r="L16" s="543"/>
      <c r="M16" s="616" t="s">
        <v>396</v>
      </c>
      <c r="R16" s="543"/>
      <c r="S16" s="616" t="s">
        <v>341</v>
      </c>
      <c r="X16" s="543"/>
      <c r="Y16" s="616" t="s">
        <v>397</v>
      </c>
      <c r="AD16" s="543"/>
      <c r="AE16" s="616" t="s">
        <v>398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262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399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89</v>
      </c>
      <c r="C6" s="580">
        <f t="shared" ref="C6:C15" si="1">SUM(H6:AK6)</f>
        <v>24.25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16.75</v>
      </c>
      <c r="G6" s="584" t="s">
        <v>269</v>
      </c>
      <c r="H6" s="590"/>
      <c r="I6" s="585">
        <v>2.5</v>
      </c>
      <c r="J6" s="586"/>
      <c r="K6" s="590"/>
      <c r="L6" s="588"/>
      <c r="M6" s="584" t="s">
        <v>269</v>
      </c>
      <c r="N6" s="585">
        <v>2.5</v>
      </c>
      <c r="O6" s="585">
        <v>3.5</v>
      </c>
      <c r="P6" s="589"/>
      <c r="Q6" s="590"/>
      <c r="R6" s="588"/>
      <c r="S6" s="586" t="s">
        <v>269</v>
      </c>
      <c r="T6" s="585">
        <v>2.5</v>
      </c>
      <c r="U6" s="585">
        <v>3.75</v>
      </c>
      <c r="V6" s="586"/>
      <c r="W6" s="590"/>
      <c r="X6" s="587"/>
      <c r="Y6" s="586" t="s">
        <v>261</v>
      </c>
      <c r="Z6" s="585">
        <v>2.5</v>
      </c>
      <c r="AA6" s="585">
        <v>3.0</v>
      </c>
      <c r="AB6" s="586" t="s">
        <v>11</v>
      </c>
      <c r="AC6" s="590"/>
      <c r="AD6" s="587">
        <v>0.5</v>
      </c>
      <c r="AE6" s="586" t="s">
        <v>261</v>
      </c>
      <c r="AF6" s="590"/>
      <c r="AG6" s="585">
        <v>3.5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94</v>
      </c>
      <c r="C7" s="580">
        <f t="shared" si="1"/>
        <v>22</v>
      </c>
      <c r="D7" s="594">
        <f t="shared" si="2"/>
        <v>3</v>
      </c>
      <c r="E7" s="595">
        <f t="shared" si="3"/>
        <v>7.5</v>
      </c>
      <c r="F7" s="596">
        <f t="shared" si="4"/>
        <v>14.5</v>
      </c>
      <c r="G7" s="584" t="s">
        <v>261</v>
      </c>
      <c r="H7" s="585">
        <v>2.5</v>
      </c>
      <c r="I7" s="585">
        <v>2.0</v>
      </c>
      <c r="J7" s="586"/>
      <c r="K7" s="590"/>
      <c r="L7" s="588"/>
      <c r="M7" s="584" t="s">
        <v>271</v>
      </c>
      <c r="N7" s="590"/>
      <c r="O7" s="585">
        <v>3.25</v>
      </c>
      <c r="P7" s="586"/>
      <c r="Q7" s="590"/>
      <c r="R7" s="588"/>
      <c r="S7" s="586" t="s">
        <v>265</v>
      </c>
      <c r="T7" s="585">
        <v>2.5</v>
      </c>
      <c r="U7" s="585">
        <v>3.5</v>
      </c>
      <c r="V7" s="586"/>
      <c r="W7" s="590"/>
      <c r="X7" s="588"/>
      <c r="Y7" s="586" t="s">
        <v>261</v>
      </c>
      <c r="Z7" s="585">
        <v>2.5</v>
      </c>
      <c r="AA7" s="591">
        <v>3.25</v>
      </c>
      <c r="AB7" s="589"/>
      <c r="AC7" s="590"/>
      <c r="AD7" s="588"/>
      <c r="AE7" s="586" t="s">
        <v>271</v>
      </c>
      <c r="AF7" s="590"/>
      <c r="AG7" s="585">
        <v>2.5</v>
      </c>
      <c r="AH7" s="589"/>
      <c r="AI7" s="590"/>
      <c r="AJ7" s="588"/>
      <c r="AK7" s="599"/>
      <c r="AL7" s="593"/>
    </row>
    <row r="8">
      <c r="A8" s="578">
        <v>3.0</v>
      </c>
      <c r="B8" s="579" t="s">
        <v>130</v>
      </c>
      <c r="C8" s="580">
        <f t="shared" si="1"/>
        <v>21.75</v>
      </c>
      <c r="D8" s="594">
        <f t="shared" si="2"/>
        <v>3</v>
      </c>
      <c r="E8" s="595">
        <f t="shared" si="3"/>
        <v>7.5</v>
      </c>
      <c r="F8" s="596">
        <f t="shared" si="4"/>
        <v>14.25</v>
      </c>
      <c r="G8" s="584" t="s">
        <v>261</v>
      </c>
      <c r="H8" s="597">
        <v>2.5</v>
      </c>
      <c r="I8" s="585">
        <v>3.5</v>
      </c>
      <c r="J8" s="586" t="s">
        <v>260</v>
      </c>
      <c r="K8" s="590"/>
      <c r="L8" s="588"/>
      <c r="M8" s="584" t="s">
        <v>269</v>
      </c>
      <c r="N8" s="597">
        <v>2.5</v>
      </c>
      <c r="O8" s="585">
        <v>4.0</v>
      </c>
      <c r="P8" s="589"/>
      <c r="Q8" s="590"/>
      <c r="R8" s="588"/>
      <c r="S8" s="586" t="s">
        <v>261</v>
      </c>
      <c r="T8" s="598"/>
      <c r="U8" s="585">
        <v>2.0</v>
      </c>
      <c r="V8" s="586"/>
      <c r="W8" s="590"/>
      <c r="X8" s="588"/>
      <c r="Y8" s="586" t="s">
        <v>261</v>
      </c>
      <c r="Z8" s="597">
        <v>2.5</v>
      </c>
      <c r="AA8" s="591">
        <v>3.0</v>
      </c>
      <c r="AB8" s="589"/>
      <c r="AC8" s="590"/>
      <c r="AD8" s="588"/>
      <c r="AE8" s="586" t="s">
        <v>261</v>
      </c>
      <c r="AF8" s="598"/>
      <c r="AG8" s="585">
        <v>1.75</v>
      </c>
      <c r="AH8" s="586"/>
      <c r="AI8" s="590"/>
      <c r="AJ8" s="587"/>
      <c r="AK8" s="588"/>
      <c r="AL8" s="593"/>
    </row>
    <row r="9">
      <c r="A9" s="578">
        <v>4.0</v>
      </c>
      <c r="B9" s="579" t="s">
        <v>118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97">
        <v>2.5</v>
      </c>
      <c r="I9" s="585">
        <v>1.75</v>
      </c>
      <c r="J9" s="586"/>
      <c r="K9" s="590"/>
      <c r="L9" s="588"/>
      <c r="M9" s="584" t="s">
        <v>265</v>
      </c>
      <c r="N9" s="597">
        <v>2.5</v>
      </c>
      <c r="O9" s="585">
        <v>3.75</v>
      </c>
      <c r="P9" s="589"/>
      <c r="Q9" s="590"/>
      <c r="R9" s="588"/>
      <c r="S9" s="586" t="s">
        <v>271</v>
      </c>
      <c r="T9" s="598"/>
      <c r="U9" s="585">
        <v>2.5</v>
      </c>
      <c r="V9" s="586"/>
      <c r="W9" s="590"/>
      <c r="X9" s="588"/>
      <c r="Y9" s="586" t="s">
        <v>269</v>
      </c>
      <c r="Z9" s="598"/>
      <c r="AA9" s="591">
        <v>2.5</v>
      </c>
      <c r="AB9" s="586"/>
      <c r="AC9" s="585"/>
      <c r="AD9" s="587"/>
      <c r="AE9" s="586" t="s">
        <v>269</v>
      </c>
      <c r="AF9" s="597">
        <v>2.5</v>
      </c>
      <c r="AG9" s="585">
        <v>3.5</v>
      </c>
      <c r="AH9" s="586"/>
      <c r="AI9" s="590"/>
      <c r="AJ9" s="587"/>
      <c r="AK9" s="588"/>
      <c r="AL9" s="593"/>
    </row>
    <row r="10">
      <c r="A10" s="578">
        <v>5.0</v>
      </c>
      <c r="B10" s="579" t="s">
        <v>106</v>
      </c>
      <c r="C10" s="580">
        <f t="shared" si="1"/>
        <v>21.5</v>
      </c>
      <c r="D10" s="594">
        <f t="shared" si="2"/>
        <v>2</v>
      </c>
      <c r="E10" s="595">
        <f t="shared" si="3"/>
        <v>5</v>
      </c>
      <c r="F10" s="596">
        <f t="shared" si="4"/>
        <v>16.5</v>
      </c>
      <c r="G10" s="584" t="s">
        <v>261</v>
      </c>
      <c r="H10" s="585">
        <v>2.5</v>
      </c>
      <c r="I10" s="585">
        <v>3.5</v>
      </c>
      <c r="J10" s="586" t="s">
        <v>11</v>
      </c>
      <c r="K10" s="585">
        <v>1.0</v>
      </c>
      <c r="L10" s="587">
        <v>0.5</v>
      </c>
      <c r="M10" s="584" t="s">
        <v>261</v>
      </c>
      <c r="N10" s="590"/>
      <c r="O10" s="585">
        <v>1.25</v>
      </c>
      <c r="P10" s="586"/>
      <c r="Q10" s="590"/>
      <c r="R10" s="587"/>
      <c r="S10" s="586" t="s">
        <v>261</v>
      </c>
      <c r="T10" s="590"/>
      <c r="U10" s="585">
        <v>3.75</v>
      </c>
      <c r="V10" s="586"/>
      <c r="W10" s="590"/>
      <c r="X10" s="588"/>
      <c r="Y10" s="586" t="s">
        <v>269</v>
      </c>
      <c r="Z10" s="590"/>
      <c r="AA10" s="591">
        <v>2.5</v>
      </c>
      <c r="AB10" s="586"/>
      <c r="AC10" s="590"/>
      <c r="AD10" s="587"/>
      <c r="AE10" s="586" t="s">
        <v>265</v>
      </c>
      <c r="AF10" s="585">
        <v>2.5</v>
      </c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128</v>
      </c>
      <c r="C11" s="580">
        <f t="shared" si="1"/>
        <v>20.75</v>
      </c>
      <c r="D11" s="594">
        <f t="shared" si="2"/>
        <v>2</v>
      </c>
      <c r="E11" s="595">
        <f t="shared" si="3"/>
        <v>5</v>
      </c>
      <c r="F11" s="596">
        <f t="shared" si="4"/>
        <v>15.75</v>
      </c>
      <c r="G11" s="584" t="s">
        <v>261</v>
      </c>
      <c r="H11" s="585">
        <v>2.5</v>
      </c>
      <c r="I11" s="585">
        <v>4.25</v>
      </c>
      <c r="J11" s="586"/>
      <c r="K11" s="590"/>
      <c r="L11" s="588"/>
      <c r="M11" s="584" t="s">
        <v>261</v>
      </c>
      <c r="N11" s="590"/>
      <c r="O11" s="585">
        <v>2.75</v>
      </c>
      <c r="P11" s="586"/>
      <c r="Q11" s="585"/>
      <c r="R11" s="587"/>
      <c r="S11" s="586" t="s">
        <v>261</v>
      </c>
      <c r="T11" s="590"/>
      <c r="U11" s="585">
        <v>3.0</v>
      </c>
      <c r="V11" s="589"/>
      <c r="W11" s="590"/>
      <c r="X11" s="588"/>
      <c r="Y11" s="586" t="s">
        <v>261</v>
      </c>
      <c r="Z11" s="585">
        <v>2.5</v>
      </c>
      <c r="AA11" s="637">
        <v>2.0</v>
      </c>
      <c r="AB11" s="589"/>
      <c r="AC11" s="590"/>
      <c r="AD11" s="588"/>
      <c r="AE11" s="586" t="s">
        <v>261</v>
      </c>
      <c r="AF11" s="590"/>
      <c r="AG11" s="585">
        <v>3.75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99</v>
      </c>
      <c r="C12" s="580">
        <f t="shared" si="1"/>
        <v>19.5</v>
      </c>
      <c r="D12" s="594">
        <f t="shared" si="2"/>
        <v>2</v>
      </c>
      <c r="E12" s="595">
        <f t="shared" si="3"/>
        <v>5</v>
      </c>
      <c r="F12" s="596">
        <f t="shared" si="4"/>
        <v>14.5</v>
      </c>
      <c r="G12" s="584" t="s">
        <v>261</v>
      </c>
      <c r="H12" s="585">
        <v>2.5</v>
      </c>
      <c r="I12" s="585">
        <v>4.0</v>
      </c>
      <c r="J12" s="586" t="s">
        <v>260</v>
      </c>
      <c r="K12" s="585"/>
      <c r="L12" s="587"/>
      <c r="M12" s="584" t="s">
        <v>261</v>
      </c>
      <c r="N12" s="590"/>
      <c r="O12" s="585">
        <v>2.75</v>
      </c>
      <c r="P12" s="586"/>
      <c r="Q12" s="585"/>
      <c r="R12" s="588"/>
      <c r="S12" s="586" t="s">
        <v>261</v>
      </c>
      <c r="T12" s="590"/>
      <c r="U12" s="585">
        <v>0.75</v>
      </c>
      <c r="V12" s="589"/>
      <c r="W12" s="590"/>
      <c r="X12" s="588"/>
      <c r="Y12" s="586" t="s">
        <v>271</v>
      </c>
      <c r="Z12" s="585">
        <v>2.5</v>
      </c>
      <c r="AA12" s="591">
        <v>3.5</v>
      </c>
      <c r="AB12" s="589"/>
      <c r="AC12" s="590"/>
      <c r="AD12" s="588"/>
      <c r="AE12" s="586" t="s">
        <v>261</v>
      </c>
      <c r="AF12" s="590"/>
      <c r="AG12" s="585">
        <v>3.0</v>
      </c>
      <c r="AH12" s="586" t="s">
        <v>11</v>
      </c>
      <c r="AI12" s="590"/>
      <c r="AJ12" s="587">
        <v>0.5</v>
      </c>
      <c r="AK12" s="588"/>
      <c r="AL12" s="593"/>
    </row>
    <row r="13">
      <c r="A13" s="578">
        <v>8.0</v>
      </c>
      <c r="B13" s="579" t="s">
        <v>104</v>
      </c>
      <c r="C13" s="580">
        <f t="shared" si="1"/>
        <v>18.25</v>
      </c>
      <c r="D13" s="594">
        <f t="shared" si="2"/>
        <v>2</v>
      </c>
      <c r="E13" s="595">
        <f t="shared" si="3"/>
        <v>5</v>
      </c>
      <c r="F13" s="596">
        <f t="shared" si="4"/>
        <v>13.25</v>
      </c>
      <c r="G13" s="584" t="s">
        <v>271</v>
      </c>
      <c r="H13" s="585">
        <v>2.5</v>
      </c>
      <c r="I13" s="585">
        <v>3.75</v>
      </c>
      <c r="J13" s="589"/>
      <c r="K13" s="590"/>
      <c r="L13" s="588"/>
      <c r="M13" s="584" t="s">
        <v>261</v>
      </c>
      <c r="N13" s="590"/>
      <c r="O13" s="585">
        <v>1.0</v>
      </c>
      <c r="P13" s="589"/>
      <c r="Q13" s="590"/>
      <c r="R13" s="588"/>
      <c r="S13" s="586" t="s">
        <v>261</v>
      </c>
      <c r="T13" s="590"/>
      <c r="U13" s="585">
        <v>2.75</v>
      </c>
      <c r="V13" s="586"/>
      <c r="W13" s="590"/>
      <c r="X13" s="587"/>
      <c r="Y13" s="586" t="s">
        <v>261</v>
      </c>
      <c r="Z13" s="585">
        <v>2.5</v>
      </c>
      <c r="AA13" s="585">
        <v>3.25</v>
      </c>
      <c r="AB13" s="589"/>
      <c r="AC13" s="590"/>
      <c r="AD13" s="588"/>
      <c r="AE13" s="586" t="s">
        <v>261</v>
      </c>
      <c r="AF13" s="590"/>
      <c r="AG13" s="585">
        <v>2.5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102</v>
      </c>
      <c r="C14" s="580">
        <f t="shared" si="1"/>
        <v>16.5</v>
      </c>
      <c r="D14" s="594">
        <f t="shared" si="2"/>
        <v>2</v>
      </c>
      <c r="E14" s="595">
        <f t="shared" si="3"/>
        <v>5</v>
      </c>
      <c r="F14" s="596">
        <f t="shared" si="4"/>
        <v>11.5</v>
      </c>
      <c r="G14" s="584" t="s">
        <v>265</v>
      </c>
      <c r="H14" s="590"/>
      <c r="I14" s="585">
        <v>2.5</v>
      </c>
      <c r="J14" s="589"/>
      <c r="K14" s="590"/>
      <c r="L14" s="588"/>
      <c r="M14" s="584" t="s">
        <v>261</v>
      </c>
      <c r="N14" s="590"/>
      <c r="O14" s="585">
        <v>1.75</v>
      </c>
      <c r="P14" s="586" t="s">
        <v>11</v>
      </c>
      <c r="Q14" s="590"/>
      <c r="R14" s="587">
        <v>0.5</v>
      </c>
      <c r="S14" s="586" t="s">
        <v>269</v>
      </c>
      <c r="T14" s="585">
        <v>2.5</v>
      </c>
      <c r="U14" s="585">
        <v>3.0</v>
      </c>
      <c r="V14" s="586"/>
      <c r="W14" s="590"/>
      <c r="X14" s="588"/>
      <c r="Y14" s="586" t="s">
        <v>265</v>
      </c>
      <c r="Z14" s="590"/>
      <c r="AA14" s="637">
        <v>0.5</v>
      </c>
      <c r="AB14" s="589"/>
      <c r="AC14" s="590"/>
      <c r="AD14" s="588"/>
      <c r="AE14" s="586" t="s">
        <v>269</v>
      </c>
      <c r="AF14" s="585">
        <v>2.5</v>
      </c>
      <c r="AG14" s="585">
        <v>3.25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121</v>
      </c>
      <c r="C15" s="580">
        <f t="shared" si="1"/>
        <v>15.75</v>
      </c>
      <c r="D15" s="603">
        <f t="shared" si="2"/>
        <v>1</v>
      </c>
      <c r="E15" s="604">
        <f t="shared" si="3"/>
        <v>2.5</v>
      </c>
      <c r="F15" s="605">
        <f t="shared" si="4"/>
        <v>13.25</v>
      </c>
      <c r="G15" s="606" t="s">
        <v>269</v>
      </c>
      <c r="H15" s="635"/>
      <c r="I15" s="607">
        <v>2.25</v>
      </c>
      <c r="J15" s="611" t="s">
        <v>263</v>
      </c>
      <c r="K15" s="607"/>
      <c r="L15" s="610"/>
      <c r="M15" s="606" t="s">
        <v>261</v>
      </c>
      <c r="N15" s="635"/>
      <c r="O15" s="607">
        <v>4.0</v>
      </c>
      <c r="P15" s="608"/>
      <c r="Q15" s="609"/>
      <c r="R15" s="610"/>
      <c r="S15" s="611" t="s">
        <v>261</v>
      </c>
      <c r="T15" s="635"/>
      <c r="U15" s="607">
        <v>1.75</v>
      </c>
      <c r="V15" s="611"/>
      <c r="W15" s="609"/>
      <c r="X15" s="612">
        <v>0.5</v>
      </c>
      <c r="Y15" s="611" t="s">
        <v>261</v>
      </c>
      <c r="Z15" s="636">
        <v>2.5</v>
      </c>
      <c r="AA15" s="634">
        <v>3.25</v>
      </c>
      <c r="AB15" s="608"/>
      <c r="AC15" s="609"/>
      <c r="AD15" s="610"/>
      <c r="AE15" s="611" t="s">
        <v>261</v>
      </c>
      <c r="AF15" s="635"/>
      <c r="AG15" s="607">
        <v>1.5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262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166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4.0</v>
      </c>
      <c r="B26" s="631" t="s">
        <v>128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4.0</v>
      </c>
      <c r="B27" s="631" t="s">
        <v>102</v>
      </c>
      <c r="C27" s="631" t="s">
        <v>292</v>
      </c>
      <c r="D27" s="631">
        <v>-1.0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400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138</v>
      </c>
      <c r="C6" s="580">
        <f t="shared" ref="C6:C15" si="1">SUM(H6:AK6)</f>
        <v>27.75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17.75</v>
      </c>
      <c r="G6" s="584" t="s">
        <v>271</v>
      </c>
      <c r="H6" s="585">
        <v>2.5</v>
      </c>
      <c r="I6" s="585">
        <v>3.5</v>
      </c>
      <c r="J6" s="589"/>
      <c r="K6" s="590"/>
      <c r="L6" s="588"/>
      <c r="M6" s="584" t="s">
        <v>265</v>
      </c>
      <c r="N6" s="585">
        <v>2.5</v>
      </c>
      <c r="O6" s="585">
        <v>4.25</v>
      </c>
      <c r="P6" s="589"/>
      <c r="Q6" s="590"/>
      <c r="R6" s="588"/>
      <c r="S6" s="586" t="s">
        <v>261</v>
      </c>
      <c r="T6" s="590"/>
      <c r="U6" s="585">
        <v>2.5</v>
      </c>
      <c r="V6" s="586"/>
      <c r="W6" s="590"/>
      <c r="X6" s="588"/>
      <c r="Y6" s="586" t="s">
        <v>269</v>
      </c>
      <c r="Z6" s="585">
        <v>2.5</v>
      </c>
      <c r="AA6" s="591">
        <v>3.5</v>
      </c>
      <c r="AB6" s="589"/>
      <c r="AC6" s="590"/>
      <c r="AD6" s="588"/>
      <c r="AE6" s="586" t="s">
        <v>265</v>
      </c>
      <c r="AF6" s="585">
        <v>2.5</v>
      </c>
      <c r="AG6" s="585">
        <v>4.0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80</v>
      </c>
      <c r="C7" s="580">
        <f t="shared" si="1"/>
        <v>26.5</v>
      </c>
      <c r="D7" s="594">
        <f t="shared" si="2"/>
        <v>4</v>
      </c>
      <c r="E7" s="595">
        <f t="shared" si="3"/>
        <v>10</v>
      </c>
      <c r="F7" s="596">
        <f t="shared" si="4"/>
        <v>16.5</v>
      </c>
      <c r="G7" s="584" t="s">
        <v>261</v>
      </c>
      <c r="H7" s="597">
        <v>2.5</v>
      </c>
      <c r="I7" s="585">
        <v>3.25</v>
      </c>
      <c r="J7" s="586"/>
      <c r="K7" s="585"/>
      <c r="L7" s="588"/>
      <c r="M7" s="584" t="s">
        <v>269</v>
      </c>
      <c r="N7" s="597">
        <v>2.5</v>
      </c>
      <c r="O7" s="585">
        <v>3.75</v>
      </c>
      <c r="P7" s="589"/>
      <c r="Q7" s="590"/>
      <c r="R7" s="588"/>
      <c r="S7" s="586" t="s">
        <v>265</v>
      </c>
      <c r="T7" s="597">
        <v>2.5</v>
      </c>
      <c r="U7" s="585">
        <v>3.5</v>
      </c>
      <c r="V7" s="586"/>
      <c r="W7" s="590"/>
      <c r="X7" s="588"/>
      <c r="Y7" s="586" t="s">
        <v>269</v>
      </c>
      <c r="Z7" s="597">
        <v>2.5</v>
      </c>
      <c r="AA7" s="591">
        <v>2.75</v>
      </c>
      <c r="AB7" s="589"/>
      <c r="AC7" s="590"/>
      <c r="AD7" s="588"/>
      <c r="AE7" s="586" t="s">
        <v>261</v>
      </c>
      <c r="AF7" s="598"/>
      <c r="AG7" s="585">
        <v>3.25</v>
      </c>
      <c r="AH7" s="589"/>
      <c r="AI7" s="590"/>
      <c r="AJ7" s="588"/>
      <c r="AK7" s="588"/>
      <c r="AL7" s="593"/>
    </row>
    <row r="8">
      <c r="A8" s="578">
        <v>3.0</v>
      </c>
      <c r="B8" s="579" t="s">
        <v>105</v>
      </c>
      <c r="C8" s="580">
        <f t="shared" si="1"/>
        <v>19.75</v>
      </c>
      <c r="D8" s="594">
        <f t="shared" si="2"/>
        <v>2</v>
      </c>
      <c r="E8" s="595">
        <f t="shared" si="3"/>
        <v>5</v>
      </c>
      <c r="F8" s="596">
        <f t="shared" si="4"/>
        <v>14.75</v>
      </c>
      <c r="G8" s="584" t="s">
        <v>261</v>
      </c>
      <c r="H8" s="585">
        <v>2.5</v>
      </c>
      <c r="I8" s="585">
        <v>3.75</v>
      </c>
      <c r="J8" s="586"/>
      <c r="K8" s="590"/>
      <c r="L8" s="588"/>
      <c r="M8" s="584" t="s">
        <v>269</v>
      </c>
      <c r="N8" s="585">
        <v>2.5</v>
      </c>
      <c r="O8" s="585">
        <v>3.25</v>
      </c>
      <c r="P8" s="586"/>
      <c r="Q8" s="590"/>
      <c r="R8" s="588"/>
      <c r="S8" s="586" t="s">
        <v>261</v>
      </c>
      <c r="T8" s="590"/>
      <c r="U8" s="585">
        <v>2.5</v>
      </c>
      <c r="V8" s="586" t="s">
        <v>11</v>
      </c>
      <c r="W8" s="590"/>
      <c r="X8" s="587">
        <v>0.5</v>
      </c>
      <c r="Y8" s="586" t="s">
        <v>261</v>
      </c>
      <c r="Z8" s="590"/>
      <c r="AA8" s="591">
        <v>1.75</v>
      </c>
      <c r="AB8" s="589"/>
      <c r="AC8" s="590"/>
      <c r="AD8" s="588"/>
      <c r="AE8" s="586" t="s">
        <v>261</v>
      </c>
      <c r="AF8" s="590"/>
      <c r="AG8" s="585">
        <v>3.0</v>
      </c>
      <c r="AH8" s="589"/>
      <c r="AI8" s="590"/>
      <c r="AJ8" s="588"/>
      <c r="AK8" s="599"/>
      <c r="AL8" s="593"/>
    </row>
    <row r="9">
      <c r="A9" s="578">
        <v>4.0</v>
      </c>
      <c r="B9" s="579" t="s">
        <v>99</v>
      </c>
      <c r="C9" s="580">
        <f t="shared" si="1"/>
        <v>18.25</v>
      </c>
      <c r="D9" s="594">
        <f t="shared" si="2"/>
        <v>2</v>
      </c>
      <c r="E9" s="595">
        <f t="shared" si="3"/>
        <v>5</v>
      </c>
      <c r="F9" s="596">
        <f t="shared" si="4"/>
        <v>13.25</v>
      </c>
      <c r="G9" s="584" t="s">
        <v>261</v>
      </c>
      <c r="H9" s="597">
        <v>2.5</v>
      </c>
      <c r="I9" s="585">
        <v>3.0</v>
      </c>
      <c r="J9" s="586"/>
      <c r="K9" s="590"/>
      <c r="L9" s="588"/>
      <c r="M9" s="584" t="s">
        <v>261</v>
      </c>
      <c r="N9" s="598"/>
      <c r="O9" s="585">
        <v>1.5</v>
      </c>
      <c r="P9" s="589"/>
      <c r="Q9" s="590"/>
      <c r="R9" s="588"/>
      <c r="S9" s="586" t="s">
        <v>261</v>
      </c>
      <c r="T9" s="598"/>
      <c r="U9" s="585">
        <v>2.25</v>
      </c>
      <c r="V9" s="586"/>
      <c r="W9" s="590"/>
      <c r="X9" s="588"/>
      <c r="Y9" s="586" t="s">
        <v>265</v>
      </c>
      <c r="Z9" s="597">
        <v>2.5</v>
      </c>
      <c r="AA9" s="591">
        <v>4.0</v>
      </c>
      <c r="AB9" s="589"/>
      <c r="AC9" s="590"/>
      <c r="AD9" s="588"/>
      <c r="AE9" s="586" t="s">
        <v>271</v>
      </c>
      <c r="AF9" s="598"/>
      <c r="AG9" s="585">
        <v>2.5</v>
      </c>
      <c r="AH9" s="586"/>
      <c r="AI9" s="590"/>
      <c r="AJ9" s="587"/>
      <c r="AK9" s="588"/>
      <c r="AL9" s="593"/>
    </row>
    <row r="10">
      <c r="A10" s="578">
        <v>5.0</v>
      </c>
      <c r="B10" s="579" t="s">
        <v>89</v>
      </c>
      <c r="C10" s="580">
        <f t="shared" si="1"/>
        <v>17.25</v>
      </c>
      <c r="D10" s="594">
        <f t="shared" si="2"/>
        <v>2</v>
      </c>
      <c r="E10" s="595">
        <f t="shared" si="3"/>
        <v>5</v>
      </c>
      <c r="F10" s="596">
        <f t="shared" si="4"/>
        <v>12.25</v>
      </c>
      <c r="G10" s="584" t="s">
        <v>261</v>
      </c>
      <c r="H10" s="585">
        <v>2.5</v>
      </c>
      <c r="I10" s="585">
        <v>3.25</v>
      </c>
      <c r="J10" s="586"/>
      <c r="K10" s="590"/>
      <c r="L10" s="588"/>
      <c r="M10" s="584" t="s">
        <v>261</v>
      </c>
      <c r="N10" s="590"/>
      <c r="O10" s="585">
        <v>2.25</v>
      </c>
      <c r="P10" s="586"/>
      <c r="Q10" s="585"/>
      <c r="R10" s="587"/>
      <c r="S10" s="586" t="s">
        <v>269</v>
      </c>
      <c r="T10" s="585">
        <v>2.5</v>
      </c>
      <c r="U10" s="585">
        <v>3.0</v>
      </c>
      <c r="V10" s="589"/>
      <c r="W10" s="590"/>
      <c r="X10" s="588"/>
      <c r="Y10" s="586" t="s">
        <v>261</v>
      </c>
      <c r="Z10" s="590"/>
      <c r="AA10" s="591">
        <v>2.5</v>
      </c>
      <c r="AB10" s="589"/>
      <c r="AC10" s="590"/>
      <c r="AD10" s="588"/>
      <c r="AE10" s="586" t="s">
        <v>261</v>
      </c>
      <c r="AF10" s="590"/>
      <c r="AG10" s="585">
        <v>1.25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81</v>
      </c>
      <c r="C11" s="580">
        <f t="shared" si="1"/>
        <v>16</v>
      </c>
      <c r="D11" s="594">
        <f t="shared" si="2"/>
        <v>1</v>
      </c>
      <c r="E11" s="595">
        <f t="shared" si="3"/>
        <v>2.5</v>
      </c>
      <c r="F11" s="596">
        <f t="shared" si="4"/>
        <v>13.5</v>
      </c>
      <c r="G11" s="584" t="s">
        <v>269</v>
      </c>
      <c r="H11" s="590"/>
      <c r="I11" s="585">
        <v>1.75</v>
      </c>
      <c r="J11" s="586"/>
      <c r="K11" s="585"/>
      <c r="L11" s="587"/>
      <c r="M11" s="584" t="s">
        <v>261</v>
      </c>
      <c r="N11" s="590"/>
      <c r="O11" s="585">
        <v>2.0</v>
      </c>
      <c r="P11" s="586"/>
      <c r="Q11" s="585"/>
      <c r="R11" s="588"/>
      <c r="S11" s="586" t="s">
        <v>269</v>
      </c>
      <c r="T11" s="585">
        <v>2.5</v>
      </c>
      <c r="U11" s="585">
        <v>3.0</v>
      </c>
      <c r="V11" s="589"/>
      <c r="W11" s="590"/>
      <c r="X11" s="588"/>
      <c r="Y11" s="586" t="s">
        <v>261</v>
      </c>
      <c r="Z11" s="590"/>
      <c r="AA11" s="591">
        <v>3.0</v>
      </c>
      <c r="AB11" s="589"/>
      <c r="AC11" s="590"/>
      <c r="AD11" s="588"/>
      <c r="AE11" s="586" t="s">
        <v>261</v>
      </c>
      <c r="AF11" s="590"/>
      <c r="AG11" s="585">
        <v>2.75</v>
      </c>
      <c r="AH11" s="586" t="s">
        <v>11</v>
      </c>
      <c r="AI11" s="585">
        <v>0.5</v>
      </c>
      <c r="AJ11" s="587">
        <v>0.5</v>
      </c>
      <c r="AK11" s="588"/>
      <c r="AL11" s="593"/>
    </row>
    <row r="12">
      <c r="A12" s="578">
        <v>7.0</v>
      </c>
      <c r="B12" s="579" t="s">
        <v>121</v>
      </c>
      <c r="C12" s="580">
        <f t="shared" si="1"/>
        <v>16.25</v>
      </c>
      <c r="D12" s="594">
        <f t="shared" si="2"/>
        <v>1</v>
      </c>
      <c r="E12" s="595">
        <f t="shared" si="3"/>
        <v>2.5</v>
      </c>
      <c r="F12" s="596">
        <f t="shared" si="4"/>
        <v>13.75</v>
      </c>
      <c r="G12" s="584" t="s">
        <v>269</v>
      </c>
      <c r="H12" s="590"/>
      <c r="I12" s="585">
        <v>2.5</v>
      </c>
      <c r="J12" s="589"/>
      <c r="K12" s="590"/>
      <c r="L12" s="588"/>
      <c r="M12" s="584" t="s">
        <v>261</v>
      </c>
      <c r="N12" s="590"/>
      <c r="O12" s="585">
        <v>2.75</v>
      </c>
      <c r="P12" s="586" t="s">
        <v>11</v>
      </c>
      <c r="Q12" s="590"/>
      <c r="R12" s="587">
        <v>0.5</v>
      </c>
      <c r="S12" s="586" t="s">
        <v>271</v>
      </c>
      <c r="T12" s="590"/>
      <c r="U12" s="585">
        <v>2.5</v>
      </c>
      <c r="V12" s="586"/>
      <c r="W12" s="590"/>
      <c r="X12" s="587"/>
      <c r="Y12" s="586" t="s">
        <v>261</v>
      </c>
      <c r="Z12" s="590"/>
      <c r="AA12" s="585">
        <v>1.75</v>
      </c>
      <c r="AB12" s="589"/>
      <c r="AC12" s="590"/>
      <c r="AD12" s="588"/>
      <c r="AE12" s="586" t="s">
        <v>269</v>
      </c>
      <c r="AF12" s="585">
        <v>2.5</v>
      </c>
      <c r="AG12" s="585">
        <v>3.75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136</v>
      </c>
      <c r="C13" s="580">
        <f t="shared" si="1"/>
        <v>14.75</v>
      </c>
      <c r="D13" s="594">
        <f t="shared" si="2"/>
        <v>1</v>
      </c>
      <c r="E13" s="595">
        <f t="shared" si="3"/>
        <v>2.5</v>
      </c>
      <c r="F13" s="596">
        <f t="shared" si="4"/>
        <v>12.25</v>
      </c>
      <c r="G13" s="584" t="s">
        <v>261</v>
      </c>
      <c r="H13" s="597">
        <v>2.5</v>
      </c>
      <c r="I13" s="585">
        <v>2.75</v>
      </c>
      <c r="J13" s="586" t="s">
        <v>11</v>
      </c>
      <c r="K13" s="590"/>
      <c r="L13" s="587">
        <v>0.5</v>
      </c>
      <c r="M13" s="584" t="s">
        <v>271</v>
      </c>
      <c r="N13" s="598"/>
      <c r="O13" s="585">
        <v>2.0</v>
      </c>
      <c r="P13" s="589"/>
      <c r="Q13" s="590"/>
      <c r="R13" s="588"/>
      <c r="S13" s="586" t="s">
        <v>261</v>
      </c>
      <c r="T13" s="598"/>
      <c r="U13" s="585">
        <v>3.0</v>
      </c>
      <c r="V13" s="586"/>
      <c r="W13" s="590"/>
      <c r="X13" s="588"/>
      <c r="Y13" s="586" t="s">
        <v>261</v>
      </c>
      <c r="Z13" s="598"/>
      <c r="AA13" s="591">
        <v>2.0</v>
      </c>
      <c r="AB13" s="586"/>
      <c r="AC13" s="585"/>
      <c r="AD13" s="587"/>
      <c r="AE13" s="586" t="s">
        <v>261</v>
      </c>
      <c r="AF13" s="598"/>
      <c r="AG13" s="585">
        <v>2.0</v>
      </c>
      <c r="AH13" s="586"/>
      <c r="AI13" s="590"/>
      <c r="AJ13" s="587"/>
      <c r="AK13" s="588"/>
      <c r="AL13" s="593"/>
    </row>
    <row r="14">
      <c r="A14" s="578">
        <v>9.0</v>
      </c>
      <c r="B14" s="579" t="s">
        <v>118</v>
      </c>
      <c r="C14" s="580">
        <f t="shared" si="1"/>
        <v>14.25</v>
      </c>
      <c r="D14" s="594">
        <f t="shared" si="2"/>
        <v>1</v>
      </c>
      <c r="E14" s="595">
        <f t="shared" si="3"/>
        <v>2.5</v>
      </c>
      <c r="F14" s="596">
        <f t="shared" si="4"/>
        <v>11.75</v>
      </c>
      <c r="G14" s="584" t="s">
        <v>265</v>
      </c>
      <c r="H14" s="590"/>
      <c r="I14" s="585">
        <v>2.0</v>
      </c>
      <c r="J14" s="589"/>
      <c r="K14" s="590"/>
      <c r="L14" s="588"/>
      <c r="M14" s="584" t="s">
        <v>261</v>
      </c>
      <c r="N14" s="590"/>
      <c r="O14" s="585">
        <v>3.5</v>
      </c>
      <c r="P14" s="586"/>
      <c r="Q14" s="590"/>
      <c r="R14" s="587"/>
      <c r="S14" s="586" t="s">
        <v>261</v>
      </c>
      <c r="T14" s="590"/>
      <c r="U14" s="585">
        <v>3.25</v>
      </c>
      <c r="V14" s="586"/>
      <c r="W14" s="590"/>
      <c r="X14" s="588"/>
      <c r="Y14" s="586" t="s">
        <v>261</v>
      </c>
      <c r="Z14" s="590"/>
      <c r="AA14" s="591">
        <v>1.5</v>
      </c>
      <c r="AB14" s="586"/>
      <c r="AC14" s="590"/>
      <c r="AD14" s="587"/>
      <c r="AE14" s="586" t="s">
        <v>269</v>
      </c>
      <c r="AF14" s="585">
        <v>2.5</v>
      </c>
      <c r="AG14" s="585">
        <v>1.5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91</v>
      </c>
      <c r="C15" s="580">
        <f t="shared" si="1"/>
        <v>14.25</v>
      </c>
      <c r="D15" s="603">
        <f t="shared" si="2"/>
        <v>1</v>
      </c>
      <c r="E15" s="604">
        <f t="shared" si="3"/>
        <v>2.5</v>
      </c>
      <c r="F15" s="605">
        <f t="shared" si="4"/>
        <v>11.75</v>
      </c>
      <c r="G15" s="606" t="s">
        <v>261</v>
      </c>
      <c r="H15" s="607">
        <v>2.5</v>
      </c>
      <c r="I15" s="607">
        <v>3.25</v>
      </c>
      <c r="J15" s="611"/>
      <c r="K15" s="609"/>
      <c r="L15" s="610"/>
      <c r="M15" s="606" t="s">
        <v>261</v>
      </c>
      <c r="N15" s="609"/>
      <c r="O15" s="607">
        <v>1.5</v>
      </c>
      <c r="P15" s="608"/>
      <c r="Q15" s="609"/>
      <c r="R15" s="610"/>
      <c r="S15" s="611" t="s">
        <v>261</v>
      </c>
      <c r="T15" s="609"/>
      <c r="U15" s="607">
        <v>2.5</v>
      </c>
      <c r="V15" s="611"/>
      <c r="W15" s="609"/>
      <c r="X15" s="612"/>
      <c r="Y15" s="611" t="s">
        <v>271</v>
      </c>
      <c r="Z15" s="609"/>
      <c r="AA15" s="607">
        <v>2.5</v>
      </c>
      <c r="AB15" s="611" t="s">
        <v>11</v>
      </c>
      <c r="AC15" s="609"/>
      <c r="AD15" s="612">
        <v>0.5</v>
      </c>
      <c r="AE15" s="611" t="s">
        <v>261</v>
      </c>
      <c r="AF15" s="609"/>
      <c r="AG15" s="607">
        <v>1.5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258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348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80</v>
      </c>
      <c r="C6" s="580">
        <f t="shared" ref="C6:C15" si="1">SUM(H6:AK6)</f>
        <v>27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17</v>
      </c>
      <c r="G6" s="584" t="s">
        <v>261</v>
      </c>
      <c r="H6" s="585">
        <v>2.5</v>
      </c>
      <c r="I6" s="585">
        <v>3.5</v>
      </c>
      <c r="J6" s="586"/>
      <c r="K6" s="590"/>
      <c r="L6" s="588"/>
      <c r="M6" s="584" t="s">
        <v>261</v>
      </c>
      <c r="N6" s="590"/>
      <c r="O6" s="585">
        <v>3.0</v>
      </c>
      <c r="P6" s="586"/>
      <c r="Q6" s="590"/>
      <c r="R6" s="588"/>
      <c r="S6" s="586" t="s">
        <v>261</v>
      </c>
      <c r="T6" s="585">
        <v>2.5</v>
      </c>
      <c r="U6" s="585">
        <v>3.25</v>
      </c>
      <c r="V6" s="586"/>
      <c r="W6" s="590"/>
      <c r="X6" s="588"/>
      <c r="Y6" s="586" t="s">
        <v>265</v>
      </c>
      <c r="Z6" s="585">
        <v>2.5</v>
      </c>
      <c r="AA6" s="591">
        <v>4.5</v>
      </c>
      <c r="AB6" s="589"/>
      <c r="AC6" s="590"/>
      <c r="AD6" s="588"/>
      <c r="AE6" s="586" t="s">
        <v>261</v>
      </c>
      <c r="AF6" s="585">
        <v>2.5</v>
      </c>
      <c r="AG6" s="585">
        <v>2.25</v>
      </c>
      <c r="AH6" s="586" t="s">
        <v>11</v>
      </c>
      <c r="AI6" s="590"/>
      <c r="AJ6" s="587">
        <v>0.5</v>
      </c>
      <c r="AK6" s="647"/>
      <c r="AL6" s="593"/>
    </row>
    <row r="7" ht="23.25" customHeight="1">
      <c r="A7" s="578">
        <v>2.0</v>
      </c>
      <c r="B7" s="579" t="s">
        <v>121</v>
      </c>
      <c r="C7" s="580">
        <f t="shared" si="1"/>
        <v>26.75</v>
      </c>
      <c r="D7" s="594">
        <f t="shared" si="2"/>
        <v>4</v>
      </c>
      <c r="E7" s="595">
        <f t="shared" si="3"/>
        <v>10</v>
      </c>
      <c r="F7" s="596">
        <f t="shared" si="4"/>
        <v>16.75</v>
      </c>
      <c r="G7" s="584" t="s">
        <v>261</v>
      </c>
      <c r="H7" s="585">
        <v>2.5</v>
      </c>
      <c r="I7" s="585">
        <v>4.0</v>
      </c>
      <c r="J7" s="589"/>
      <c r="K7" s="590"/>
      <c r="L7" s="588"/>
      <c r="M7" s="584" t="s">
        <v>261</v>
      </c>
      <c r="N7" s="590"/>
      <c r="O7" s="585">
        <v>2.25</v>
      </c>
      <c r="P7" s="586" t="s">
        <v>11</v>
      </c>
      <c r="Q7" s="590"/>
      <c r="R7" s="587">
        <v>0.5</v>
      </c>
      <c r="S7" s="586" t="s">
        <v>271</v>
      </c>
      <c r="T7" s="585">
        <v>2.5</v>
      </c>
      <c r="U7" s="585">
        <v>2.5</v>
      </c>
      <c r="V7" s="586"/>
      <c r="W7" s="590"/>
      <c r="X7" s="588"/>
      <c r="Y7" s="586" t="s">
        <v>269</v>
      </c>
      <c r="Z7" s="585">
        <v>2.5</v>
      </c>
      <c r="AA7" s="637">
        <v>4.0</v>
      </c>
      <c r="AB7" s="589"/>
      <c r="AC7" s="590"/>
      <c r="AD7" s="588"/>
      <c r="AE7" s="586" t="s">
        <v>271</v>
      </c>
      <c r="AF7" s="585">
        <v>2.5</v>
      </c>
      <c r="AG7" s="585">
        <v>3.5</v>
      </c>
      <c r="AH7" s="589"/>
      <c r="AI7" s="590"/>
      <c r="AJ7" s="588"/>
      <c r="AK7" s="588"/>
      <c r="AL7" s="593"/>
    </row>
    <row r="8">
      <c r="A8" s="578">
        <v>3.0</v>
      </c>
      <c r="B8" s="579" t="s">
        <v>106</v>
      </c>
      <c r="C8" s="580">
        <f t="shared" si="1"/>
        <v>26.25</v>
      </c>
      <c r="D8" s="594">
        <f t="shared" si="2"/>
        <v>4</v>
      </c>
      <c r="E8" s="595">
        <f t="shared" si="3"/>
        <v>10</v>
      </c>
      <c r="F8" s="596">
        <f t="shared" si="4"/>
        <v>16.25</v>
      </c>
      <c r="G8" s="584" t="s">
        <v>261</v>
      </c>
      <c r="H8" s="585">
        <v>2.5</v>
      </c>
      <c r="I8" s="585">
        <v>3.5</v>
      </c>
      <c r="J8" s="586"/>
      <c r="K8" s="585"/>
      <c r="L8" s="587"/>
      <c r="M8" s="584" t="s">
        <v>261</v>
      </c>
      <c r="N8" s="590"/>
      <c r="O8" s="585">
        <v>3.25</v>
      </c>
      <c r="P8" s="586"/>
      <c r="Q8" s="585"/>
      <c r="R8" s="588"/>
      <c r="S8" s="586" t="s">
        <v>261</v>
      </c>
      <c r="T8" s="585">
        <v>2.5</v>
      </c>
      <c r="U8" s="600">
        <v>3.0</v>
      </c>
      <c r="V8" s="589"/>
      <c r="W8" s="590"/>
      <c r="X8" s="588"/>
      <c r="Y8" s="586" t="s">
        <v>269</v>
      </c>
      <c r="Z8" s="585">
        <v>2.5</v>
      </c>
      <c r="AA8" s="591">
        <v>3.5</v>
      </c>
      <c r="AB8" s="589"/>
      <c r="AC8" s="590"/>
      <c r="AD8" s="588"/>
      <c r="AE8" s="586" t="s">
        <v>261</v>
      </c>
      <c r="AF8" s="585">
        <v>2.5</v>
      </c>
      <c r="AG8" s="585">
        <v>3.0</v>
      </c>
      <c r="AH8" s="589"/>
      <c r="AI8" s="590"/>
      <c r="AJ8" s="588"/>
      <c r="AK8" s="588"/>
      <c r="AL8" s="593"/>
    </row>
    <row r="9">
      <c r="A9" s="578">
        <v>4.0</v>
      </c>
      <c r="B9" s="579" t="s">
        <v>95</v>
      </c>
      <c r="C9" s="580">
        <f t="shared" si="1"/>
        <v>25</v>
      </c>
      <c r="D9" s="594">
        <f t="shared" si="2"/>
        <v>3</v>
      </c>
      <c r="E9" s="595">
        <f t="shared" si="3"/>
        <v>7.5</v>
      </c>
      <c r="F9" s="596">
        <f t="shared" si="4"/>
        <v>17.5</v>
      </c>
      <c r="G9" s="584" t="s">
        <v>261</v>
      </c>
      <c r="H9" s="597">
        <v>2.5</v>
      </c>
      <c r="I9" s="585">
        <v>3.5</v>
      </c>
      <c r="J9" s="586"/>
      <c r="K9" s="585"/>
      <c r="L9" s="588"/>
      <c r="M9" s="584" t="s">
        <v>269</v>
      </c>
      <c r="N9" s="597">
        <v>2.5</v>
      </c>
      <c r="O9" s="585">
        <v>3.5</v>
      </c>
      <c r="P9" s="589"/>
      <c r="Q9" s="590"/>
      <c r="R9" s="588"/>
      <c r="S9" s="586" t="s">
        <v>261</v>
      </c>
      <c r="T9" s="597">
        <v>2.5</v>
      </c>
      <c r="U9" s="585">
        <v>3.75</v>
      </c>
      <c r="V9" s="586" t="s">
        <v>260</v>
      </c>
      <c r="W9" s="590"/>
      <c r="X9" s="588"/>
      <c r="Y9" s="586" t="s">
        <v>261</v>
      </c>
      <c r="Z9" s="598"/>
      <c r="AA9" s="591">
        <v>4.25</v>
      </c>
      <c r="AB9" s="589"/>
      <c r="AC9" s="590"/>
      <c r="AD9" s="588"/>
      <c r="AE9" s="586" t="s">
        <v>265</v>
      </c>
      <c r="AF9" s="598"/>
      <c r="AG9" s="585">
        <v>2.5</v>
      </c>
      <c r="AH9" s="589"/>
      <c r="AI9" s="590"/>
      <c r="AJ9" s="588"/>
      <c r="AK9" s="588"/>
      <c r="AL9" s="593"/>
    </row>
    <row r="10">
      <c r="A10" s="578">
        <v>5.0</v>
      </c>
      <c r="B10" s="579" t="s">
        <v>89</v>
      </c>
      <c r="C10" s="580">
        <f t="shared" si="1"/>
        <v>21.25</v>
      </c>
      <c r="D10" s="594">
        <f t="shared" si="2"/>
        <v>2</v>
      </c>
      <c r="E10" s="595">
        <f t="shared" si="3"/>
        <v>5</v>
      </c>
      <c r="F10" s="596">
        <f t="shared" si="4"/>
        <v>16.25</v>
      </c>
      <c r="G10" s="584" t="s">
        <v>265</v>
      </c>
      <c r="H10" s="598"/>
      <c r="I10" s="585">
        <v>2.25</v>
      </c>
      <c r="J10" s="586"/>
      <c r="K10" s="590"/>
      <c r="L10" s="588"/>
      <c r="M10" s="584" t="s">
        <v>265</v>
      </c>
      <c r="N10" s="597">
        <v>2.5</v>
      </c>
      <c r="O10" s="585">
        <v>3.0</v>
      </c>
      <c r="P10" s="589"/>
      <c r="Q10" s="590"/>
      <c r="R10" s="588"/>
      <c r="S10" s="586" t="s">
        <v>269</v>
      </c>
      <c r="T10" s="598"/>
      <c r="U10" s="585">
        <v>3.0</v>
      </c>
      <c r="V10" s="586" t="s">
        <v>263</v>
      </c>
      <c r="W10" s="590"/>
      <c r="X10" s="588"/>
      <c r="Y10" s="586" t="s">
        <v>261</v>
      </c>
      <c r="Z10" s="598"/>
      <c r="AA10" s="591">
        <v>4.0</v>
      </c>
      <c r="AB10" s="586"/>
      <c r="AC10" s="585"/>
      <c r="AD10" s="587"/>
      <c r="AE10" s="586" t="s">
        <v>261</v>
      </c>
      <c r="AF10" s="597">
        <v>2.5</v>
      </c>
      <c r="AG10" s="585">
        <v>4.0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113</v>
      </c>
      <c r="C11" s="580">
        <f t="shared" si="1"/>
        <v>18.75</v>
      </c>
      <c r="D11" s="594">
        <f t="shared" si="2"/>
        <v>2</v>
      </c>
      <c r="E11" s="595">
        <f t="shared" si="3"/>
        <v>5</v>
      </c>
      <c r="F11" s="596">
        <f t="shared" si="4"/>
        <v>13.75</v>
      </c>
      <c r="G11" s="584" t="s">
        <v>271</v>
      </c>
      <c r="H11" s="585">
        <v>2.5</v>
      </c>
      <c r="I11" s="585">
        <v>2.75</v>
      </c>
      <c r="J11" s="586"/>
      <c r="K11" s="590"/>
      <c r="L11" s="588"/>
      <c r="M11" s="584" t="s">
        <v>269</v>
      </c>
      <c r="N11" s="585">
        <v>2.5</v>
      </c>
      <c r="O11" s="585">
        <v>3.75</v>
      </c>
      <c r="P11" s="589"/>
      <c r="Q11" s="590"/>
      <c r="R11" s="588"/>
      <c r="S11" s="586" t="s">
        <v>269</v>
      </c>
      <c r="T11" s="590"/>
      <c r="U11" s="585">
        <v>2.75</v>
      </c>
      <c r="V11" s="586"/>
      <c r="W11" s="590"/>
      <c r="X11" s="587"/>
      <c r="Y11" s="586" t="s">
        <v>261</v>
      </c>
      <c r="Z11" s="590"/>
      <c r="AA11" s="585">
        <v>2.0</v>
      </c>
      <c r="AB11" s="586" t="s">
        <v>11</v>
      </c>
      <c r="AC11" s="590"/>
      <c r="AD11" s="587">
        <v>0.5</v>
      </c>
      <c r="AE11" s="586" t="s">
        <v>269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122</v>
      </c>
      <c r="C12" s="580">
        <f t="shared" si="1"/>
        <v>18.25</v>
      </c>
      <c r="D12" s="594">
        <f t="shared" si="2"/>
        <v>3</v>
      </c>
      <c r="E12" s="595">
        <f t="shared" si="3"/>
        <v>7.5</v>
      </c>
      <c r="F12" s="596">
        <f t="shared" si="4"/>
        <v>10.75</v>
      </c>
      <c r="G12" s="584" t="s">
        <v>261</v>
      </c>
      <c r="H12" s="585">
        <v>2.5</v>
      </c>
      <c r="I12" s="585">
        <v>2.75</v>
      </c>
      <c r="J12" s="586"/>
      <c r="K12" s="590"/>
      <c r="L12" s="588"/>
      <c r="M12" s="584" t="s">
        <v>261</v>
      </c>
      <c r="N12" s="590"/>
      <c r="O12" s="585">
        <v>1.5</v>
      </c>
      <c r="P12" s="586"/>
      <c r="Q12" s="585"/>
      <c r="R12" s="587"/>
      <c r="S12" s="586" t="s">
        <v>261</v>
      </c>
      <c r="T12" s="585">
        <v>2.5</v>
      </c>
      <c r="U12" s="585">
        <v>2.25</v>
      </c>
      <c r="V12" s="589"/>
      <c r="W12" s="590"/>
      <c r="X12" s="588"/>
      <c r="Y12" s="586" t="s">
        <v>261</v>
      </c>
      <c r="Z12" s="590"/>
      <c r="AA12" s="591">
        <v>1.0</v>
      </c>
      <c r="AB12" s="589"/>
      <c r="AC12" s="590"/>
      <c r="AD12" s="588"/>
      <c r="AE12" s="586" t="s">
        <v>261</v>
      </c>
      <c r="AF12" s="585">
        <v>2.5</v>
      </c>
      <c r="AG12" s="585">
        <v>3.25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126</v>
      </c>
      <c r="C13" s="580">
        <f t="shared" si="1"/>
        <v>17</v>
      </c>
      <c r="D13" s="594">
        <f t="shared" si="2"/>
        <v>2</v>
      </c>
      <c r="E13" s="595">
        <f t="shared" si="3"/>
        <v>5</v>
      </c>
      <c r="F13" s="596">
        <f t="shared" si="4"/>
        <v>12</v>
      </c>
      <c r="G13" s="584" t="s">
        <v>269</v>
      </c>
      <c r="H13" s="590"/>
      <c r="I13" s="585">
        <v>2.5</v>
      </c>
      <c r="J13" s="589"/>
      <c r="K13" s="590"/>
      <c r="L13" s="588"/>
      <c r="M13" s="584" t="s">
        <v>271</v>
      </c>
      <c r="N13" s="590"/>
      <c r="O13" s="585">
        <v>2.5</v>
      </c>
      <c r="P13" s="589"/>
      <c r="Q13" s="590"/>
      <c r="R13" s="588"/>
      <c r="S13" s="586" t="s">
        <v>261</v>
      </c>
      <c r="T13" s="585">
        <v>2.5</v>
      </c>
      <c r="U13" s="585">
        <v>3.0</v>
      </c>
      <c r="V13" s="586" t="s">
        <v>260</v>
      </c>
      <c r="W13" s="590"/>
      <c r="X13" s="587"/>
      <c r="Y13" s="586" t="s">
        <v>261</v>
      </c>
      <c r="Z13" s="590"/>
      <c r="AA13" s="585">
        <v>1.0</v>
      </c>
      <c r="AB13" s="589"/>
      <c r="AC13" s="590"/>
      <c r="AD13" s="588"/>
      <c r="AE13" s="586" t="s">
        <v>261</v>
      </c>
      <c r="AF13" s="585">
        <v>2.5</v>
      </c>
      <c r="AG13" s="585">
        <v>3.0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79</v>
      </c>
      <c r="C14" s="580">
        <f t="shared" si="1"/>
        <v>15.75</v>
      </c>
      <c r="D14" s="594">
        <f t="shared" si="2"/>
        <v>2</v>
      </c>
      <c r="E14" s="595">
        <f t="shared" si="3"/>
        <v>5</v>
      </c>
      <c r="F14" s="596">
        <f t="shared" si="4"/>
        <v>10.75</v>
      </c>
      <c r="G14" s="584" t="s">
        <v>261</v>
      </c>
      <c r="H14" s="597">
        <v>2.5</v>
      </c>
      <c r="I14" s="585">
        <v>2.75</v>
      </c>
      <c r="J14" s="586"/>
      <c r="K14" s="590"/>
      <c r="L14" s="588"/>
      <c r="M14" s="584" t="s">
        <v>261</v>
      </c>
      <c r="N14" s="598"/>
      <c r="O14" s="585">
        <v>3.0</v>
      </c>
      <c r="P14" s="589"/>
      <c r="Q14" s="590"/>
      <c r="R14" s="588"/>
      <c r="S14" s="586" t="s">
        <v>265</v>
      </c>
      <c r="T14" s="598"/>
      <c r="U14" s="585">
        <v>1.75</v>
      </c>
      <c r="V14" s="586"/>
      <c r="W14" s="590"/>
      <c r="X14" s="588"/>
      <c r="Y14" s="586" t="s">
        <v>261</v>
      </c>
      <c r="Z14" s="598"/>
      <c r="AA14" s="591">
        <v>1.0</v>
      </c>
      <c r="AB14" s="589"/>
      <c r="AC14" s="590"/>
      <c r="AD14" s="588"/>
      <c r="AE14" s="586" t="s">
        <v>261</v>
      </c>
      <c r="AF14" s="597">
        <v>2.5</v>
      </c>
      <c r="AG14" s="585">
        <v>2.25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124</v>
      </c>
      <c r="C15" s="580">
        <f t="shared" si="1"/>
        <v>13.75</v>
      </c>
      <c r="D15" s="603">
        <f t="shared" si="2"/>
        <v>1</v>
      </c>
      <c r="E15" s="604">
        <f t="shared" si="3"/>
        <v>2.5</v>
      </c>
      <c r="F15" s="605">
        <f t="shared" si="4"/>
        <v>11.25</v>
      </c>
      <c r="G15" s="606" t="s">
        <v>269</v>
      </c>
      <c r="H15" s="609"/>
      <c r="I15" s="607">
        <v>2.0</v>
      </c>
      <c r="J15" s="608"/>
      <c r="K15" s="609"/>
      <c r="L15" s="610"/>
      <c r="M15" s="606" t="s">
        <v>261</v>
      </c>
      <c r="N15" s="609"/>
      <c r="O15" s="607">
        <v>1.75</v>
      </c>
      <c r="P15" s="611"/>
      <c r="Q15" s="609"/>
      <c r="R15" s="612"/>
      <c r="S15" s="611" t="s">
        <v>261</v>
      </c>
      <c r="T15" s="607">
        <v>2.5</v>
      </c>
      <c r="U15" s="607">
        <v>2.5</v>
      </c>
      <c r="V15" s="611"/>
      <c r="W15" s="609"/>
      <c r="X15" s="610"/>
      <c r="Y15" s="611" t="s">
        <v>271</v>
      </c>
      <c r="Z15" s="609"/>
      <c r="AA15" s="634">
        <v>2.5</v>
      </c>
      <c r="AB15" s="611"/>
      <c r="AC15" s="609"/>
      <c r="AD15" s="612"/>
      <c r="AE15" s="611" t="s">
        <v>269</v>
      </c>
      <c r="AF15" s="609"/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383</v>
      </c>
      <c r="L16" s="543"/>
      <c r="M16" s="616" t="s">
        <v>397</v>
      </c>
      <c r="R16" s="543"/>
      <c r="S16" s="616" t="s">
        <v>401</v>
      </c>
      <c r="X16" s="543"/>
      <c r="Y16" s="616" t="s">
        <v>402</v>
      </c>
      <c r="AD16" s="543"/>
      <c r="AE16" s="616" t="s">
        <v>401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3.0</v>
      </c>
      <c r="B26" s="631" t="s">
        <v>106</v>
      </c>
      <c r="C26" s="631" t="s">
        <v>16</v>
      </c>
      <c r="D26" s="630">
        <v>0.5</v>
      </c>
      <c r="E26" s="632"/>
      <c r="F26" s="632"/>
      <c r="AK26" s="62"/>
    </row>
    <row r="27">
      <c r="A27" s="631">
        <v>4.0</v>
      </c>
      <c r="B27" s="631" t="s">
        <v>121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403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123</v>
      </c>
      <c r="C6" s="580">
        <f t="shared" ref="C6:C15" si="1">SUM(H6:AK6)</f>
        <v>28.5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18.5</v>
      </c>
      <c r="G6" s="584" t="s">
        <v>261</v>
      </c>
      <c r="H6" s="585">
        <v>2.5</v>
      </c>
      <c r="I6" s="585">
        <v>3.5</v>
      </c>
      <c r="J6" s="589"/>
      <c r="K6" s="590"/>
      <c r="L6" s="588"/>
      <c r="M6" s="584" t="s">
        <v>261</v>
      </c>
      <c r="N6" s="590"/>
      <c r="O6" s="585">
        <v>3.0</v>
      </c>
      <c r="P6" s="586" t="s">
        <v>11</v>
      </c>
      <c r="Q6" s="590"/>
      <c r="R6" s="587">
        <v>0.5</v>
      </c>
      <c r="S6" s="586" t="s">
        <v>265</v>
      </c>
      <c r="T6" s="585">
        <v>2.5</v>
      </c>
      <c r="U6" s="585">
        <v>5.0</v>
      </c>
      <c r="V6" s="586"/>
      <c r="W6" s="590"/>
      <c r="X6" s="587"/>
      <c r="Y6" s="586" t="s">
        <v>261</v>
      </c>
      <c r="Z6" s="585">
        <v>2.5</v>
      </c>
      <c r="AA6" s="585">
        <v>3.5</v>
      </c>
      <c r="AB6" s="589"/>
      <c r="AC6" s="590"/>
      <c r="AD6" s="588"/>
      <c r="AE6" s="586" t="s">
        <v>269</v>
      </c>
      <c r="AF6" s="585">
        <v>2.5</v>
      </c>
      <c r="AG6" s="585">
        <v>3.0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121</v>
      </c>
      <c r="C7" s="580">
        <f t="shared" si="1"/>
        <v>27.5</v>
      </c>
      <c r="D7" s="594">
        <f t="shared" si="2"/>
        <v>3</v>
      </c>
      <c r="E7" s="595">
        <f t="shared" si="3"/>
        <v>7.5</v>
      </c>
      <c r="F7" s="596">
        <f t="shared" si="4"/>
        <v>20</v>
      </c>
      <c r="G7" s="584" t="s">
        <v>271</v>
      </c>
      <c r="H7" s="597">
        <v>2.5</v>
      </c>
      <c r="I7" s="585">
        <v>3.5</v>
      </c>
      <c r="J7" s="586"/>
      <c r="K7" s="590"/>
      <c r="L7" s="588"/>
      <c r="M7" s="584" t="s">
        <v>269</v>
      </c>
      <c r="N7" s="597">
        <v>2.5</v>
      </c>
      <c r="O7" s="585">
        <v>4.0</v>
      </c>
      <c r="P7" s="589"/>
      <c r="Q7" s="590"/>
      <c r="R7" s="588"/>
      <c r="S7" s="586" t="s">
        <v>261</v>
      </c>
      <c r="T7" s="598"/>
      <c r="U7" s="585">
        <v>2.75</v>
      </c>
      <c r="V7" s="586" t="s">
        <v>11</v>
      </c>
      <c r="W7" s="590"/>
      <c r="X7" s="587">
        <v>0.5</v>
      </c>
      <c r="Y7" s="586" t="s">
        <v>261</v>
      </c>
      <c r="Z7" s="597">
        <v>2.5</v>
      </c>
      <c r="AA7" s="591">
        <v>4.0</v>
      </c>
      <c r="AB7" s="589"/>
      <c r="AC7" s="590"/>
      <c r="AD7" s="588"/>
      <c r="AE7" s="586" t="s">
        <v>261</v>
      </c>
      <c r="AF7" s="598"/>
      <c r="AG7" s="585">
        <v>3.75</v>
      </c>
      <c r="AH7" s="586" t="s">
        <v>11</v>
      </c>
      <c r="AI7" s="585">
        <v>0.5</v>
      </c>
      <c r="AJ7" s="587">
        <v>1.0</v>
      </c>
      <c r="AK7" s="588"/>
      <c r="AL7" s="593"/>
    </row>
    <row r="8">
      <c r="A8" s="578">
        <v>3.0</v>
      </c>
      <c r="B8" s="579" t="s">
        <v>127</v>
      </c>
      <c r="C8" s="580">
        <f t="shared" si="1"/>
        <v>22.5</v>
      </c>
      <c r="D8" s="594">
        <f t="shared" si="2"/>
        <v>3</v>
      </c>
      <c r="E8" s="595">
        <f t="shared" si="3"/>
        <v>7.5</v>
      </c>
      <c r="F8" s="596">
        <f t="shared" si="4"/>
        <v>15</v>
      </c>
      <c r="G8" s="584" t="s">
        <v>261</v>
      </c>
      <c r="H8" s="585">
        <v>2.5</v>
      </c>
      <c r="I8" s="585">
        <v>4.5</v>
      </c>
      <c r="J8" s="586"/>
      <c r="K8" s="585"/>
      <c r="L8" s="587"/>
      <c r="M8" s="584" t="s">
        <v>261</v>
      </c>
      <c r="N8" s="590"/>
      <c r="O8" s="585">
        <v>2.5</v>
      </c>
      <c r="P8" s="586"/>
      <c r="Q8" s="585"/>
      <c r="R8" s="588"/>
      <c r="S8" s="586" t="s">
        <v>271</v>
      </c>
      <c r="T8" s="590"/>
      <c r="U8" s="585">
        <v>2.0</v>
      </c>
      <c r="V8" s="589"/>
      <c r="W8" s="590"/>
      <c r="X8" s="588"/>
      <c r="Y8" s="586" t="s">
        <v>261</v>
      </c>
      <c r="Z8" s="585">
        <v>2.5</v>
      </c>
      <c r="AA8" s="591">
        <v>3.0</v>
      </c>
      <c r="AB8" s="589"/>
      <c r="AC8" s="590"/>
      <c r="AD8" s="588"/>
      <c r="AE8" s="586" t="s">
        <v>269</v>
      </c>
      <c r="AF8" s="585">
        <v>2.5</v>
      </c>
      <c r="AG8" s="585">
        <v>3.0</v>
      </c>
      <c r="AH8" s="589"/>
      <c r="AI8" s="590"/>
      <c r="AJ8" s="588"/>
      <c r="AK8" s="588"/>
      <c r="AL8" s="593"/>
    </row>
    <row r="9">
      <c r="A9" s="578">
        <v>4.0</v>
      </c>
      <c r="B9" s="579" t="s">
        <v>92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85">
        <v>2.5</v>
      </c>
      <c r="I9" s="585">
        <v>3.25</v>
      </c>
      <c r="J9" s="589"/>
      <c r="K9" s="590"/>
      <c r="L9" s="588"/>
      <c r="M9" s="584" t="s">
        <v>261</v>
      </c>
      <c r="N9" s="590"/>
      <c r="O9" s="585">
        <v>2.0</v>
      </c>
      <c r="P9" s="589"/>
      <c r="Q9" s="590"/>
      <c r="R9" s="588"/>
      <c r="S9" s="586" t="s">
        <v>269</v>
      </c>
      <c r="T9" s="585">
        <v>2.5</v>
      </c>
      <c r="U9" s="585">
        <v>3.0</v>
      </c>
      <c r="V9" s="586"/>
      <c r="W9" s="590"/>
      <c r="X9" s="588"/>
      <c r="Y9" s="586" t="s">
        <v>261</v>
      </c>
      <c r="Z9" s="585">
        <v>2.5</v>
      </c>
      <c r="AA9" s="591">
        <v>2.75</v>
      </c>
      <c r="AB9" s="589"/>
      <c r="AC9" s="590"/>
      <c r="AD9" s="588"/>
      <c r="AE9" s="586" t="s">
        <v>261</v>
      </c>
      <c r="AF9" s="590"/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129</v>
      </c>
      <c r="C10" s="580">
        <f t="shared" si="1"/>
        <v>19.5</v>
      </c>
      <c r="D10" s="594">
        <f t="shared" si="2"/>
        <v>3</v>
      </c>
      <c r="E10" s="595">
        <f t="shared" si="3"/>
        <v>7.5</v>
      </c>
      <c r="F10" s="596">
        <f t="shared" si="4"/>
        <v>12</v>
      </c>
      <c r="G10" s="584" t="s">
        <v>261</v>
      </c>
      <c r="H10" s="585">
        <v>2.5</v>
      </c>
      <c r="I10" s="585">
        <v>4.5</v>
      </c>
      <c r="J10" s="586"/>
      <c r="K10" s="590"/>
      <c r="L10" s="588"/>
      <c r="M10" s="584" t="s">
        <v>261</v>
      </c>
      <c r="N10" s="590"/>
      <c r="O10" s="585">
        <v>0.75</v>
      </c>
      <c r="P10" s="589"/>
      <c r="Q10" s="590"/>
      <c r="R10" s="588"/>
      <c r="S10" s="586" t="s">
        <v>261</v>
      </c>
      <c r="T10" s="590"/>
      <c r="U10" s="585">
        <v>1.75</v>
      </c>
      <c r="V10" s="586"/>
      <c r="W10" s="590"/>
      <c r="X10" s="587"/>
      <c r="Y10" s="586" t="s">
        <v>261</v>
      </c>
      <c r="Z10" s="585">
        <v>2.5</v>
      </c>
      <c r="AA10" s="585">
        <v>2.5</v>
      </c>
      <c r="AB10" s="586" t="s">
        <v>260</v>
      </c>
      <c r="AC10" s="590"/>
      <c r="AD10" s="588"/>
      <c r="AE10" s="586" t="s">
        <v>265</v>
      </c>
      <c r="AF10" s="585">
        <v>2.5</v>
      </c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80</v>
      </c>
      <c r="C11" s="580">
        <f t="shared" si="1"/>
        <v>18</v>
      </c>
      <c r="D11" s="594">
        <f t="shared" si="2"/>
        <v>2</v>
      </c>
      <c r="E11" s="595">
        <f t="shared" si="3"/>
        <v>5</v>
      </c>
      <c r="F11" s="596">
        <f t="shared" si="4"/>
        <v>13</v>
      </c>
      <c r="G11" s="584" t="s">
        <v>269</v>
      </c>
      <c r="H11" s="590"/>
      <c r="I11" s="585">
        <v>2.0</v>
      </c>
      <c r="J11" s="586"/>
      <c r="K11" s="590"/>
      <c r="L11" s="588"/>
      <c r="M11" s="584" t="s">
        <v>269</v>
      </c>
      <c r="N11" s="585">
        <v>2.5</v>
      </c>
      <c r="O11" s="585">
        <v>4.0</v>
      </c>
      <c r="P11" s="586"/>
      <c r="Q11" s="585"/>
      <c r="R11" s="587"/>
      <c r="S11" s="586" t="s">
        <v>261</v>
      </c>
      <c r="T11" s="590"/>
      <c r="U11" s="585">
        <v>2.5</v>
      </c>
      <c r="V11" s="589"/>
      <c r="W11" s="590"/>
      <c r="X11" s="588"/>
      <c r="Y11" s="586" t="s">
        <v>261</v>
      </c>
      <c r="Z11" s="585">
        <v>2.5</v>
      </c>
      <c r="AA11" s="591">
        <v>2.0</v>
      </c>
      <c r="AB11" s="586" t="s">
        <v>11</v>
      </c>
      <c r="AC11" s="590"/>
      <c r="AD11" s="587">
        <v>0.5</v>
      </c>
      <c r="AE11" s="586" t="s">
        <v>261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124</v>
      </c>
      <c r="C12" s="580">
        <f t="shared" si="1"/>
        <v>16.25</v>
      </c>
      <c r="D12" s="594">
        <f t="shared" si="2"/>
        <v>3</v>
      </c>
      <c r="E12" s="595">
        <f t="shared" si="3"/>
        <v>7.5</v>
      </c>
      <c r="F12" s="596">
        <f t="shared" si="4"/>
        <v>8.75</v>
      </c>
      <c r="G12" s="584" t="s">
        <v>261</v>
      </c>
      <c r="H12" s="597">
        <v>2.5</v>
      </c>
      <c r="I12" s="585">
        <v>2.75</v>
      </c>
      <c r="J12" s="586"/>
      <c r="K12" s="590"/>
      <c r="L12" s="588"/>
      <c r="M12" s="584" t="s">
        <v>271</v>
      </c>
      <c r="N12" s="598"/>
      <c r="O12" s="585">
        <v>2.0</v>
      </c>
      <c r="P12" s="589"/>
      <c r="Q12" s="590"/>
      <c r="R12" s="588"/>
      <c r="S12" s="586" t="s">
        <v>269</v>
      </c>
      <c r="T12" s="597">
        <v>2.5</v>
      </c>
      <c r="U12" s="585">
        <v>1.0</v>
      </c>
      <c r="V12" s="586"/>
      <c r="W12" s="590"/>
      <c r="X12" s="588"/>
      <c r="Y12" s="586" t="s">
        <v>271</v>
      </c>
      <c r="Z12" s="597">
        <v>2.5</v>
      </c>
      <c r="AA12" s="591">
        <v>3.0</v>
      </c>
      <c r="AB12" s="586" t="s">
        <v>260</v>
      </c>
      <c r="AC12" s="585"/>
      <c r="AD12" s="587"/>
      <c r="AE12" s="586" t="s">
        <v>271</v>
      </c>
      <c r="AF12" s="598"/>
      <c r="AG12" s="600">
        <v>0.0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135</v>
      </c>
      <c r="C13" s="580">
        <f t="shared" si="1"/>
        <v>14.75</v>
      </c>
      <c r="D13" s="594">
        <f t="shared" si="2"/>
        <v>1</v>
      </c>
      <c r="E13" s="595">
        <f t="shared" si="3"/>
        <v>2.5</v>
      </c>
      <c r="F13" s="596">
        <f t="shared" si="4"/>
        <v>12.25</v>
      </c>
      <c r="G13" s="584" t="s">
        <v>265</v>
      </c>
      <c r="H13" s="598"/>
      <c r="I13" s="585">
        <v>1.5</v>
      </c>
      <c r="J13" s="586"/>
      <c r="K13" s="585"/>
      <c r="L13" s="588"/>
      <c r="M13" s="584" t="s">
        <v>265</v>
      </c>
      <c r="N13" s="597">
        <v>2.5</v>
      </c>
      <c r="O13" s="585">
        <v>4.25</v>
      </c>
      <c r="P13" s="589"/>
      <c r="Q13" s="590"/>
      <c r="R13" s="588"/>
      <c r="S13" s="586" t="s">
        <v>261</v>
      </c>
      <c r="T13" s="598"/>
      <c r="U13" s="585">
        <v>1.25</v>
      </c>
      <c r="V13" s="586"/>
      <c r="W13" s="590"/>
      <c r="X13" s="588"/>
      <c r="Y13" s="586" t="s">
        <v>269</v>
      </c>
      <c r="Z13" s="598"/>
      <c r="AA13" s="591">
        <v>2.25</v>
      </c>
      <c r="AB13" s="589"/>
      <c r="AC13" s="590"/>
      <c r="AD13" s="588"/>
      <c r="AE13" s="586" t="s">
        <v>261</v>
      </c>
      <c r="AF13" s="598"/>
      <c r="AG13" s="585">
        <v>3.0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137</v>
      </c>
      <c r="C14" s="580">
        <f t="shared" si="1"/>
        <v>13.25</v>
      </c>
      <c r="D14" s="594">
        <f t="shared" si="2"/>
        <v>1</v>
      </c>
      <c r="E14" s="595">
        <f t="shared" si="3"/>
        <v>2.5</v>
      </c>
      <c r="F14" s="596">
        <f t="shared" si="4"/>
        <v>10.75</v>
      </c>
      <c r="G14" s="584" t="s">
        <v>261</v>
      </c>
      <c r="H14" s="585">
        <v>2.5</v>
      </c>
      <c r="I14" s="585">
        <v>2.25</v>
      </c>
      <c r="J14" s="586" t="s">
        <v>11</v>
      </c>
      <c r="K14" s="590"/>
      <c r="L14" s="587">
        <v>0.5</v>
      </c>
      <c r="M14" s="584" t="s">
        <v>261</v>
      </c>
      <c r="N14" s="590"/>
      <c r="O14" s="585">
        <v>2.5</v>
      </c>
      <c r="P14" s="586"/>
      <c r="Q14" s="590"/>
      <c r="R14" s="587"/>
      <c r="S14" s="586" t="s">
        <v>261</v>
      </c>
      <c r="T14" s="590"/>
      <c r="U14" s="585">
        <v>1.25</v>
      </c>
      <c r="V14" s="586"/>
      <c r="W14" s="590"/>
      <c r="X14" s="588"/>
      <c r="Y14" s="586" t="s">
        <v>269</v>
      </c>
      <c r="Z14" s="590"/>
      <c r="AA14" s="591">
        <v>1.75</v>
      </c>
      <c r="AB14" s="586" t="s">
        <v>263</v>
      </c>
      <c r="AC14" s="590"/>
      <c r="AD14" s="587"/>
      <c r="AE14" s="586" t="s">
        <v>261</v>
      </c>
      <c r="AF14" s="590"/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134</v>
      </c>
      <c r="C15" s="580">
        <f t="shared" si="1"/>
        <v>9.25</v>
      </c>
      <c r="D15" s="603">
        <f t="shared" si="2"/>
        <v>0</v>
      </c>
      <c r="E15" s="604">
        <f t="shared" si="3"/>
        <v>0</v>
      </c>
      <c r="F15" s="605">
        <f t="shared" si="4"/>
        <v>9.25</v>
      </c>
      <c r="G15" s="606" t="s">
        <v>269</v>
      </c>
      <c r="H15" s="609"/>
      <c r="I15" s="607">
        <v>2.25</v>
      </c>
      <c r="J15" s="611"/>
      <c r="K15" s="609"/>
      <c r="L15" s="610"/>
      <c r="M15" s="606" t="s">
        <v>261</v>
      </c>
      <c r="N15" s="609"/>
      <c r="O15" s="607">
        <v>1.0</v>
      </c>
      <c r="P15" s="611"/>
      <c r="Q15" s="609"/>
      <c r="R15" s="610"/>
      <c r="S15" s="611" t="s">
        <v>261</v>
      </c>
      <c r="T15" s="609"/>
      <c r="U15" s="607">
        <v>1.25</v>
      </c>
      <c r="V15" s="611"/>
      <c r="W15" s="609"/>
      <c r="X15" s="610"/>
      <c r="Y15" s="611" t="s">
        <v>265</v>
      </c>
      <c r="Z15" s="609"/>
      <c r="AA15" s="634">
        <v>2.0</v>
      </c>
      <c r="AB15" s="608"/>
      <c r="AC15" s="609"/>
      <c r="AD15" s="610"/>
      <c r="AE15" s="611" t="s">
        <v>261</v>
      </c>
      <c r="AF15" s="609"/>
      <c r="AG15" s="607">
        <v>2.75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258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124</v>
      </c>
      <c r="C26" s="631" t="s">
        <v>292</v>
      </c>
      <c r="D26" s="630">
        <v>-1.0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87</v>
      </c>
      <c r="C6" s="580">
        <f t="shared" ref="C6:C15" si="1">SUM(H6:AK6)</f>
        <v>26.25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16.25</v>
      </c>
      <c r="G6" s="584" t="s">
        <v>261</v>
      </c>
      <c r="H6" s="597">
        <v>2.5</v>
      </c>
      <c r="I6" s="585">
        <v>2.75</v>
      </c>
      <c r="J6" s="586" t="s">
        <v>11</v>
      </c>
      <c r="K6" s="590"/>
      <c r="L6" s="587">
        <v>0.5</v>
      </c>
      <c r="M6" s="584" t="s">
        <v>269</v>
      </c>
      <c r="N6" s="597">
        <v>2.5</v>
      </c>
      <c r="O6" s="585">
        <v>3.75</v>
      </c>
      <c r="P6" s="589"/>
      <c r="Q6" s="590"/>
      <c r="R6" s="588"/>
      <c r="S6" s="586" t="s">
        <v>261</v>
      </c>
      <c r="T6" s="598"/>
      <c r="U6" s="585">
        <v>1.5</v>
      </c>
      <c r="V6" s="586"/>
      <c r="W6" s="590"/>
      <c r="X6" s="588"/>
      <c r="Y6" s="586" t="s">
        <v>269</v>
      </c>
      <c r="Z6" s="597">
        <v>2.5</v>
      </c>
      <c r="AA6" s="591">
        <v>3.75</v>
      </c>
      <c r="AB6" s="589"/>
      <c r="AC6" s="590"/>
      <c r="AD6" s="588"/>
      <c r="AE6" s="586" t="s">
        <v>261</v>
      </c>
      <c r="AF6" s="597">
        <v>2.5</v>
      </c>
      <c r="AG6" s="585">
        <v>4.0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80</v>
      </c>
      <c r="C7" s="580">
        <f t="shared" si="1"/>
        <v>24.25</v>
      </c>
      <c r="D7" s="594">
        <f t="shared" si="2"/>
        <v>3</v>
      </c>
      <c r="E7" s="595">
        <f t="shared" si="3"/>
        <v>7.5</v>
      </c>
      <c r="F7" s="596">
        <f t="shared" si="4"/>
        <v>16.75</v>
      </c>
      <c r="G7" s="584" t="s">
        <v>261</v>
      </c>
      <c r="H7" s="597">
        <v>2.5</v>
      </c>
      <c r="I7" s="585">
        <v>3.25</v>
      </c>
      <c r="J7" s="586"/>
      <c r="K7" s="585"/>
      <c r="L7" s="588"/>
      <c r="M7" s="584" t="s">
        <v>261</v>
      </c>
      <c r="N7" s="598"/>
      <c r="O7" s="585">
        <v>2.75</v>
      </c>
      <c r="P7" s="589"/>
      <c r="Q7" s="590"/>
      <c r="R7" s="588"/>
      <c r="S7" s="586" t="s">
        <v>261</v>
      </c>
      <c r="T7" s="598"/>
      <c r="U7" s="585">
        <v>1.75</v>
      </c>
      <c r="V7" s="586"/>
      <c r="W7" s="590"/>
      <c r="X7" s="588"/>
      <c r="Y7" s="586" t="s">
        <v>269</v>
      </c>
      <c r="Z7" s="597">
        <v>2.5</v>
      </c>
      <c r="AA7" s="591">
        <v>4.25</v>
      </c>
      <c r="AB7" s="589"/>
      <c r="AC7" s="590"/>
      <c r="AD7" s="588"/>
      <c r="AE7" s="586" t="s">
        <v>261</v>
      </c>
      <c r="AF7" s="597">
        <v>2.5</v>
      </c>
      <c r="AG7" s="585">
        <v>3.75</v>
      </c>
      <c r="AH7" s="586" t="s">
        <v>11</v>
      </c>
      <c r="AI7" s="585">
        <v>0.5</v>
      </c>
      <c r="AJ7" s="587">
        <v>0.5</v>
      </c>
      <c r="AK7" s="588"/>
      <c r="AL7" s="593"/>
    </row>
    <row r="8">
      <c r="A8" s="578">
        <v>3.0</v>
      </c>
      <c r="B8" s="579" t="s">
        <v>110</v>
      </c>
      <c r="C8" s="580">
        <f t="shared" si="1"/>
        <v>24.25</v>
      </c>
      <c r="D8" s="594">
        <f t="shared" si="2"/>
        <v>3</v>
      </c>
      <c r="E8" s="595">
        <f t="shared" si="3"/>
        <v>7.5</v>
      </c>
      <c r="F8" s="596">
        <f t="shared" si="4"/>
        <v>16.75</v>
      </c>
      <c r="G8" s="584" t="s">
        <v>269</v>
      </c>
      <c r="H8" s="590"/>
      <c r="I8" s="585">
        <v>2.5</v>
      </c>
      <c r="J8" s="586"/>
      <c r="K8" s="585"/>
      <c r="L8" s="587"/>
      <c r="M8" s="584" t="s">
        <v>269</v>
      </c>
      <c r="N8" s="585">
        <v>2.5</v>
      </c>
      <c r="O8" s="585">
        <v>4.0</v>
      </c>
      <c r="P8" s="586"/>
      <c r="Q8" s="585"/>
      <c r="R8" s="588"/>
      <c r="S8" s="586" t="s">
        <v>261</v>
      </c>
      <c r="T8" s="590"/>
      <c r="U8" s="585">
        <v>2.0</v>
      </c>
      <c r="V8" s="589"/>
      <c r="W8" s="590"/>
      <c r="X8" s="588"/>
      <c r="Y8" s="586" t="s">
        <v>265</v>
      </c>
      <c r="Z8" s="585">
        <v>2.5</v>
      </c>
      <c r="AA8" s="591">
        <v>4.0</v>
      </c>
      <c r="AB8" s="589"/>
      <c r="AC8" s="590"/>
      <c r="AD8" s="588"/>
      <c r="AE8" s="586" t="s">
        <v>271</v>
      </c>
      <c r="AF8" s="585">
        <v>2.5</v>
      </c>
      <c r="AG8" s="585">
        <v>4.25</v>
      </c>
      <c r="AH8" s="589"/>
      <c r="AI8" s="590"/>
      <c r="AJ8" s="588"/>
      <c r="AK8" s="588"/>
      <c r="AL8" s="593"/>
    </row>
    <row r="9">
      <c r="A9" s="578">
        <v>4.0</v>
      </c>
      <c r="B9" s="579" t="s">
        <v>84</v>
      </c>
      <c r="C9" s="580">
        <f t="shared" si="1"/>
        <v>21</v>
      </c>
      <c r="D9" s="594">
        <f t="shared" si="2"/>
        <v>3</v>
      </c>
      <c r="E9" s="595">
        <f t="shared" si="3"/>
        <v>7.5</v>
      </c>
      <c r="F9" s="596">
        <f t="shared" si="4"/>
        <v>13.5</v>
      </c>
      <c r="G9" s="584" t="s">
        <v>261</v>
      </c>
      <c r="H9" s="585">
        <v>2.5</v>
      </c>
      <c r="I9" s="585">
        <v>2.75</v>
      </c>
      <c r="J9" s="586"/>
      <c r="K9" s="590"/>
      <c r="L9" s="588"/>
      <c r="M9" s="584" t="s">
        <v>265</v>
      </c>
      <c r="N9" s="585">
        <v>2.5</v>
      </c>
      <c r="O9" s="585">
        <v>4.25</v>
      </c>
      <c r="P9" s="586"/>
      <c r="Q9" s="590"/>
      <c r="R9" s="588"/>
      <c r="S9" s="586" t="s">
        <v>269</v>
      </c>
      <c r="T9" s="585">
        <v>2.5</v>
      </c>
      <c r="U9" s="585">
        <v>2.5</v>
      </c>
      <c r="V9" s="586"/>
      <c r="W9" s="590"/>
      <c r="X9" s="588"/>
      <c r="Y9" s="586" t="s">
        <v>261</v>
      </c>
      <c r="Z9" s="590"/>
      <c r="AA9" s="591">
        <v>2.0</v>
      </c>
      <c r="AB9" s="589"/>
      <c r="AC9" s="590"/>
      <c r="AD9" s="588"/>
      <c r="AE9" s="586" t="s">
        <v>269</v>
      </c>
      <c r="AF9" s="590"/>
      <c r="AG9" s="585">
        <v>2.0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105</v>
      </c>
      <c r="C10" s="580">
        <f t="shared" si="1"/>
        <v>20.5</v>
      </c>
      <c r="D10" s="594">
        <f t="shared" si="2"/>
        <v>2</v>
      </c>
      <c r="E10" s="595">
        <f t="shared" si="3"/>
        <v>5</v>
      </c>
      <c r="F10" s="596">
        <f t="shared" si="4"/>
        <v>15.5</v>
      </c>
      <c r="G10" s="584" t="s">
        <v>261</v>
      </c>
      <c r="H10" s="585">
        <v>2.5</v>
      </c>
      <c r="I10" s="585">
        <v>3.75</v>
      </c>
      <c r="J10" s="586"/>
      <c r="K10" s="590"/>
      <c r="L10" s="588"/>
      <c r="M10" s="584" t="s">
        <v>261</v>
      </c>
      <c r="N10" s="590"/>
      <c r="O10" s="585">
        <v>2.25</v>
      </c>
      <c r="P10" s="586" t="s">
        <v>11</v>
      </c>
      <c r="Q10" s="590"/>
      <c r="R10" s="587">
        <v>0.5</v>
      </c>
      <c r="S10" s="586" t="s">
        <v>265</v>
      </c>
      <c r="T10" s="585">
        <v>2.5</v>
      </c>
      <c r="U10" s="585">
        <v>4.25</v>
      </c>
      <c r="V10" s="586"/>
      <c r="W10" s="590"/>
      <c r="X10" s="587"/>
      <c r="Y10" s="586" t="s">
        <v>261</v>
      </c>
      <c r="Z10" s="590"/>
      <c r="AA10" s="585">
        <v>2.25</v>
      </c>
      <c r="AB10" s="586" t="s">
        <v>11</v>
      </c>
      <c r="AC10" s="590"/>
      <c r="AD10" s="587">
        <v>1.0</v>
      </c>
      <c r="AE10" s="586" t="s">
        <v>265</v>
      </c>
      <c r="AF10" s="590"/>
      <c r="AG10" s="585">
        <v>1.5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85</v>
      </c>
      <c r="C11" s="580">
        <f t="shared" si="1"/>
        <v>19.25</v>
      </c>
      <c r="D11" s="594">
        <f t="shared" si="2"/>
        <v>2</v>
      </c>
      <c r="E11" s="595">
        <f t="shared" si="3"/>
        <v>5</v>
      </c>
      <c r="F11" s="596">
        <f t="shared" si="4"/>
        <v>14.25</v>
      </c>
      <c r="G11" s="584" t="s">
        <v>261</v>
      </c>
      <c r="H11" s="585">
        <v>2.5</v>
      </c>
      <c r="I11" s="585">
        <v>4.0</v>
      </c>
      <c r="J11" s="589"/>
      <c r="K11" s="590"/>
      <c r="L11" s="588"/>
      <c r="M11" s="584" t="s">
        <v>261</v>
      </c>
      <c r="N11" s="590"/>
      <c r="O11" s="585">
        <v>1.75</v>
      </c>
      <c r="P11" s="586"/>
      <c r="Q11" s="590"/>
      <c r="R11" s="587"/>
      <c r="S11" s="586" t="s">
        <v>271</v>
      </c>
      <c r="T11" s="590"/>
      <c r="U11" s="585">
        <v>1.75</v>
      </c>
      <c r="V11" s="586" t="s">
        <v>11</v>
      </c>
      <c r="W11" s="590"/>
      <c r="X11" s="587">
        <v>0.5</v>
      </c>
      <c r="Y11" s="586" t="s">
        <v>261</v>
      </c>
      <c r="Z11" s="590"/>
      <c r="AA11" s="591">
        <v>2.25</v>
      </c>
      <c r="AB11" s="586"/>
      <c r="AC11" s="590"/>
      <c r="AD11" s="587"/>
      <c r="AE11" s="586" t="s">
        <v>261</v>
      </c>
      <c r="AF11" s="585">
        <v>2.5</v>
      </c>
      <c r="AG11" s="585">
        <v>4.0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103</v>
      </c>
      <c r="C12" s="580">
        <f t="shared" si="1"/>
        <v>18.75</v>
      </c>
      <c r="D12" s="594">
        <f t="shared" si="2"/>
        <v>2</v>
      </c>
      <c r="E12" s="595">
        <f t="shared" si="3"/>
        <v>5</v>
      </c>
      <c r="F12" s="596">
        <f t="shared" si="4"/>
        <v>13.75</v>
      </c>
      <c r="G12" s="584" t="s">
        <v>261</v>
      </c>
      <c r="H12" s="585">
        <v>2.5</v>
      </c>
      <c r="I12" s="585">
        <v>3.75</v>
      </c>
      <c r="J12" s="589"/>
      <c r="K12" s="590"/>
      <c r="L12" s="588"/>
      <c r="M12" s="584" t="s">
        <v>261</v>
      </c>
      <c r="N12" s="590"/>
      <c r="O12" s="585">
        <v>2.0</v>
      </c>
      <c r="P12" s="589"/>
      <c r="Q12" s="590"/>
      <c r="R12" s="588"/>
      <c r="S12" s="586" t="s">
        <v>261</v>
      </c>
      <c r="T12" s="590"/>
      <c r="U12" s="585">
        <v>3.75</v>
      </c>
      <c r="V12" s="586"/>
      <c r="W12" s="590"/>
      <c r="X12" s="588"/>
      <c r="Y12" s="586" t="s">
        <v>271</v>
      </c>
      <c r="Z12" s="590"/>
      <c r="AA12" s="591">
        <v>1.75</v>
      </c>
      <c r="AB12" s="589"/>
      <c r="AC12" s="590"/>
      <c r="AD12" s="588"/>
      <c r="AE12" s="586" t="s">
        <v>261</v>
      </c>
      <c r="AF12" s="585">
        <v>2.5</v>
      </c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90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269</v>
      </c>
      <c r="H13" s="598"/>
      <c r="I13" s="585">
        <v>2.25</v>
      </c>
      <c r="J13" s="586"/>
      <c r="K13" s="590"/>
      <c r="L13" s="588"/>
      <c r="M13" s="584" t="s">
        <v>261</v>
      </c>
      <c r="N13" s="598"/>
      <c r="O13" s="585">
        <v>1.5</v>
      </c>
      <c r="P13" s="589"/>
      <c r="Q13" s="590"/>
      <c r="R13" s="588"/>
      <c r="S13" s="586" t="s">
        <v>269</v>
      </c>
      <c r="T13" s="597">
        <v>2.5</v>
      </c>
      <c r="U13" s="585">
        <v>3.5</v>
      </c>
      <c r="V13" s="586"/>
      <c r="W13" s="590"/>
      <c r="X13" s="588"/>
      <c r="Y13" s="586" t="s">
        <v>261</v>
      </c>
      <c r="Z13" s="598"/>
      <c r="AA13" s="591">
        <v>2.25</v>
      </c>
      <c r="AB13" s="586"/>
      <c r="AC13" s="585"/>
      <c r="AD13" s="587"/>
      <c r="AE13" s="586" t="s">
        <v>261</v>
      </c>
      <c r="AF13" s="597">
        <v>2.5</v>
      </c>
      <c r="AG13" s="585">
        <v>3.0</v>
      </c>
      <c r="AH13" s="586"/>
      <c r="AI13" s="590"/>
      <c r="AJ13" s="587"/>
      <c r="AK13" s="588"/>
      <c r="AL13" s="593"/>
    </row>
    <row r="14">
      <c r="A14" s="578">
        <v>9.0</v>
      </c>
      <c r="B14" s="579" t="s">
        <v>101</v>
      </c>
      <c r="C14" s="580">
        <f t="shared" si="1"/>
        <v>15.75</v>
      </c>
      <c r="D14" s="594">
        <f t="shared" si="2"/>
        <v>1</v>
      </c>
      <c r="E14" s="595">
        <f t="shared" si="3"/>
        <v>2.5</v>
      </c>
      <c r="F14" s="596">
        <f t="shared" si="4"/>
        <v>13.25</v>
      </c>
      <c r="G14" s="584" t="s">
        <v>271</v>
      </c>
      <c r="H14" s="585">
        <v>2.5</v>
      </c>
      <c r="I14" s="585">
        <v>3.75</v>
      </c>
      <c r="J14" s="589"/>
      <c r="K14" s="590"/>
      <c r="L14" s="588"/>
      <c r="M14" s="584" t="s">
        <v>271</v>
      </c>
      <c r="N14" s="590"/>
      <c r="O14" s="585">
        <v>3.0</v>
      </c>
      <c r="P14" s="589"/>
      <c r="Q14" s="590"/>
      <c r="R14" s="588"/>
      <c r="S14" s="586" t="s">
        <v>261</v>
      </c>
      <c r="T14" s="590"/>
      <c r="U14" s="585">
        <v>2.5</v>
      </c>
      <c r="V14" s="586"/>
      <c r="W14" s="590"/>
      <c r="X14" s="587"/>
      <c r="Y14" s="586" t="s">
        <v>261</v>
      </c>
      <c r="Z14" s="590"/>
      <c r="AA14" s="585">
        <v>2.0</v>
      </c>
      <c r="AB14" s="589"/>
      <c r="AC14" s="590"/>
      <c r="AD14" s="588"/>
      <c r="AE14" s="586" t="s">
        <v>269</v>
      </c>
      <c r="AF14" s="590"/>
      <c r="AG14" s="585">
        <v>2.0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97</v>
      </c>
      <c r="C15" s="580">
        <f t="shared" si="1"/>
        <v>15.5</v>
      </c>
      <c r="D15" s="603">
        <f t="shared" si="2"/>
        <v>1</v>
      </c>
      <c r="E15" s="604">
        <f t="shared" si="3"/>
        <v>2.5</v>
      </c>
      <c r="F15" s="605">
        <f t="shared" si="4"/>
        <v>13</v>
      </c>
      <c r="G15" s="606" t="s">
        <v>265</v>
      </c>
      <c r="H15" s="609"/>
      <c r="I15" s="607">
        <v>2.0</v>
      </c>
      <c r="J15" s="611"/>
      <c r="K15" s="609"/>
      <c r="L15" s="610"/>
      <c r="M15" s="606" t="s">
        <v>261</v>
      </c>
      <c r="N15" s="609"/>
      <c r="O15" s="607">
        <v>3.5</v>
      </c>
      <c r="P15" s="611"/>
      <c r="Q15" s="607"/>
      <c r="R15" s="612"/>
      <c r="S15" s="611" t="s">
        <v>261</v>
      </c>
      <c r="T15" s="609"/>
      <c r="U15" s="607">
        <v>3.0</v>
      </c>
      <c r="V15" s="608"/>
      <c r="W15" s="609"/>
      <c r="X15" s="610"/>
      <c r="Y15" s="611" t="s">
        <v>261</v>
      </c>
      <c r="Z15" s="609"/>
      <c r="AA15" s="634">
        <v>1.5</v>
      </c>
      <c r="AB15" s="608"/>
      <c r="AC15" s="609"/>
      <c r="AD15" s="610"/>
      <c r="AE15" s="611" t="s">
        <v>261</v>
      </c>
      <c r="AF15" s="607">
        <v>2.5</v>
      </c>
      <c r="AG15" s="607">
        <v>3.0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373</v>
      </c>
      <c r="L16" s="543"/>
      <c r="M16" s="616" t="s">
        <v>373</v>
      </c>
      <c r="R16" s="543"/>
      <c r="S16" s="616" t="s">
        <v>397</v>
      </c>
      <c r="X16" s="543"/>
      <c r="Y16" s="616" t="s">
        <v>402</v>
      </c>
      <c r="AD16" s="543"/>
      <c r="AE16" s="616" t="s">
        <v>342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262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258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405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84</v>
      </c>
      <c r="C6" s="580">
        <f t="shared" ref="C6:C15" si="1">SUM(H6:AK6)</f>
        <v>27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17</v>
      </c>
      <c r="G6" s="584" t="s">
        <v>261</v>
      </c>
      <c r="H6" s="598"/>
      <c r="I6" s="585">
        <v>3.0</v>
      </c>
      <c r="J6" s="586" t="s">
        <v>263</v>
      </c>
      <c r="K6" s="590"/>
      <c r="L6" s="588"/>
      <c r="M6" s="584" t="s">
        <v>265</v>
      </c>
      <c r="N6" s="597">
        <v>2.5</v>
      </c>
      <c r="O6" s="585">
        <v>3.0</v>
      </c>
      <c r="P6" s="589"/>
      <c r="Q6" s="590"/>
      <c r="R6" s="588"/>
      <c r="S6" s="586" t="s">
        <v>269</v>
      </c>
      <c r="T6" s="597">
        <v>2.5</v>
      </c>
      <c r="U6" s="585">
        <v>4.5</v>
      </c>
      <c r="V6" s="586" t="s">
        <v>260</v>
      </c>
      <c r="W6" s="590"/>
      <c r="X6" s="588"/>
      <c r="Y6" s="586" t="s">
        <v>261</v>
      </c>
      <c r="Z6" s="597">
        <v>2.5</v>
      </c>
      <c r="AA6" s="591">
        <v>2.0</v>
      </c>
      <c r="AB6" s="586" t="s">
        <v>11</v>
      </c>
      <c r="AC6" s="590"/>
      <c r="AD6" s="587">
        <v>0.5</v>
      </c>
      <c r="AE6" s="586" t="s">
        <v>269</v>
      </c>
      <c r="AF6" s="597">
        <v>2.5</v>
      </c>
      <c r="AG6" s="585">
        <v>4.0</v>
      </c>
      <c r="AH6" s="586" t="s">
        <v>260</v>
      </c>
      <c r="AI6" s="590"/>
      <c r="AJ6" s="587"/>
      <c r="AK6" s="592"/>
      <c r="AL6" s="593"/>
    </row>
    <row r="7" ht="23.25" customHeight="1">
      <c r="A7" s="578">
        <v>2.0</v>
      </c>
      <c r="B7" s="579" t="s">
        <v>123</v>
      </c>
      <c r="C7" s="580">
        <f t="shared" si="1"/>
        <v>22.25</v>
      </c>
      <c r="D7" s="594">
        <f t="shared" si="2"/>
        <v>3</v>
      </c>
      <c r="E7" s="595">
        <f t="shared" si="3"/>
        <v>7.5</v>
      </c>
      <c r="F7" s="596">
        <f t="shared" si="4"/>
        <v>14.75</v>
      </c>
      <c r="G7" s="584" t="s">
        <v>271</v>
      </c>
      <c r="H7" s="598"/>
      <c r="I7" s="585">
        <v>3.25</v>
      </c>
      <c r="J7" s="586"/>
      <c r="K7" s="590"/>
      <c r="L7" s="588"/>
      <c r="M7" s="584" t="s">
        <v>269</v>
      </c>
      <c r="N7" s="597">
        <v>2.5</v>
      </c>
      <c r="O7" s="585">
        <v>3.5</v>
      </c>
      <c r="P7" s="589"/>
      <c r="Q7" s="590"/>
      <c r="R7" s="588"/>
      <c r="S7" s="586" t="s">
        <v>261</v>
      </c>
      <c r="T7" s="598"/>
      <c r="U7" s="585">
        <v>1.75</v>
      </c>
      <c r="V7" s="586" t="s">
        <v>263</v>
      </c>
      <c r="W7" s="590"/>
      <c r="X7" s="588"/>
      <c r="Y7" s="586" t="s">
        <v>271</v>
      </c>
      <c r="Z7" s="597">
        <v>2.5</v>
      </c>
      <c r="AA7" s="591">
        <v>3.5</v>
      </c>
      <c r="AB7" s="586"/>
      <c r="AC7" s="585"/>
      <c r="AD7" s="587"/>
      <c r="AE7" s="586" t="s">
        <v>265</v>
      </c>
      <c r="AF7" s="597">
        <v>2.5</v>
      </c>
      <c r="AG7" s="585">
        <v>2.75</v>
      </c>
      <c r="AH7" s="586"/>
      <c r="AI7" s="590"/>
      <c r="AJ7" s="587"/>
      <c r="AK7" s="588"/>
      <c r="AL7" s="593"/>
    </row>
    <row r="8">
      <c r="A8" s="578">
        <v>3.0</v>
      </c>
      <c r="B8" s="579" t="s">
        <v>87</v>
      </c>
      <c r="C8" s="580">
        <f t="shared" si="1"/>
        <v>21.75</v>
      </c>
      <c r="D8" s="594">
        <f t="shared" si="2"/>
        <v>2</v>
      </c>
      <c r="E8" s="595">
        <f t="shared" si="3"/>
        <v>5</v>
      </c>
      <c r="F8" s="596">
        <f t="shared" si="4"/>
        <v>16.75</v>
      </c>
      <c r="G8" s="584" t="s">
        <v>265</v>
      </c>
      <c r="H8" s="585">
        <v>2.5</v>
      </c>
      <c r="I8" s="585">
        <v>3.0</v>
      </c>
      <c r="J8" s="589"/>
      <c r="K8" s="590"/>
      <c r="L8" s="588"/>
      <c r="M8" s="584" t="s">
        <v>261</v>
      </c>
      <c r="N8" s="590"/>
      <c r="O8" s="585">
        <v>3.0</v>
      </c>
      <c r="P8" s="586"/>
      <c r="Q8" s="590"/>
      <c r="R8" s="587"/>
      <c r="S8" s="586" t="s">
        <v>261</v>
      </c>
      <c r="T8" s="590"/>
      <c r="U8" s="585">
        <v>2.5</v>
      </c>
      <c r="V8" s="586" t="s">
        <v>11</v>
      </c>
      <c r="W8" s="590"/>
      <c r="X8" s="587">
        <v>0.5</v>
      </c>
      <c r="Y8" s="586" t="s">
        <v>261</v>
      </c>
      <c r="Z8" s="585">
        <v>2.5</v>
      </c>
      <c r="AA8" s="591">
        <v>3.75</v>
      </c>
      <c r="AB8" s="586"/>
      <c r="AC8" s="590"/>
      <c r="AD8" s="587"/>
      <c r="AE8" s="586" t="s">
        <v>261</v>
      </c>
      <c r="AF8" s="585"/>
      <c r="AG8" s="585">
        <v>3.0</v>
      </c>
      <c r="AH8" s="586" t="s">
        <v>11</v>
      </c>
      <c r="AI8" s="590"/>
      <c r="AJ8" s="587">
        <v>1.0</v>
      </c>
      <c r="AK8" s="588"/>
      <c r="AL8" s="593"/>
    </row>
    <row r="9">
      <c r="A9" s="578">
        <v>4.0</v>
      </c>
      <c r="B9" s="579" t="s">
        <v>81</v>
      </c>
      <c r="C9" s="580">
        <f t="shared" si="1"/>
        <v>19.25</v>
      </c>
      <c r="D9" s="594">
        <f t="shared" si="2"/>
        <v>2</v>
      </c>
      <c r="E9" s="595">
        <f t="shared" si="3"/>
        <v>5</v>
      </c>
      <c r="F9" s="596">
        <f t="shared" si="4"/>
        <v>14.25</v>
      </c>
      <c r="G9" s="584" t="s">
        <v>269</v>
      </c>
      <c r="H9" s="585">
        <v>2.5</v>
      </c>
      <c r="I9" s="585">
        <v>2.5</v>
      </c>
      <c r="J9" s="586"/>
      <c r="K9" s="590"/>
      <c r="L9" s="588"/>
      <c r="M9" s="584" t="s">
        <v>261</v>
      </c>
      <c r="N9" s="590"/>
      <c r="O9" s="585">
        <v>2.25</v>
      </c>
      <c r="P9" s="589"/>
      <c r="Q9" s="590"/>
      <c r="R9" s="588"/>
      <c r="S9" s="586" t="s">
        <v>271</v>
      </c>
      <c r="T9" s="590"/>
      <c r="U9" s="585">
        <v>3.5</v>
      </c>
      <c r="V9" s="586"/>
      <c r="W9" s="590"/>
      <c r="X9" s="587"/>
      <c r="Y9" s="586" t="s">
        <v>261</v>
      </c>
      <c r="Z9" s="585">
        <v>2.5</v>
      </c>
      <c r="AA9" s="585">
        <v>3.5</v>
      </c>
      <c r="AB9" s="589"/>
      <c r="AC9" s="590"/>
      <c r="AD9" s="588"/>
      <c r="AE9" s="586" t="s">
        <v>261</v>
      </c>
      <c r="AF9" s="590"/>
      <c r="AG9" s="585">
        <v>2.5</v>
      </c>
      <c r="AH9" s="586" t="s">
        <v>263</v>
      </c>
      <c r="AI9" s="590"/>
      <c r="AJ9" s="588"/>
      <c r="AK9" s="588"/>
      <c r="AL9" s="593"/>
    </row>
    <row r="10">
      <c r="A10" s="578">
        <v>5.0</v>
      </c>
      <c r="B10" s="579" t="s">
        <v>92</v>
      </c>
      <c r="C10" s="580">
        <f t="shared" si="1"/>
        <v>19.25</v>
      </c>
      <c r="D10" s="594">
        <f t="shared" si="2"/>
        <v>2</v>
      </c>
      <c r="E10" s="595">
        <f t="shared" si="3"/>
        <v>5</v>
      </c>
      <c r="F10" s="596">
        <f t="shared" si="4"/>
        <v>14.25</v>
      </c>
      <c r="G10" s="584" t="s">
        <v>269</v>
      </c>
      <c r="H10" s="585">
        <v>2.5</v>
      </c>
      <c r="I10" s="585">
        <v>3.75</v>
      </c>
      <c r="J10" s="586" t="s">
        <v>260</v>
      </c>
      <c r="K10" s="590"/>
      <c r="L10" s="588"/>
      <c r="M10" s="584" t="s">
        <v>271</v>
      </c>
      <c r="N10" s="590"/>
      <c r="O10" s="585">
        <v>2.75</v>
      </c>
      <c r="P10" s="589"/>
      <c r="Q10" s="590"/>
      <c r="R10" s="588"/>
      <c r="S10" s="586" t="s">
        <v>261</v>
      </c>
      <c r="T10" s="590"/>
      <c r="U10" s="600">
        <v>3.0</v>
      </c>
      <c r="V10" s="586"/>
      <c r="W10" s="590"/>
      <c r="X10" s="588"/>
      <c r="Y10" s="586" t="s">
        <v>269</v>
      </c>
      <c r="Z10" s="590"/>
      <c r="AA10" s="591">
        <v>2.5</v>
      </c>
      <c r="AB10" s="586" t="s">
        <v>263</v>
      </c>
      <c r="AC10" s="590"/>
      <c r="AD10" s="588"/>
      <c r="AE10" s="586" t="s">
        <v>269</v>
      </c>
      <c r="AF10" s="585">
        <v>2.5</v>
      </c>
      <c r="AG10" s="585">
        <v>2.25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116</v>
      </c>
      <c r="C11" s="580">
        <f t="shared" si="1"/>
        <v>19</v>
      </c>
      <c r="D11" s="594">
        <f t="shared" si="2"/>
        <v>2</v>
      </c>
      <c r="E11" s="595">
        <f t="shared" si="3"/>
        <v>5</v>
      </c>
      <c r="F11" s="596">
        <f t="shared" si="4"/>
        <v>14</v>
      </c>
      <c r="G11" s="584" t="s">
        <v>261</v>
      </c>
      <c r="H11" s="590"/>
      <c r="I11" s="585">
        <v>2.0</v>
      </c>
      <c r="J11" s="586" t="s">
        <v>11</v>
      </c>
      <c r="K11" s="590"/>
      <c r="L11" s="587">
        <v>0.5</v>
      </c>
      <c r="M11" s="584" t="s">
        <v>261</v>
      </c>
      <c r="N11" s="590"/>
      <c r="O11" s="585">
        <v>3.25</v>
      </c>
      <c r="P11" s="589"/>
      <c r="Q11" s="590"/>
      <c r="R11" s="588"/>
      <c r="S11" s="586" t="s">
        <v>265</v>
      </c>
      <c r="T11" s="585">
        <v>2.5</v>
      </c>
      <c r="U11" s="585">
        <v>2.25</v>
      </c>
      <c r="V11" s="586"/>
      <c r="W11" s="590"/>
      <c r="X11" s="587"/>
      <c r="Y11" s="586" t="s">
        <v>261</v>
      </c>
      <c r="Z11" s="585">
        <v>2.5</v>
      </c>
      <c r="AA11" s="585">
        <v>4.0</v>
      </c>
      <c r="AB11" s="586" t="s">
        <v>260</v>
      </c>
      <c r="AC11" s="590"/>
      <c r="AD11" s="588"/>
      <c r="AE11" s="586" t="s">
        <v>261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129</v>
      </c>
      <c r="C12" s="580">
        <f t="shared" si="1"/>
        <v>17.25</v>
      </c>
      <c r="D12" s="594">
        <f t="shared" si="2"/>
        <v>2</v>
      </c>
      <c r="E12" s="595">
        <f t="shared" si="3"/>
        <v>5</v>
      </c>
      <c r="F12" s="596">
        <f t="shared" si="4"/>
        <v>12.25</v>
      </c>
      <c r="G12" s="584" t="s">
        <v>261</v>
      </c>
      <c r="H12" s="590"/>
      <c r="I12" s="600">
        <v>1.5</v>
      </c>
      <c r="J12" s="586" t="s">
        <v>263</v>
      </c>
      <c r="K12" s="590"/>
      <c r="L12" s="588"/>
      <c r="M12" s="584" t="s">
        <v>261</v>
      </c>
      <c r="N12" s="590"/>
      <c r="O12" s="585">
        <v>2.75</v>
      </c>
      <c r="P12" s="586"/>
      <c r="Q12" s="585"/>
      <c r="R12" s="587"/>
      <c r="S12" s="586" t="s">
        <v>269</v>
      </c>
      <c r="T12" s="585">
        <v>2.5</v>
      </c>
      <c r="U12" s="585">
        <v>2.0</v>
      </c>
      <c r="V12" s="589"/>
      <c r="W12" s="590"/>
      <c r="X12" s="588"/>
      <c r="Y12" s="586" t="s">
        <v>261</v>
      </c>
      <c r="Z12" s="585">
        <v>2.5</v>
      </c>
      <c r="AA12" s="591">
        <v>4.0</v>
      </c>
      <c r="AB12" s="589"/>
      <c r="AC12" s="590"/>
      <c r="AD12" s="588"/>
      <c r="AE12" s="586" t="s">
        <v>261</v>
      </c>
      <c r="AF12" s="590"/>
      <c r="AG12" s="585">
        <v>2.0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124</v>
      </c>
      <c r="C13" s="580">
        <f t="shared" si="1"/>
        <v>15.25</v>
      </c>
      <c r="D13" s="594">
        <f t="shared" si="2"/>
        <v>1</v>
      </c>
      <c r="E13" s="595">
        <f t="shared" si="3"/>
        <v>2.5</v>
      </c>
      <c r="F13" s="596">
        <f t="shared" si="4"/>
        <v>12.75</v>
      </c>
      <c r="G13" s="584" t="s">
        <v>261</v>
      </c>
      <c r="H13" s="590"/>
      <c r="I13" s="585">
        <v>2.5</v>
      </c>
      <c r="J13" s="586"/>
      <c r="K13" s="590"/>
      <c r="L13" s="588"/>
      <c r="M13" s="584" t="s">
        <v>261</v>
      </c>
      <c r="N13" s="590"/>
      <c r="O13" s="585">
        <v>1.75</v>
      </c>
      <c r="P13" s="586"/>
      <c r="Q13" s="590"/>
      <c r="R13" s="588"/>
      <c r="S13" s="586" t="s">
        <v>261</v>
      </c>
      <c r="T13" s="590"/>
      <c r="U13" s="585">
        <v>3.0</v>
      </c>
      <c r="V13" s="586"/>
      <c r="W13" s="590"/>
      <c r="X13" s="588"/>
      <c r="Y13" s="586" t="s">
        <v>261</v>
      </c>
      <c r="Z13" s="585">
        <v>2.5</v>
      </c>
      <c r="AA13" s="591">
        <v>3.0</v>
      </c>
      <c r="AB13" s="586" t="s">
        <v>260</v>
      </c>
      <c r="AC13" s="590"/>
      <c r="AD13" s="588"/>
      <c r="AE13" s="586" t="s">
        <v>261</v>
      </c>
      <c r="AF13" s="590"/>
      <c r="AG13" s="585">
        <v>2.5</v>
      </c>
      <c r="AH13" s="586" t="s">
        <v>263</v>
      </c>
      <c r="AI13" s="590"/>
      <c r="AJ13" s="588"/>
      <c r="AK13" s="599"/>
      <c r="AL13" s="593"/>
    </row>
    <row r="14">
      <c r="A14" s="578">
        <v>9.0</v>
      </c>
      <c r="B14" s="579" t="s">
        <v>80</v>
      </c>
      <c r="C14" s="580">
        <f t="shared" si="1"/>
        <v>14.25</v>
      </c>
      <c r="D14" s="594">
        <f t="shared" si="2"/>
        <v>0</v>
      </c>
      <c r="E14" s="595">
        <f t="shared" si="3"/>
        <v>0</v>
      </c>
      <c r="F14" s="596">
        <f t="shared" si="4"/>
        <v>14.25</v>
      </c>
      <c r="G14" s="584" t="s">
        <v>261</v>
      </c>
      <c r="H14" s="598"/>
      <c r="I14" s="585">
        <v>3.0</v>
      </c>
      <c r="J14" s="586"/>
      <c r="K14" s="585"/>
      <c r="L14" s="588"/>
      <c r="M14" s="584" t="s">
        <v>261</v>
      </c>
      <c r="N14" s="598"/>
      <c r="O14" s="585">
        <v>2.25</v>
      </c>
      <c r="P14" s="586" t="s">
        <v>11</v>
      </c>
      <c r="Q14" s="590"/>
      <c r="R14" s="587">
        <v>0.5</v>
      </c>
      <c r="S14" s="586" t="s">
        <v>261</v>
      </c>
      <c r="T14" s="598"/>
      <c r="U14" s="585">
        <v>2.0</v>
      </c>
      <c r="V14" s="586"/>
      <c r="W14" s="590"/>
      <c r="X14" s="588"/>
      <c r="Y14" s="586" t="s">
        <v>265</v>
      </c>
      <c r="Z14" s="598"/>
      <c r="AA14" s="591">
        <v>2.75</v>
      </c>
      <c r="AB14" s="589"/>
      <c r="AC14" s="590"/>
      <c r="AD14" s="588"/>
      <c r="AE14" s="586" t="s">
        <v>271</v>
      </c>
      <c r="AF14" s="598"/>
      <c r="AG14" s="585">
        <v>3.75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281</v>
      </c>
      <c r="C15" s="580">
        <f t="shared" si="1"/>
        <v>14</v>
      </c>
      <c r="D15" s="603">
        <f t="shared" si="2"/>
        <v>1</v>
      </c>
      <c r="E15" s="604">
        <f t="shared" si="3"/>
        <v>2.5</v>
      </c>
      <c r="F15" s="605">
        <f t="shared" si="4"/>
        <v>11.5</v>
      </c>
      <c r="G15" s="606" t="s">
        <v>261</v>
      </c>
      <c r="H15" s="609"/>
      <c r="I15" s="607">
        <v>1.0</v>
      </c>
      <c r="J15" s="611"/>
      <c r="K15" s="607"/>
      <c r="L15" s="612"/>
      <c r="M15" s="606" t="s">
        <v>269</v>
      </c>
      <c r="N15" s="607">
        <v>2.5</v>
      </c>
      <c r="O15" s="607">
        <v>3.75</v>
      </c>
      <c r="P15" s="611"/>
      <c r="Q15" s="607"/>
      <c r="R15" s="610"/>
      <c r="S15" s="611" t="s">
        <v>261</v>
      </c>
      <c r="T15" s="609"/>
      <c r="U15" s="607">
        <v>2.5</v>
      </c>
      <c r="V15" s="611" t="s">
        <v>263</v>
      </c>
      <c r="W15" s="609"/>
      <c r="X15" s="610"/>
      <c r="Y15" s="611" t="s">
        <v>269</v>
      </c>
      <c r="Z15" s="609"/>
      <c r="AA15" s="634">
        <v>2.25</v>
      </c>
      <c r="AB15" s="608"/>
      <c r="AC15" s="609"/>
      <c r="AD15" s="610"/>
      <c r="AE15" s="611" t="s">
        <v>261</v>
      </c>
      <c r="AF15" s="609"/>
      <c r="AG15" s="607">
        <v>2.0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129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3.0</v>
      </c>
      <c r="B27" s="631" t="s">
        <v>92</v>
      </c>
      <c r="C27" s="631" t="s">
        <v>16</v>
      </c>
      <c r="D27" s="631">
        <v>-0.5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120</v>
      </c>
      <c r="C6" s="580">
        <f t="shared" ref="C6:C15" si="1">SUM(H6:AK6)</f>
        <v>25.75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15.75</v>
      </c>
      <c r="G6" s="584" t="s">
        <v>269</v>
      </c>
      <c r="H6" s="585">
        <v>2.5</v>
      </c>
      <c r="I6" s="585">
        <v>2.5</v>
      </c>
      <c r="J6" s="586"/>
      <c r="K6" s="590"/>
      <c r="L6" s="588"/>
      <c r="M6" s="584" t="s">
        <v>269</v>
      </c>
      <c r="N6" s="585">
        <v>2.5</v>
      </c>
      <c r="O6" s="585">
        <v>3.5</v>
      </c>
      <c r="P6" s="586"/>
      <c r="Q6" s="585"/>
      <c r="R6" s="587"/>
      <c r="S6" s="586" t="s">
        <v>261</v>
      </c>
      <c r="T6" s="585">
        <v>2.5</v>
      </c>
      <c r="U6" s="585">
        <v>3.5</v>
      </c>
      <c r="V6" s="589"/>
      <c r="W6" s="590"/>
      <c r="X6" s="588"/>
      <c r="Y6" s="586" t="s">
        <v>265</v>
      </c>
      <c r="Z6" s="585">
        <v>2.5</v>
      </c>
      <c r="AA6" s="591">
        <v>3.25</v>
      </c>
      <c r="AB6" s="589"/>
      <c r="AC6" s="590"/>
      <c r="AD6" s="588"/>
      <c r="AE6" s="586" t="s">
        <v>261</v>
      </c>
      <c r="AF6" s="590"/>
      <c r="AG6" s="585">
        <v>2.5</v>
      </c>
      <c r="AH6" s="586" t="s">
        <v>11</v>
      </c>
      <c r="AI6" s="590"/>
      <c r="AJ6" s="587">
        <v>0.5</v>
      </c>
      <c r="AK6" s="592"/>
      <c r="AL6" s="593"/>
    </row>
    <row r="7" ht="23.25" customHeight="1">
      <c r="A7" s="578">
        <v>2.0</v>
      </c>
      <c r="B7" s="579" t="s">
        <v>169</v>
      </c>
      <c r="C7" s="580">
        <f t="shared" si="1"/>
        <v>23.5</v>
      </c>
      <c r="D7" s="594">
        <f t="shared" si="2"/>
        <v>3</v>
      </c>
      <c r="E7" s="595">
        <f t="shared" si="3"/>
        <v>7.5</v>
      </c>
      <c r="F7" s="596">
        <f t="shared" si="4"/>
        <v>16</v>
      </c>
      <c r="G7" s="584" t="s">
        <v>261</v>
      </c>
      <c r="H7" s="590"/>
      <c r="I7" s="585">
        <v>3.5</v>
      </c>
      <c r="J7" s="586" t="s">
        <v>11</v>
      </c>
      <c r="K7" s="585">
        <v>1.0</v>
      </c>
      <c r="L7" s="587">
        <v>0.5</v>
      </c>
      <c r="M7" s="584" t="s">
        <v>269</v>
      </c>
      <c r="N7" s="585">
        <v>2.5</v>
      </c>
      <c r="O7" s="585">
        <v>3.25</v>
      </c>
      <c r="P7" s="589"/>
      <c r="Q7" s="590"/>
      <c r="R7" s="588"/>
      <c r="S7" s="586" t="s">
        <v>261</v>
      </c>
      <c r="T7" s="585">
        <v>2.5</v>
      </c>
      <c r="U7" s="585">
        <v>3.0</v>
      </c>
      <c r="V7" s="586"/>
      <c r="W7" s="590"/>
      <c r="X7" s="587"/>
      <c r="Y7" s="586" t="s">
        <v>271</v>
      </c>
      <c r="Z7" s="590"/>
      <c r="AA7" s="585">
        <v>2.25</v>
      </c>
      <c r="AB7" s="589"/>
      <c r="AC7" s="590"/>
      <c r="AD7" s="588"/>
      <c r="AE7" s="586" t="s">
        <v>269</v>
      </c>
      <c r="AF7" s="585">
        <v>2.5</v>
      </c>
      <c r="AG7" s="585">
        <v>2.5</v>
      </c>
      <c r="AH7" s="589"/>
      <c r="AI7" s="590"/>
      <c r="AJ7" s="588"/>
      <c r="AK7" s="588"/>
      <c r="AL7" s="593"/>
    </row>
    <row r="8">
      <c r="A8" s="578">
        <v>3.0</v>
      </c>
      <c r="B8" s="579" t="s">
        <v>92</v>
      </c>
      <c r="C8" s="580">
        <f t="shared" si="1"/>
        <v>22.25</v>
      </c>
      <c r="D8" s="594">
        <f t="shared" si="2"/>
        <v>3</v>
      </c>
      <c r="E8" s="595">
        <f t="shared" si="3"/>
        <v>7.5</v>
      </c>
      <c r="F8" s="596">
        <f t="shared" si="4"/>
        <v>14.75</v>
      </c>
      <c r="G8" s="584" t="s">
        <v>265</v>
      </c>
      <c r="H8" s="585">
        <v>2.5</v>
      </c>
      <c r="I8" s="585">
        <v>3.0</v>
      </c>
      <c r="J8" s="589"/>
      <c r="K8" s="590"/>
      <c r="L8" s="588"/>
      <c r="M8" s="584" t="s">
        <v>261</v>
      </c>
      <c r="N8" s="590"/>
      <c r="O8" s="585">
        <v>3.0</v>
      </c>
      <c r="P8" s="586"/>
      <c r="Q8" s="590"/>
      <c r="R8" s="587"/>
      <c r="S8" s="586" t="s">
        <v>261</v>
      </c>
      <c r="T8" s="585">
        <v>2.5</v>
      </c>
      <c r="U8" s="585">
        <v>3.75</v>
      </c>
      <c r="V8" s="586"/>
      <c r="W8" s="590"/>
      <c r="X8" s="588"/>
      <c r="Y8" s="586" t="s">
        <v>261</v>
      </c>
      <c r="Z8" s="590"/>
      <c r="AA8" s="591">
        <v>1.75</v>
      </c>
      <c r="AB8" s="586"/>
      <c r="AC8" s="590"/>
      <c r="AD8" s="587"/>
      <c r="AE8" s="586" t="s">
        <v>269</v>
      </c>
      <c r="AF8" s="585">
        <v>2.5</v>
      </c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135</v>
      </c>
      <c r="C9" s="580">
        <f t="shared" si="1"/>
        <v>19.5</v>
      </c>
      <c r="D9" s="594">
        <f t="shared" si="2"/>
        <v>2</v>
      </c>
      <c r="E9" s="595">
        <f t="shared" si="3"/>
        <v>5</v>
      </c>
      <c r="F9" s="596">
        <f t="shared" si="4"/>
        <v>14.5</v>
      </c>
      <c r="G9" s="584" t="s">
        <v>261</v>
      </c>
      <c r="H9" s="598"/>
      <c r="I9" s="585">
        <v>2.25</v>
      </c>
      <c r="J9" s="586"/>
      <c r="K9" s="590"/>
      <c r="L9" s="588"/>
      <c r="M9" s="584" t="s">
        <v>271</v>
      </c>
      <c r="N9" s="598"/>
      <c r="O9" s="585">
        <v>2.75</v>
      </c>
      <c r="P9" s="589"/>
      <c r="Q9" s="590"/>
      <c r="R9" s="588"/>
      <c r="S9" s="586" t="s">
        <v>271</v>
      </c>
      <c r="T9" s="597">
        <v>2.5</v>
      </c>
      <c r="U9" s="585">
        <v>3.25</v>
      </c>
      <c r="V9" s="586"/>
      <c r="W9" s="590"/>
      <c r="X9" s="588"/>
      <c r="Y9" s="586" t="s">
        <v>269</v>
      </c>
      <c r="Z9" s="597">
        <v>2.5</v>
      </c>
      <c r="AA9" s="591">
        <v>3.75</v>
      </c>
      <c r="AB9" s="586"/>
      <c r="AC9" s="585"/>
      <c r="AD9" s="587"/>
      <c r="AE9" s="586" t="s">
        <v>271</v>
      </c>
      <c r="AF9" s="598"/>
      <c r="AG9" s="585">
        <v>3.5</v>
      </c>
      <c r="AH9" s="586" t="s">
        <v>263</v>
      </c>
      <c r="AI9" s="590"/>
      <c r="AJ9" s="587"/>
      <c r="AK9" s="587">
        <v>-1.0</v>
      </c>
      <c r="AL9" s="593"/>
    </row>
    <row r="10">
      <c r="A10" s="578">
        <v>5.0</v>
      </c>
      <c r="B10" s="579" t="s">
        <v>281</v>
      </c>
      <c r="C10" s="580">
        <f t="shared" si="1"/>
        <v>18.75</v>
      </c>
      <c r="D10" s="594">
        <f t="shared" si="2"/>
        <v>2</v>
      </c>
      <c r="E10" s="595">
        <f t="shared" si="3"/>
        <v>5</v>
      </c>
      <c r="F10" s="596">
        <f t="shared" si="4"/>
        <v>13.75</v>
      </c>
      <c r="G10" s="584" t="s">
        <v>269</v>
      </c>
      <c r="H10" s="585">
        <v>2.5</v>
      </c>
      <c r="I10" s="585">
        <v>4.0</v>
      </c>
      <c r="J10" s="586" t="s">
        <v>260</v>
      </c>
      <c r="K10" s="590"/>
      <c r="L10" s="588"/>
      <c r="M10" s="584" t="s">
        <v>261</v>
      </c>
      <c r="N10" s="590"/>
      <c r="O10" s="585">
        <v>2.75</v>
      </c>
      <c r="P10" s="586"/>
      <c r="Q10" s="590"/>
      <c r="R10" s="588"/>
      <c r="S10" s="586" t="s">
        <v>261</v>
      </c>
      <c r="T10" s="585">
        <v>2.5</v>
      </c>
      <c r="U10" s="585">
        <v>3.75</v>
      </c>
      <c r="V10" s="586"/>
      <c r="W10" s="590"/>
      <c r="X10" s="588"/>
      <c r="Y10" s="586" t="s">
        <v>261</v>
      </c>
      <c r="Z10" s="590"/>
      <c r="AA10" s="591">
        <v>1.75</v>
      </c>
      <c r="AB10" s="589"/>
      <c r="AC10" s="590"/>
      <c r="AD10" s="588"/>
      <c r="AE10" s="586" t="s">
        <v>261</v>
      </c>
      <c r="AF10" s="590"/>
      <c r="AG10" s="585">
        <v>1.5</v>
      </c>
      <c r="AH10" s="589"/>
      <c r="AI10" s="590"/>
      <c r="AJ10" s="588"/>
      <c r="AK10" s="599"/>
      <c r="AL10" s="593"/>
    </row>
    <row r="11">
      <c r="A11" s="578">
        <v>6.0</v>
      </c>
      <c r="B11" s="579" t="s">
        <v>84</v>
      </c>
      <c r="C11" s="580">
        <f t="shared" si="1"/>
        <v>17.25</v>
      </c>
      <c r="D11" s="594">
        <f t="shared" si="2"/>
        <v>1</v>
      </c>
      <c r="E11" s="595">
        <f t="shared" si="3"/>
        <v>2.5</v>
      </c>
      <c r="F11" s="596">
        <f t="shared" si="4"/>
        <v>14.75</v>
      </c>
      <c r="G11" s="584" t="s">
        <v>261</v>
      </c>
      <c r="H11" s="598"/>
      <c r="I11" s="585">
        <v>4.0</v>
      </c>
      <c r="J11" s="586" t="s">
        <v>263</v>
      </c>
      <c r="K11" s="585"/>
      <c r="L11" s="588"/>
      <c r="M11" s="584" t="s">
        <v>261</v>
      </c>
      <c r="N11" s="598"/>
      <c r="O11" s="585">
        <v>2.5</v>
      </c>
      <c r="P11" s="589"/>
      <c r="Q11" s="590"/>
      <c r="R11" s="588"/>
      <c r="S11" s="586" t="s">
        <v>269</v>
      </c>
      <c r="T11" s="598"/>
      <c r="U11" s="585">
        <v>2.25</v>
      </c>
      <c r="V11" s="586"/>
      <c r="W11" s="590"/>
      <c r="X11" s="588"/>
      <c r="Y11" s="586" t="s">
        <v>261</v>
      </c>
      <c r="Z11" s="598"/>
      <c r="AA11" s="591">
        <v>2.0</v>
      </c>
      <c r="AB11" s="589"/>
      <c r="AC11" s="590"/>
      <c r="AD11" s="588"/>
      <c r="AE11" s="586" t="s">
        <v>265</v>
      </c>
      <c r="AF11" s="597">
        <v>2.5</v>
      </c>
      <c r="AG11" s="585">
        <v>4.0</v>
      </c>
      <c r="AH11" s="586" t="s">
        <v>260</v>
      </c>
      <c r="AI11" s="590"/>
      <c r="AJ11" s="588"/>
      <c r="AK11" s="588"/>
      <c r="AL11" s="593"/>
    </row>
    <row r="12">
      <c r="A12" s="578">
        <v>7.0</v>
      </c>
      <c r="B12" s="579" t="s">
        <v>102</v>
      </c>
      <c r="C12" s="580">
        <f t="shared" si="1"/>
        <v>16</v>
      </c>
      <c r="D12" s="594">
        <f t="shared" si="2"/>
        <v>1</v>
      </c>
      <c r="E12" s="595">
        <f t="shared" si="3"/>
        <v>2.5</v>
      </c>
      <c r="F12" s="596">
        <f t="shared" si="4"/>
        <v>13.5</v>
      </c>
      <c r="G12" s="584" t="s">
        <v>261</v>
      </c>
      <c r="H12" s="590"/>
      <c r="I12" s="585">
        <v>3.5</v>
      </c>
      <c r="J12" s="586"/>
      <c r="K12" s="585"/>
      <c r="L12" s="587"/>
      <c r="M12" s="584" t="s">
        <v>265</v>
      </c>
      <c r="N12" s="585">
        <v>2.5</v>
      </c>
      <c r="O12" s="585">
        <v>3.75</v>
      </c>
      <c r="P12" s="586"/>
      <c r="Q12" s="585"/>
      <c r="R12" s="588"/>
      <c r="S12" s="586" t="s">
        <v>269</v>
      </c>
      <c r="T12" s="590"/>
      <c r="U12" s="585">
        <v>2.5</v>
      </c>
      <c r="V12" s="589"/>
      <c r="W12" s="590"/>
      <c r="X12" s="588"/>
      <c r="Y12" s="586" t="s">
        <v>261</v>
      </c>
      <c r="Z12" s="590"/>
      <c r="AA12" s="591">
        <v>1.75</v>
      </c>
      <c r="AB12" s="586" t="s">
        <v>11</v>
      </c>
      <c r="AC12" s="590"/>
      <c r="AD12" s="587">
        <v>0.5</v>
      </c>
      <c r="AE12" s="586" t="s">
        <v>261</v>
      </c>
      <c r="AF12" s="590"/>
      <c r="AG12" s="600">
        <v>1.5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126</v>
      </c>
      <c r="C13" s="580">
        <f t="shared" si="1"/>
        <v>15.75</v>
      </c>
      <c r="D13" s="594">
        <f t="shared" si="2"/>
        <v>1</v>
      </c>
      <c r="E13" s="595">
        <f t="shared" si="3"/>
        <v>2.5</v>
      </c>
      <c r="F13" s="596">
        <f t="shared" si="4"/>
        <v>13.25</v>
      </c>
      <c r="G13" s="584" t="s">
        <v>261</v>
      </c>
      <c r="H13" s="590"/>
      <c r="I13" s="585">
        <v>2.0</v>
      </c>
      <c r="J13" s="586" t="s">
        <v>263</v>
      </c>
      <c r="K13" s="590"/>
      <c r="L13" s="588"/>
      <c r="M13" s="584" t="s">
        <v>261</v>
      </c>
      <c r="N13" s="590"/>
      <c r="O13" s="585">
        <v>3.0</v>
      </c>
      <c r="P13" s="589"/>
      <c r="Q13" s="590"/>
      <c r="R13" s="588"/>
      <c r="S13" s="586" t="s">
        <v>265</v>
      </c>
      <c r="T13" s="590"/>
      <c r="U13" s="585">
        <v>1.75</v>
      </c>
      <c r="V13" s="586"/>
      <c r="W13" s="590"/>
      <c r="X13" s="587"/>
      <c r="Y13" s="586" t="s">
        <v>269</v>
      </c>
      <c r="Z13" s="585">
        <v>2.5</v>
      </c>
      <c r="AA13" s="585">
        <v>3.5</v>
      </c>
      <c r="AB13" s="589"/>
      <c r="AC13" s="590"/>
      <c r="AD13" s="588"/>
      <c r="AE13" s="586" t="s">
        <v>261</v>
      </c>
      <c r="AF13" s="590"/>
      <c r="AG13" s="585">
        <v>3.0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87</v>
      </c>
      <c r="C14" s="580">
        <f t="shared" si="1"/>
        <v>14.5</v>
      </c>
      <c r="D14" s="594">
        <f t="shared" si="2"/>
        <v>1</v>
      </c>
      <c r="E14" s="595">
        <f t="shared" si="3"/>
        <v>2.5</v>
      </c>
      <c r="F14" s="596">
        <f t="shared" si="4"/>
        <v>12</v>
      </c>
      <c r="G14" s="584" t="s">
        <v>261</v>
      </c>
      <c r="H14" s="598"/>
      <c r="I14" s="585">
        <v>1.75</v>
      </c>
      <c r="J14" s="586"/>
      <c r="K14" s="590"/>
      <c r="L14" s="588"/>
      <c r="M14" s="584" t="s">
        <v>261</v>
      </c>
      <c r="N14" s="598"/>
      <c r="O14" s="585">
        <v>2.0</v>
      </c>
      <c r="P14" s="586" t="s">
        <v>11</v>
      </c>
      <c r="Q14" s="590"/>
      <c r="R14" s="587">
        <v>0.5</v>
      </c>
      <c r="S14" s="586" t="s">
        <v>261</v>
      </c>
      <c r="T14" s="597">
        <v>2.5</v>
      </c>
      <c r="U14" s="585">
        <v>3.0</v>
      </c>
      <c r="V14" s="586"/>
      <c r="W14" s="590"/>
      <c r="X14" s="588"/>
      <c r="Y14" s="586" t="s">
        <v>261</v>
      </c>
      <c r="Z14" s="598"/>
      <c r="AA14" s="591">
        <v>1.75</v>
      </c>
      <c r="AB14" s="589"/>
      <c r="AC14" s="590"/>
      <c r="AD14" s="588"/>
      <c r="AE14" s="586" t="s">
        <v>261</v>
      </c>
      <c r="AF14" s="598"/>
      <c r="AG14" s="585">
        <v>3.0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80</v>
      </c>
      <c r="C15" s="580">
        <f t="shared" si="1"/>
        <v>14</v>
      </c>
      <c r="D15" s="603">
        <f t="shared" si="2"/>
        <v>1</v>
      </c>
      <c r="E15" s="604">
        <f t="shared" si="3"/>
        <v>2.5</v>
      </c>
      <c r="F15" s="605">
        <f t="shared" si="4"/>
        <v>11.5</v>
      </c>
      <c r="G15" s="606" t="s">
        <v>271</v>
      </c>
      <c r="H15" s="609"/>
      <c r="I15" s="607">
        <v>2.0</v>
      </c>
      <c r="J15" s="611"/>
      <c r="K15" s="609"/>
      <c r="L15" s="610"/>
      <c r="M15" s="606" t="s">
        <v>261</v>
      </c>
      <c r="N15" s="609"/>
      <c r="O15" s="607">
        <v>1.5</v>
      </c>
      <c r="P15" s="608"/>
      <c r="Q15" s="609"/>
      <c r="R15" s="610"/>
      <c r="S15" s="611" t="s">
        <v>261</v>
      </c>
      <c r="T15" s="607">
        <v>2.5</v>
      </c>
      <c r="U15" s="607">
        <v>2.25</v>
      </c>
      <c r="V15" s="611" t="s">
        <v>11</v>
      </c>
      <c r="W15" s="609"/>
      <c r="X15" s="612">
        <v>0.5</v>
      </c>
      <c r="Y15" s="611" t="s">
        <v>261</v>
      </c>
      <c r="Z15" s="609"/>
      <c r="AA15" s="634">
        <v>3.0</v>
      </c>
      <c r="AB15" s="608"/>
      <c r="AC15" s="609"/>
      <c r="AD15" s="610"/>
      <c r="AE15" s="611" t="s">
        <v>261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5.0</v>
      </c>
      <c r="B26" s="631" t="s">
        <v>102</v>
      </c>
      <c r="C26" s="631" t="s">
        <v>16</v>
      </c>
      <c r="D26" s="630">
        <v>-0.5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407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80</v>
      </c>
      <c r="C6" s="580">
        <f t="shared" ref="C6:C15" si="1">SUM(H6:AK6)</f>
        <v>25.75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15.75</v>
      </c>
      <c r="G6" s="584" t="s">
        <v>271</v>
      </c>
      <c r="H6" s="585">
        <v>2.5</v>
      </c>
      <c r="I6" s="585">
        <v>3.25</v>
      </c>
      <c r="J6" s="589"/>
      <c r="K6" s="590"/>
      <c r="L6" s="588"/>
      <c r="M6" s="584" t="s">
        <v>269</v>
      </c>
      <c r="N6" s="585">
        <v>2.5</v>
      </c>
      <c r="O6" s="585">
        <v>3.75</v>
      </c>
      <c r="P6" s="586"/>
      <c r="Q6" s="590"/>
      <c r="R6" s="587"/>
      <c r="S6" s="586" t="s">
        <v>271</v>
      </c>
      <c r="T6" s="585">
        <v>2.5</v>
      </c>
      <c r="U6" s="585">
        <v>3.0</v>
      </c>
      <c r="V6" s="586"/>
      <c r="W6" s="590"/>
      <c r="X6" s="588"/>
      <c r="Y6" s="586" t="s">
        <v>269</v>
      </c>
      <c r="Z6" s="585">
        <v>2.5</v>
      </c>
      <c r="AA6" s="591">
        <v>4.5</v>
      </c>
      <c r="AB6" s="586" t="s">
        <v>260</v>
      </c>
      <c r="AC6" s="590"/>
      <c r="AD6" s="587"/>
      <c r="AE6" s="586" t="s">
        <v>271</v>
      </c>
      <c r="AF6" s="590"/>
      <c r="AG6" s="600">
        <v>1.25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87</v>
      </c>
      <c r="C7" s="580">
        <f t="shared" si="1"/>
        <v>25</v>
      </c>
      <c r="D7" s="594">
        <f t="shared" si="2"/>
        <v>3</v>
      </c>
      <c r="E7" s="595">
        <f t="shared" si="3"/>
        <v>7.5</v>
      </c>
      <c r="F7" s="596">
        <f t="shared" si="4"/>
        <v>17.5</v>
      </c>
      <c r="G7" s="584" t="s">
        <v>261</v>
      </c>
      <c r="H7" s="597">
        <v>2.5</v>
      </c>
      <c r="I7" s="585">
        <v>2.0</v>
      </c>
      <c r="J7" s="586" t="s">
        <v>11</v>
      </c>
      <c r="K7" s="585"/>
      <c r="L7" s="587">
        <v>0.5</v>
      </c>
      <c r="M7" s="584" t="s">
        <v>261</v>
      </c>
      <c r="N7" s="598"/>
      <c r="O7" s="585">
        <v>4.0</v>
      </c>
      <c r="P7" s="589"/>
      <c r="Q7" s="590"/>
      <c r="R7" s="588"/>
      <c r="S7" s="586" t="s">
        <v>261</v>
      </c>
      <c r="T7" s="597">
        <v>2.5</v>
      </c>
      <c r="U7" s="585">
        <v>4.5</v>
      </c>
      <c r="V7" s="586"/>
      <c r="W7" s="590"/>
      <c r="X7" s="588"/>
      <c r="Y7" s="586" t="s">
        <v>261</v>
      </c>
      <c r="Z7" s="598"/>
      <c r="AA7" s="591">
        <v>2.25</v>
      </c>
      <c r="AB7" s="589"/>
      <c r="AC7" s="590"/>
      <c r="AD7" s="588"/>
      <c r="AE7" s="586" t="s">
        <v>265</v>
      </c>
      <c r="AF7" s="597">
        <v>2.5</v>
      </c>
      <c r="AG7" s="585">
        <v>4.25</v>
      </c>
      <c r="AH7" s="589"/>
      <c r="AI7" s="590"/>
      <c r="AJ7" s="588"/>
      <c r="AK7" s="588"/>
      <c r="AL7" s="593"/>
    </row>
    <row r="8">
      <c r="A8" s="578">
        <v>3.0</v>
      </c>
      <c r="B8" s="579" t="s">
        <v>119</v>
      </c>
      <c r="C8" s="580">
        <f t="shared" si="1"/>
        <v>23.5</v>
      </c>
      <c r="D8" s="594">
        <f t="shared" si="2"/>
        <v>3</v>
      </c>
      <c r="E8" s="595">
        <f t="shared" si="3"/>
        <v>7.5</v>
      </c>
      <c r="F8" s="596">
        <f t="shared" si="4"/>
        <v>16</v>
      </c>
      <c r="G8" s="584" t="s">
        <v>261</v>
      </c>
      <c r="H8" s="585">
        <v>2.5</v>
      </c>
      <c r="I8" s="585">
        <v>3.5</v>
      </c>
      <c r="J8" s="586" t="s">
        <v>260</v>
      </c>
      <c r="K8" s="590"/>
      <c r="L8" s="588"/>
      <c r="M8" s="584" t="s">
        <v>269</v>
      </c>
      <c r="N8" s="585">
        <v>2.5</v>
      </c>
      <c r="O8" s="585">
        <v>3.75</v>
      </c>
      <c r="P8" s="589"/>
      <c r="Q8" s="590"/>
      <c r="R8" s="588"/>
      <c r="S8" s="586" t="s">
        <v>261</v>
      </c>
      <c r="T8" s="585">
        <v>2.5</v>
      </c>
      <c r="U8" s="585">
        <v>3.75</v>
      </c>
      <c r="V8" s="586"/>
      <c r="W8" s="590"/>
      <c r="X8" s="587"/>
      <c r="Y8" s="586" t="s">
        <v>271</v>
      </c>
      <c r="Z8" s="590"/>
      <c r="AA8" s="585">
        <v>3.75</v>
      </c>
      <c r="AB8" s="589"/>
      <c r="AC8" s="590"/>
      <c r="AD8" s="588"/>
      <c r="AE8" s="586" t="s">
        <v>261</v>
      </c>
      <c r="AF8" s="590"/>
      <c r="AG8" s="585">
        <v>1.25</v>
      </c>
      <c r="AH8" s="589"/>
      <c r="AI8" s="590"/>
      <c r="AJ8" s="588"/>
      <c r="AK8" s="588"/>
      <c r="AL8" s="593"/>
    </row>
    <row r="9">
      <c r="A9" s="578">
        <v>4.0</v>
      </c>
      <c r="B9" s="579" t="s">
        <v>112</v>
      </c>
      <c r="C9" s="580">
        <f t="shared" si="1"/>
        <v>21.25</v>
      </c>
      <c r="D9" s="594">
        <f t="shared" si="2"/>
        <v>3</v>
      </c>
      <c r="E9" s="595">
        <f t="shared" si="3"/>
        <v>7.5</v>
      </c>
      <c r="F9" s="596">
        <f t="shared" si="4"/>
        <v>13.75</v>
      </c>
      <c r="G9" s="584" t="s">
        <v>261</v>
      </c>
      <c r="H9" s="585">
        <v>2.5</v>
      </c>
      <c r="I9" s="600">
        <v>3.0</v>
      </c>
      <c r="J9" s="586"/>
      <c r="K9" s="590"/>
      <c r="L9" s="588"/>
      <c r="M9" s="584" t="s">
        <v>265</v>
      </c>
      <c r="N9" s="585">
        <v>2.5</v>
      </c>
      <c r="O9" s="585">
        <v>4.25</v>
      </c>
      <c r="P9" s="589"/>
      <c r="Q9" s="590"/>
      <c r="R9" s="588"/>
      <c r="S9" s="586" t="s">
        <v>261</v>
      </c>
      <c r="T9" s="585">
        <v>2.5</v>
      </c>
      <c r="U9" s="585">
        <v>3.0</v>
      </c>
      <c r="V9" s="586"/>
      <c r="W9" s="590"/>
      <c r="X9" s="587"/>
      <c r="Y9" s="586" t="s">
        <v>261</v>
      </c>
      <c r="Z9" s="590"/>
      <c r="AA9" s="585">
        <v>1.75</v>
      </c>
      <c r="AB9" s="586" t="s">
        <v>263</v>
      </c>
      <c r="AC9" s="590"/>
      <c r="AD9" s="588"/>
      <c r="AE9" s="586" t="s">
        <v>261</v>
      </c>
      <c r="AF9" s="590"/>
      <c r="AG9" s="585">
        <v>1.75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128</v>
      </c>
      <c r="C10" s="580">
        <f t="shared" si="1"/>
        <v>20</v>
      </c>
      <c r="D10" s="594">
        <f t="shared" si="2"/>
        <v>3</v>
      </c>
      <c r="E10" s="595">
        <f t="shared" si="3"/>
        <v>7.5</v>
      </c>
      <c r="F10" s="596">
        <f t="shared" si="4"/>
        <v>12.5</v>
      </c>
      <c r="G10" s="584" t="s">
        <v>269</v>
      </c>
      <c r="H10" s="590"/>
      <c r="I10" s="585">
        <v>1.25</v>
      </c>
      <c r="J10" s="586"/>
      <c r="K10" s="590"/>
      <c r="L10" s="588"/>
      <c r="M10" s="584" t="s">
        <v>261</v>
      </c>
      <c r="N10" s="590"/>
      <c r="O10" s="585">
        <v>2.75</v>
      </c>
      <c r="P10" s="586" t="s">
        <v>11</v>
      </c>
      <c r="Q10" s="585"/>
      <c r="R10" s="587">
        <v>0.5</v>
      </c>
      <c r="S10" s="586" t="s">
        <v>261</v>
      </c>
      <c r="T10" s="585">
        <v>2.5</v>
      </c>
      <c r="U10" s="585">
        <v>2.75</v>
      </c>
      <c r="V10" s="589"/>
      <c r="W10" s="590"/>
      <c r="X10" s="588"/>
      <c r="Y10" s="586" t="s">
        <v>265</v>
      </c>
      <c r="Z10" s="585">
        <v>2.5</v>
      </c>
      <c r="AA10" s="591">
        <v>2.25</v>
      </c>
      <c r="AB10" s="589"/>
      <c r="AC10" s="590"/>
      <c r="AD10" s="588"/>
      <c r="AE10" s="586" t="s">
        <v>269</v>
      </c>
      <c r="AF10" s="585">
        <v>2.5</v>
      </c>
      <c r="AG10" s="585">
        <v>3.0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137</v>
      </c>
      <c r="C11" s="580">
        <f t="shared" si="1"/>
        <v>18.5</v>
      </c>
      <c r="D11" s="594">
        <f t="shared" si="2"/>
        <v>2</v>
      </c>
      <c r="E11" s="595">
        <f t="shared" si="3"/>
        <v>5</v>
      </c>
      <c r="F11" s="596">
        <f t="shared" si="4"/>
        <v>13.5</v>
      </c>
      <c r="G11" s="584" t="s">
        <v>265</v>
      </c>
      <c r="H11" s="598"/>
      <c r="I11" s="585">
        <v>3.0</v>
      </c>
      <c r="J11" s="586"/>
      <c r="K11" s="590"/>
      <c r="L11" s="588"/>
      <c r="M11" s="584" t="s">
        <v>261</v>
      </c>
      <c r="N11" s="598"/>
      <c r="O11" s="585">
        <v>1.25</v>
      </c>
      <c r="P11" s="589"/>
      <c r="Q11" s="590"/>
      <c r="R11" s="588"/>
      <c r="S11" s="586" t="s">
        <v>261</v>
      </c>
      <c r="T11" s="597">
        <v>2.5</v>
      </c>
      <c r="U11" s="585">
        <v>2.25</v>
      </c>
      <c r="V11" s="586" t="s">
        <v>11</v>
      </c>
      <c r="W11" s="590"/>
      <c r="X11" s="587">
        <v>0.5</v>
      </c>
      <c r="Y11" s="586" t="s">
        <v>269</v>
      </c>
      <c r="Z11" s="597">
        <v>2.5</v>
      </c>
      <c r="AA11" s="591">
        <v>4.5</v>
      </c>
      <c r="AB11" s="586"/>
      <c r="AC11" s="585"/>
      <c r="AD11" s="587"/>
      <c r="AE11" s="586" t="s">
        <v>261</v>
      </c>
      <c r="AF11" s="598"/>
      <c r="AG11" s="585">
        <v>2.0</v>
      </c>
      <c r="AH11" s="586"/>
      <c r="AI11" s="590"/>
      <c r="AJ11" s="587"/>
      <c r="AK11" s="588"/>
      <c r="AL11" s="593"/>
    </row>
    <row r="12">
      <c r="A12" s="578">
        <v>7.0</v>
      </c>
      <c r="B12" s="579" t="s">
        <v>79</v>
      </c>
      <c r="C12" s="580">
        <f t="shared" si="1"/>
        <v>18.25</v>
      </c>
      <c r="D12" s="594">
        <f t="shared" si="2"/>
        <v>2</v>
      </c>
      <c r="E12" s="595">
        <f t="shared" si="3"/>
        <v>5</v>
      </c>
      <c r="F12" s="596">
        <f t="shared" si="4"/>
        <v>13.25</v>
      </c>
      <c r="G12" s="584" t="s">
        <v>261</v>
      </c>
      <c r="H12" s="597">
        <v>2.5</v>
      </c>
      <c r="I12" s="585">
        <v>4.0</v>
      </c>
      <c r="J12" s="586" t="s">
        <v>260</v>
      </c>
      <c r="K12" s="590"/>
      <c r="L12" s="588"/>
      <c r="M12" s="584" t="s">
        <v>261</v>
      </c>
      <c r="N12" s="598"/>
      <c r="O12" s="585">
        <v>2.25</v>
      </c>
      <c r="P12" s="589"/>
      <c r="Q12" s="590"/>
      <c r="R12" s="588"/>
      <c r="S12" s="586" t="s">
        <v>269</v>
      </c>
      <c r="T12" s="598"/>
      <c r="U12" s="585">
        <v>2.25</v>
      </c>
      <c r="V12" s="586"/>
      <c r="W12" s="590"/>
      <c r="X12" s="588"/>
      <c r="Y12" s="586" t="s">
        <v>261</v>
      </c>
      <c r="Z12" s="598"/>
      <c r="AA12" s="591">
        <v>2.0</v>
      </c>
      <c r="AB12" s="586" t="s">
        <v>263</v>
      </c>
      <c r="AC12" s="590"/>
      <c r="AD12" s="588"/>
      <c r="AE12" s="586" t="s">
        <v>269</v>
      </c>
      <c r="AF12" s="597">
        <v>2.5</v>
      </c>
      <c r="AG12" s="585">
        <v>2.75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97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261</v>
      </c>
      <c r="H13" s="585">
        <v>2.5</v>
      </c>
      <c r="I13" s="585">
        <v>3.25</v>
      </c>
      <c r="J13" s="586" t="s">
        <v>260</v>
      </c>
      <c r="K13" s="585"/>
      <c r="L13" s="587"/>
      <c r="M13" s="584" t="s">
        <v>261</v>
      </c>
      <c r="N13" s="590"/>
      <c r="O13" s="585">
        <v>1.75</v>
      </c>
      <c r="P13" s="586"/>
      <c r="Q13" s="585"/>
      <c r="R13" s="588"/>
      <c r="S13" s="586" t="s">
        <v>261</v>
      </c>
      <c r="T13" s="585">
        <v>2.5</v>
      </c>
      <c r="U13" s="585">
        <v>3.25</v>
      </c>
      <c r="V13" s="589"/>
      <c r="W13" s="590"/>
      <c r="X13" s="588"/>
      <c r="Y13" s="586" t="s">
        <v>261</v>
      </c>
      <c r="Z13" s="590"/>
      <c r="AA13" s="591">
        <v>1.75</v>
      </c>
      <c r="AB13" s="589"/>
      <c r="AC13" s="590"/>
      <c r="AD13" s="588"/>
      <c r="AE13" s="586" t="s">
        <v>261</v>
      </c>
      <c r="AF13" s="590"/>
      <c r="AG13" s="585">
        <v>2.0</v>
      </c>
      <c r="AH13" s="586" t="s">
        <v>11</v>
      </c>
      <c r="AI13" s="590"/>
      <c r="AJ13" s="587">
        <v>0.5</v>
      </c>
      <c r="AK13" s="588"/>
      <c r="AL13" s="593"/>
    </row>
    <row r="14">
      <c r="A14" s="578">
        <v>9.0</v>
      </c>
      <c r="B14" s="579" t="s">
        <v>125</v>
      </c>
      <c r="C14" s="580">
        <f t="shared" si="1"/>
        <v>15.25</v>
      </c>
      <c r="D14" s="594">
        <f t="shared" si="2"/>
        <v>1</v>
      </c>
      <c r="E14" s="595">
        <f t="shared" si="3"/>
        <v>2.5</v>
      </c>
      <c r="F14" s="596">
        <f t="shared" si="4"/>
        <v>12.75</v>
      </c>
      <c r="G14" s="584" t="s">
        <v>261</v>
      </c>
      <c r="H14" s="585">
        <v>2.5</v>
      </c>
      <c r="I14" s="585">
        <v>2.5</v>
      </c>
      <c r="J14" s="586"/>
      <c r="K14" s="590"/>
      <c r="L14" s="588"/>
      <c r="M14" s="584" t="s">
        <v>261</v>
      </c>
      <c r="N14" s="590"/>
      <c r="O14" s="585">
        <v>2.5</v>
      </c>
      <c r="P14" s="586"/>
      <c r="Q14" s="590"/>
      <c r="R14" s="588"/>
      <c r="S14" s="586" t="s">
        <v>269</v>
      </c>
      <c r="T14" s="590"/>
      <c r="U14" s="585">
        <v>2.5</v>
      </c>
      <c r="V14" s="586"/>
      <c r="W14" s="590"/>
      <c r="X14" s="588"/>
      <c r="Y14" s="586" t="s">
        <v>261</v>
      </c>
      <c r="Z14" s="590"/>
      <c r="AA14" s="591">
        <v>2.5</v>
      </c>
      <c r="AB14" s="586" t="s">
        <v>11</v>
      </c>
      <c r="AC14" s="590"/>
      <c r="AD14" s="587">
        <v>0.5</v>
      </c>
      <c r="AE14" s="586" t="s">
        <v>261</v>
      </c>
      <c r="AF14" s="590"/>
      <c r="AG14" s="585">
        <v>2.25</v>
      </c>
      <c r="AH14" s="589"/>
      <c r="AI14" s="590"/>
      <c r="AJ14" s="588"/>
      <c r="AK14" s="599"/>
      <c r="AL14" s="593"/>
    </row>
    <row r="15">
      <c r="A15" s="601">
        <v>10.0</v>
      </c>
      <c r="B15" s="602" t="s">
        <v>281</v>
      </c>
      <c r="C15" s="580">
        <f t="shared" si="1"/>
        <v>12</v>
      </c>
      <c r="D15" s="603">
        <f t="shared" si="2"/>
        <v>0</v>
      </c>
      <c r="E15" s="604">
        <f t="shared" si="3"/>
        <v>0</v>
      </c>
      <c r="F15" s="605">
        <f t="shared" si="4"/>
        <v>12</v>
      </c>
      <c r="G15" s="606" t="s">
        <v>269</v>
      </c>
      <c r="H15" s="609"/>
      <c r="I15" s="607">
        <v>2.0</v>
      </c>
      <c r="J15" s="611" t="s">
        <v>263</v>
      </c>
      <c r="K15" s="609"/>
      <c r="L15" s="610"/>
      <c r="M15" s="606" t="s">
        <v>271</v>
      </c>
      <c r="N15" s="609"/>
      <c r="O15" s="607">
        <v>2.25</v>
      </c>
      <c r="P15" s="608"/>
      <c r="Q15" s="609"/>
      <c r="R15" s="610"/>
      <c r="S15" s="611" t="s">
        <v>265</v>
      </c>
      <c r="T15" s="609"/>
      <c r="U15" s="607">
        <v>2.5</v>
      </c>
      <c r="V15" s="611"/>
      <c r="W15" s="609"/>
      <c r="X15" s="610"/>
      <c r="Y15" s="611" t="s">
        <v>261</v>
      </c>
      <c r="Z15" s="609"/>
      <c r="AA15" s="634">
        <v>3.0</v>
      </c>
      <c r="AB15" s="608"/>
      <c r="AC15" s="609"/>
      <c r="AD15" s="610"/>
      <c r="AE15" s="611" t="s">
        <v>261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264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112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5.0</v>
      </c>
      <c r="B27" s="631" t="s">
        <v>80</v>
      </c>
      <c r="C27" s="631" t="s">
        <v>16</v>
      </c>
      <c r="D27" s="631">
        <v>-0.5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408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137</v>
      </c>
      <c r="C6" s="580">
        <f t="shared" ref="C6:C15" si="1">SUM(H6:AK6)</f>
        <v>25.75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15.75</v>
      </c>
      <c r="G6" s="584" t="s">
        <v>265</v>
      </c>
      <c r="H6" s="585">
        <v>2.5</v>
      </c>
      <c r="I6" s="585">
        <v>1.75</v>
      </c>
      <c r="J6" s="586"/>
      <c r="K6" s="585"/>
      <c r="L6" s="587"/>
      <c r="M6" s="584" t="s">
        <v>261</v>
      </c>
      <c r="N6" s="590"/>
      <c r="O6" s="585">
        <v>3.5</v>
      </c>
      <c r="P6" s="586"/>
      <c r="Q6" s="585"/>
      <c r="R6" s="588"/>
      <c r="S6" s="586" t="s">
        <v>261</v>
      </c>
      <c r="T6" s="585">
        <v>2.5</v>
      </c>
      <c r="U6" s="585">
        <v>2.5</v>
      </c>
      <c r="V6" s="589"/>
      <c r="W6" s="590"/>
      <c r="X6" s="588"/>
      <c r="Y6" s="586" t="s">
        <v>261</v>
      </c>
      <c r="Z6" s="585">
        <v>2.5</v>
      </c>
      <c r="AA6" s="591">
        <v>4.25</v>
      </c>
      <c r="AB6" s="586" t="s">
        <v>260</v>
      </c>
      <c r="AC6" s="590"/>
      <c r="AD6" s="588"/>
      <c r="AE6" s="586" t="s">
        <v>269</v>
      </c>
      <c r="AF6" s="585">
        <v>2.5</v>
      </c>
      <c r="AG6" s="585">
        <v>3.75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87</v>
      </c>
      <c r="C7" s="580">
        <f t="shared" si="1"/>
        <v>24.25</v>
      </c>
      <c r="D7" s="594">
        <f t="shared" si="2"/>
        <v>3</v>
      </c>
      <c r="E7" s="595">
        <f t="shared" si="3"/>
        <v>7.5</v>
      </c>
      <c r="F7" s="596">
        <f t="shared" si="4"/>
        <v>16.75</v>
      </c>
      <c r="G7" s="584" t="s">
        <v>261</v>
      </c>
      <c r="H7" s="590"/>
      <c r="I7" s="585">
        <v>2.75</v>
      </c>
      <c r="J7" s="586" t="s">
        <v>11</v>
      </c>
      <c r="K7" s="590"/>
      <c r="L7" s="587">
        <v>0.5</v>
      </c>
      <c r="M7" s="584" t="s">
        <v>265</v>
      </c>
      <c r="N7" s="585">
        <v>2.5</v>
      </c>
      <c r="O7" s="585">
        <v>3.25</v>
      </c>
      <c r="P7" s="586"/>
      <c r="Q7" s="590"/>
      <c r="R7" s="587"/>
      <c r="S7" s="586" t="s">
        <v>261</v>
      </c>
      <c r="T7" s="585">
        <v>2.5</v>
      </c>
      <c r="U7" s="585">
        <v>4.5</v>
      </c>
      <c r="V7" s="586"/>
      <c r="W7" s="590"/>
      <c r="X7" s="588"/>
      <c r="Y7" s="586" t="s">
        <v>261</v>
      </c>
      <c r="Z7" s="585">
        <v>2.5</v>
      </c>
      <c r="AA7" s="591">
        <v>2.5</v>
      </c>
      <c r="AB7" s="586" t="s">
        <v>11</v>
      </c>
      <c r="AC7" s="590"/>
      <c r="AD7" s="587">
        <v>1.0</v>
      </c>
      <c r="AE7" s="586" t="s">
        <v>271</v>
      </c>
      <c r="AF7" s="590"/>
      <c r="AG7" s="585">
        <v>2.25</v>
      </c>
      <c r="AH7" s="589"/>
      <c r="AI7" s="590"/>
      <c r="AJ7" s="588"/>
      <c r="AK7" s="588"/>
      <c r="AL7" s="593"/>
    </row>
    <row r="8">
      <c r="A8" s="578">
        <v>3.0</v>
      </c>
      <c r="B8" s="579" t="s">
        <v>80</v>
      </c>
      <c r="C8" s="580">
        <f t="shared" si="1"/>
        <v>22.5</v>
      </c>
      <c r="D8" s="594">
        <f t="shared" si="2"/>
        <v>3</v>
      </c>
      <c r="E8" s="595">
        <f t="shared" si="3"/>
        <v>7.5</v>
      </c>
      <c r="F8" s="596">
        <f t="shared" si="4"/>
        <v>15</v>
      </c>
      <c r="G8" s="584" t="s">
        <v>261</v>
      </c>
      <c r="H8" s="598"/>
      <c r="I8" s="585">
        <v>2.75</v>
      </c>
      <c r="J8" s="586"/>
      <c r="K8" s="590"/>
      <c r="L8" s="588"/>
      <c r="M8" s="584" t="s">
        <v>269</v>
      </c>
      <c r="N8" s="597">
        <v>2.5</v>
      </c>
      <c r="O8" s="585">
        <v>2.5</v>
      </c>
      <c r="P8" s="589"/>
      <c r="Q8" s="590"/>
      <c r="R8" s="588"/>
      <c r="S8" s="586" t="s">
        <v>269</v>
      </c>
      <c r="T8" s="598"/>
      <c r="U8" s="585">
        <v>2.0</v>
      </c>
      <c r="V8" s="586"/>
      <c r="W8" s="590"/>
      <c r="X8" s="588"/>
      <c r="Y8" s="586" t="s">
        <v>261</v>
      </c>
      <c r="Z8" s="597">
        <v>2.5</v>
      </c>
      <c r="AA8" s="591">
        <v>3.5</v>
      </c>
      <c r="AB8" s="586"/>
      <c r="AC8" s="585"/>
      <c r="AD8" s="587"/>
      <c r="AE8" s="586" t="s">
        <v>265</v>
      </c>
      <c r="AF8" s="597">
        <v>2.5</v>
      </c>
      <c r="AG8" s="585">
        <v>4.25</v>
      </c>
      <c r="AH8" s="586"/>
      <c r="AI8" s="590"/>
      <c r="AJ8" s="587"/>
      <c r="AK8" s="588"/>
      <c r="AL8" s="593"/>
    </row>
    <row r="9">
      <c r="A9" s="578">
        <v>4.0</v>
      </c>
      <c r="B9" s="579" t="s">
        <v>126</v>
      </c>
      <c r="C9" s="580">
        <f t="shared" si="1"/>
        <v>20</v>
      </c>
      <c r="D9" s="594">
        <f t="shared" si="2"/>
        <v>2</v>
      </c>
      <c r="E9" s="595">
        <f t="shared" si="3"/>
        <v>5</v>
      </c>
      <c r="F9" s="596">
        <f t="shared" si="4"/>
        <v>15</v>
      </c>
      <c r="G9" s="584" t="s">
        <v>261</v>
      </c>
      <c r="H9" s="590"/>
      <c r="I9" s="585">
        <v>4.0</v>
      </c>
      <c r="J9" s="586" t="s">
        <v>263</v>
      </c>
      <c r="K9" s="590"/>
      <c r="L9" s="588"/>
      <c r="M9" s="584" t="s">
        <v>261</v>
      </c>
      <c r="N9" s="590"/>
      <c r="O9" s="585">
        <v>3.5</v>
      </c>
      <c r="P9" s="589"/>
      <c r="Q9" s="590"/>
      <c r="R9" s="588"/>
      <c r="S9" s="586" t="s">
        <v>261</v>
      </c>
      <c r="T9" s="585">
        <v>2.5</v>
      </c>
      <c r="U9" s="585">
        <v>2.5</v>
      </c>
      <c r="V9" s="586"/>
      <c r="W9" s="590"/>
      <c r="X9" s="587"/>
      <c r="Y9" s="586" t="s">
        <v>271</v>
      </c>
      <c r="Z9" s="585">
        <v>2.5</v>
      </c>
      <c r="AA9" s="585">
        <v>3.25</v>
      </c>
      <c r="AB9" s="589"/>
      <c r="AC9" s="590"/>
      <c r="AD9" s="588"/>
      <c r="AE9" s="586" t="s">
        <v>261</v>
      </c>
      <c r="AF9" s="590"/>
      <c r="AG9" s="585">
        <v>1.75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130</v>
      </c>
      <c r="C10" s="580">
        <f t="shared" si="1"/>
        <v>20</v>
      </c>
      <c r="D10" s="594">
        <f t="shared" si="2"/>
        <v>2</v>
      </c>
      <c r="E10" s="595">
        <f t="shared" si="3"/>
        <v>5</v>
      </c>
      <c r="F10" s="596">
        <f t="shared" si="4"/>
        <v>15</v>
      </c>
      <c r="G10" s="584" t="s">
        <v>261</v>
      </c>
      <c r="H10" s="590"/>
      <c r="I10" s="585">
        <v>1.5</v>
      </c>
      <c r="J10" s="589"/>
      <c r="K10" s="590"/>
      <c r="L10" s="588"/>
      <c r="M10" s="584" t="s">
        <v>271</v>
      </c>
      <c r="N10" s="590"/>
      <c r="O10" s="585">
        <v>2.25</v>
      </c>
      <c r="P10" s="586" t="s">
        <v>11</v>
      </c>
      <c r="Q10" s="590"/>
      <c r="R10" s="587">
        <v>0.5</v>
      </c>
      <c r="S10" s="586" t="s">
        <v>261</v>
      </c>
      <c r="T10" s="585">
        <v>2.5</v>
      </c>
      <c r="U10" s="585">
        <v>3.0</v>
      </c>
      <c r="V10" s="586"/>
      <c r="W10" s="590"/>
      <c r="X10" s="588"/>
      <c r="Y10" s="586" t="s">
        <v>261</v>
      </c>
      <c r="Z10" s="585">
        <v>2.5</v>
      </c>
      <c r="AA10" s="591">
        <v>3.75</v>
      </c>
      <c r="AB10" s="586" t="s">
        <v>260</v>
      </c>
      <c r="AC10" s="590"/>
      <c r="AD10" s="588"/>
      <c r="AE10" s="586" t="s">
        <v>261</v>
      </c>
      <c r="AF10" s="590"/>
      <c r="AG10" s="585">
        <v>3.0</v>
      </c>
      <c r="AH10" s="586" t="s">
        <v>11</v>
      </c>
      <c r="AI10" s="590"/>
      <c r="AJ10" s="587">
        <v>1.0</v>
      </c>
      <c r="AK10" s="588"/>
      <c r="AL10" s="593"/>
    </row>
    <row r="11">
      <c r="A11" s="578">
        <v>6.0</v>
      </c>
      <c r="B11" s="579" t="s">
        <v>123</v>
      </c>
      <c r="C11" s="580">
        <f t="shared" si="1"/>
        <v>19.5</v>
      </c>
      <c r="D11" s="594">
        <f t="shared" si="2"/>
        <v>2</v>
      </c>
      <c r="E11" s="595">
        <f t="shared" si="3"/>
        <v>5</v>
      </c>
      <c r="F11" s="596">
        <f t="shared" si="4"/>
        <v>14.5</v>
      </c>
      <c r="G11" s="584" t="s">
        <v>269</v>
      </c>
      <c r="H11" s="585">
        <v>2.5</v>
      </c>
      <c r="I11" s="585">
        <v>4.5</v>
      </c>
      <c r="J11" s="586" t="s">
        <v>260</v>
      </c>
      <c r="K11" s="590"/>
      <c r="L11" s="588"/>
      <c r="M11" s="584" t="s">
        <v>261</v>
      </c>
      <c r="N11" s="590"/>
      <c r="O11" s="585">
        <v>2.25</v>
      </c>
      <c r="P11" s="589"/>
      <c r="Q11" s="590"/>
      <c r="R11" s="588"/>
      <c r="S11" s="586" t="s">
        <v>265</v>
      </c>
      <c r="T11" s="590"/>
      <c r="U11" s="585">
        <v>2.0</v>
      </c>
      <c r="V11" s="586"/>
      <c r="W11" s="590"/>
      <c r="X11" s="587"/>
      <c r="Y11" s="586" t="s">
        <v>269</v>
      </c>
      <c r="Z11" s="590"/>
      <c r="AA11" s="585">
        <v>2.5</v>
      </c>
      <c r="AB11" s="589"/>
      <c r="AC11" s="590"/>
      <c r="AD11" s="588"/>
      <c r="AE11" s="586" t="s">
        <v>269</v>
      </c>
      <c r="AF11" s="585">
        <v>2.5</v>
      </c>
      <c r="AG11" s="585">
        <v>3.25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169</v>
      </c>
      <c r="C12" s="580">
        <f t="shared" si="1"/>
        <v>19</v>
      </c>
      <c r="D12" s="594">
        <f t="shared" si="2"/>
        <v>3</v>
      </c>
      <c r="E12" s="595">
        <f t="shared" si="3"/>
        <v>7.5</v>
      </c>
      <c r="F12" s="596">
        <f t="shared" si="4"/>
        <v>11.5</v>
      </c>
      <c r="G12" s="584" t="s">
        <v>261</v>
      </c>
      <c r="H12" s="590"/>
      <c r="I12" s="585">
        <v>3.25</v>
      </c>
      <c r="J12" s="586"/>
      <c r="K12" s="590"/>
      <c r="L12" s="588"/>
      <c r="M12" s="584" t="s">
        <v>269</v>
      </c>
      <c r="N12" s="585">
        <v>2.5</v>
      </c>
      <c r="O12" s="585">
        <v>2.25</v>
      </c>
      <c r="P12" s="586"/>
      <c r="Q12" s="585"/>
      <c r="R12" s="587"/>
      <c r="S12" s="586" t="s">
        <v>261</v>
      </c>
      <c r="T12" s="585">
        <v>2.5</v>
      </c>
      <c r="U12" s="585">
        <v>2.0</v>
      </c>
      <c r="V12" s="589"/>
      <c r="W12" s="590"/>
      <c r="X12" s="588"/>
      <c r="Y12" s="586" t="s">
        <v>261</v>
      </c>
      <c r="Z12" s="585">
        <v>2.5</v>
      </c>
      <c r="AA12" s="591">
        <v>1.5</v>
      </c>
      <c r="AB12" s="589"/>
      <c r="AC12" s="590"/>
      <c r="AD12" s="588"/>
      <c r="AE12" s="586" t="s">
        <v>261</v>
      </c>
      <c r="AF12" s="590"/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119</v>
      </c>
      <c r="C13" s="580">
        <f t="shared" si="1"/>
        <v>18</v>
      </c>
      <c r="D13" s="594">
        <f t="shared" si="2"/>
        <v>2</v>
      </c>
      <c r="E13" s="595">
        <f t="shared" si="3"/>
        <v>5</v>
      </c>
      <c r="F13" s="596">
        <f t="shared" si="4"/>
        <v>13</v>
      </c>
      <c r="G13" s="584" t="s">
        <v>271</v>
      </c>
      <c r="H13" s="590"/>
      <c r="I13" s="585">
        <v>2.5</v>
      </c>
      <c r="J13" s="586"/>
      <c r="K13" s="590"/>
      <c r="L13" s="588"/>
      <c r="M13" s="584" t="s">
        <v>261</v>
      </c>
      <c r="N13" s="590"/>
      <c r="O13" s="585">
        <v>2.5</v>
      </c>
      <c r="P13" s="586"/>
      <c r="Q13" s="590"/>
      <c r="R13" s="588"/>
      <c r="S13" s="586" t="s">
        <v>261</v>
      </c>
      <c r="T13" s="585">
        <v>2.5</v>
      </c>
      <c r="U13" s="585">
        <v>2.5</v>
      </c>
      <c r="V13" s="586"/>
      <c r="W13" s="590"/>
      <c r="X13" s="588"/>
      <c r="Y13" s="586" t="s">
        <v>261</v>
      </c>
      <c r="Z13" s="585">
        <v>2.5</v>
      </c>
      <c r="AA13" s="591">
        <v>3.5</v>
      </c>
      <c r="AB13" s="589"/>
      <c r="AC13" s="590"/>
      <c r="AD13" s="588"/>
      <c r="AE13" s="586" t="s">
        <v>261</v>
      </c>
      <c r="AF13" s="590"/>
      <c r="AG13" s="585">
        <v>2.0</v>
      </c>
      <c r="AH13" s="589"/>
      <c r="AI13" s="590"/>
      <c r="AJ13" s="588"/>
      <c r="AK13" s="599"/>
      <c r="AL13" s="593"/>
    </row>
    <row r="14">
      <c r="A14" s="578">
        <v>9.0</v>
      </c>
      <c r="B14" s="579" t="s">
        <v>281</v>
      </c>
      <c r="C14" s="580">
        <f t="shared" si="1"/>
        <v>13.75</v>
      </c>
      <c r="D14" s="594">
        <f t="shared" si="2"/>
        <v>0</v>
      </c>
      <c r="E14" s="595">
        <f t="shared" si="3"/>
        <v>0</v>
      </c>
      <c r="F14" s="596">
        <f t="shared" si="4"/>
        <v>13.75</v>
      </c>
      <c r="G14" s="584" t="s">
        <v>261</v>
      </c>
      <c r="H14" s="598"/>
      <c r="I14" s="585">
        <v>1.75</v>
      </c>
      <c r="J14" s="586" t="s">
        <v>263</v>
      </c>
      <c r="K14" s="590"/>
      <c r="L14" s="588"/>
      <c r="M14" s="584" t="s">
        <v>261</v>
      </c>
      <c r="N14" s="598"/>
      <c r="O14" s="585">
        <v>3.75</v>
      </c>
      <c r="P14" s="589"/>
      <c r="Q14" s="590"/>
      <c r="R14" s="588"/>
      <c r="S14" s="586" t="s">
        <v>269</v>
      </c>
      <c r="T14" s="598"/>
      <c r="U14" s="585">
        <v>2.5</v>
      </c>
      <c r="V14" s="586"/>
      <c r="W14" s="590"/>
      <c r="X14" s="588"/>
      <c r="Y14" s="586" t="s">
        <v>269</v>
      </c>
      <c r="Z14" s="598"/>
      <c r="AA14" s="591">
        <v>1.75</v>
      </c>
      <c r="AB14" s="586" t="s">
        <v>263</v>
      </c>
      <c r="AC14" s="590"/>
      <c r="AD14" s="588"/>
      <c r="AE14" s="586" t="s">
        <v>261</v>
      </c>
      <c r="AF14" s="598"/>
      <c r="AG14" s="585">
        <v>4.0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139</v>
      </c>
      <c r="C15" s="580">
        <f t="shared" si="1"/>
        <v>13.25</v>
      </c>
      <c r="D15" s="603">
        <f t="shared" si="2"/>
        <v>2</v>
      </c>
      <c r="E15" s="604">
        <f t="shared" si="3"/>
        <v>5</v>
      </c>
      <c r="F15" s="605">
        <f t="shared" si="4"/>
        <v>8.25</v>
      </c>
      <c r="G15" s="606" t="s">
        <v>269</v>
      </c>
      <c r="H15" s="636">
        <v>2.5</v>
      </c>
      <c r="I15" s="607">
        <v>2.25</v>
      </c>
      <c r="J15" s="611"/>
      <c r="K15" s="607"/>
      <c r="L15" s="610"/>
      <c r="M15" s="606" t="s">
        <v>261</v>
      </c>
      <c r="N15" s="635"/>
      <c r="O15" s="607">
        <v>0.0</v>
      </c>
      <c r="P15" s="608"/>
      <c r="Q15" s="609"/>
      <c r="R15" s="610"/>
      <c r="S15" s="611" t="s">
        <v>271</v>
      </c>
      <c r="T15" s="636">
        <v>2.5</v>
      </c>
      <c r="U15" s="607">
        <v>2.5</v>
      </c>
      <c r="V15" s="611"/>
      <c r="W15" s="609"/>
      <c r="X15" s="610"/>
      <c r="Y15" s="611" t="s">
        <v>265</v>
      </c>
      <c r="Z15" s="635"/>
      <c r="AA15" s="634">
        <v>1.75</v>
      </c>
      <c r="AB15" s="608"/>
      <c r="AC15" s="609"/>
      <c r="AD15" s="610"/>
      <c r="AE15" s="611" t="s">
        <v>261</v>
      </c>
      <c r="AF15" s="635"/>
      <c r="AG15" s="607">
        <v>1.75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262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409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99</v>
      </c>
      <c r="C6" s="580">
        <f t="shared" ref="C6:C15" si="1">SUM(H6:AK6)</f>
        <v>27.25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17.25</v>
      </c>
      <c r="G6" s="584" t="s">
        <v>261</v>
      </c>
      <c r="H6" s="597">
        <v>2.5</v>
      </c>
      <c r="I6" s="585">
        <v>4.25</v>
      </c>
      <c r="J6" s="586"/>
      <c r="K6" s="585"/>
      <c r="L6" s="588"/>
      <c r="M6" s="584" t="s">
        <v>265</v>
      </c>
      <c r="N6" s="597">
        <v>2.5</v>
      </c>
      <c r="O6" s="585">
        <v>3.5</v>
      </c>
      <c r="P6" s="589"/>
      <c r="Q6" s="590"/>
      <c r="R6" s="588"/>
      <c r="S6" s="586" t="s">
        <v>269</v>
      </c>
      <c r="T6" s="597">
        <v>2.5</v>
      </c>
      <c r="U6" s="585">
        <v>3.5</v>
      </c>
      <c r="V6" s="586"/>
      <c r="W6" s="590"/>
      <c r="X6" s="588"/>
      <c r="Y6" s="586" t="s">
        <v>269</v>
      </c>
      <c r="Z6" s="597">
        <v>2.5</v>
      </c>
      <c r="AA6" s="591">
        <v>3.75</v>
      </c>
      <c r="AB6" s="589"/>
      <c r="AC6" s="590"/>
      <c r="AD6" s="588"/>
      <c r="AE6" s="586" t="s">
        <v>261</v>
      </c>
      <c r="AF6" s="598"/>
      <c r="AG6" s="585">
        <v>2.25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90</v>
      </c>
      <c r="C7" s="580">
        <f t="shared" si="1"/>
        <v>22.75</v>
      </c>
      <c r="D7" s="594">
        <f t="shared" si="2"/>
        <v>2</v>
      </c>
      <c r="E7" s="595">
        <f t="shared" si="3"/>
        <v>5</v>
      </c>
      <c r="F7" s="596">
        <f t="shared" si="4"/>
        <v>17.75</v>
      </c>
      <c r="G7" s="584" t="s">
        <v>261</v>
      </c>
      <c r="H7" s="585">
        <v>2.5</v>
      </c>
      <c r="I7" s="585">
        <v>4.0</v>
      </c>
      <c r="J7" s="586"/>
      <c r="K7" s="590"/>
      <c r="L7" s="588"/>
      <c r="M7" s="584" t="s">
        <v>269</v>
      </c>
      <c r="N7" s="585">
        <v>2.5</v>
      </c>
      <c r="O7" s="585">
        <v>3.25</v>
      </c>
      <c r="P7" s="589"/>
      <c r="Q7" s="590"/>
      <c r="R7" s="588"/>
      <c r="S7" s="586" t="s">
        <v>261</v>
      </c>
      <c r="T7" s="590"/>
      <c r="U7" s="585">
        <v>3.0</v>
      </c>
      <c r="V7" s="586"/>
      <c r="W7" s="590"/>
      <c r="X7" s="587"/>
      <c r="Y7" s="586" t="s">
        <v>261</v>
      </c>
      <c r="Z7" s="590"/>
      <c r="AA7" s="585">
        <v>3.75</v>
      </c>
      <c r="AB7" s="586" t="s">
        <v>11</v>
      </c>
      <c r="AC7" s="585">
        <v>0.5</v>
      </c>
      <c r="AD7" s="587">
        <v>0.5</v>
      </c>
      <c r="AE7" s="586" t="s">
        <v>261</v>
      </c>
      <c r="AF7" s="590"/>
      <c r="AG7" s="585">
        <v>2.75</v>
      </c>
      <c r="AH7" s="589"/>
      <c r="AI7" s="590"/>
      <c r="AJ7" s="588"/>
      <c r="AK7" s="588"/>
      <c r="AL7" s="593"/>
    </row>
    <row r="8">
      <c r="A8" s="578">
        <v>3.0</v>
      </c>
      <c r="B8" s="579" t="s">
        <v>113</v>
      </c>
      <c r="C8" s="580">
        <f t="shared" si="1"/>
        <v>21.75</v>
      </c>
      <c r="D8" s="594">
        <f t="shared" si="2"/>
        <v>2</v>
      </c>
      <c r="E8" s="595">
        <f t="shared" si="3"/>
        <v>5</v>
      </c>
      <c r="F8" s="596">
        <f t="shared" si="4"/>
        <v>16.75</v>
      </c>
      <c r="G8" s="584" t="s">
        <v>269</v>
      </c>
      <c r="H8" s="590"/>
      <c r="I8" s="585">
        <v>2.5</v>
      </c>
      <c r="J8" s="589"/>
      <c r="K8" s="590"/>
      <c r="L8" s="588"/>
      <c r="M8" s="584" t="s">
        <v>271</v>
      </c>
      <c r="N8" s="590"/>
      <c r="O8" s="585">
        <v>1.5</v>
      </c>
      <c r="P8" s="586" t="s">
        <v>11</v>
      </c>
      <c r="Q8" s="590"/>
      <c r="R8" s="587">
        <v>0.5</v>
      </c>
      <c r="S8" s="586" t="s">
        <v>265</v>
      </c>
      <c r="T8" s="585">
        <v>2.5</v>
      </c>
      <c r="U8" s="585">
        <v>4.25</v>
      </c>
      <c r="V8" s="586"/>
      <c r="W8" s="590"/>
      <c r="X8" s="588"/>
      <c r="Y8" s="586" t="s">
        <v>269</v>
      </c>
      <c r="Z8" s="585">
        <v>2.5</v>
      </c>
      <c r="AA8" s="591">
        <v>2.5</v>
      </c>
      <c r="AB8" s="589"/>
      <c r="AC8" s="590"/>
      <c r="AD8" s="588"/>
      <c r="AE8" s="586" t="s">
        <v>261</v>
      </c>
      <c r="AF8" s="590"/>
      <c r="AG8" s="585">
        <v>4.0</v>
      </c>
      <c r="AH8" s="586" t="s">
        <v>11</v>
      </c>
      <c r="AI8" s="585">
        <v>0.5</v>
      </c>
      <c r="AJ8" s="587">
        <v>1.0</v>
      </c>
      <c r="AK8" s="588"/>
      <c r="AL8" s="593"/>
    </row>
    <row r="9">
      <c r="A9" s="578">
        <v>4.0</v>
      </c>
      <c r="B9" s="579" t="s">
        <v>80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85">
        <v>2.5</v>
      </c>
      <c r="I9" s="585">
        <v>3.75</v>
      </c>
      <c r="J9" s="586"/>
      <c r="K9" s="590"/>
      <c r="L9" s="588"/>
      <c r="M9" s="584" t="s">
        <v>261</v>
      </c>
      <c r="N9" s="590"/>
      <c r="O9" s="585">
        <v>1.75</v>
      </c>
      <c r="P9" s="586"/>
      <c r="Q9" s="585"/>
      <c r="R9" s="587"/>
      <c r="S9" s="586" t="s">
        <v>271</v>
      </c>
      <c r="T9" s="590"/>
      <c r="U9" s="585">
        <v>2.0</v>
      </c>
      <c r="V9" s="589"/>
      <c r="W9" s="590"/>
      <c r="X9" s="588"/>
      <c r="Y9" s="586" t="s">
        <v>265</v>
      </c>
      <c r="Z9" s="585">
        <v>2.5</v>
      </c>
      <c r="AA9" s="591">
        <v>2.75</v>
      </c>
      <c r="AB9" s="589"/>
      <c r="AC9" s="590"/>
      <c r="AD9" s="588"/>
      <c r="AE9" s="586" t="s">
        <v>269</v>
      </c>
      <c r="AF9" s="585">
        <v>2.5</v>
      </c>
      <c r="AG9" s="585">
        <v>3.75</v>
      </c>
      <c r="AH9" s="589"/>
      <c r="AI9" s="590"/>
      <c r="AJ9" s="588"/>
      <c r="AK9" s="588"/>
      <c r="AL9" s="593"/>
    </row>
    <row r="10">
      <c r="A10" s="578">
        <v>5.0</v>
      </c>
      <c r="B10" s="579" t="s">
        <v>93</v>
      </c>
      <c r="C10" s="580">
        <f t="shared" si="1"/>
        <v>18</v>
      </c>
      <c r="D10" s="594">
        <f t="shared" si="2"/>
        <v>2</v>
      </c>
      <c r="E10" s="595">
        <f t="shared" si="3"/>
        <v>5</v>
      </c>
      <c r="F10" s="596">
        <f t="shared" si="4"/>
        <v>13</v>
      </c>
      <c r="G10" s="584" t="s">
        <v>261</v>
      </c>
      <c r="H10" s="585">
        <v>2.5</v>
      </c>
      <c r="I10" s="585">
        <v>2.0</v>
      </c>
      <c r="J10" s="586" t="s">
        <v>11</v>
      </c>
      <c r="K10" s="585">
        <v>0.5</v>
      </c>
      <c r="L10" s="587">
        <v>0.5</v>
      </c>
      <c r="M10" s="584" t="s">
        <v>269</v>
      </c>
      <c r="N10" s="585">
        <v>2.5</v>
      </c>
      <c r="O10" s="585">
        <v>3.0</v>
      </c>
      <c r="P10" s="586"/>
      <c r="Q10" s="585"/>
      <c r="R10" s="588"/>
      <c r="S10" s="586" t="s">
        <v>261</v>
      </c>
      <c r="T10" s="590"/>
      <c r="U10" s="585">
        <v>1.5</v>
      </c>
      <c r="V10" s="589"/>
      <c r="W10" s="590"/>
      <c r="X10" s="588"/>
      <c r="Y10" s="586" t="s">
        <v>261</v>
      </c>
      <c r="Z10" s="590"/>
      <c r="AA10" s="591">
        <v>3.5</v>
      </c>
      <c r="AB10" s="589"/>
      <c r="AC10" s="590"/>
      <c r="AD10" s="588"/>
      <c r="AE10" s="586" t="s">
        <v>261</v>
      </c>
      <c r="AF10" s="590"/>
      <c r="AG10" s="585">
        <v>2.0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94</v>
      </c>
      <c r="C11" s="580">
        <f t="shared" si="1"/>
        <v>17</v>
      </c>
      <c r="D11" s="594">
        <f t="shared" si="2"/>
        <v>3</v>
      </c>
      <c r="E11" s="595">
        <f t="shared" si="3"/>
        <v>7.5</v>
      </c>
      <c r="F11" s="596">
        <f t="shared" si="4"/>
        <v>9.5</v>
      </c>
      <c r="G11" s="584" t="s">
        <v>271</v>
      </c>
      <c r="H11" s="585">
        <v>2.5</v>
      </c>
      <c r="I11" s="585">
        <v>2.5</v>
      </c>
      <c r="J11" s="586"/>
      <c r="K11" s="590"/>
      <c r="L11" s="588"/>
      <c r="M11" s="584" t="s">
        <v>261</v>
      </c>
      <c r="N11" s="590"/>
      <c r="O11" s="585">
        <v>1.5</v>
      </c>
      <c r="P11" s="586"/>
      <c r="Q11" s="590"/>
      <c r="R11" s="588"/>
      <c r="S11" s="586" t="s">
        <v>269</v>
      </c>
      <c r="T11" s="585">
        <v>2.5</v>
      </c>
      <c r="U11" s="585">
        <v>3.0</v>
      </c>
      <c r="V11" s="586"/>
      <c r="W11" s="590"/>
      <c r="X11" s="588"/>
      <c r="Y11" s="586" t="s">
        <v>261</v>
      </c>
      <c r="Z11" s="590"/>
      <c r="AA11" s="591">
        <v>1.25</v>
      </c>
      <c r="AB11" s="589"/>
      <c r="AC11" s="590"/>
      <c r="AD11" s="588"/>
      <c r="AE11" s="586" t="s">
        <v>265</v>
      </c>
      <c r="AF11" s="585">
        <v>2.5</v>
      </c>
      <c r="AG11" s="585">
        <v>1.25</v>
      </c>
      <c r="AH11" s="589"/>
      <c r="AI11" s="590"/>
      <c r="AJ11" s="588"/>
      <c r="AK11" s="599"/>
      <c r="AL11" s="593"/>
    </row>
    <row r="12">
      <c r="A12" s="578">
        <v>7.0</v>
      </c>
      <c r="B12" s="579" t="s">
        <v>96</v>
      </c>
      <c r="C12" s="580">
        <f t="shared" si="1"/>
        <v>16.5</v>
      </c>
      <c r="D12" s="594">
        <f t="shared" si="2"/>
        <v>1</v>
      </c>
      <c r="E12" s="595">
        <f t="shared" si="3"/>
        <v>2.5</v>
      </c>
      <c r="F12" s="596">
        <f t="shared" si="4"/>
        <v>14</v>
      </c>
      <c r="G12" s="584" t="s">
        <v>269</v>
      </c>
      <c r="H12" s="598"/>
      <c r="I12" s="585">
        <v>2.0</v>
      </c>
      <c r="J12" s="586"/>
      <c r="K12" s="590"/>
      <c r="L12" s="588"/>
      <c r="M12" s="584" t="s">
        <v>261</v>
      </c>
      <c r="N12" s="598"/>
      <c r="O12" s="585">
        <v>2.5</v>
      </c>
      <c r="P12" s="589"/>
      <c r="Q12" s="590"/>
      <c r="R12" s="588"/>
      <c r="S12" s="586" t="s">
        <v>261</v>
      </c>
      <c r="T12" s="598"/>
      <c r="U12" s="585">
        <v>1.75</v>
      </c>
      <c r="V12" s="586"/>
      <c r="W12" s="590"/>
      <c r="X12" s="588"/>
      <c r="Y12" s="586" t="s">
        <v>271</v>
      </c>
      <c r="Z12" s="598"/>
      <c r="AA12" s="591">
        <v>4.0</v>
      </c>
      <c r="AB12" s="586"/>
      <c r="AC12" s="585"/>
      <c r="AD12" s="587"/>
      <c r="AE12" s="586" t="s">
        <v>269</v>
      </c>
      <c r="AF12" s="597">
        <v>2.5</v>
      </c>
      <c r="AG12" s="585">
        <v>3.75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115</v>
      </c>
      <c r="C13" s="580">
        <f t="shared" si="1"/>
        <v>15.5</v>
      </c>
      <c r="D13" s="594">
        <f t="shared" si="2"/>
        <v>1</v>
      </c>
      <c r="E13" s="595">
        <f t="shared" si="3"/>
        <v>2.5</v>
      </c>
      <c r="F13" s="596">
        <f t="shared" si="4"/>
        <v>13</v>
      </c>
      <c r="G13" s="584" t="s">
        <v>261</v>
      </c>
      <c r="H13" s="597">
        <v>2.5</v>
      </c>
      <c r="I13" s="585">
        <v>2.5</v>
      </c>
      <c r="J13" s="586"/>
      <c r="K13" s="590"/>
      <c r="L13" s="588"/>
      <c r="M13" s="584" t="s">
        <v>261</v>
      </c>
      <c r="N13" s="598"/>
      <c r="O13" s="585">
        <v>2.75</v>
      </c>
      <c r="P13" s="589"/>
      <c r="Q13" s="590"/>
      <c r="R13" s="588"/>
      <c r="S13" s="586" t="s">
        <v>261</v>
      </c>
      <c r="T13" s="598"/>
      <c r="U13" s="585">
        <v>3.0</v>
      </c>
      <c r="V13" s="586"/>
      <c r="W13" s="590"/>
      <c r="X13" s="588"/>
      <c r="Y13" s="586" t="s">
        <v>261</v>
      </c>
      <c r="Z13" s="598"/>
      <c r="AA13" s="591">
        <v>2.75</v>
      </c>
      <c r="AB13" s="589"/>
      <c r="AC13" s="590"/>
      <c r="AD13" s="588"/>
      <c r="AE13" s="586" t="s">
        <v>261</v>
      </c>
      <c r="AF13" s="598"/>
      <c r="AG13" s="585">
        <v>2.0</v>
      </c>
      <c r="AH13" s="586"/>
      <c r="AI13" s="590"/>
      <c r="AJ13" s="587"/>
      <c r="AK13" s="588"/>
      <c r="AL13" s="593"/>
    </row>
    <row r="14">
      <c r="A14" s="578">
        <v>9.0</v>
      </c>
      <c r="B14" s="579" t="s">
        <v>88</v>
      </c>
      <c r="C14" s="580">
        <f t="shared" si="1"/>
        <v>14.25</v>
      </c>
      <c r="D14" s="594">
        <f t="shared" si="2"/>
        <v>1</v>
      </c>
      <c r="E14" s="595">
        <f t="shared" si="3"/>
        <v>2.5</v>
      </c>
      <c r="F14" s="596">
        <f t="shared" si="4"/>
        <v>11.75</v>
      </c>
      <c r="G14" s="584" t="s">
        <v>261</v>
      </c>
      <c r="H14" s="585">
        <v>2.5</v>
      </c>
      <c r="I14" s="585">
        <v>3.25</v>
      </c>
      <c r="J14" s="589"/>
      <c r="K14" s="590"/>
      <c r="L14" s="588"/>
      <c r="M14" s="584" t="s">
        <v>261</v>
      </c>
      <c r="N14" s="590"/>
      <c r="O14" s="585">
        <v>1.75</v>
      </c>
      <c r="P14" s="586"/>
      <c r="Q14" s="590"/>
      <c r="R14" s="587"/>
      <c r="S14" s="586" t="s">
        <v>261</v>
      </c>
      <c r="T14" s="590"/>
      <c r="U14" s="585">
        <v>1.5</v>
      </c>
      <c r="V14" s="586"/>
      <c r="W14" s="590"/>
      <c r="X14" s="588"/>
      <c r="Y14" s="586" t="s">
        <v>261</v>
      </c>
      <c r="Z14" s="590"/>
      <c r="AA14" s="591">
        <v>4.0</v>
      </c>
      <c r="AB14" s="586"/>
      <c r="AC14" s="590"/>
      <c r="AD14" s="587"/>
      <c r="AE14" s="586" t="s">
        <v>261</v>
      </c>
      <c r="AF14" s="590"/>
      <c r="AG14" s="585">
        <v>1.25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133</v>
      </c>
      <c r="C15" s="580">
        <f t="shared" si="1"/>
        <v>13</v>
      </c>
      <c r="D15" s="603">
        <f t="shared" si="2"/>
        <v>0</v>
      </c>
      <c r="E15" s="604">
        <f t="shared" si="3"/>
        <v>0</v>
      </c>
      <c r="F15" s="605">
        <f t="shared" si="4"/>
        <v>13</v>
      </c>
      <c r="G15" s="606" t="s">
        <v>265</v>
      </c>
      <c r="H15" s="609"/>
      <c r="I15" s="607">
        <v>2.0</v>
      </c>
      <c r="J15" s="608"/>
      <c r="K15" s="609"/>
      <c r="L15" s="610"/>
      <c r="M15" s="606" t="s">
        <v>261</v>
      </c>
      <c r="N15" s="609"/>
      <c r="O15" s="607">
        <v>2.5</v>
      </c>
      <c r="P15" s="608"/>
      <c r="Q15" s="609"/>
      <c r="R15" s="610"/>
      <c r="S15" s="611" t="s">
        <v>261</v>
      </c>
      <c r="T15" s="609"/>
      <c r="U15" s="607">
        <v>2.75</v>
      </c>
      <c r="V15" s="611" t="s">
        <v>11</v>
      </c>
      <c r="W15" s="609"/>
      <c r="X15" s="612">
        <v>0.5</v>
      </c>
      <c r="Y15" s="611" t="s">
        <v>261</v>
      </c>
      <c r="Z15" s="609"/>
      <c r="AA15" s="607">
        <v>3.0</v>
      </c>
      <c r="AB15" s="608"/>
      <c r="AC15" s="609"/>
      <c r="AD15" s="610"/>
      <c r="AE15" s="611" t="s">
        <v>271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410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122</v>
      </c>
      <c r="C6" s="580">
        <f t="shared" ref="C6:C15" si="1">SUM(H6:AK6)</f>
        <v>26.25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16.25</v>
      </c>
      <c r="G6" s="584" t="s">
        <v>269</v>
      </c>
      <c r="H6" s="585">
        <v>2.5</v>
      </c>
      <c r="I6" s="585">
        <v>3.0</v>
      </c>
      <c r="J6" s="586"/>
      <c r="K6" s="590"/>
      <c r="L6" s="588"/>
      <c r="M6" s="584" t="s">
        <v>261</v>
      </c>
      <c r="N6" s="585">
        <v>2.5</v>
      </c>
      <c r="O6" s="585">
        <v>4.5</v>
      </c>
      <c r="P6" s="586"/>
      <c r="Q6" s="590"/>
      <c r="R6" s="588"/>
      <c r="S6" s="586" t="s">
        <v>261</v>
      </c>
      <c r="T6" s="585">
        <v>2.5</v>
      </c>
      <c r="U6" s="585">
        <v>3.25</v>
      </c>
      <c r="V6" s="586"/>
      <c r="W6" s="590"/>
      <c r="X6" s="588"/>
      <c r="Y6" s="586" t="s">
        <v>261</v>
      </c>
      <c r="Z6" s="585">
        <v>2.5</v>
      </c>
      <c r="AA6" s="591">
        <v>3.25</v>
      </c>
      <c r="AB6" s="589"/>
      <c r="AC6" s="590"/>
      <c r="AD6" s="588"/>
      <c r="AE6" s="586" t="s">
        <v>269</v>
      </c>
      <c r="AF6" s="590"/>
      <c r="AG6" s="585">
        <v>2.25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133</v>
      </c>
      <c r="C7" s="580">
        <f t="shared" si="1"/>
        <v>24.75</v>
      </c>
      <c r="D7" s="594">
        <f t="shared" si="2"/>
        <v>4</v>
      </c>
      <c r="E7" s="595">
        <f t="shared" si="3"/>
        <v>10</v>
      </c>
      <c r="F7" s="596">
        <f t="shared" si="4"/>
        <v>14.75</v>
      </c>
      <c r="G7" s="584" t="s">
        <v>261</v>
      </c>
      <c r="H7" s="590"/>
      <c r="I7" s="585">
        <v>2.0</v>
      </c>
      <c r="J7" s="589"/>
      <c r="K7" s="590"/>
      <c r="L7" s="588"/>
      <c r="M7" s="584" t="s">
        <v>271</v>
      </c>
      <c r="N7" s="585">
        <v>2.5</v>
      </c>
      <c r="O7" s="585">
        <v>3.75</v>
      </c>
      <c r="P7" s="586" t="s">
        <v>260</v>
      </c>
      <c r="Q7" s="590"/>
      <c r="R7" s="587"/>
      <c r="S7" s="586" t="s">
        <v>261</v>
      </c>
      <c r="T7" s="585">
        <v>2.5</v>
      </c>
      <c r="U7" s="585">
        <v>3.25</v>
      </c>
      <c r="V7" s="586" t="s">
        <v>260</v>
      </c>
      <c r="W7" s="590"/>
      <c r="X7" s="588"/>
      <c r="Y7" s="586" t="s">
        <v>261</v>
      </c>
      <c r="Z7" s="585">
        <v>2.5</v>
      </c>
      <c r="AA7" s="591">
        <v>2.75</v>
      </c>
      <c r="AB7" s="586"/>
      <c r="AC7" s="590"/>
      <c r="AD7" s="587"/>
      <c r="AE7" s="586" t="s">
        <v>261</v>
      </c>
      <c r="AF7" s="585">
        <v>2.5</v>
      </c>
      <c r="AG7" s="585">
        <v>3.0</v>
      </c>
      <c r="AH7" s="589"/>
      <c r="AI7" s="590"/>
      <c r="AJ7" s="588"/>
      <c r="AK7" s="588"/>
      <c r="AL7" s="593"/>
    </row>
    <row r="8">
      <c r="A8" s="578">
        <v>3.0</v>
      </c>
      <c r="B8" s="579" t="s">
        <v>82</v>
      </c>
      <c r="C8" s="580">
        <f t="shared" si="1"/>
        <v>24.5</v>
      </c>
      <c r="D8" s="594">
        <f t="shared" si="2"/>
        <v>4</v>
      </c>
      <c r="E8" s="595">
        <f t="shared" si="3"/>
        <v>10</v>
      </c>
      <c r="F8" s="596">
        <f t="shared" si="4"/>
        <v>14.5</v>
      </c>
      <c r="G8" s="584" t="s">
        <v>265</v>
      </c>
      <c r="H8" s="585">
        <v>2.5</v>
      </c>
      <c r="I8" s="585">
        <v>2.75</v>
      </c>
      <c r="J8" s="586"/>
      <c r="K8" s="590"/>
      <c r="L8" s="588"/>
      <c r="M8" s="584" t="s">
        <v>261</v>
      </c>
      <c r="N8" s="585">
        <v>2.5</v>
      </c>
      <c r="O8" s="585">
        <v>2.0</v>
      </c>
      <c r="P8" s="586" t="s">
        <v>11</v>
      </c>
      <c r="Q8" s="585"/>
      <c r="R8" s="587">
        <v>0.5</v>
      </c>
      <c r="S8" s="586" t="s">
        <v>265</v>
      </c>
      <c r="T8" s="590"/>
      <c r="U8" s="585">
        <v>3.0</v>
      </c>
      <c r="V8" s="586" t="s">
        <v>263</v>
      </c>
      <c r="W8" s="590"/>
      <c r="X8" s="588"/>
      <c r="Y8" s="586" t="s">
        <v>261</v>
      </c>
      <c r="Z8" s="585">
        <v>2.5</v>
      </c>
      <c r="AA8" s="591">
        <v>3.25</v>
      </c>
      <c r="AB8" s="589"/>
      <c r="AC8" s="590"/>
      <c r="AD8" s="588"/>
      <c r="AE8" s="586" t="s">
        <v>271</v>
      </c>
      <c r="AF8" s="585">
        <v>2.5</v>
      </c>
      <c r="AG8" s="585">
        <v>3.0</v>
      </c>
      <c r="AH8" s="589"/>
      <c r="AI8" s="590"/>
      <c r="AJ8" s="588"/>
      <c r="AK8" s="588"/>
      <c r="AL8" s="593"/>
    </row>
    <row r="9">
      <c r="A9" s="578">
        <v>4.0</v>
      </c>
      <c r="B9" s="579" t="s">
        <v>80</v>
      </c>
      <c r="C9" s="580">
        <f t="shared" si="1"/>
        <v>24</v>
      </c>
      <c r="D9" s="594">
        <f t="shared" si="2"/>
        <v>3</v>
      </c>
      <c r="E9" s="595">
        <f t="shared" si="3"/>
        <v>7.5</v>
      </c>
      <c r="F9" s="596">
        <f t="shared" si="4"/>
        <v>16.5</v>
      </c>
      <c r="G9" s="584" t="s">
        <v>271</v>
      </c>
      <c r="H9" s="590"/>
      <c r="I9" s="585">
        <v>3.25</v>
      </c>
      <c r="J9" s="586" t="s">
        <v>11</v>
      </c>
      <c r="K9" s="585">
        <v>1.0</v>
      </c>
      <c r="L9" s="587">
        <v>0.5</v>
      </c>
      <c r="M9" s="584" t="s">
        <v>269</v>
      </c>
      <c r="N9" s="590"/>
      <c r="O9" s="585">
        <v>2.0</v>
      </c>
      <c r="P9" s="586"/>
      <c r="Q9" s="585"/>
      <c r="R9" s="588"/>
      <c r="S9" s="586" t="s">
        <v>261</v>
      </c>
      <c r="T9" s="585">
        <v>2.5</v>
      </c>
      <c r="U9" s="585">
        <v>2.0</v>
      </c>
      <c r="V9" s="589"/>
      <c r="W9" s="590"/>
      <c r="X9" s="588"/>
      <c r="Y9" s="586" t="s">
        <v>261</v>
      </c>
      <c r="Z9" s="585">
        <v>2.5</v>
      </c>
      <c r="AA9" s="591">
        <v>2.5</v>
      </c>
      <c r="AB9" s="586" t="s">
        <v>11</v>
      </c>
      <c r="AC9" s="585">
        <v>0.5</v>
      </c>
      <c r="AD9" s="587">
        <v>1.0</v>
      </c>
      <c r="AE9" s="586" t="s">
        <v>261</v>
      </c>
      <c r="AF9" s="585">
        <v>2.5</v>
      </c>
      <c r="AG9" s="585">
        <v>3.75</v>
      </c>
      <c r="AH9" s="589"/>
      <c r="AI9" s="590"/>
      <c r="AJ9" s="588"/>
      <c r="AK9" s="588"/>
      <c r="AL9" s="593"/>
    </row>
    <row r="10">
      <c r="A10" s="578">
        <v>5.0</v>
      </c>
      <c r="B10" s="579" t="s">
        <v>93</v>
      </c>
      <c r="C10" s="580">
        <f t="shared" si="1"/>
        <v>23</v>
      </c>
      <c r="D10" s="594">
        <f t="shared" si="2"/>
        <v>3</v>
      </c>
      <c r="E10" s="595">
        <f t="shared" si="3"/>
        <v>7.5</v>
      </c>
      <c r="F10" s="596">
        <f t="shared" si="4"/>
        <v>15.5</v>
      </c>
      <c r="G10" s="584" t="s">
        <v>269</v>
      </c>
      <c r="H10" s="597">
        <v>2.5</v>
      </c>
      <c r="I10" s="585">
        <v>4.5</v>
      </c>
      <c r="J10" s="586" t="s">
        <v>260</v>
      </c>
      <c r="K10" s="590"/>
      <c r="L10" s="588"/>
      <c r="M10" s="584" t="s">
        <v>265</v>
      </c>
      <c r="N10" s="598"/>
      <c r="O10" s="585">
        <v>2.0</v>
      </c>
      <c r="P10" s="586" t="s">
        <v>263</v>
      </c>
      <c r="Q10" s="590"/>
      <c r="R10" s="588"/>
      <c r="S10" s="586" t="s">
        <v>269</v>
      </c>
      <c r="T10" s="598"/>
      <c r="U10" s="600">
        <v>1.5</v>
      </c>
      <c r="V10" s="586"/>
      <c r="W10" s="590"/>
      <c r="X10" s="588"/>
      <c r="Y10" s="586" t="s">
        <v>261</v>
      </c>
      <c r="Z10" s="597">
        <v>2.5</v>
      </c>
      <c r="AA10" s="591">
        <v>3.25</v>
      </c>
      <c r="AB10" s="586"/>
      <c r="AC10" s="585"/>
      <c r="AD10" s="587"/>
      <c r="AE10" s="586" t="s">
        <v>261</v>
      </c>
      <c r="AF10" s="597">
        <v>2.5</v>
      </c>
      <c r="AG10" s="585">
        <v>3.25</v>
      </c>
      <c r="AH10" s="586" t="s">
        <v>11</v>
      </c>
      <c r="AI10" s="585">
        <v>0.5</v>
      </c>
      <c r="AJ10" s="587">
        <v>0.5</v>
      </c>
      <c r="AK10" s="588"/>
      <c r="AL10" s="593"/>
    </row>
    <row r="11">
      <c r="A11" s="578">
        <v>6.0</v>
      </c>
      <c r="B11" s="579" t="s">
        <v>105</v>
      </c>
      <c r="C11" s="580">
        <f t="shared" si="1"/>
        <v>22.5</v>
      </c>
      <c r="D11" s="594">
        <f t="shared" si="2"/>
        <v>4</v>
      </c>
      <c r="E11" s="595">
        <f t="shared" si="3"/>
        <v>10</v>
      </c>
      <c r="F11" s="596">
        <f t="shared" si="4"/>
        <v>12.5</v>
      </c>
      <c r="G11" s="584" t="s">
        <v>261</v>
      </c>
      <c r="H11" s="598"/>
      <c r="I11" s="585">
        <v>2.5</v>
      </c>
      <c r="J11" s="586"/>
      <c r="K11" s="585"/>
      <c r="L11" s="588"/>
      <c r="M11" s="584" t="s">
        <v>261</v>
      </c>
      <c r="N11" s="597">
        <v>2.5</v>
      </c>
      <c r="O11" s="585">
        <v>2.5</v>
      </c>
      <c r="P11" s="589"/>
      <c r="Q11" s="590"/>
      <c r="R11" s="588"/>
      <c r="S11" s="586" t="s">
        <v>261</v>
      </c>
      <c r="T11" s="597">
        <v>2.5</v>
      </c>
      <c r="U11" s="585">
        <v>1.75</v>
      </c>
      <c r="V11" s="586"/>
      <c r="W11" s="590"/>
      <c r="X11" s="588"/>
      <c r="Y11" s="586" t="s">
        <v>271</v>
      </c>
      <c r="Z11" s="597">
        <v>2.5</v>
      </c>
      <c r="AA11" s="591">
        <v>3.5</v>
      </c>
      <c r="AB11" s="589"/>
      <c r="AC11" s="590"/>
      <c r="AD11" s="588"/>
      <c r="AE11" s="586" t="s">
        <v>261</v>
      </c>
      <c r="AF11" s="597">
        <v>2.5</v>
      </c>
      <c r="AG11" s="585">
        <v>2.25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106</v>
      </c>
      <c r="C12" s="580">
        <f t="shared" si="1"/>
        <v>21.5</v>
      </c>
      <c r="D12" s="594">
        <f t="shared" si="2"/>
        <v>3</v>
      </c>
      <c r="E12" s="595">
        <f t="shared" si="3"/>
        <v>7.5</v>
      </c>
      <c r="F12" s="596">
        <f t="shared" si="4"/>
        <v>14</v>
      </c>
      <c r="G12" s="584" t="s">
        <v>261</v>
      </c>
      <c r="H12" s="590"/>
      <c r="I12" s="585">
        <v>2.25</v>
      </c>
      <c r="J12" s="589"/>
      <c r="K12" s="590"/>
      <c r="L12" s="588"/>
      <c r="M12" s="584" t="s">
        <v>269</v>
      </c>
      <c r="N12" s="590"/>
      <c r="O12" s="585">
        <v>2.25</v>
      </c>
      <c r="P12" s="589"/>
      <c r="Q12" s="590"/>
      <c r="R12" s="588"/>
      <c r="S12" s="586" t="s">
        <v>261</v>
      </c>
      <c r="T12" s="585">
        <v>2.5</v>
      </c>
      <c r="U12" s="585">
        <v>2.5</v>
      </c>
      <c r="V12" s="586"/>
      <c r="W12" s="590"/>
      <c r="X12" s="588"/>
      <c r="Y12" s="586" t="s">
        <v>261</v>
      </c>
      <c r="Z12" s="585">
        <v>2.5</v>
      </c>
      <c r="AA12" s="591">
        <v>3.75</v>
      </c>
      <c r="AB12" s="589"/>
      <c r="AC12" s="590"/>
      <c r="AD12" s="588"/>
      <c r="AE12" s="586" t="s">
        <v>261</v>
      </c>
      <c r="AF12" s="585">
        <v>2.5</v>
      </c>
      <c r="AG12" s="585">
        <v>3.25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115</v>
      </c>
      <c r="C13" s="580">
        <f t="shared" si="1"/>
        <v>18.75</v>
      </c>
      <c r="D13" s="594">
        <f t="shared" si="2"/>
        <v>2</v>
      </c>
      <c r="E13" s="595">
        <f t="shared" si="3"/>
        <v>5</v>
      </c>
      <c r="F13" s="596">
        <f t="shared" si="4"/>
        <v>13.75</v>
      </c>
      <c r="G13" s="584" t="s">
        <v>261</v>
      </c>
      <c r="H13" s="598"/>
      <c r="I13" s="585">
        <v>3.75</v>
      </c>
      <c r="J13" s="586" t="s">
        <v>263</v>
      </c>
      <c r="K13" s="590"/>
      <c r="L13" s="588"/>
      <c r="M13" s="584" t="s">
        <v>261</v>
      </c>
      <c r="N13" s="597">
        <v>2.5</v>
      </c>
      <c r="O13" s="585">
        <v>3.25</v>
      </c>
      <c r="P13" s="589"/>
      <c r="Q13" s="590"/>
      <c r="R13" s="588"/>
      <c r="S13" s="586" t="s">
        <v>261</v>
      </c>
      <c r="T13" s="597">
        <v>2.5</v>
      </c>
      <c r="U13" s="585">
        <v>3.0</v>
      </c>
      <c r="V13" s="586"/>
      <c r="W13" s="590"/>
      <c r="X13" s="588"/>
      <c r="Y13" s="586" t="s">
        <v>269</v>
      </c>
      <c r="Z13" s="598"/>
      <c r="AA13" s="591">
        <v>2.25</v>
      </c>
      <c r="AB13" s="589"/>
      <c r="AC13" s="590"/>
      <c r="AD13" s="588"/>
      <c r="AE13" s="586" t="s">
        <v>269</v>
      </c>
      <c r="AF13" s="598"/>
      <c r="AG13" s="585">
        <v>1.5</v>
      </c>
      <c r="AH13" s="586" t="s">
        <v>263</v>
      </c>
      <c r="AI13" s="590"/>
      <c r="AJ13" s="587"/>
      <c r="AK13" s="588"/>
      <c r="AL13" s="593"/>
    </row>
    <row r="14">
      <c r="A14" s="578">
        <v>9.0</v>
      </c>
      <c r="B14" s="579" t="s">
        <v>88</v>
      </c>
      <c r="C14" s="580">
        <f t="shared" si="1"/>
        <v>16.5</v>
      </c>
      <c r="D14" s="594">
        <f t="shared" si="2"/>
        <v>2</v>
      </c>
      <c r="E14" s="595">
        <f t="shared" si="3"/>
        <v>5</v>
      </c>
      <c r="F14" s="596">
        <f t="shared" si="4"/>
        <v>11.5</v>
      </c>
      <c r="G14" s="584" t="s">
        <v>261</v>
      </c>
      <c r="H14" s="590"/>
      <c r="I14" s="585">
        <v>2.0</v>
      </c>
      <c r="J14" s="586"/>
      <c r="K14" s="590"/>
      <c r="L14" s="588"/>
      <c r="M14" s="584" t="s">
        <v>261</v>
      </c>
      <c r="N14" s="585">
        <v>2.5</v>
      </c>
      <c r="O14" s="585">
        <v>4.0</v>
      </c>
      <c r="P14" s="589"/>
      <c r="Q14" s="590"/>
      <c r="R14" s="588"/>
      <c r="S14" s="586" t="s">
        <v>271</v>
      </c>
      <c r="T14" s="585">
        <v>2.5</v>
      </c>
      <c r="U14" s="600">
        <v>2.0</v>
      </c>
      <c r="V14" s="586" t="s">
        <v>260</v>
      </c>
      <c r="W14" s="590"/>
      <c r="X14" s="587"/>
      <c r="Y14" s="586" t="s">
        <v>269</v>
      </c>
      <c r="Z14" s="590"/>
      <c r="AA14" s="585">
        <v>2.0</v>
      </c>
      <c r="AB14" s="589"/>
      <c r="AC14" s="590"/>
      <c r="AD14" s="588"/>
      <c r="AE14" s="586" t="s">
        <v>265</v>
      </c>
      <c r="AF14" s="590"/>
      <c r="AG14" s="585">
        <v>2.5</v>
      </c>
      <c r="AH14" s="589"/>
      <c r="AI14" s="590"/>
      <c r="AJ14" s="588"/>
      <c r="AK14" s="587">
        <v>-1.0</v>
      </c>
      <c r="AL14" s="593"/>
    </row>
    <row r="15">
      <c r="A15" s="601">
        <v>10.0</v>
      </c>
      <c r="B15" s="602" t="s">
        <v>94</v>
      </c>
      <c r="C15" s="580">
        <f t="shared" si="1"/>
        <v>14.25</v>
      </c>
      <c r="D15" s="603">
        <f t="shared" si="2"/>
        <v>2</v>
      </c>
      <c r="E15" s="604">
        <f t="shared" si="3"/>
        <v>5</v>
      </c>
      <c r="F15" s="605">
        <f t="shared" si="4"/>
        <v>9.25</v>
      </c>
      <c r="G15" s="606" t="s">
        <v>261</v>
      </c>
      <c r="H15" s="609"/>
      <c r="I15" s="607">
        <v>1.75</v>
      </c>
      <c r="J15" s="611" t="s">
        <v>263</v>
      </c>
      <c r="K15" s="609"/>
      <c r="L15" s="610"/>
      <c r="M15" s="606" t="s">
        <v>261</v>
      </c>
      <c r="N15" s="607">
        <v>2.5</v>
      </c>
      <c r="O15" s="607">
        <v>2.75</v>
      </c>
      <c r="P15" s="611" t="s">
        <v>260</v>
      </c>
      <c r="Q15" s="609"/>
      <c r="R15" s="610"/>
      <c r="S15" s="611" t="s">
        <v>269</v>
      </c>
      <c r="T15" s="609"/>
      <c r="U15" s="613">
        <v>1.25</v>
      </c>
      <c r="V15" s="611"/>
      <c r="W15" s="609"/>
      <c r="X15" s="612"/>
      <c r="Y15" s="611" t="s">
        <v>265</v>
      </c>
      <c r="Z15" s="609"/>
      <c r="AA15" s="607">
        <v>1.0</v>
      </c>
      <c r="AB15" s="608"/>
      <c r="AC15" s="609"/>
      <c r="AD15" s="610"/>
      <c r="AE15" s="611" t="s">
        <v>261</v>
      </c>
      <c r="AF15" s="607">
        <v>2.5</v>
      </c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 t="s">
        <v>411</v>
      </c>
      <c r="B26" s="631" t="s">
        <v>88</v>
      </c>
      <c r="C26" s="631" t="s">
        <v>412</v>
      </c>
      <c r="D26" s="630">
        <v>-1.0</v>
      </c>
      <c r="E26" s="632"/>
      <c r="F26" s="632"/>
      <c r="AK26" s="62"/>
    </row>
    <row r="27">
      <c r="A27" s="631">
        <v>3.0</v>
      </c>
      <c r="B27" s="631" t="s">
        <v>88</v>
      </c>
      <c r="C27" s="631" t="s">
        <v>16</v>
      </c>
      <c r="D27" s="631">
        <v>-0.5</v>
      </c>
      <c r="E27" s="62"/>
      <c r="F27" s="62"/>
      <c r="AK27" s="62"/>
    </row>
    <row r="28">
      <c r="A28" s="631">
        <v>3.0</v>
      </c>
      <c r="B28" s="631" t="s">
        <v>94</v>
      </c>
      <c r="C28" s="631" t="s">
        <v>16</v>
      </c>
      <c r="D28" s="631">
        <v>-0.5</v>
      </c>
      <c r="E28" s="62"/>
      <c r="F28" s="62"/>
      <c r="AK28" s="62"/>
    </row>
    <row r="29">
      <c r="A29" s="631">
        <v>3.0</v>
      </c>
      <c r="B29" s="631" t="s">
        <v>93</v>
      </c>
      <c r="C29" s="631" t="s">
        <v>16</v>
      </c>
      <c r="D29" s="631">
        <v>-0.5</v>
      </c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413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93</v>
      </c>
      <c r="C6" s="580">
        <f t="shared" ref="C6:C15" si="1">SUM(H6:AK6)</f>
        <v>30.5</v>
      </c>
      <c r="D6" s="581">
        <f t="shared" ref="D6:D15" si="2">E6/2.5</f>
        <v>5</v>
      </c>
      <c r="E6" s="582">
        <f t="shared" ref="E6:E15" si="3">SUM(H6+N6+T6+Z6+AF6+AL6+AR6)</f>
        <v>12.5</v>
      </c>
      <c r="F6" s="583">
        <f t="shared" ref="F6:F15" si="4">C6-E6</f>
        <v>18</v>
      </c>
      <c r="G6" s="584" t="s">
        <v>261</v>
      </c>
      <c r="H6" s="585">
        <v>2.5</v>
      </c>
      <c r="I6" s="585">
        <v>2.75</v>
      </c>
      <c r="J6" s="586"/>
      <c r="K6" s="590"/>
      <c r="L6" s="588"/>
      <c r="M6" s="584" t="s">
        <v>265</v>
      </c>
      <c r="N6" s="585">
        <v>2.5</v>
      </c>
      <c r="O6" s="585">
        <v>4.0</v>
      </c>
      <c r="P6" s="589"/>
      <c r="Q6" s="590"/>
      <c r="R6" s="588"/>
      <c r="S6" s="586" t="s">
        <v>261</v>
      </c>
      <c r="T6" s="585">
        <v>2.5</v>
      </c>
      <c r="U6" s="600">
        <v>3.0</v>
      </c>
      <c r="V6" s="586"/>
      <c r="W6" s="590"/>
      <c r="X6" s="587"/>
      <c r="Y6" s="586" t="s">
        <v>269</v>
      </c>
      <c r="Z6" s="585">
        <v>2.5</v>
      </c>
      <c r="AA6" s="585">
        <v>4.5</v>
      </c>
      <c r="AB6" s="589"/>
      <c r="AC6" s="590"/>
      <c r="AD6" s="588"/>
      <c r="AE6" s="586" t="s">
        <v>261</v>
      </c>
      <c r="AF6" s="585">
        <v>2.5</v>
      </c>
      <c r="AG6" s="585">
        <v>3.75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115</v>
      </c>
      <c r="C7" s="580">
        <f t="shared" si="1"/>
        <v>24.75</v>
      </c>
      <c r="D7" s="594">
        <f t="shared" si="2"/>
        <v>4</v>
      </c>
      <c r="E7" s="595">
        <f t="shared" si="3"/>
        <v>10</v>
      </c>
      <c r="F7" s="596">
        <f t="shared" si="4"/>
        <v>14.75</v>
      </c>
      <c r="G7" s="584" t="s">
        <v>269</v>
      </c>
      <c r="H7" s="598"/>
      <c r="I7" s="585">
        <v>1.5</v>
      </c>
      <c r="J7" s="586"/>
      <c r="K7" s="590"/>
      <c r="L7" s="588"/>
      <c r="M7" s="584" t="s">
        <v>269</v>
      </c>
      <c r="N7" s="597">
        <v>2.5</v>
      </c>
      <c r="O7" s="585">
        <v>2.5</v>
      </c>
      <c r="P7" s="589"/>
      <c r="Q7" s="590"/>
      <c r="R7" s="588"/>
      <c r="S7" s="586" t="s">
        <v>271</v>
      </c>
      <c r="T7" s="597">
        <v>2.5</v>
      </c>
      <c r="U7" s="585">
        <v>4.25</v>
      </c>
      <c r="V7" s="586" t="s">
        <v>260</v>
      </c>
      <c r="W7" s="590"/>
      <c r="X7" s="588"/>
      <c r="Y7" s="586" t="s">
        <v>265</v>
      </c>
      <c r="Z7" s="597">
        <v>2.5</v>
      </c>
      <c r="AA7" s="591">
        <v>4.0</v>
      </c>
      <c r="AB7" s="589"/>
      <c r="AC7" s="590"/>
      <c r="AD7" s="588"/>
      <c r="AE7" s="586" t="s">
        <v>271</v>
      </c>
      <c r="AF7" s="597">
        <v>2.5</v>
      </c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132</v>
      </c>
      <c r="C8" s="580">
        <f t="shared" si="1"/>
        <v>21.75</v>
      </c>
      <c r="D8" s="594">
        <f t="shared" si="2"/>
        <v>3</v>
      </c>
      <c r="E8" s="595">
        <f t="shared" si="3"/>
        <v>7.5</v>
      </c>
      <c r="F8" s="596">
        <f t="shared" si="4"/>
        <v>14.25</v>
      </c>
      <c r="G8" s="584" t="s">
        <v>261</v>
      </c>
      <c r="H8" s="597">
        <v>2.5</v>
      </c>
      <c r="I8" s="585">
        <v>4.5</v>
      </c>
      <c r="J8" s="586"/>
      <c r="K8" s="590"/>
      <c r="L8" s="588"/>
      <c r="M8" s="584" t="s">
        <v>269</v>
      </c>
      <c r="N8" s="597">
        <v>2.5</v>
      </c>
      <c r="O8" s="585">
        <v>4.0</v>
      </c>
      <c r="P8" s="589"/>
      <c r="Q8" s="590"/>
      <c r="R8" s="588"/>
      <c r="S8" s="586" t="s">
        <v>261</v>
      </c>
      <c r="T8" s="597">
        <v>2.5</v>
      </c>
      <c r="U8" s="585">
        <v>2.25</v>
      </c>
      <c r="V8" s="586" t="s">
        <v>11</v>
      </c>
      <c r="W8" s="590"/>
      <c r="X8" s="587">
        <v>0.5</v>
      </c>
      <c r="Y8" s="586" t="s">
        <v>261</v>
      </c>
      <c r="Z8" s="598"/>
      <c r="AA8" s="591">
        <v>2.0</v>
      </c>
      <c r="AB8" s="586"/>
      <c r="AC8" s="585"/>
      <c r="AD8" s="587"/>
      <c r="AE8" s="586" t="s">
        <v>265</v>
      </c>
      <c r="AF8" s="598"/>
      <c r="AG8" s="585">
        <v>1.0</v>
      </c>
      <c r="AH8" s="586"/>
      <c r="AI8" s="590"/>
      <c r="AJ8" s="587"/>
      <c r="AK8" s="588"/>
      <c r="AL8" s="593"/>
    </row>
    <row r="9">
      <c r="A9" s="578">
        <v>4.0</v>
      </c>
      <c r="B9" s="579" t="s">
        <v>103</v>
      </c>
      <c r="C9" s="580">
        <f t="shared" si="1"/>
        <v>20.5</v>
      </c>
      <c r="D9" s="594">
        <f t="shared" si="2"/>
        <v>3</v>
      </c>
      <c r="E9" s="595">
        <f t="shared" si="3"/>
        <v>7.5</v>
      </c>
      <c r="F9" s="596">
        <f t="shared" si="4"/>
        <v>13</v>
      </c>
      <c r="G9" s="584" t="s">
        <v>261</v>
      </c>
      <c r="H9" s="585">
        <v>2.5</v>
      </c>
      <c r="I9" s="585">
        <v>2.5</v>
      </c>
      <c r="J9" s="586"/>
      <c r="K9" s="590"/>
      <c r="L9" s="588"/>
      <c r="M9" s="584" t="s">
        <v>261</v>
      </c>
      <c r="N9" s="590"/>
      <c r="O9" s="585">
        <v>1.75</v>
      </c>
      <c r="P9" s="586"/>
      <c r="Q9" s="590"/>
      <c r="R9" s="588"/>
      <c r="S9" s="586" t="s">
        <v>261</v>
      </c>
      <c r="T9" s="585">
        <v>2.5</v>
      </c>
      <c r="U9" s="585">
        <v>3.0</v>
      </c>
      <c r="V9" s="586"/>
      <c r="W9" s="590"/>
      <c r="X9" s="588"/>
      <c r="Y9" s="586" t="s">
        <v>261</v>
      </c>
      <c r="Z9" s="590"/>
      <c r="AA9" s="591">
        <v>3.0</v>
      </c>
      <c r="AB9" s="589"/>
      <c r="AC9" s="590"/>
      <c r="AD9" s="588"/>
      <c r="AE9" s="586" t="s">
        <v>261</v>
      </c>
      <c r="AF9" s="585">
        <v>2.5</v>
      </c>
      <c r="AG9" s="585">
        <v>2.75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127</v>
      </c>
      <c r="C10" s="580">
        <f t="shared" si="1"/>
        <v>19.25</v>
      </c>
      <c r="D10" s="594">
        <f t="shared" si="2"/>
        <v>2</v>
      </c>
      <c r="E10" s="595">
        <f t="shared" si="3"/>
        <v>5</v>
      </c>
      <c r="F10" s="596">
        <f t="shared" si="4"/>
        <v>14.25</v>
      </c>
      <c r="G10" s="584" t="s">
        <v>261</v>
      </c>
      <c r="H10" s="585">
        <v>2.5</v>
      </c>
      <c r="I10" s="585">
        <v>4.0</v>
      </c>
      <c r="J10" s="586"/>
      <c r="K10" s="590"/>
      <c r="L10" s="588"/>
      <c r="M10" s="584" t="s">
        <v>261</v>
      </c>
      <c r="N10" s="590"/>
      <c r="O10" s="585">
        <v>1.75</v>
      </c>
      <c r="P10" s="586"/>
      <c r="Q10" s="585"/>
      <c r="R10" s="587"/>
      <c r="S10" s="586" t="s">
        <v>269</v>
      </c>
      <c r="T10" s="590"/>
      <c r="U10" s="585">
        <v>2.0</v>
      </c>
      <c r="V10" s="589"/>
      <c r="W10" s="590"/>
      <c r="X10" s="588"/>
      <c r="Y10" s="586" t="s">
        <v>269</v>
      </c>
      <c r="Z10" s="585">
        <v>2.5</v>
      </c>
      <c r="AA10" s="591">
        <v>4.0</v>
      </c>
      <c r="AB10" s="586" t="s">
        <v>260</v>
      </c>
      <c r="AC10" s="590"/>
      <c r="AD10" s="588"/>
      <c r="AE10" s="586" t="s">
        <v>269</v>
      </c>
      <c r="AF10" s="590"/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81</v>
      </c>
      <c r="C11" s="580">
        <f t="shared" si="1"/>
        <v>18.75</v>
      </c>
      <c r="D11" s="594">
        <f t="shared" si="2"/>
        <v>2</v>
      </c>
      <c r="E11" s="595">
        <f t="shared" si="3"/>
        <v>5</v>
      </c>
      <c r="F11" s="596">
        <f t="shared" si="4"/>
        <v>13.75</v>
      </c>
      <c r="G11" s="584" t="s">
        <v>271</v>
      </c>
      <c r="H11" s="597">
        <v>2.5</v>
      </c>
      <c r="I11" s="585">
        <v>4.0</v>
      </c>
      <c r="J11" s="586"/>
      <c r="K11" s="585"/>
      <c r="L11" s="588"/>
      <c r="M11" s="584" t="s">
        <v>261</v>
      </c>
      <c r="N11" s="598"/>
      <c r="O11" s="585">
        <v>2.0</v>
      </c>
      <c r="P11" s="589"/>
      <c r="Q11" s="590"/>
      <c r="R11" s="588"/>
      <c r="S11" s="586" t="s">
        <v>265</v>
      </c>
      <c r="T11" s="598"/>
      <c r="U11" s="585">
        <v>3.0</v>
      </c>
      <c r="V11" s="586" t="s">
        <v>263</v>
      </c>
      <c r="W11" s="590"/>
      <c r="X11" s="588"/>
      <c r="Y11" s="586" t="s">
        <v>261</v>
      </c>
      <c r="Z11" s="598"/>
      <c r="AA11" s="591">
        <v>2.25</v>
      </c>
      <c r="AB11" s="586" t="s">
        <v>263</v>
      </c>
      <c r="AC11" s="590"/>
      <c r="AD11" s="588"/>
      <c r="AE11" s="586" t="s">
        <v>261</v>
      </c>
      <c r="AF11" s="597">
        <v>2.5</v>
      </c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120</v>
      </c>
      <c r="C12" s="580">
        <f t="shared" si="1"/>
        <v>17</v>
      </c>
      <c r="D12" s="594">
        <f t="shared" si="2"/>
        <v>2</v>
      </c>
      <c r="E12" s="595">
        <f t="shared" si="3"/>
        <v>5</v>
      </c>
      <c r="F12" s="596">
        <f t="shared" si="4"/>
        <v>12</v>
      </c>
      <c r="G12" s="584" t="s">
        <v>269</v>
      </c>
      <c r="H12" s="590"/>
      <c r="I12" s="585">
        <v>2.5</v>
      </c>
      <c r="J12" s="589"/>
      <c r="K12" s="590"/>
      <c r="L12" s="588"/>
      <c r="M12" s="584" t="s">
        <v>261</v>
      </c>
      <c r="N12" s="590"/>
      <c r="O12" s="585">
        <v>2.0</v>
      </c>
      <c r="P12" s="586" t="s">
        <v>11</v>
      </c>
      <c r="Q12" s="590"/>
      <c r="R12" s="587">
        <v>0.5</v>
      </c>
      <c r="S12" s="586" t="s">
        <v>261</v>
      </c>
      <c r="T12" s="585">
        <v>2.5</v>
      </c>
      <c r="U12" s="585">
        <v>2.0</v>
      </c>
      <c r="V12" s="586"/>
      <c r="W12" s="590"/>
      <c r="X12" s="588"/>
      <c r="Y12" s="586" t="s">
        <v>261</v>
      </c>
      <c r="Z12" s="590"/>
      <c r="AA12" s="591">
        <v>1.5</v>
      </c>
      <c r="AB12" s="586"/>
      <c r="AC12" s="590"/>
      <c r="AD12" s="587"/>
      <c r="AE12" s="586" t="s">
        <v>261</v>
      </c>
      <c r="AF12" s="585">
        <v>2.5</v>
      </c>
      <c r="AG12" s="585">
        <v>3.5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88</v>
      </c>
      <c r="C13" s="580">
        <f t="shared" si="1"/>
        <v>16.5</v>
      </c>
      <c r="D13" s="594">
        <f t="shared" si="2"/>
        <v>3</v>
      </c>
      <c r="E13" s="595">
        <f t="shared" si="3"/>
        <v>7.5</v>
      </c>
      <c r="F13" s="596">
        <f t="shared" si="4"/>
        <v>9</v>
      </c>
      <c r="G13" s="584" t="s">
        <v>261</v>
      </c>
      <c r="H13" s="585">
        <v>2.5</v>
      </c>
      <c r="I13" s="585">
        <v>2.5</v>
      </c>
      <c r="J13" s="589"/>
      <c r="K13" s="590"/>
      <c r="L13" s="588"/>
      <c r="M13" s="584" t="s">
        <v>271</v>
      </c>
      <c r="N13" s="590"/>
      <c r="O13" s="600">
        <v>1.0</v>
      </c>
      <c r="P13" s="589"/>
      <c r="Q13" s="590"/>
      <c r="R13" s="588"/>
      <c r="S13" s="586" t="s">
        <v>261</v>
      </c>
      <c r="T13" s="585">
        <v>2.5</v>
      </c>
      <c r="U13" s="585">
        <v>2.75</v>
      </c>
      <c r="V13" s="586"/>
      <c r="W13" s="590"/>
      <c r="X13" s="587"/>
      <c r="Y13" s="586" t="s">
        <v>271</v>
      </c>
      <c r="Z13" s="590"/>
      <c r="AA13" s="600">
        <v>2.25</v>
      </c>
      <c r="AB13" s="589"/>
      <c r="AC13" s="590"/>
      <c r="AD13" s="588"/>
      <c r="AE13" s="586" t="s">
        <v>261</v>
      </c>
      <c r="AF13" s="585">
        <v>2.5</v>
      </c>
      <c r="AG13" s="600">
        <v>1.0</v>
      </c>
      <c r="AH13" s="586" t="s">
        <v>11</v>
      </c>
      <c r="AI13" s="590"/>
      <c r="AJ13" s="587">
        <v>0.5</v>
      </c>
      <c r="AK13" s="587">
        <v>-1.0</v>
      </c>
      <c r="AL13" s="593"/>
    </row>
    <row r="14">
      <c r="A14" s="578">
        <v>9.0</v>
      </c>
      <c r="B14" s="579" t="s">
        <v>138</v>
      </c>
      <c r="C14" s="580">
        <f t="shared" si="1"/>
        <v>14</v>
      </c>
      <c r="D14" s="594">
        <f t="shared" si="2"/>
        <v>1</v>
      </c>
      <c r="E14" s="595">
        <f t="shared" si="3"/>
        <v>2.5</v>
      </c>
      <c r="F14" s="596">
        <f t="shared" si="4"/>
        <v>11.5</v>
      </c>
      <c r="G14" s="584" t="s">
        <v>261</v>
      </c>
      <c r="H14" s="585">
        <v>2.5</v>
      </c>
      <c r="I14" s="585">
        <v>2.25</v>
      </c>
      <c r="J14" s="586"/>
      <c r="K14" s="585"/>
      <c r="L14" s="587"/>
      <c r="M14" s="584" t="s">
        <v>261</v>
      </c>
      <c r="N14" s="590"/>
      <c r="O14" s="585">
        <v>1.0</v>
      </c>
      <c r="P14" s="586"/>
      <c r="Q14" s="585"/>
      <c r="R14" s="588"/>
      <c r="S14" s="586" t="s">
        <v>269</v>
      </c>
      <c r="T14" s="590"/>
      <c r="U14" s="585">
        <v>2.25</v>
      </c>
      <c r="V14" s="589"/>
      <c r="W14" s="590"/>
      <c r="X14" s="588"/>
      <c r="Y14" s="586" t="s">
        <v>261</v>
      </c>
      <c r="Z14" s="590"/>
      <c r="AA14" s="591">
        <v>3.0</v>
      </c>
      <c r="AB14" s="586" t="s">
        <v>11</v>
      </c>
      <c r="AC14" s="590"/>
      <c r="AD14" s="587">
        <v>0.5</v>
      </c>
      <c r="AE14" s="586" t="s">
        <v>269</v>
      </c>
      <c r="AF14" s="590"/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86</v>
      </c>
      <c r="C15" s="580">
        <f t="shared" si="1"/>
        <v>13.75</v>
      </c>
      <c r="D15" s="603">
        <f t="shared" si="2"/>
        <v>2</v>
      </c>
      <c r="E15" s="604">
        <f t="shared" si="3"/>
        <v>5</v>
      </c>
      <c r="F15" s="605">
        <f t="shared" si="4"/>
        <v>8.75</v>
      </c>
      <c r="G15" s="606" t="s">
        <v>265</v>
      </c>
      <c r="H15" s="609"/>
      <c r="I15" s="607">
        <v>1.0</v>
      </c>
      <c r="J15" s="608"/>
      <c r="K15" s="609"/>
      <c r="L15" s="610"/>
      <c r="M15" s="606" t="s">
        <v>261</v>
      </c>
      <c r="N15" s="609"/>
      <c r="O15" s="607">
        <v>1.25</v>
      </c>
      <c r="P15" s="608"/>
      <c r="Q15" s="609"/>
      <c r="R15" s="610"/>
      <c r="S15" s="611" t="s">
        <v>261</v>
      </c>
      <c r="T15" s="607">
        <v>2.5</v>
      </c>
      <c r="U15" s="607">
        <v>2.5</v>
      </c>
      <c r="V15" s="611" t="s">
        <v>260</v>
      </c>
      <c r="W15" s="609"/>
      <c r="X15" s="610"/>
      <c r="Y15" s="611" t="s">
        <v>261</v>
      </c>
      <c r="Z15" s="609"/>
      <c r="AA15" s="648">
        <v>1.5</v>
      </c>
      <c r="AB15" s="611" t="s">
        <v>263</v>
      </c>
      <c r="AC15" s="609"/>
      <c r="AD15" s="610"/>
      <c r="AE15" s="611" t="s">
        <v>261</v>
      </c>
      <c r="AF15" s="607">
        <v>2.5</v>
      </c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262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1.0</v>
      </c>
      <c r="B26" s="631" t="s">
        <v>88</v>
      </c>
      <c r="C26" s="631" t="s">
        <v>412</v>
      </c>
      <c r="D26" s="630">
        <v>1.0</v>
      </c>
      <c r="E26" s="632"/>
      <c r="F26" s="632"/>
      <c r="AK26" s="62"/>
    </row>
    <row r="27">
      <c r="A27" s="631">
        <v>2.0</v>
      </c>
      <c r="B27" s="631" t="s">
        <v>88</v>
      </c>
      <c r="C27" s="631" t="s">
        <v>16</v>
      </c>
      <c r="D27" s="631">
        <v>0.5</v>
      </c>
      <c r="E27" s="62"/>
      <c r="F27" s="62"/>
      <c r="AK27" s="62"/>
    </row>
    <row r="28">
      <c r="A28" s="631">
        <v>3.0</v>
      </c>
      <c r="B28" s="631" t="s">
        <v>93</v>
      </c>
      <c r="C28" s="631" t="s">
        <v>16</v>
      </c>
      <c r="D28" s="631">
        <v>0.5</v>
      </c>
      <c r="E28" s="62"/>
      <c r="F28" s="62"/>
      <c r="AK28" s="62"/>
    </row>
    <row r="29">
      <c r="A29" s="631">
        <v>4.0</v>
      </c>
      <c r="B29" s="631" t="s">
        <v>88</v>
      </c>
      <c r="C29" s="631" t="s">
        <v>16</v>
      </c>
      <c r="D29" s="631">
        <v>1.0</v>
      </c>
      <c r="E29" s="62"/>
      <c r="F29" s="62"/>
      <c r="AK29" s="62"/>
    </row>
    <row r="30">
      <c r="A30" s="631">
        <v>4.0</v>
      </c>
      <c r="B30" s="631" t="s">
        <v>86</v>
      </c>
      <c r="C30" s="631" t="s">
        <v>16</v>
      </c>
      <c r="D30" s="631">
        <v>0.5</v>
      </c>
      <c r="E30" s="62"/>
      <c r="F30" s="62"/>
      <c r="AK30" s="62"/>
    </row>
    <row r="31">
      <c r="A31" s="631">
        <v>5.0</v>
      </c>
      <c r="B31" s="631" t="s">
        <v>88</v>
      </c>
      <c r="C31" s="631" t="s">
        <v>292</v>
      </c>
      <c r="D31" s="631">
        <v>1.0</v>
      </c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110</v>
      </c>
      <c r="C6" s="580">
        <f t="shared" ref="C6:C15" si="1">SUM(H6:AK6)</f>
        <v>24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16.5</v>
      </c>
      <c r="G6" s="584" t="s">
        <v>261</v>
      </c>
      <c r="H6" s="585">
        <v>2.5</v>
      </c>
      <c r="I6" s="585">
        <v>3.5</v>
      </c>
      <c r="J6" s="586" t="s">
        <v>260</v>
      </c>
      <c r="K6" s="590"/>
      <c r="L6" s="588"/>
      <c r="M6" s="584" t="s">
        <v>265</v>
      </c>
      <c r="N6" s="585">
        <v>2.5</v>
      </c>
      <c r="O6" s="585">
        <v>4.0</v>
      </c>
      <c r="P6" s="589"/>
      <c r="Q6" s="590"/>
      <c r="R6" s="588"/>
      <c r="S6" s="586" t="s">
        <v>271</v>
      </c>
      <c r="T6" s="590"/>
      <c r="U6" s="585">
        <v>3.0</v>
      </c>
      <c r="V6" s="586"/>
      <c r="W6" s="590"/>
      <c r="X6" s="588"/>
      <c r="Y6" s="586" t="s">
        <v>271</v>
      </c>
      <c r="Z6" s="585">
        <v>2.5</v>
      </c>
      <c r="AA6" s="591">
        <v>2.0</v>
      </c>
      <c r="AB6" s="589"/>
      <c r="AC6" s="590"/>
      <c r="AD6" s="588"/>
      <c r="AE6" s="586" t="s">
        <v>271</v>
      </c>
      <c r="AF6" s="590"/>
      <c r="AG6" s="585">
        <v>4.0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85</v>
      </c>
      <c r="C7" s="580">
        <f t="shared" si="1"/>
        <v>23.25</v>
      </c>
      <c r="D7" s="594">
        <f t="shared" si="2"/>
        <v>4</v>
      </c>
      <c r="E7" s="595">
        <f t="shared" si="3"/>
        <v>10</v>
      </c>
      <c r="F7" s="596">
        <f t="shared" si="4"/>
        <v>13.25</v>
      </c>
      <c r="G7" s="584" t="s">
        <v>261</v>
      </c>
      <c r="H7" s="585">
        <v>2.5</v>
      </c>
      <c r="I7" s="585">
        <v>3.5</v>
      </c>
      <c r="J7" s="586"/>
      <c r="K7" s="590"/>
      <c r="L7" s="588"/>
      <c r="M7" s="584" t="s">
        <v>261</v>
      </c>
      <c r="N7" s="590"/>
      <c r="O7" s="585">
        <v>1.75</v>
      </c>
      <c r="P7" s="586"/>
      <c r="Q7" s="585"/>
      <c r="R7" s="587"/>
      <c r="S7" s="586" t="s">
        <v>265</v>
      </c>
      <c r="T7" s="585">
        <v>2.5</v>
      </c>
      <c r="U7" s="585">
        <v>3.0</v>
      </c>
      <c r="V7" s="589"/>
      <c r="W7" s="590"/>
      <c r="X7" s="588"/>
      <c r="Y7" s="586" t="s">
        <v>261</v>
      </c>
      <c r="Z7" s="585">
        <v>2.5</v>
      </c>
      <c r="AA7" s="591">
        <v>1.5</v>
      </c>
      <c r="AB7" s="589"/>
      <c r="AC7" s="590"/>
      <c r="AD7" s="588"/>
      <c r="AE7" s="586" t="s">
        <v>269</v>
      </c>
      <c r="AF7" s="585">
        <v>2.5</v>
      </c>
      <c r="AG7" s="585">
        <v>3.5</v>
      </c>
      <c r="AH7" s="589"/>
      <c r="AI7" s="590"/>
      <c r="AJ7" s="588"/>
      <c r="AK7" s="588"/>
      <c r="AL7" s="593"/>
    </row>
    <row r="8">
      <c r="A8" s="578">
        <v>3.0</v>
      </c>
      <c r="B8" s="579" t="s">
        <v>82</v>
      </c>
      <c r="C8" s="580">
        <f t="shared" si="1"/>
        <v>22.25</v>
      </c>
      <c r="D8" s="594">
        <f t="shared" si="2"/>
        <v>2</v>
      </c>
      <c r="E8" s="595">
        <f t="shared" si="3"/>
        <v>5</v>
      </c>
      <c r="F8" s="596">
        <f t="shared" si="4"/>
        <v>17.25</v>
      </c>
      <c r="G8" s="584" t="s">
        <v>269</v>
      </c>
      <c r="H8" s="590"/>
      <c r="I8" s="585">
        <v>2.5</v>
      </c>
      <c r="J8" s="589"/>
      <c r="K8" s="590"/>
      <c r="L8" s="588"/>
      <c r="M8" s="584" t="s">
        <v>269</v>
      </c>
      <c r="N8" s="585">
        <v>2.5</v>
      </c>
      <c r="O8" s="585">
        <v>3.75</v>
      </c>
      <c r="P8" s="586"/>
      <c r="Q8" s="590"/>
      <c r="R8" s="587"/>
      <c r="S8" s="586" t="s">
        <v>261</v>
      </c>
      <c r="T8" s="590"/>
      <c r="U8" s="585">
        <v>2.75</v>
      </c>
      <c r="V8" s="586" t="s">
        <v>11</v>
      </c>
      <c r="W8" s="590"/>
      <c r="X8" s="587">
        <v>0.5</v>
      </c>
      <c r="Y8" s="586" t="s">
        <v>265</v>
      </c>
      <c r="Z8" s="590"/>
      <c r="AA8" s="591">
        <v>3.25</v>
      </c>
      <c r="AB8" s="586"/>
      <c r="AC8" s="590"/>
      <c r="AD8" s="587"/>
      <c r="AE8" s="586" t="s">
        <v>265</v>
      </c>
      <c r="AF8" s="585">
        <v>2.5</v>
      </c>
      <c r="AG8" s="585">
        <v>4.5</v>
      </c>
      <c r="AH8" s="589"/>
      <c r="AI8" s="590"/>
      <c r="AJ8" s="588"/>
      <c r="AK8" s="588"/>
      <c r="AL8" s="593"/>
    </row>
    <row r="9">
      <c r="A9" s="578">
        <v>4.0</v>
      </c>
      <c r="B9" s="579" t="s">
        <v>104</v>
      </c>
      <c r="C9" s="580">
        <f t="shared" si="1"/>
        <v>21.25</v>
      </c>
      <c r="D9" s="594">
        <f t="shared" si="2"/>
        <v>3</v>
      </c>
      <c r="E9" s="595">
        <f t="shared" si="3"/>
        <v>7.5</v>
      </c>
      <c r="F9" s="596">
        <f t="shared" si="4"/>
        <v>13.75</v>
      </c>
      <c r="G9" s="584" t="s">
        <v>261</v>
      </c>
      <c r="H9" s="597">
        <v>2.5</v>
      </c>
      <c r="I9" s="585">
        <v>3.25</v>
      </c>
      <c r="J9" s="586" t="s">
        <v>260</v>
      </c>
      <c r="K9" s="585"/>
      <c r="L9" s="588"/>
      <c r="M9" s="584" t="s">
        <v>261</v>
      </c>
      <c r="N9" s="598"/>
      <c r="O9" s="585">
        <v>2.0</v>
      </c>
      <c r="P9" s="589"/>
      <c r="Q9" s="590"/>
      <c r="R9" s="588"/>
      <c r="S9" s="586" t="s">
        <v>269</v>
      </c>
      <c r="T9" s="597">
        <v>2.5</v>
      </c>
      <c r="U9" s="585">
        <v>4.0</v>
      </c>
      <c r="V9" s="586"/>
      <c r="W9" s="590"/>
      <c r="X9" s="588"/>
      <c r="Y9" s="586" t="s">
        <v>261</v>
      </c>
      <c r="Z9" s="597">
        <v>2.5</v>
      </c>
      <c r="AA9" s="591">
        <v>3.5</v>
      </c>
      <c r="AB9" s="586" t="s">
        <v>260</v>
      </c>
      <c r="AC9" s="585" t="s">
        <v>282</v>
      </c>
      <c r="AD9" s="588"/>
      <c r="AE9" s="586" t="s">
        <v>261</v>
      </c>
      <c r="AF9" s="598"/>
      <c r="AG9" s="585">
        <v>1.0</v>
      </c>
      <c r="AH9" s="586"/>
      <c r="AI9" s="590"/>
      <c r="AJ9" s="587"/>
      <c r="AK9" s="588"/>
      <c r="AL9" s="593"/>
    </row>
    <row r="10">
      <c r="A10" s="578">
        <v>5.0</v>
      </c>
      <c r="B10" s="579" t="s">
        <v>106</v>
      </c>
      <c r="C10" s="580">
        <f t="shared" si="1"/>
        <v>20.75</v>
      </c>
      <c r="D10" s="594">
        <f t="shared" si="2"/>
        <v>2</v>
      </c>
      <c r="E10" s="595">
        <f t="shared" si="3"/>
        <v>5</v>
      </c>
      <c r="F10" s="596">
        <f t="shared" si="4"/>
        <v>15.75</v>
      </c>
      <c r="G10" s="584" t="s">
        <v>269</v>
      </c>
      <c r="H10" s="590"/>
      <c r="I10" s="585">
        <v>2.25</v>
      </c>
      <c r="J10" s="586"/>
      <c r="K10" s="590"/>
      <c r="L10" s="588"/>
      <c r="M10" s="584" t="s">
        <v>269</v>
      </c>
      <c r="N10" s="585">
        <v>2.5</v>
      </c>
      <c r="O10" s="585">
        <v>3.75</v>
      </c>
      <c r="P10" s="589"/>
      <c r="Q10" s="590"/>
      <c r="R10" s="588"/>
      <c r="S10" s="586" t="s">
        <v>261</v>
      </c>
      <c r="T10" s="590"/>
      <c r="U10" s="585">
        <v>3.0</v>
      </c>
      <c r="V10" s="586"/>
      <c r="W10" s="590"/>
      <c r="X10" s="587"/>
      <c r="Y10" s="586" t="s">
        <v>261</v>
      </c>
      <c r="Z10" s="585">
        <v>2.5</v>
      </c>
      <c r="AA10" s="585">
        <v>4.5</v>
      </c>
      <c r="AB10" s="586" t="s">
        <v>260</v>
      </c>
      <c r="AC10" s="590"/>
      <c r="AD10" s="588"/>
      <c r="AE10" s="586" t="s">
        <v>261</v>
      </c>
      <c r="AF10" s="590"/>
      <c r="AG10" s="585">
        <v>2.25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99</v>
      </c>
      <c r="C11" s="580">
        <f t="shared" si="1"/>
        <v>19.75</v>
      </c>
      <c r="D11" s="594">
        <f t="shared" si="2"/>
        <v>3</v>
      </c>
      <c r="E11" s="595">
        <f t="shared" si="3"/>
        <v>7.5</v>
      </c>
      <c r="F11" s="596">
        <f t="shared" si="4"/>
        <v>12.25</v>
      </c>
      <c r="G11" s="584" t="s">
        <v>271</v>
      </c>
      <c r="H11" s="585">
        <v>2.5</v>
      </c>
      <c r="I11" s="585">
        <v>4.0</v>
      </c>
      <c r="J11" s="586" t="s">
        <v>260</v>
      </c>
      <c r="K11" s="590"/>
      <c r="L11" s="588"/>
      <c r="M11" s="584" t="s">
        <v>271</v>
      </c>
      <c r="N11" s="590"/>
      <c r="O11" s="585">
        <v>2.0</v>
      </c>
      <c r="P11" s="589"/>
      <c r="Q11" s="590"/>
      <c r="R11" s="588"/>
      <c r="S11" s="586" t="s">
        <v>269</v>
      </c>
      <c r="T11" s="585">
        <v>2.5</v>
      </c>
      <c r="U11" s="585">
        <v>2.75</v>
      </c>
      <c r="V11" s="586"/>
      <c r="W11" s="590"/>
      <c r="X11" s="587"/>
      <c r="Y11" s="586" t="s">
        <v>261</v>
      </c>
      <c r="Z11" s="585">
        <v>2.5</v>
      </c>
      <c r="AA11" s="585">
        <v>2.0</v>
      </c>
      <c r="AB11" s="586" t="s">
        <v>11</v>
      </c>
      <c r="AC11" s="590"/>
      <c r="AD11" s="587">
        <v>0.5</v>
      </c>
      <c r="AE11" s="586" t="s">
        <v>261</v>
      </c>
      <c r="AF11" s="590"/>
      <c r="AG11" s="585">
        <v>1.0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93</v>
      </c>
      <c r="C12" s="580">
        <f t="shared" si="1"/>
        <v>17.25</v>
      </c>
      <c r="D12" s="594">
        <f t="shared" si="2"/>
        <v>2</v>
      </c>
      <c r="E12" s="595">
        <f t="shared" si="3"/>
        <v>5</v>
      </c>
      <c r="F12" s="596">
        <f t="shared" si="4"/>
        <v>12.25</v>
      </c>
      <c r="G12" s="584" t="s">
        <v>261</v>
      </c>
      <c r="H12" s="585">
        <v>2.5</v>
      </c>
      <c r="I12" s="585">
        <v>3.5</v>
      </c>
      <c r="J12" s="586"/>
      <c r="K12" s="585"/>
      <c r="L12" s="587"/>
      <c r="M12" s="584" t="s">
        <v>261</v>
      </c>
      <c r="N12" s="590"/>
      <c r="O12" s="585">
        <v>2.0</v>
      </c>
      <c r="P12" s="586"/>
      <c r="Q12" s="585"/>
      <c r="R12" s="588"/>
      <c r="S12" s="586" t="s">
        <v>261</v>
      </c>
      <c r="T12" s="590"/>
      <c r="U12" s="585">
        <v>1.75</v>
      </c>
      <c r="V12" s="589"/>
      <c r="W12" s="590"/>
      <c r="X12" s="588"/>
      <c r="Y12" s="586" t="s">
        <v>261</v>
      </c>
      <c r="Z12" s="585">
        <v>2.5</v>
      </c>
      <c r="AA12" s="591">
        <v>2.75</v>
      </c>
      <c r="AB12" s="589"/>
      <c r="AC12" s="590"/>
      <c r="AD12" s="588"/>
      <c r="AE12" s="586" t="s">
        <v>261</v>
      </c>
      <c r="AF12" s="590"/>
      <c r="AG12" s="585">
        <v>1.75</v>
      </c>
      <c r="AH12" s="586" t="s">
        <v>11</v>
      </c>
      <c r="AI12" s="590"/>
      <c r="AJ12" s="587">
        <v>0.5</v>
      </c>
      <c r="AK12" s="588"/>
      <c r="AL12" s="593"/>
    </row>
    <row r="13">
      <c r="A13" s="578">
        <v>8.0</v>
      </c>
      <c r="B13" s="579" t="s">
        <v>79</v>
      </c>
      <c r="C13" s="580">
        <f t="shared" si="1"/>
        <v>16.75</v>
      </c>
      <c r="D13" s="594">
        <f t="shared" si="2"/>
        <v>2</v>
      </c>
      <c r="E13" s="595">
        <f t="shared" si="3"/>
        <v>5</v>
      </c>
      <c r="F13" s="596">
        <f t="shared" si="4"/>
        <v>11.75</v>
      </c>
      <c r="G13" s="584" t="s">
        <v>261</v>
      </c>
      <c r="H13" s="597">
        <v>2.5</v>
      </c>
      <c r="I13" s="585">
        <v>2.75</v>
      </c>
      <c r="J13" s="586" t="s">
        <v>11</v>
      </c>
      <c r="K13" s="590"/>
      <c r="L13" s="587">
        <v>0.5</v>
      </c>
      <c r="M13" s="584" t="s">
        <v>261</v>
      </c>
      <c r="N13" s="598"/>
      <c r="O13" s="585">
        <v>1.5</v>
      </c>
      <c r="P13" s="589"/>
      <c r="Q13" s="590"/>
      <c r="R13" s="588"/>
      <c r="S13" s="586" t="s">
        <v>261</v>
      </c>
      <c r="T13" s="598"/>
      <c r="U13" s="585">
        <v>1.5</v>
      </c>
      <c r="V13" s="586"/>
      <c r="W13" s="590"/>
      <c r="X13" s="588"/>
      <c r="Y13" s="586" t="s">
        <v>269</v>
      </c>
      <c r="Z13" s="598"/>
      <c r="AA13" s="591">
        <v>3.0</v>
      </c>
      <c r="AB13" s="586" t="s">
        <v>263</v>
      </c>
      <c r="AC13" s="585"/>
      <c r="AD13" s="587"/>
      <c r="AE13" s="586" t="s">
        <v>269</v>
      </c>
      <c r="AF13" s="597">
        <v>2.5</v>
      </c>
      <c r="AG13" s="585">
        <v>2.5</v>
      </c>
      <c r="AH13" s="586"/>
      <c r="AI13" s="590"/>
      <c r="AJ13" s="587"/>
      <c r="AK13" s="588"/>
      <c r="AL13" s="593"/>
    </row>
    <row r="14">
      <c r="A14" s="578">
        <v>9.0</v>
      </c>
      <c r="B14" s="579" t="s">
        <v>115</v>
      </c>
      <c r="C14" s="580">
        <f t="shared" si="1"/>
        <v>16</v>
      </c>
      <c r="D14" s="594">
        <f t="shared" si="2"/>
        <v>1</v>
      </c>
      <c r="E14" s="595">
        <f t="shared" si="3"/>
        <v>2.5</v>
      </c>
      <c r="F14" s="596">
        <f t="shared" si="4"/>
        <v>13.5</v>
      </c>
      <c r="G14" s="584" t="s">
        <v>261</v>
      </c>
      <c r="H14" s="597">
        <v>2.5</v>
      </c>
      <c r="I14" s="585">
        <v>3.75</v>
      </c>
      <c r="J14" s="586"/>
      <c r="K14" s="590"/>
      <c r="L14" s="588"/>
      <c r="M14" s="584" t="s">
        <v>261</v>
      </c>
      <c r="N14" s="598"/>
      <c r="O14" s="585">
        <v>2.25</v>
      </c>
      <c r="P14" s="586" t="s">
        <v>11</v>
      </c>
      <c r="Q14" s="590"/>
      <c r="R14" s="587">
        <v>0.5</v>
      </c>
      <c r="S14" s="586" t="s">
        <v>261</v>
      </c>
      <c r="T14" s="598"/>
      <c r="U14" s="585">
        <v>3.5</v>
      </c>
      <c r="V14" s="586"/>
      <c r="W14" s="590"/>
      <c r="X14" s="588"/>
      <c r="Y14" s="586" t="s">
        <v>269</v>
      </c>
      <c r="Z14" s="598"/>
      <c r="AA14" s="591">
        <v>2.0</v>
      </c>
      <c r="AB14" s="589"/>
      <c r="AC14" s="590"/>
      <c r="AD14" s="588"/>
      <c r="AE14" s="586" t="s">
        <v>261</v>
      </c>
      <c r="AF14" s="598"/>
      <c r="AG14" s="600">
        <v>1.5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88</v>
      </c>
      <c r="C15" s="580">
        <f t="shared" si="1"/>
        <v>14</v>
      </c>
      <c r="D15" s="603">
        <f t="shared" si="2"/>
        <v>1</v>
      </c>
      <c r="E15" s="604">
        <f t="shared" si="3"/>
        <v>2.5</v>
      </c>
      <c r="F15" s="605">
        <f t="shared" si="4"/>
        <v>11.5</v>
      </c>
      <c r="G15" s="606" t="s">
        <v>265</v>
      </c>
      <c r="H15" s="609"/>
      <c r="I15" s="607">
        <v>1.75</v>
      </c>
      <c r="J15" s="611" t="s">
        <v>263</v>
      </c>
      <c r="K15" s="609"/>
      <c r="L15" s="610"/>
      <c r="M15" s="606" t="s">
        <v>261</v>
      </c>
      <c r="N15" s="609"/>
      <c r="O15" s="607">
        <v>2.25</v>
      </c>
      <c r="P15" s="611"/>
      <c r="Q15" s="609"/>
      <c r="R15" s="610"/>
      <c r="S15" s="611" t="s">
        <v>261</v>
      </c>
      <c r="T15" s="609"/>
      <c r="U15" s="607">
        <v>3.0</v>
      </c>
      <c r="V15" s="611"/>
      <c r="W15" s="609"/>
      <c r="X15" s="610"/>
      <c r="Y15" s="611" t="s">
        <v>261</v>
      </c>
      <c r="Z15" s="607">
        <v>2.5</v>
      </c>
      <c r="AA15" s="634">
        <v>3.25</v>
      </c>
      <c r="AB15" s="608"/>
      <c r="AC15" s="609"/>
      <c r="AD15" s="610"/>
      <c r="AE15" s="611" t="s">
        <v>261</v>
      </c>
      <c r="AF15" s="609"/>
      <c r="AG15" s="607">
        <v>1.25</v>
      </c>
      <c r="AH15" s="608"/>
      <c r="AI15" s="609"/>
      <c r="AJ15" s="610"/>
      <c r="AK15" s="642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264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415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415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115</v>
      </c>
      <c r="C26" s="631" t="s">
        <v>16</v>
      </c>
      <c r="D26" s="630">
        <v>-0.5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416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136</v>
      </c>
      <c r="C6" s="580">
        <f t="shared" ref="C6:C15" si="1">SUM(H6:AK6)</f>
        <v>23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15.5</v>
      </c>
      <c r="G6" s="584" t="s">
        <v>265</v>
      </c>
      <c r="H6" s="585">
        <v>2.5</v>
      </c>
      <c r="I6" s="585">
        <v>3.25</v>
      </c>
      <c r="J6" s="589"/>
      <c r="K6" s="590"/>
      <c r="L6" s="588"/>
      <c r="M6" s="584" t="s">
        <v>265</v>
      </c>
      <c r="N6" s="585">
        <v>2.5</v>
      </c>
      <c r="O6" s="585">
        <v>4.0</v>
      </c>
      <c r="P6" s="589"/>
      <c r="Q6" s="590"/>
      <c r="R6" s="588"/>
      <c r="S6" s="586" t="s">
        <v>261</v>
      </c>
      <c r="T6" s="590"/>
      <c r="U6" s="585">
        <v>3.25</v>
      </c>
      <c r="V6" s="586"/>
      <c r="W6" s="590"/>
      <c r="X6" s="588"/>
      <c r="Y6" s="586" t="s">
        <v>261</v>
      </c>
      <c r="Z6" s="590"/>
      <c r="AA6" s="591">
        <v>2.25</v>
      </c>
      <c r="AB6" s="589"/>
      <c r="AC6" s="590"/>
      <c r="AD6" s="588"/>
      <c r="AE6" s="586" t="s">
        <v>261</v>
      </c>
      <c r="AF6" s="585">
        <v>2.5</v>
      </c>
      <c r="AG6" s="585">
        <v>2.75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135</v>
      </c>
      <c r="C7" s="580">
        <f t="shared" si="1"/>
        <v>21.25</v>
      </c>
      <c r="D7" s="594">
        <f t="shared" si="2"/>
        <v>3</v>
      </c>
      <c r="E7" s="595">
        <f t="shared" si="3"/>
        <v>7.5</v>
      </c>
      <c r="F7" s="596">
        <f t="shared" si="4"/>
        <v>13.75</v>
      </c>
      <c r="G7" s="584" t="s">
        <v>261</v>
      </c>
      <c r="H7" s="598"/>
      <c r="I7" s="585">
        <v>2.5</v>
      </c>
      <c r="J7" s="586"/>
      <c r="K7" s="585"/>
      <c r="L7" s="588"/>
      <c r="M7" s="584" t="s">
        <v>269</v>
      </c>
      <c r="N7" s="597">
        <v>2.5</v>
      </c>
      <c r="O7" s="585">
        <v>2.75</v>
      </c>
      <c r="P7" s="589"/>
      <c r="Q7" s="590"/>
      <c r="R7" s="588"/>
      <c r="S7" s="586" t="s">
        <v>261</v>
      </c>
      <c r="T7" s="598"/>
      <c r="U7" s="585">
        <v>1.5</v>
      </c>
      <c r="V7" s="586"/>
      <c r="W7" s="590"/>
      <c r="X7" s="588"/>
      <c r="Y7" s="586" t="s">
        <v>265</v>
      </c>
      <c r="Z7" s="597">
        <v>2.5</v>
      </c>
      <c r="AA7" s="591">
        <v>4.0</v>
      </c>
      <c r="AB7" s="589"/>
      <c r="AC7" s="590"/>
      <c r="AD7" s="588"/>
      <c r="AE7" s="586" t="s">
        <v>261</v>
      </c>
      <c r="AF7" s="597">
        <v>2.5</v>
      </c>
      <c r="AG7" s="585">
        <v>3.0</v>
      </c>
      <c r="AH7" s="586" t="s">
        <v>260</v>
      </c>
      <c r="AI7" s="590"/>
      <c r="AJ7" s="588"/>
      <c r="AK7" s="588"/>
      <c r="AL7" s="593"/>
    </row>
    <row r="8">
      <c r="A8" s="578">
        <v>3.0</v>
      </c>
      <c r="B8" s="579" t="s">
        <v>113</v>
      </c>
      <c r="C8" s="580">
        <f t="shared" si="1"/>
        <v>20.5</v>
      </c>
      <c r="D8" s="594">
        <f t="shared" si="2"/>
        <v>2</v>
      </c>
      <c r="E8" s="595">
        <f t="shared" si="3"/>
        <v>5</v>
      </c>
      <c r="F8" s="596">
        <f t="shared" si="4"/>
        <v>15.5</v>
      </c>
      <c r="G8" s="584" t="s">
        <v>269</v>
      </c>
      <c r="H8" s="585">
        <v>2.5</v>
      </c>
      <c r="I8" s="585">
        <v>4.0</v>
      </c>
      <c r="J8" s="589"/>
      <c r="K8" s="590"/>
      <c r="L8" s="588"/>
      <c r="M8" s="584" t="s">
        <v>269</v>
      </c>
      <c r="N8" s="585">
        <v>2.5</v>
      </c>
      <c r="O8" s="585">
        <v>3.25</v>
      </c>
      <c r="P8" s="586"/>
      <c r="Q8" s="590"/>
      <c r="R8" s="587"/>
      <c r="S8" s="586" t="s">
        <v>261</v>
      </c>
      <c r="T8" s="590"/>
      <c r="U8" s="585">
        <v>3.25</v>
      </c>
      <c r="V8" s="586" t="s">
        <v>11</v>
      </c>
      <c r="W8" s="590"/>
      <c r="X8" s="587">
        <v>0.5</v>
      </c>
      <c r="Y8" s="586" t="s">
        <v>261</v>
      </c>
      <c r="Z8" s="590"/>
      <c r="AA8" s="591">
        <v>1.5</v>
      </c>
      <c r="AB8" s="586"/>
      <c r="AC8" s="590"/>
      <c r="AD8" s="587"/>
      <c r="AE8" s="586" t="s">
        <v>269</v>
      </c>
      <c r="AF8" s="590"/>
      <c r="AG8" s="585">
        <v>3.0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123</v>
      </c>
      <c r="C9" s="580">
        <f t="shared" si="1"/>
        <v>19.75</v>
      </c>
      <c r="D9" s="594">
        <f t="shared" si="2"/>
        <v>2</v>
      </c>
      <c r="E9" s="595">
        <f t="shared" si="3"/>
        <v>5</v>
      </c>
      <c r="F9" s="596">
        <f t="shared" si="4"/>
        <v>14.75</v>
      </c>
      <c r="G9" s="584" t="s">
        <v>261</v>
      </c>
      <c r="H9" s="590"/>
      <c r="I9" s="585">
        <v>3.0</v>
      </c>
      <c r="J9" s="586"/>
      <c r="K9" s="585"/>
      <c r="L9" s="587"/>
      <c r="M9" s="584" t="s">
        <v>261</v>
      </c>
      <c r="N9" s="590"/>
      <c r="O9" s="585">
        <v>2.75</v>
      </c>
      <c r="P9" s="586" t="s">
        <v>11</v>
      </c>
      <c r="Q9" s="585"/>
      <c r="R9" s="587">
        <v>0.5</v>
      </c>
      <c r="S9" s="586" t="s">
        <v>269</v>
      </c>
      <c r="T9" s="585">
        <v>2.5</v>
      </c>
      <c r="U9" s="585">
        <v>3.5</v>
      </c>
      <c r="V9" s="589"/>
      <c r="W9" s="590"/>
      <c r="X9" s="588"/>
      <c r="Y9" s="586" t="s">
        <v>261</v>
      </c>
      <c r="Z9" s="585"/>
      <c r="AA9" s="591">
        <v>1.75</v>
      </c>
      <c r="AB9" s="589"/>
      <c r="AC9" s="590"/>
      <c r="AD9" s="588"/>
      <c r="AE9" s="586" t="s">
        <v>261</v>
      </c>
      <c r="AF9" s="585">
        <v>2.5</v>
      </c>
      <c r="AG9" s="585">
        <v>3.25</v>
      </c>
      <c r="AH9" s="589"/>
      <c r="AI9" s="590"/>
      <c r="AJ9" s="588"/>
      <c r="AK9" s="588"/>
      <c r="AL9" s="593"/>
    </row>
    <row r="10">
      <c r="A10" s="578">
        <v>5.0</v>
      </c>
      <c r="B10" s="579" t="s">
        <v>88</v>
      </c>
      <c r="C10" s="580">
        <f t="shared" si="1"/>
        <v>19</v>
      </c>
      <c r="D10" s="594">
        <f t="shared" si="2"/>
        <v>2</v>
      </c>
      <c r="E10" s="595">
        <f t="shared" si="3"/>
        <v>5</v>
      </c>
      <c r="F10" s="596">
        <f t="shared" si="4"/>
        <v>14</v>
      </c>
      <c r="G10" s="584" t="s">
        <v>261</v>
      </c>
      <c r="H10" s="590"/>
      <c r="I10" s="585">
        <v>3.25</v>
      </c>
      <c r="J10" s="586"/>
      <c r="K10" s="590"/>
      <c r="L10" s="588"/>
      <c r="M10" s="584" t="s">
        <v>271</v>
      </c>
      <c r="N10" s="590"/>
      <c r="O10" s="585">
        <v>0.25</v>
      </c>
      <c r="P10" s="589"/>
      <c r="Q10" s="590"/>
      <c r="R10" s="588"/>
      <c r="S10" s="586" t="s">
        <v>261</v>
      </c>
      <c r="T10" s="590"/>
      <c r="U10" s="585">
        <v>3.0</v>
      </c>
      <c r="V10" s="586"/>
      <c r="W10" s="590"/>
      <c r="X10" s="587"/>
      <c r="Y10" s="586" t="s">
        <v>269</v>
      </c>
      <c r="Z10" s="585">
        <v>2.5</v>
      </c>
      <c r="AA10" s="585">
        <v>4.0</v>
      </c>
      <c r="AB10" s="589"/>
      <c r="AC10" s="590"/>
      <c r="AD10" s="588"/>
      <c r="AE10" s="586" t="s">
        <v>271</v>
      </c>
      <c r="AF10" s="585">
        <v>2.5</v>
      </c>
      <c r="AG10" s="585">
        <v>3.5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95</v>
      </c>
      <c r="C11" s="580">
        <f t="shared" si="1"/>
        <v>18.75</v>
      </c>
      <c r="D11" s="594">
        <f t="shared" si="2"/>
        <v>2</v>
      </c>
      <c r="E11" s="595">
        <f t="shared" si="3"/>
        <v>5</v>
      </c>
      <c r="F11" s="596">
        <f t="shared" si="4"/>
        <v>13.75</v>
      </c>
      <c r="G11" s="584" t="s">
        <v>261</v>
      </c>
      <c r="H11" s="590"/>
      <c r="I11" s="585">
        <v>1.75</v>
      </c>
      <c r="J11" s="586"/>
      <c r="K11" s="590"/>
      <c r="L11" s="588"/>
      <c r="M11" s="584" t="s">
        <v>261</v>
      </c>
      <c r="N11" s="590"/>
      <c r="O11" s="585">
        <v>2.0</v>
      </c>
      <c r="P11" s="586"/>
      <c r="Q11" s="590"/>
      <c r="R11" s="588"/>
      <c r="S11" s="586" t="s">
        <v>271</v>
      </c>
      <c r="T11" s="590"/>
      <c r="U11" s="585">
        <v>3.0</v>
      </c>
      <c r="V11" s="586"/>
      <c r="W11" s="590"/>
      <c r="X11" s="588"/>
      <c r="Y11" s="586" t="s">
        <v>269</v>
      </c>
      <c r="Z11" s="585">
        <v>2.5</v>
      </c>
      <c r="AA11" s="591">
        <v>3.0</v>
      </c>
      <c r="AB11" s="589"/>
      <c r="AC11" s="590"/>
      <c r="AD11" s="588"/>
      <c r="AE11" s="586" t="s">
        <v>261</v>
      </c>
      <c r="AF11" s="585">
        <v>2.5</v>
      </c>
      <c r="AG11" s="585">
        <v>4.0</v>
      </c>
      <c r="AH11" s="589"/>
      <c r="AI11" s="590"/>
      <c r="AJ11" s="588"/>
      <c r="AK11" s="599"/>
      <c r="AL11" s="593"/>
    </row>
    <row r="12">
      <c r="A12" s="578">
        <v>7.0</v>
      </c>
      <c r="B12" s="579" t="s">
        <v>90</v>
      </c>
      <c r="C12" s="580">
        <f t="shared" si="1"/>
        <v>18</v>
      </c>
      <c r="D12" s="594">
        <f t="shared" si="2"/>
        <v>2</v>
      </c>
      <c r="E12" s="595">
        <f t="shared" si="3"/>
        <v>5</v>
      </c>
      <c r="F12" s="596">
        <f t="shared" si="4"/>
        <v>13</v>
      </c>
      <c r="G12" s="584" t="s">
        <v>269</v>
      </c>
      <c r="H12" s="597">
        <v>2.5</v>
      </c>
      <c r="I12" s="585">
        <v>3.0</v>
      </c>
      <c r="J12" s="586"/>
      <c r="K12" s="590"/>
      <c r="L12" s="588"/>
      <c r="M12" s="584" t="s">
        <v>261</v>
      </c>
      <c r="N12" s="598"/>
      <c r="O12" s="585">
        <v>2.25</v>
      </c>
      <c r="P12" s="589"/>
      <c r="Q12" s="590"/>
      <c r="R12" s="588"/>
      <c r="S12" s="586" t="s">
        <v>265</v>
      </c>
      <c r="T12" s="597">
        <v>2.5</v>
      </c>
      <c r="U12" s="585">
        <v>4.25</v>
      </c>
      <c r="V12" s="586"/>
      <c r="W12" s="590"/>
      <c r="X12" s="588"/>
      <c r="Y12" s="586" t="s">
        <v>261</v>
      </c>
      <c r="Z12" s="598"/>
      <c r="AA12" s="591">
        <v>1.5</v>
      </c>
      <c r="AB12" s="586"/>
      <c r="AC12" s="585"/>
      <c r="AD12" s="587"/>
      <c r="AE12" s="586" t="s">
        <v>269</v>
      </c>
      <c r="AF12" s="598"/>
      <c r="AG12" s="585">
        <v>2.0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115</v>
      </c>
      <c r="C13" s="580">
        <f t="shared" si="1"/>
        <v>17.25</v>
      </c>
      <c r="D13" s="594">
        <f t="shared" si="2"/>
        <v>2</v>
      </c>
      <c r="E13" s="595">
        <f t="shared" si="3"/>
        <v>5</v>
      </c>
      <c r="F13" s="596">
        <f t="shared" si="4"/>
        <v>12.25</v>
      </c>
      <c r="G13" s="584" t="s">
        <v>261</v>
      </c>
      <c r="H13" s="598"/>
      <c r="I13" s="585">
        <v>2.0</v>
      </c>
      <c r="J13" s="586"/>
      <c r="K13" s="590"/>
      <c r="L13" s="588"/>
      <c r="M13" s="584" t="s">
        <v>261</v>
      </c>
      <c r="N13" s="598"/>
      <c r="O13" s="585">
        <v>3.5</v>
      </c>
      <c r="P13" s="589"/>
      <c r="Q13" s="590"/>
      <c r="R13" s="588"/>
      <c r="S13" s="586" t="s">
        <v>269</v>
      </c>
      <c r="T13" s="597">
        <v>2.5</v>
      </c>
      <c r="U13" s="585">
        <v>2.75</v>
      </c>
      <c r="V13" s="586"/>
      <c r="W13" s="590"/>
      <c r="X13" s="588"/>
      <c r="Y13" s="586" t="s">
        <v>271</v>
      </c>
      <c r="Z13" s="598"/>
      <c r="AA13" s="591">
        <v>1.75</v>
      </c>
      <c r="AB13" s="589"/>
      <c r="AC13" s="590"/>
      <c r="AD13" s="588"/>
      <c r="AE13" s="586" t="s">
        <v>261</v>
      </c>
      <c r="AF13" s="597">
        <v>2.5</v>
      </c>
      <c r="AG13" s="585">
        <v>2.25</v>
      </c>
      <c r="AH13" s="586" t="s">
        <v>260</v>
      </c>
      <c r="AI13" s="590"/>
      <c r="AJ13" s="587"/>
      <c r="AK13" s="588"/>
      <c r="AL13" s="593"/>
    </row>
    <row r="14">
      <c r="A14" s="578">
        <v>9.0</v>
      </c>
      <c r="B14" s="579" t="s">
        <v>96</v>
      </c>
      <c r="C14" s="580">
        <f t="shared" si="1"/>
        <v>14.25</v>
      </c>
      <c r="D14" s="594">
        <f t="shared" si="2"/>
        <v>1</v>
      </c>
      <c r="E14" s="595">
        <f t="shared" si="3"/>
        <v>2.5</v>
      </c>
      <c r="F14" s="596">
        <f t="shared" si="4"/>
        <v>11.75</v>
      </c>
      <c r="G14" s="584" t="s">
        <v>271</v>
      </c>
      <c r="H14" s="590"/>
      <c r="I14" s="585">
        <v>2.0</v>
      </c>
      <c r="J14" s="586" t="s">
        <v>11</v>
      </c>
      <c r="K14" s="590"/>
      <c r="L14" s="587">
        <v>0.5</v>
      </c>
      <c r="M14" s="584" t="s">
        <v>261</v>
      </c>
      <c r="N14" s="590"/>
      <c r="O14" s="585">
        <v>2.5</v>
      </c>
      <c r="P14" s="589"/>
      <c r="Q14" s="590"/>
      <c r="R14" s="588"/>
      <c r="S14" s="586" t="s">
        <v>261</v>
      </c>
      <c r="T14" s="590"/>
      <c r="U14" s="585">
        <v>2.25</v>
      </c>
      <c r="V14" s="586"/>
      <c r="W14" s="590"/>
      <c r="X14" s="587"/>
      <c r="Y14" s="586" t="s">
        <v>261</v>
      </c>
      <c r="Z14" s="590"/>
      <c r="AA14" s="585">
        <v>1.75</v>
      </c>
      <c r="AB14" s="589"/>
      <c r="AC14" s="590"/>
      <c r="AD14" s="588"/>
      <c r="AE14" s="586" t="s">
        <v>261</v>
      </c>
      <c r="AF14" s="585">
        <v>2.5</v>
      </c>
      <c r="AG14" s="585">
        <v>2.75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127</v>
      </c>
      <c r="C15" s="580">
        <f t="shared" si="1"/>
        <v>7.75</v>
      </c>
      <c r="D15" s="603">
        <f t="shared" si="2"/>
        <v>0</v>
      </c>
      <c r="E15" s="604">
        <f t="shared" si="3"/>
        <v>0</v>
      </c>
      <c r="F15" s="605">
        <f t="shared" si="4"/>
        <v>7.75</v>
      </c>
      <c r="G15" s="606" t="s">
        <v>261</v>
      </c>
      <c r="H15" s="609"/>
      <c r="I15" s="607">
        <v>1.75</v>
      </c>
      <c r="J15" s="611"/>
      <c r="K15" s="609"/>
      <c r="L15" s="610"/>
      <c r="M15" s="606" t="s">
        <v>261</v>
      </c>
      <c r="N15" s="609"/>
      <c r="O15" s="607">
        <v>1.25</v>
      </c>
      <c r="P15" s="611"/>
      <c r="Q15" s="607"/>
      <c r="R15" s="612"/>
      <c r="S15" s="611" t="s">
        <v>261</v>
      </c>
      <c r="T15" s="609"/>
      <c r="U15" s="607">
        <v>1.0</v>
      </c>
      <c r="V15" s="608"/>
      <c r="W15" s="609"/>
      <c r="X15" s="610"/>
      <c r="Y15" s="611" t="s">
        <v>261</v>
      </c>
      <c r="Z15" s="609"/>
      <c r="AA15" s="634">
        <v>2.0</v>
      </c>
      <c r="AB15" s="611" t="s">
        <v>11</v>
      </c>
      <c r="AC15" s="609"/>
      <c r="AD15" s="612">
        <v>0.5</v>
      </c>
      <c r="AE15" s="611" t="s">
        <v>265</v>
      </c>
      <c r="AF15" s="609"/>
      <c r="AG15" s="607">
        <v>1.25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264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116</v>
      </c>
      <c r="C6" s="580">
        <f t="shared" ref="C6:C15" si="1">SUM(H6:AK6)</f>
        <v>25.25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15.25</v>
      </c>
      <c r="G6" s="584" t="s">
        <v>265</v>
      </c>
      <c r="H6" s="597">
        <v>2.5</v>
      </c>
      <c r="I6" s="585">
        <v>2.25</v>
      </c>
      <c r="J6" s="586"/>
      <c r="K6" s="590"/>
      <c r="L6" s="588"/>
      <c r="M6" s="584" t="s">
        <v>261</v>
      </c>
      <c r="N6" s="597">
        <v>2.5</v>
      </c>
      <c r="O6" s="585">
        <v>2.5</v>
      </c>
      <c r="P6" s="589"/>
      <c r="Q6" s="590"/>
      <c r="R6" s="588"/>
      <c r="S6" s="586" t="s">
        <v>261</v>
      </c>
      <c r="T6" s="597">
        <v>2.5</v>
      </c>
      <c r="U6" s="585">
        <v>4.0</v>
      </c>
      <c r="V6" s="586" t="s">
        <v>260</v>
      </c>
      <c r="W6" s="590"/>
      <c r="X6" s="588"/>
      <c r="Y6" s="586" t="s">
        <v>261</v>
      </c>
      <c r="Z6" s="597">
        <v>2.5</v>
      </c>
      <c r="AA6" s="591">
        <v>4.0</v>
      </c>
      <c r="AB6" s="586" t="s">
        <v>260</v>
      </c>
      <c r="AC6" s="590"/>
      <c r="AD6" s="588"/>
      <c r="AE6" s="586" t="s">
        <v>271</v>
      </c>
      <c r="AF6" s="598"/>
      <c r="AG6" s="585">
        <v>2.0</v>
      </c>
      <c r="AH6" s="586" t="s">
        <v>11</v>
      </c>
      <c r="AI6" s="590"/>
      <c r="AJ6" s="587">
        <v>0.5</v>
      </c>
      <c r="AK6" s="592"/>
      <c r="AL6" s="593"/>
    </row>
    <row r="7" ht="23.25" customHeight="1">
      <c r="A7" s="578">
        <v>2.0</v>
      </c>
      <c r="B7" s="579" t="s">
        <v>84</v>
      </c>
      <c r="C7" s="580">
        <f t="shared" si="1"/>
        <v>17.75</v>
      </c>
      <c r="D7" s="594">
        <f t="shared" si="2"/>
        <v>2</v>
      </c>
      <c r="E7" s="595">
        <f t="shared" si="3"/>
        <v>5</v>
      </c>
      <c r="F7" s="596">
        <f t="shared" si="4"/>
        <v>12.75</v>
      </c>
      <c r="G7" s="584" t="s">
        <v>261</v>
      </c>
      <c r="H7" s="598"/>
      <c r="I7" s="585">
        <v>1.5</v>
      </c>
      <c r="J7" s="586"/>
      <c r="K7" s="590"/>
      <c r="L7" s="588"/>
      <c r="M7" s="584" t="s">
        <v>265</v>
      </c>
      <c r="N7" s="598"/>
      <c r="O7" s="585">
        <v>1.5</v>
      </c>
      <c r="P7" s="589"/>
      <c r="Q7" s="590"/>
      <c r="R7" s="588"/>
      <c r="S7" s="586" t="s">
        <v>265</v>
      </c>
      <c r="T7" s="598"/>
      <c r="U7" s="585">
        <v>3.0</v>
      </c>
      <c r="V7" s="586"/>
      <c r="W7" s="590"/>
      <c r="X7" s="588"/>
      <c r="Y7" s="586" t="s">
        <v>261</v>
      </c>
      <c r="Z7" s="597">
        <v>2.5</v>
      </c>
      <c r="AA7" s="591">
        <v>2.75</v>
      </c>
      <c r="AB7" s="586"/>
      <c r="AC7" s="585"/>
      <c r="AD7" s="587"/>
      <c r="AE7" s="586" t="s">
        <v>269</v>
      </c>
      <c r="AF7" s="597">
        <v>2.5</v>
      </c>
      <c r="AG7" s="585">
        <v>4.0</v>
      </c>
      <c r="AH7" s="586"/>
      <c r="AI7" s="590"/>
      <c r="AJ7" s="587"/>
      <c r="AK7" s="588"/>
      <c r="AL7" s="593"/>
    </row>
    <row r="8">
      <c r="A8" s="578">
        <v>3.0</v>
      </c>
      <c r="B8" s="579" t="s">
        <v>98</v>
      </c>
      <c r="C8" s="580">
        <f t="shared" si="1"/>
        <v>22.25</v>
      </c>
      <c r="D8" s="594">
        <f t="shared" si="2"/>
        <v>3</v>
      </c>
      <c r="E8" s="595">
        <f t="shared" si="3"/>
        <v>7.5</v>
      </c>
      <c r="F8" s="596">
        <f t="shared" si="4"/>
        <v>14.75</v>
      </c>
      <c r="G8" s="584" t="s">
        <v>269</v>
      </c>
      <c r="H8" s="585">
        <v>2.5</v>
      </c>
      <c r="I8" s="585">
        <v>3.25</v>
      </c>
      <c r="J8" s="589"/>
      <c r="K8" s="590"/>
      <c r="L8" s="588"/>
      <c r="M8" s="584" t="s">
        <v>271</v>
      </c>
      <c r="N8" s="585">
        <v>2.5</v>
      </c>
      <c r="O8" s="585">
        <v>3.5</v>
      </c>
      <c r="P8" s="589"/>
      <c r="Q8" s="590"/>
      <c r="R8" s="588"/>
      <c r="S8" s="586" t="s">
        <v>261</v>
      </c>
      <c r="T8" s="585">
        <v>2.5</v>
      </c>
      <c r="U8" s="585">
        <v>3.0</v>
      </c>
      <c r="V8" s="586"/>
      <c r="W8" s="590"/>
      <c r="X8" s="587"/>
      <c r="Y8" s="586" t="s">
        <v>269</v>
      </c>
      <c r="Z8" s="590"/>
      <c r="AA8" s="585">
        <v>2.5</v>
      </c>
      <c r="AB8" s="586" t="s">
        <v>263</v>
      </c>
      <c r="AC8" s="590"/>
      <c r="AD8" s="588"/>
      <c r="AE8" s="586" t="s">
        <v>261</v>
      </c>
      <c r="AF8" s="590"/>
      <c r="AG8" s="585">
        <v>2.5</v>
      </c>
      <c r="AH8" s="589"/>
      <c r="AI8" s="590"/>
      <c r="AJ8" s="588"/>
      <c r="AK8" s="588"/>
      <c r="AL8" s="593"/>
    </row>
    <row r="9">
      <c r="A9" s="578">
        <v>4.0</v>
      </c>
      <c r="B9" s="579" t="s">
        <v>127</v>
      </c>
      <c r="C9" s="580">
        <f t="shared" si="1"/>
        <v>12.5</v>
      </c>
      <c r="D9" s="594">
        <f t="shared" si="2"/>
        <v>1</v>
      </c>
      <c r="E9" s="595">
        <f t="shared" si="3"/>
        <v>2.5</v>
      </c>
      <c r="F9" s="596">
        <f t="shared" si="4"/>
        <v>10</v>
      </c>
      <c r="G9" s="584" t="s">
        <v>261</v>
      </c>
      <c r="H9" s="590"/>
      <c r="I9" s="585">
        <v>2.25</v>
      </c>
      <c r="J9" s="586"/>
      <c r="K9" s="590"/>
      <c r="L9" s="588"/>
      <c r="M9" s="584" t="s">
        <v>269</v>
      </c>
      <c r="N9" s="590"/>
      <c r="O9" s="585">
        <v>2.0</v>
      </c>
      <c r="P9" s="586"/>
      <c r="Q9" s="590"/>
      <c r="R9" s="588"/>
      <c r="S9" s="586" t="s">
        <v>261</v>
      </c>
      <c r="T9" s="585">
        <v>2.5</v>
      </c>
      <c r="U9" s="585">
        <v>2.0</v>
      </c>
      <c r="V9" s="586"/>
      <c r="W9" s="590"/>
      <c r="X9" s="588"/>
      <c r="Y9" s="586" t="s">
        <v>265</v>
      </c>
      <c r="Z9" s="590"/>
      <c r="AA9" s="591">
        <v>1.5</v>
      </c>
      <c r="AB9" s="589"/>
      <c r="AC9" s="590"/>
      <c r="AD9" s="588"/>
      <c r="AE9" s="586" t="s">
        <v>261</v>
      </c>
      <c r="AF9" s="590"/>
      <c r="AG9" s="585">
        <v>2.25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110</v>
      </c>
      <c r="C10" s="580">
        <f t="shared" si="1"/>
        <v>20.5</v>
      </c>
      <c r="D10" s="594">
        <f t="shared" si="2"/>
        <v>3</v>
      </c>
      <c r="E10" s="595">
        <f t="shared" si="3"/>
        <v>7.5</v>
      </c>
      <c r="F10" s="596">
        <f t="shared" si="4"/>
        <v>13</v>
      </c>
      <c r="G10" s="584" t="s">
        <v>261</v>
      </c>
      <c r="H10" s="590"/>
      <c r="I10" s="585">
        <v>2.5</v>
      </c>
      <c r="J10" s="589"/>
      <c r="K10" s="590"/>
      <c r="L10" s="588"/>
      <c r="M10" s="584" t="s">
        <v>261</v>
      </c>
      <c r="N10" s="585">
        <v>2.5</v>
      </c>
      <c r="O10" s="585">
        <v>3.75</v>
      </c>
      <c r="P10" s="586"/>
      <c r="Q10" s="590"/>
      <c r="R10" s="587"/>
      <c r="S10" s="586" t="s">
        <v>261</v>
      </c>
      <c r="T10" s="585">
        <v>2.5</v>
      </c>
      <c r="U10" s="585">
        <v>2.5</v>
      </c>
      <c r="V10" s="586"/>
      <c r="W10" s="590"/>
      <c r="X10" s="588"/>
      <c r="Y10" s="586" t="s">
        <v>261</v>
      </c>
      <c r="Z10" s="585">
        <v>2.5</v>
      </c>
      <c r="AA10" s="591">
        <v>2.25</v>
      </c>
      <c r="AB10" s="586"/>
      <c r="AC10" s="590"/>
      <c r="AD10" s="587"/>
      <c r="AE10" s="586" t="s">
        <v>261</v>
      </c>
      <c r="AF10" s="590"/>
      <c r="AG10" s="585">
        <v>2.0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117</v>
      </c>
      <c r="C11" s="580">
        <f t="shared" si="1"/>
        <v>17</v>
      </c>
      <c r="D11" s="594">
        <f t="shared" si="2"/>
        <v>2</v>
      </c>
      <c r="E11" s="595">
        <f t="shared" si="3"/>
        <v>5</v>
      </c>
      <c r="F11" s="596">
        <f t="shared" si="4"/>
        <v>12</v>
      </c>
      <c r="G11" s="584" t="s">
        <v>261</v>
      </c>
      <c r="H11" s="590"/>
      <c r="I11" s="585">
        <v>2.25</v>
      </c>
      <c r="J11" s="586"/>
      <c r="K11" s="590"/>
      <c r="L11" s="588"/>
      <c r="M11" s="584" t="s">
        <v>261</v>
      </c>
      <c r="N11" s="585">
        <v>2.5</v>
      </c>
      <c r="O11" s="585">
        <v>2.5</v>
      </c>
      <c r="P11" s="586"/>
      <c r="Q11" s="585"/>
      <c r="R11" s="587"/>
      <c r="S11" s="586" t="s">
        <v>271</v>
      </c>
      <c r="T11" s="585">
        <v>2.5</v>
      </c>
      <c r="U11" s="585">
        <v>2.25</v>
      </c>
      <c r="V11" s="586" t="s">
        <v>11</v>
      </c>
      <c r="W11" s="590"/>
      <c r="X11" s="587">
        <v>0.5</v>
      </c>
      <c r="Y11" s="586" t="s">
        <v>269</v>
      </c>
      <c r="Z11" s="590"/>
      <c r="AA11" s="591">
        <v>2.5</v>
      </c>
      <c r="AB11" s="589"/>
      <c r="AC11" s="590"/>
      <c r="AD11" s="588"/>
      <c r="AE11" s="586" t="s">
        <v>261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132</v>
      </c>
      <c r="C12" s="580">
        <f t="shared" si="1"/>
        <v>19.75</v>
      </c>
      <c r="D12" s="594">
        <f t="shared" si="2"/>
        <v>2</v>
      </c>
      <c r="E12" s="595">
        <f t="shared" si="3"/>
        <v>5</v>
      </c>
      <c r="F12" s="596">
        <f t="shared" si="4"/>
        <v>14.75</v>
      </c>
      <c r="G12" s="584" t="s">
        <v>261</v>
      </c>
      <c r="H12" s="590"/>
      <c r="I12" s="585">
        <v>2.5</v>
      </c>
      <c r="J12" s="586" t="s">
        <v>11</v>
      </c>
      <c r="K12" s="585"/>
      <c r="L12" s="587">
        <v>0.5</v>
      </c>
      <c r="M12" s="584" t="s">
        <v>269</v>
      </c>
      <c r="N12" s="590"/>
      <c r="O12" s="600">
        <v>1.75</v>
      </c>
      <c r="P12" s="589"/>
      <c r="Q12" s="590"/>
      <c r="R12" s="588"/>
      <c r="S12" s="586" t="s">
        <v>261</v>
      </c>
      <c r="T12" s="585">
        <v>2.5</v>
      </c>
      <c r="U12" s="585">
        <v>4.5</v>
      </c>
      <c r="V12" s="586" t="s">
        <v>260</v>
      </c>
      <c r="W12" s="590"/>
      <c r="X12" s="587"/>
      <c r="Y12" s="586" t="s">
        <v>261</v>
      </c>
      <c r="Z12" s="585">
        <v>2.5</v>
      </c>
      <c r="AA12" s="585">
        <v>2.0</v>
      </c>
      <c r="AB12" s="586" t="s">
        <v>11</v>
      </c>
      <c r="AC12" s="590"/>
      <c r="AD12" s="587">
        <v>1.0</v>
      </c>
      <c r="AE12" s="586" t="s">
        <v>261</v>
      </c>
      <c r="AF12" s="590"/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133</v>
      </c>
      <c r="C13" s="580">
        <f t="shared" si="1"/>
        <v>25</v>
      </c>
      <c r="D13" s="594">
        <f t="shared" si="2"/>
        <v>4</v>
      </c>
      <c r="E13" s="595">
        <f t="shared" si="3"/>
        <v>10</v>
      </c>
      <c r="F13" s="596">
        <f t="shared" si="4"/>
        <v>15</v>
      </c>
      <c r="G13" s="584" t="s">
        <v>261</v>
      </c>
      <c r="H13" s="598"/>
      <c r="I13" s="585">
        <v>2.0</v>
      </c>
      <c r="J13" s="586"/>
      <c r="K13" s="585"/>
      <c r="L13" s="588"/>
      <c r="M13" s="584" t="s">
        <v>261</v>
      </c>
      <c r="N13" s="597">
        <v>2.5</v>
      </c>
      <c r="O13" s="585">
        <v>3.0</v>
      </c>
      <c r="P13" s="586" t="s">
        <v>11</v>
      </c>
      <c r="Q13" s="585">
        <v>0.5</v>
      </c>
      <c r="R13" s="587">
        <v>0.5</v>
      </c>
      <c r="S13" s="586" t="s">
        <v>261</v>
      </c>
      <c r="T13" s="597">
        <v>2.5</v>
      </c>
      <c r="U13" s="585">
        <v>2.25</v>
      </c>
      <c r="V13" s="586"/>
      <c r="W13" s="590"/>
      <c r="X13" s="588"/>
      <c r="Y13" s="586" t="s">
        <v>271</v>
      </c>
      <c r="Z13" s="597">
        <v>2.5</v>
      </c>
      <c r="AA13" s="591">
        <v>3.5</v>
      </c>
      <c r="AB13" s="589"/>
      <c r="AC13" s="590"/>
      <c r="AD13" s="588"/>
      <c r="AE13" s="586" t="s">
        <v>265</v>
      </c>
      <c r="AF13" s="597">
        <v>2.5</v>
      </c>
      <c r="AG13" s="585">
        <v>3.25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281</v>
      </c>
      <c r="C14" s="580">
        <f t="shared" si="1"/>
        <v>18</v>
      </c>
      <c r="D14" s="594">
        <f t="shared" si="2"/>
        <v>2</v>
      </c>
      <c r="E14" s="595">
        <f t="shared" si="3"/>
        <v>5</v>
      </c>
      <c r="F14" s="596">
        <f t="shared" si="4"/>
        <v>13</v>
      </c>
      <c r="G14" s="584" t="s">
        <v>271</v>
      </c>
      <c r="H14" s="590"/>
      <c r="I14" s="585">
        <v>1.75</v>
      </c>
      <c r="J14" s="586"/>
      <c r="K14" s="585"/>
      <c r="L14" s="587"/>
      <c r="M14" s="584" t="s">
        <v>261</v>
      </c>
      <c r="N14" s="585">
        <v>2.5</v>
      </c>
      <c r="O14" s="585">
        <v>3.25</v>
      </c>
      <c r="P14" s="586"/>
      <c r="Q14" s="585"/>
      <c r="R14" s="588"/>
      <c r="S14" s="586" t="s">
        <v>269</v>
      </c>
      <c r="T14" s="590"/>
      <c r="U14" s="585">
        <v>2.5</v>
      </c>
      <c r="V14" s="586" t="s">
        <v>263</v>
      </c>
      <c r="W14" s="590"/>
      <c r="X14" s="588"/>
      <c r="Y14" s="586" t="s">
        <v>261</v>
      </c>
      <c r="Z14" s="585">
        <v>2.5</v>
      </c>
      <c r="AA14" s="591">
        <v>3.75</v>
      </c>
      <c r="AB14" s="586" t="s">
        <v>260</v>
      </c>
      <c r="AC14" s="590"/>
      <c r="AD14" s="588"/>
      <c r="AE14" s="586" t="s">
        <v>261</v>
      </c>
      <c r="AF14" s="590"/>
      <c r="AG14" s="585">
        <v>1.75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138</v>
      </c>
      <c r="C15" s="580">
        <f t="shared" si="1"/>
        <v>26</v>
      </c>
      <c r="D15" s="603">
        <f t="shared" si="2"/>
        <v>4</v>
      </c>
      <c r="E15" s="604">
        <f t="shared" si="3"/>
        <v>10</v>
      </c>
      <c r="F15" s="605">
        <f t="shared" si="4"/>
        <v>16</v>
      </c>
      <c r="G15" s="606" t="s">
        <v>269</v>
      </c>
      <c r="H15" s="607">
        <v>2.5</v>
      </c>
      <c r="I15" s="607">
        <v>3.5</v>
      </c>
      <c r="J15" s="608"/>
      <c r="K15" s="609"/>
      <c r="L15" s="610"/>
      <c r="M15" s="606" t="s">
        <v>261</v>
      </c>
      <c r="N15" s="607">
        <v>2.5</v>
      </c>
      <c r="O15" s="607">
        <v>3.5</v>
      </c>
      <c r="P15" s="608"/>
      <c r="Q15" s="609"/>
      <c r="R15" s="610"/>
      <c r="S15" s="611" t="s">
        <v>269</v>
      </c>
      <c r="T15" s="609"/>
      <c r="U15" s="607">
        <v>2.5</v>
      </c>
      <c r="V15" s="611"/>
      <c r="W15" s="609"/>
      <c r="X15" s="610"/>
      <c r="Y15" s="611" t="s">
        <v>261</v>
      </c>
      <c r="Z15" s="607">
        <v>2.5</v>
      </c>
      <c r="AA15" s="634">
        <v>3.25</v>
      </c>
      <c r="AB15" s="608"/>
      <c r="AC15" s="609"/>
      <c r="AD15" s="610"/>
      <c r="AE15" s="611" t="s">
        <v>269</v>
      </c>
      <c r="AF15" s="607">
        <v>2.5</v>
      </c>
      <c r="AG15" s="607">
        <v>3.25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132</v>
      </c>
      <c r="C26" s="631" t="s">
        <v>292</v>
      </c>
      <c r="D26" s="630">
        <v>1.0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122</v>
      </c>
      <c r="C6" s="580">
        <f t="shared" ref="C6:C15" si="1">SUM(H6:AK6)</f>
        <v>28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18</v>
      </c>
      <c r="G6" s="584" t="s">
        <v>269</v>
      </c>
      <c r="H6" s="590"/>
      <c r="I6" s="585">
        <v>2.75</v>
      </c>
      <c r="J6" s="586" t="s">
        <v>263</v>
      </c>
      <c r="K6" s="590"/>
      <c r="L6" s="588"/>
      <c r="M6" s="584" t="s">
        <v>261</v>
      </c>
      <c r="N6" s="585">
        <v>2.5</v>
      </c>
      <c r="O6" s="585">
        <v>4.0</v>
      </c>
      <c r="P6" s="586"/>
      <c r="Q6" s="590"/>
      <c r="R6" s="588"/>
      <c r="S6" s="586" t="s">
        <v>261</v>
      </c>
      <c r="T6" s="585">
        <v>2.5</v>
      </c>
      <c r="U6" s="585">
        <v>3.75</v>
      </c>
      <c r="V6" s="586"/>
      <c r="W6" s="590"/>
      <c r="X6" s="588"/>
      <c r="Y6" s="586" t="s">
        <v>271</v>
      </c>
      <c r="Z6" s="585">
        <v>2.5</v>
      </c>
      <c r="AA6" s="591">
        <v>3.75</v>
      </c>
      <c r="AB6" s="586" t="s">
        <v>260</v>
      </c>
      <c r="AC6" s="590"/>
      <c r="AD6" s="588"/>
      <c r="AE6" s="586" t="s">
        <v>269</v>
      </c>
      <c r="AF6" s="585">
        <v>2.5</v>
      </c>
      <c r="AG6" s="585">
        <v>3.75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281</v>
      </c>
      <c r="C7" s="580">
        <f t="shared" si="1"/>
        <v>26.5</v>
      </c>
      <c r="D7" s="594">
        <f t="shared" si="2"/>
        <v>4</v>
      </c>
      <c r="E7" s="595">
        <f t="shared" si="3"/>
        <v>10</v>
      </c>
      <c r="F7" s="596">
        <f t="shared" si="4"/>
        <v>16.5</v>
      </c>
      <c r="G7" s="584" t="s">
        <v>261</v>
      </c>
      <c r="H7" s="597">
        <v>2.5</v>
      </c>
      <c r="I7" s="585">
        <v>4.25</v>
      </c>
      <c r="J7" s="586"/>
      <c r="K7" s="590"/>
      <c r="L7" s="588"/>
      <c r="M7" s="584" t="s">
        <v>261</v>
      </c>
      <c r="N7" s="597">
        <v>2.5</v>
      </c>
      <c r="O7" s="585">
        <v>4.0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/>
      <c r="W7" s="590"/>
      <c r="X7" s="588"/>
      <c r="Y7" s="586" t="s">
        <v>261</v>
      </c>
      <c r="Z7" s="597">
        <v>2.5</v>
      </c>
      <c r="AA7" s="591">
        <v>2.5</v>
      </c>
      <c r="AB7" s="586" t="s">
        <v>11</v>
      </c>
      <c r="AC7" s="590"/>
      <c r="AD7" s="587">
        <v>0.5</v>
      </c>
      <c r="AE7" s="586" t="s">
        <v>271</v>
      </c>
      <c r="AF7" s="598"/>
      <c r="AG7" s="585">
        <v>1.5</v>
      </c>
      <c r="AH7" s="586"/>
      <c r="AI7" s="590"/>
      <c r="AJ7" s="587"/>
      <c r="AK7" s="588"/>
      <c r="AL7" s="593"/>
    </row>
    <row r="8">
      <c r="A8" s="578">
        <v>3.0</v>
      </c>
      <c r="B8" s="579" t="s">
        <v>104</v>
      </c>
      <c r="C8" s="580">
        <f t="shared" si="1"/>
        <v>25.5</v>
      </c>
      <c r="D8" s="594">
        <f t="shared" si="2"/>
        <v>4</v>
      </c>
      <c r="E8" s="595">
        <f t="shared" si="3"/>
        <v>10</v>
      </c>
      <c r="F8" s="596">
        <f t="shared" si="4"/>
        <v>15.5</v>
      </c>
      <c r="G8" s="584" t="s">
        <v>261</v>
      </c>
      <c r="H8" s="585">
        <v>2.5</v>
      </c>
      <c r="I8" s="585">
        <v>3.5</v>
      </c>
      <c r="J8" s="586" t="s">
        <v>260</v>
      </c>
      <c r="K8" s="590"/>
      <c r="L8" s="588"/>
      <c r="M8" s="584" t="s">
        <v>261</v>
      </c>
      <c r="N8" s="585">
        <v>2.5</v>
      </c>
      <c r="O8" s="585">
        <v>2.25</v>
      </c>
      <c r="P8" s="589"/>
      <c r="Q8" s="590"/>
      <c r="R8" s="588"/>
      <c r="S8" s="586" t="s">
        <v>271</v>
      </c>
      <c r="T8" s="585">
        <v>2.5</v>
      </c>
      <c r="U8" s="585">
        <v>3.75</v>
      </c>
      <c r="V8" s="586"/>
      <c r="W8" s="590"/>
      <c r="X8" s="587"/>
      <c r="Y8" s="586" t="s">
        <v>261</v>
      </c>
      <c r="Z8" s="585">
        <v>2.5</v>
      </c>
      <c r="AA8" s="585">
        <v>3.0</v>
      </c>
      <c r="AB8" s="589"/>
      <c r="AC8" s="590"/>
      <c r="AD8" s="588"/>
      <c r="AE8" s="586" t="s">
        <v>261</v>
      </c>
      <c r="AF8" s="590"/>
      <c r="AG8" s="585">
        <v>2.5</v>
      </c>
      <c r="AH8" s="586" t="s">
        <v>11</v>
      </c>
      <c r="AI8" s="590"/>
      <c r="AJ8" s="587">
        <v>0.5</v>
      </c>
      <c r="AK8" s="588"/>
      <c r="AL8" s="593"/>
    </row>
    <row r="9">
      <c r="A9" s="578">
        <v>4.0</v>
      </c>
      <c r="B9" s="579" t="s">
        <v>92</v>
      </c>
      <c r="C9" s="580">
        <f t="shared" si="1"/>
        <v>25.25</v>
      </c>
      <c r="D9" s="594">
        <f t="shared" si="2"/>
        <v>4</v>
      </c>
      <c r="E9" s="595">
        <f t="shared" si="3"/>
        <v>10</v>
      </c>
      <c r="F9" s="596">
        <f t="shared" si="4"/>
        <v>15.25</v>
      </c>
      <c r="G9" s="584" t="s">
        <v>261</v>
      </c>
      <c r="H9" s="585">
        <v>2.5</v>
      </c>
      <c r="I9" s="585">
        <v>2.0</v>
      </c>
      <c r="J9" s="589"/>
      <c r="K9" s="590"/>
      <c r="L9" s="588"/>
      <c r="M9" s="584" t="s">
        <v>269</v>
      </c>
      <c r="N9" s="590"/>
      <c r="O9" s="585">
        <v>2.25</v>
      </c>
      <c r="P9" s="589"/>
      <c r="Q9" s="590"/>
      <c r="R9" s="588"/>
      <c r="S9" s="586" t="s">
        <v>261</v>
      </c>
      <c r="T9" s="585">
        <v>2.5</v>
      </c>
      <c r="U9" s="585">
        <v>2.5</v>
      </c>
      <c r="V9" s="586" t="s">
        <v>11</v>
      </c>
      <c r="W9" s="590"/>
      <c r="X9" s="587">
        <v>0.5</v>
      </c>
      <c r="Y9" s="586" t="s">
        <v>261</v>
      </c>
      <c r="Z9" s="585">
        <v>2.5</v>
      </c>
      <c r="AA9" s="591">
        <v>3.75</v>
      </c>
      <c r="AB9" s="586" t="s">
        <v>260</v>
      </c>
      <c r="AC9" s="590"/>
      <c r="AD9" s="588"/>
      <c r="AE9" s="586" t="s">
        <v>269</v>
      </c>
      <c r="AF9" s="585">
        <v>2.5</v>
      </c>
      <c r="AG9" s="585">
        <v>4.25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112</v>
      </c>
      <c r="C10" s="580">
        <f t="shared" si="1"/>
        <v>21.75</v>
      </c>
      <c r="D10" s="594">
        <f t="shared" si="2"/>
        <v>3</v>
      </c>
      <c r="E10" s="595">
        <f t="shared" si="3"/>
        <v>7.5</v>
      </c>
      <c r="F10" s="596">
        <f t="shared" si="4"/>
        <v>14.25</v>
      </c>
      <c r="G10" s="584" t="s">
        <v>271</v>
      </c>
      <c r="H10" s="585">
        <v>2.5</v>
      </c>
      <c r="I10" s="585">
        <v>2.0</v>
      </c>
      <c r="J10" s="586"/>
      <c r="K10" s="590"/>
      <c r="L10" s="588"/>
      <c r="M10" s="584" t="s">
        <v>261</v>
      </c>
      <c r="N10" s="585">
        <v>2.5</v>
      </c>
      <c r="O10" s="585">
        <v>4.25</v>
      </c>
      <c r="P10" s="586"/>
      <c r="Q10" s="585"/>
      <c r="R10" s="587"/>
      <c r="S10" s="586" t="s">
        <v>261</v>
      </c>
      <c r="T10" s="585">
        <v>2.5</v>
      </c>
      <c r="U10" s="585">
        <v>4.25</v>
      </c>
      <c r="V10" s="589"/>
      <c r="W10" s="590"/>
      <c r="X10" s="588"/>
      <c r="Y10" s="586" t="s">
        <v>269</v>
      </c>
      <c r="Z10" s="590"/>
      <c r="AA10" s="591">
        <v>1.75</v>
      </c>
      <c r="AB10" s="589"/>
      <c r="AC10" s="590"/>
      <c r="AD10" s="588"/>
      <c r="AE10" s="586" t="s">
        <v>261</v>
      </c>
      <c r="AF10" s="590"/>
      <c r="AG10" s="585">
        <v>2.0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137</v>
      </c>
      <c r="C11" s="580">
        <f t="shared" si="1"/>
        <v>20</v>
      </c>
      <c r="D11" s="594">
        <f t="shared" si="2"/>
        <v>3</v>
      </c>
      <c r="E11" s="595">
        <f t="shared" si="3"/>
        <v>7.5</v>
      </c>
      <c r="F11" s="596">
        <f t="shared" si="4"/>
        <v>12.5</v>
      </c>
      <c r="G11" s="584" t="s">
        <v>261</v>
      </c>
      <c r="H11" s="585">
        <v>2.5</v>
      </c>
      <c r="I11" s="585">
        <v>3.75</v>
      </c>
      <c r="J11" s="586" t="s">
        <v>260</v>
      </c>
      <c r="K11" s="585"/>
      <c r="L11" s="587"/>
      <c r="M11" s="584" t="s">
        <v>269</v>
      </c>
      <c r="N11" s="590"/>
      <c r="O11" s="638">
        <v>1.0</v>
      </c>
      <c r="P11" s="586"/>
      <c r="Q11" s="585"/>
      <c r="R11" s="588"/>
      <c r="S11" s="586" t="s">
        <v>261</v>
      </c>
      <c r="T11" s="585">
        <v>2.5</v>
      </c>
      <c r="U11" s="585">
        <v>3.75</v>
      </c>
      <c r="V11" s="589"/>
      <c r="W11" s="590"/>
      <c r="X11" s="588"/>
      <c r="Y11" s="586" t="s">
        <v>261</v>
      </c>
      <c r="Z11" s="585">
        <v>2.5</v>
      </c>
      <c r="AA11" s="591">
        <v>2.5</v>
      </c>
      <c r="AB11" s="589"/>
      <c r="AC11" s="590"/>
      <c r="AD11" s="588"/>
      <c r="AE11" s="586" t="s">
        <v>261</v>
      </c>
      <c r="AF11" s="590"/>
      <c r="AG11" s="585">
        <v>1.5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103</v>
      </c>
      <c r="C12" s="580">
        <f t="shared" si="1"/>
        <v>19</v>
      </c>
      <c r="D12" s="594">
        <f t="shared" si="2"/>
        <v>3</v>
      </c>
      <c r="E12" s="595">
        <f t="shared" si="3"/>
        <v>7.5</v>
      </c>
      <c r="F12" s="596">
        <f t="shared" si="4"/>
        <v>11.5</v>
      </c>
      <c r="G12" s="584" t="s">
        <v>269</v>
      </c>
      <c r="H12" s="590"/>
      <c r="I12" s="585">
        <v>2.25</v>
      </c>
      <c r="J12" s="589"/>
      <c r="K12" s="590"/>
      <c r="L12" s="588"/>
      <c r="M12" s="584" t="s">
        <v>265</v>
      </c>
      <c r="N12" s="590"/>
      <c r="O12" s="600">
        <v>2.0</v>
      </c>
      <c r="P12" s="586" t="s">
        <v>263</v>
      </c>
      <c r="Q12" s="590"/>
      <c r="R12" s="588"/>
      <c r="S12" s="586" t="s">
        <v>261</v>
      </c>
      <c r="T12" s="585">
        <v>2.5</v>
      </c>
      <c r="U12" s="585">
        <v>2.75</v>
      </c>
      <c r="V12" s="586"/>
      <c r="W12" s="590"/>
      <c r="X12" s="587"/>
      <c r="Y12" s="586" t="s">
        <v>261</v>
      </c>
      <c r="Z12" s="585">
        <v>2.5</v>
      </c>
      <c r="AA12" s="585">
        <v>2.5</v>
      </c>
      <c r="AB12" s="589"/>
      <c r="AC12" s="590"/>
      <c r="AD12" s="588"/>
      <c r="AE12" s="586" t="s">
        <v>265</v>
      </c>
      <c r="AF12" s="585">
        <v>2.5</v>
      </c>
      <c r="AG12" s="585">
        <v>2.0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105</v>
      </c>
      <c r="C13" s="580">
        <f t="shared" si="1"/>
        <v>17.25</v>
      </c>
      <c r="D13" s="594">
        <f t="shared" si="2"/>
        <v>2</v>
      </c>
      <c r="E13" s="595">
        <f t="shared" si="3"/>
        <v>5</v>
      </c>
      <c r="F13" s="596">
        <f t="shared" si="4"/>
        <v>12.25</v>
      </c>
      <c r="G13" s="584" t="s">
        <v>261</v>
      </c>
      <c r="H13" s="585">
        <v>2.5</v>
      </c>
      <c r="I13" s="585">
        <v>2.5</v>
      </c>
      <c r="J13" s="586" t="s">
        <v>11</v>
      </c>
      <c r="K13" s="590"/>
      <c r="L13" s="587">
        <v>0.5</v>
      </c>
      <c r="M13" s="584" t="s">
        <v>261</v>
      </c>
      <c r="N13" s="585">
        <v>2.5</v>
      </c>
      <c r="O13" s="585">
        <v>2.5</v>
      </c>
      <c r="P13" s="586" t="s">
        <v>260</v>
      </c>
      <c r="Q13" s="590"/>
      <c r="R13" s="587"/>
      <c r="S13" s="586" t="s">
        <v>265</v>
      </c>
      <c r="T13" s="590"/>
      <c r="U13" s="585">
        <v>1.25</v>
      </c>
      <c r="V13" s="586"/>
      <c r="W13" s="590"/>
      <c r="X13" s="588"/>
      <c r="Y13" s="586" t="s">
        <v>265</v>
      </c>
      <c r="Z13" s="590"/>
      <c r="AA13" s="591">
        <v>3.0</v>
      </c>
      <c r="AB13" s="586" t="s">
        <v>263</v>
      </c>
      <c r="AC13" s="590"/>
      <c r="AD13" s="587"/>
      <c r="AE13" s="586" t="s">
        <v>261</v>
      </c>
      <c r="AF13" s="590"/>
      <c r="AG13" s="585">
        <v>2.5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117</v>
      </c>
      <c r="C14" s="580">
        <f t="shared" si="1"/>
        <v>16.75</v>
      </c>
      <c r="D14" s="594">
        <f t="shared" si="2"/>
        <v>2</v>
      </c>
      <c r="E14" s="595">
        <f t="shared" si="3"/>
        <v>5</v>
      </c>
      <c r="F14" s="596">
        <f t="shared" si="4"/>
        <v>11.75</v>
      </c>
      <c r="G14" s="584" t="s">
        <v>265</v>
      </c>
      <c r="H14" s="598"/>
      <c r="I14" s="585">
        <v>3.25</v>
      </c>
      <c r="J14" s="586"/>
      <c r="K14" s="590"/>
      <c r="L14" s="588"/>
      <c r="M14" s="584" t="s">
        <v>261</v>
      </c>
      <c r="N14" s="597">
        <v>2.5</v>
      </c>
      <c r="O14" s="585">
        <v>2.5</v>
      </c>
      <c r="P14" s="586" t="s">
        <v>11</v>
      </c>
      <c r="Q14" s="590"/>
      <c r="R14" s="587">
        <v>0.5</v>
      </c>
      <c r="S14" s="586" t="s">
        <v>269</v>
      </c>
      <c r="T14" s="598"/>
      <c r="U14" s="585">
        <v>2.0</v>
      </c>
      <c r="V14" s="586"/>
      <c r="W14" s="590"/>
      <c r="X14" s="588"/>
      <c r="Y14" s="586" t="s">
        <v>261</v>
      </c>
      <c r="Z14" s="597">
        <v>2.5</v>
      </c>
      <c r="AA14" s="591">
        <v>2.0</v>
      </c>
      <c r="AB14" s="586"/>
      <c r="AC14" s="585"/>
      <c r="AD14" s="587"/>
      <c r="AE14" s="586" t="s">
        <v>261</v>
      </c>
      <c r="AF14" s="598"/>
      <c r="AG14" s="600">
        <v>1.5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84</v>
      </c>
      <c r="C15" s="580">
        <f t="shared" si="1"/>
        <v>15.75</v>
      </c>
      <c r="D15" s="603">
        <f t="shared" si="2"/>
        <v>2</v>
      </c>
      <c r="E15" s="604">
        <f t="shared" si="3"/>
        <v>5</v>
      </c>
      <c r="F15" s="605">
        <f t="shared" si="4"/>
        <v>10.75</v>
      </c>
      <c r="G15" s="606" t="s">
        <v>261</v>
      </c>
      <c r="H15" s="636">
        <v>2.5</v>
      </c>
      <c r="I15" s="607">
        <v>2.0</v>
      </c>
      <c r="J15" s="611"/>
      <c r="K15" s="607"/>
      <c r="L15" s="610"/>
      <c r="M15" s="606" t="s">
        <v>271</v>
      </c>
      <c r="N15" s="636">
        <v>2.5</v>
      </c>
      <c r="O15" s="613">
        <v>2.0</v>
      </c>
      <c r="P15" s="611" t="s">
        <v>260</v>
      </c>
      <c r="Q15" s="609"/>
      <c r="R15" s="610"/>
      <c r="S15" s="611" t="s">
        <v>269</v>
      </c>
      <c r="T15" s="635"/>
      <c r="U15" s="607">
        <v>2.5</v>
      </c>
      <c r="V15" s="611"/>
      <c r="W15" s="609"/>
      <c r="X15" s="610"/>
      <c r="Y15" s="611" t="s">
        <v>269</v>
      </c>
      <c r="Z15" s="635"/>
      <c r="AA15" s="634">
        <v>2.75</v>
      </c>
      <c r="AB15" s="608"/>
      <c r="AC15" s="609"/>
      <c r="AD15" s="610"/>
      <c r="AE15" s="611" t="s">
        <v>261</v>
      </c>
      <c r="AF15" s="635"/>
      <c r="AG15" s="607">
        <v>1.5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262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103</v>
      </c>
      <c r="C26" s="631" t="s">
        <v>16</v>
      </c>
      <c r="D26" s="630">
        <v>-0.5</v>
      </c>
      <c r="E26" s="632"/>
      <c r="F26" s="632"/>
      <c r="AK26" s="62"/>
    </row>
    <row r="27">
      <c r="A27" s="631">
        <v>2.0</v>
      </c>
      <c r="B27" s="631" t="s">
        <v>84</v>
      </c>
      <c r="C27" s="631" t="s">
        <v>16</v>
      </c>
      <c r="D27" s="631">
        <v>-0.5</v>
      </c>
      <c r="E27" s="62"/>
      <c r="F27" s="62"/>
      <c r="AK27" s="62"/>
    </row>
    <row r="28">
      <c r="A28" s="631">
        <v>5.0</v>
      </c>
      <c r="B28" s="631" t="s">
        <v>117</v>
      </c>
      <c r="C28" s="631" t="s">
        <v>16</v>
      </c>
      <c r="D28" s="631">
        <v>-0.5</v>
      </c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561" t="s">
        <v>283</v>
      </c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82</v>
      </c>
      <c r="C6" s="580">
        <f t="shared" ref="C6:C15" si="1">SUM(H6:AK6)</f>
        <v>28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18</v>
      </c>
      <c r="G6" s="584" t="s">
        <v>261</v>
      </c>
      <c r="H6" s="585">
        <v>2.5</v>
      </c>
      <c r="I6" s="585">
        <v>3.5</v>
      </c>
      <c r="J6" s="586"/>
      <c r="K6" s="590"/>
      <c r="L6" s="588"/>
      <c r="M6" s="584" t="s">
        <v>269</v>
      </c>
      <c r="N6" s="585">
        <v>2.5</v>
      </c>
      <c r="O6" s="585">
        <v>3.75</v>
      </c>
      <c r="P6" s="586"/>
      <c r="Q6" s="590"/>
      <c r="R6" s="588"/>
      <c r="S6" s="586" t="s">
        <v>261</v>
      </c>
      <c r="T6" s="590"/>
      <c r="U6" s="585">
        <v>2.5</v>
      </c>
      <c r="V6" s="586" t="s">
        <v>11</v>
      </c>
      <c r="W6" s="585">
        <v>0.5</v>
      </c>
      <c r="X6" s="587">
        <v>0.5</v>
      </c>
      <c r="Y6" s="586" t="s">
        <v>269</v>
      </c>
      <c r="Z6" s="585">
        <v>2.5</v>
      </c>
      <c r="AA6" s="591">
        <v>4.25</v>
      </c>
      <c r="AB6" s="589"/>
      <c r="AC6" s="590"/>
      <c r="AD6" s="588"/>
      <c r="AE6" s="586" t="s">
        <v>261</v>
      </c>
      <c r="AF6" s="585">
        <v>2.5</v>
      </c>
      <c r="AG6" s="585">
        <v>3.0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102</v>
      </c>
      <c r="C7" s="580">
        <f t="shared" si="1"/>
        <v>24.75</v>
      </c>
      <c r="D7" s="594">
        <f t="shared" si="2"/>
        <v>3</v>
      </c>
      <c r="E7" s="595">
        <f t="shared" si="3"/>
        <v>7.5</v>
      </c>
      <c r="F7" s="596">
        <f t="shared" si="4"/>
        <v>17.25</v>
      </c>
      <c r="G7" s="584" t="s">
        <v>261</v>
      </c>
      <c r="H7" s="585">
        <v>2.5</v>
      </c>
      <c r="I7" s="585">
        <v>3.5</v>
      </c>
      <c r="J7" s="586"/>
      <c r="K7" s="585"/>
      <c r="L7" s="587"/>
      <c r="M7" s="584" t="s">
        <v>261</v>
      </c>
      <c r="N7" s="590"/>
      <c r="O7" s="585">
        <v>2.0</v>
      </c>
      <c r="P7" s="586"/>
      <c r="Q7" s="585"/>
      <c r="R7" s="588"/>
      <c r="S7" s="586" t="s">
        <v>265</v>
      </c>
      <c r="T7" s="585">
        <v>2.5</v>
      </c>
      <c r="U7" s="585">
        <v>4.5</v>
      </c>
      <c r="V7" s="589"/>
      <c r="W7" s="590"/>
      <c r="X7" s="588"/>
      <c r="Y7" s="586" t="s">
        <v>261</v>
      </c>
      <c r="Z7" s="590"/>
      <c r="AA7" s="591">
        <v>2.75</v>
      </c>
      <c r="AB7" s="589"/>
      <c r="AC7" s="590"/>
      <c r="AD7" s="588"/>
      <c r="AE7" s="586" t="s">
        <v>261</v>
      </c>
      <c r="AF7" s="585">
        <v>2.5</v>
      </c>
      <c r="AG7" s="585">
        <v>4.5</v>
      </c>
      <c r="AH7" s="589"/>
      <c r="AI7" s="590"/>
      <c r="AJ7" s="588"/>
      <c r="AK7" s="588"/>
      <c r="AL7" s="593"/>
    </row>
    <row r="8">
      <c r="A8" s="578">
        <v>3.0</v>
      </c>
      <c r="B8" s="579" t="s">
        <v>132</v>
      </c>
      <c r="C8" s="580">
        <f t="shared" si="1"/>
        <v>22.75</v>
      </c>
      <c r="D8" s="594">
        <f t="shared" si="2"/>
        <v>3</v>
      </c>
      <c r="E8" s="595">
        <f t="shared" si="3"/>
        <v>7.5</v>
      </c>
      <c r="F8" s="596">
        <f t="shared" si="4"/>
        <v>15.25</v>
      </c>
      <c r="G8" s="584" t="s">
        <v>261</v>
      </c>
      <c r="H8" s="585">
        <v>2.5</v>
      </c>
      <c r="I8" s="585">
        <v>2.0</v>
      </c>
      <c r="J8" s="586" t="s">
        <v>11</v>
      </c>
      <c r="K8" s="585">
        <v>0.5</v>
      </c>
      <c r="L8" s="587">
        <v>0.5</v>
      </c>
      <c r="M8" s="584" t="s">
        <v>261</v>
      </c>
      <c r="N8" s="590"/>
      <c r="O8" s="585">
        <v>3.0</v>
      </c>
      <c r="P8" s="589"/>
      <c r="Q8" s="590"/>
      <c r="R8" s="588"/>
      <c r="S8" s="586" t="s">
        <v>269</v>
      </c>
      <c r="T8" s="585">
        <v>2.5</v>
      </c>
      <c r="U8" s="585">
        <v>4.25</v>
      </c>
      <c r="V8" s="586"/>
      <c r="W8" s="590"/>
      <c r="X8" s="588"/>
      <c r="Y8" s="586" t="s">
        <v>261</v>
      </c>
      <c r="Z8" s="590"/>
      <c r="AA8" s="591">
        <v>1.75</v>
      </c>
      <c r="AB8" s="589"/>
      <c r="AC8" s="590"/>
      <c r="AD8" s="588"/>
      <c r="AE8" s="586" t="s">
        <v>271</v>
      </c>
      <c r="AF8" s="585">
        <v>2.5</v>
      </c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123</v>
      </c>
      <c r="C9" s="580">
        <f t="shared" si="1"/>
        <v>22.5</v>
      </c>
      <c r="D9" s="594">
        <f t="shared" si="2"/>
        <v>3</v>
      </c>
      <c r="E9" s="595">
        <f t="shared" si="3"/>
        <v>7.5</v>
      </c>
      <c r="F9" s="596">
        <f t="shared" si="4"/>
        <v>15</v>
      </c>
      <c r="G9" s="584" t="s">
        <v>271</v>
      </c>
      <c r="H9" s="597">
        <v>2.5</v>
      </c>
      <c r="I9" s="585">
        <v>4.0</v>
      </c>
      <c r="J9" s="586"/>
      <c r="K9" s="590"/>
      <c r="L9" s="588"/>
      <c r="M9" s="584" t="s">
        <v>261</v>
      </c>
      <c r="N9" s="598"/>
      <c r="O9" s="585">
        <v>2.0</v>
      </c>
      <c r="P9" s="586" t="s">
        <v>11</v>
      </c>
      <c r="Q9" s="590"/>
      <c r="R9" s="587">
        <v>0.5</v>
      </c>
      <c r="S9" s="586" t="s">
        <v>269</v>
      </c>
      <c r="T9" s="597">
        <v>2.5</v>
      </c>
      <c r="U9" s="585">
        <v>3.25</v>
      </c>
      <c r="V9" s="586"/>
      <c r="W9" s="590"/>
      <c r="X9" s="588"/>
      <c r="Y9" s="586" t="s">
        <v>261</v>
      </c>
      <c r="Z9" s="598"/>
      <c r="AA9" s="591">
        <v>2.0</v>
      </c>
      <c r="AB9" s="586"/>
      <c r="AC9" s="585"/>
      <c r="AD9" s="587"/>
      <c r="AE9" s="586" t="s">
        <v>261</v>
      </c>
      <c r="AF9" s="597">
        <v>2.5</v>
      </c>
      <c r="AG9" s="585">
        <v>2.25</v>
      </c>
      <c r="AH9" s="586" t="s">
        <v>11</v>
      </c>
      <c r="AI9" s="590"/>
      <c r="AJ9" s="587">
        <v>1.0</v>
      </c>
      <c r="AK9" s="588"/>
      <c r="AL9" s="593"/>
    </row>
    <row r="10">
      <c r="A10" s="578">
        <v>5.0</v>
      </c>
      <c r="B10" s="579" t="s">
        <v>79</v>
      </c>
      <c r="C10" s="580">
        <f t="shared" si="1"/>
        <v>20.5</v>
      </c>
      <c r="D10" s="594">
        <f t="shared" si="2"/>
        <v>3</v>
      </c>
      <c r="E10" s="595">
        <f t="shared" si="3"/>
        <v>7.5</v>
      </c>
      <c r="F10" s="596">
        <f t="shared" si="4"/>
        <v>13</v>
      </c>
      <c r="G10" s="584" t="s">
        <v>261</v>
      </c>
      <c r="H10" s="597">
        <v>2.5</v>
      </c>
      <c r="I10" s="585">
        <v>2.75</v>
      </c>
      <c r="J10" s="586"/>
      <c r="K10" s="590"/>
      <c r="L10" s="588"/>
      <c r="M10" s="584" t="s">
        <v>265</v>
      </c>
      <c r="N10" s="597">
        <v>2.5</v>
      </c>
      <c r="O10" s="585">
        <v>4.0</v>
      </c>
      <c r="P10" s="589"/>
      <c r="Q10" s="590"/>
      <c r="R10" s="588"/>
      <c r="S10" s="586" t="s">
        <v>261</v>
      </c>
      <c r="T10" s="598"/>
      <c r="U10" s="585">
        <v>1.0</v>
      </c>
      <c r="V10" s="586"/>
      <c r="W10" s="590"/>
      <c r="X10" s="588"/>
      <c r="Y10" s="586" t="s">
        <v>265</v>
      </c>
      <c r="Z10" s="597">
        <v>2.5</v>
      </c>
      <c r="AA10" s="591">
        <v>3.5</v>
      </c>
      <c r="AB10" s="589"/>
      <c r="AC10" s="590"/>
      <c r="AD10" s="588"/>
      <c r="AE10" s="586" t="s">
        <v>265</v>
      </c>
      <c r="AF10" s="598"/>
      <c r="AG10" s="585">
        <v>1.75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136</v>
      </c>
      <c r="C11" s="580">
        <f t="shared" si="1"/>
        <v>18.25</v>
      </c>
      <c r="D11" s="594">
        <f t="shared" si="2"/>
        <v>2</v>
      </c>
      <c r="E11" s="595">
        <f t="shared" si="3"/>
        <v>5</v>
      </c>
      <c r="F11" s="596">
        <f t="shared" si="4"/>
        <v>13.25</v>
      </c>
      <c r="G11" s="584" t="s">
        <v>261</v>
      </c>
      <c r="H11" s="585">
        <v>2.5</v>
      </c>
      <c r="I11" s="585">
        <v>3.75</v>
      </c>
      <c r="J11" s="586"/>
      <c r="K11" s="590"/>
      <c r="L11" s="588"/>
      <c r="M11" s="584" t="s">
        <v>261</v>
      </c>
      <c r="N11" s="590"/>
      <c r="O11" s="585">
        <v>1.5</v>
      </c>
      <c r="P11" s="589"/>
      <c r="Q11" s="590"/>
      <c r="R11" s="588"/>
      <c r="S11" s="586" t="s">
        <v>261</v>
      </c>
      <c r="T11" s="590"/>
      <c r="U11" s="585">
        <v>3.25</v>
      </c>
      <c r="V11" s="586"/>
      <c r="W11" s="590"/>
      <c r="X11" s="587"/>
      <c r="Y11" s="586" t="s">
        <v>269</v>
      </c>
      <c r="Z11" s="585">
        <v>2.5</v>
      </c>
      <c r="AA11" s="585">
        <v>2.75</v>
      </c>
      <c r="AB11" s="589"/>
      <c r="AC11" s="590"/>
      <c r="AD11" s="588"/>
      <c r="AE11" s="586" t="s">
        <v>269</v>
      </c>
      <c r="AF11" s="590"/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122</v>
      </c>
      <c r="C12" s="580">
        <f t="shared" si="1"/>
        <v>17.75</v>
      </c>
      <c r="D12" s="594">
        <f t="shared" si="2"/>
        <v>2</v>
      </c>
      <c r="E12" s="595">
        <f t="shared" si="3"/>
        <v>5</v>
      </c>
      <c r="F12" s="596">
        <f t="shared" si="4"/>
        <v>12.75</v>
      </c>
      <c r="G12" s="584" t="s">
        <v>261</v>
      </c>
      <c r="H12" s="597">
        <v>2.5</v>
      </c>
      <c r="I12" s="585">
        <v>3.25</v>
      </c>
      <c r="J12" s="586"/>
      <c r="K12" s="585"/>
      <c r="L12" s="588"/>
      <c r="M12" s="584" t="s">
        <v>271</v>
      </c>
      <c r="N12" s="598"/>
      <c r="O12" s="585">
        <v>2.0</v>
      </c>
      <c r="P12" s="589"/>
      <c r="Q12" s="590"/>
      <c r="R12" s="588"/>
      <c r="S12" s="586" t="s">
        <v>261</v>
      </c>
      <c r="T12" s="598"/>
      <c r="U12" s="585">
        <v>0.75</v>
      </c>
      <c r="V12" s="586"/>
      <c r="W12" s="590"/>
      <c r="X12" s="588"/>
      <c r="Y12" s="586" t="s">
        <v>271</v>
      </c>
      <c r="Z12" s="598"/>
      <c r="AA12" s="591">
        <v>2.5</v>
      </c>
      <c r="AB12" s="586" t="s">
        <v>11</v>
      </c>
      <c r="AC12" s="590"/>
      <c r="AD12" s="587">
        <v>0.5</v>
      </c>
      <c r="AE12" s="586" t="s">
        <v>261</v>
      </c>
      <c r="AF12" s="597">
        <v>2.5</v>
      </c>
      <c r="AG12" s="585">
        <v>3.75</v>
      </c>
      <c r="AH12" s="586" t="s">
        <v>260</v>
      </c>
      <c r="AI12" s="590"/>
      <c r="AJ12" s="588"/>
      <c r="AK12" s="588"/>
      <c r="AL12" s="593"/>
    </row>
    <row r="13">
      <c r="A13" s="578">
        <v>8.0</v>
      </c>
      <c r="B13" s="579" t="s">
        <v>281</v>
      </c>
      <c r="C13" s="580">
        <f t="shared" si="1"/>
        <v>15.25</v>
      </c>
      <c r="D13" s="594">
        <f t="shared" si="2"/>
        <v>1</v>
      </c>
      <c r="E13" s="595">
        <f t="shared" si="3"/>
        <v>2.5</v>
      </c>
      <c r="F13" s="596">
        <f t="shared" si="4"/>
        <v>12.75</v>
      </c>
      <c r="G13" s="584" t="s">
        <v>269</v>
      </c>
      <c r="H13" s="590"/>
      <c r="I13" s="585">
        <v>3.0</v>
      </c>
      <c r="J13" s="586"/>
      <c r="K13" s="590"/>
      <c r="L13" s="588"/>
      <c r="M13" s="584" t="s">
        <v>261</v>
      </c>
      <c r="N13" s="590"/>
      <c r="O13" s="585">
        <v>1.5</v>
      </c>
      <c r="P13" s="586"/>
      <c r="Q13" s="585"/>
      <c r="R13" s="587"/>
      <c r="S13" s="586" t="s">
        <v>261</v>
      </c>
      <c r="T13" s="590"/>
      <c r="U13" s="585">
        <v>2.5</v>
      </c>
      <c r="V13" s="589"/>
      <c r="W13" s="590"/>
      <c r="X13" s="588"/>
      <c r="Y13" s="586" t="s">
        <v>261</v>
      </c>
      <c r="Z13" s="590"/>
      <c r="AA13" s="591">
        <v>2.0</v>
      </c>
      <c r="AB13" s="589"/>
      <c r="AC13" s="590"/>
      <c r="AD13" s="588"/>
      <c r="AE13" s="586" t="s">
        <v>261</v>
      </c>
      <c r="AF13" s="585">
        <v>2.5</v>
      </c>
      <c r="AG13" s="585">
        <v>3.75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84</v>
      </c>
      <c r="C14" s="580">
        <f t="shared" si="1"/>
        <v>13.75</v>
      </c>
      <c r="D14" s="594">
        <f t="shared" si="2"/>
        <v>1</v>
      </c>
      <c r="E14" s="595">
        <f t="shared" si="3"/>
        <v>2.5</v>
      </c>
      <c r="F14" s="596">
        <f t="shared" si="4"/>
        <v>11.25</v>
      </c>
      <c r="G14" s="584" t="s">
        <v>265</v>
      </c>
      <c r="H14" s="590"/>
      <c r="I14" s="585">
        <v>1.5</v>
      </c>
      <c r="J14" s="589"/>
      <c r="K14" s="590"/>
      <c r="L14" s="588"/>
      <c r="M14" s="584" t="s">
        <v>261</v>
      </c>
      <c r="N14" s="590"/>
      <c r="O14" s="585">
        <v>1.75</v>
      </c>
      <c r="P14" s="589"/>
      <c r="Q14" s="590"/>
      <c r="R14" s="588"/>
      <c r="S14" s="586" t="s">
        <v>271</v>
      </c>
      <c r="T14" s="590"/>
      <c r="U14" s="585">
        <v>2.25</v>
      </c>
      <c r="V14" s="586"/>
      <c r="W14" s="590"/>
      <c r="X14" s="587"/>
      <c r="Y14" s="586" t="s">
        <v>261</v>
      </c>
      <c r="Z14" s="590"/>
      <c r="AA14" s="585">
        <v>2.0</v>
      </c>
      <c r="AB14" s="589"/>
      <c r="AC14" s="590"/>
      <c r="AD14" s="588"/>
      <c r="AE14" s="586" t="s">
        <v>261</v>
      </c>
      <c r="AF14" s="585">
        <v>2.5</v>
      </c>
      <c r="AG14" s="585">
        <v>3.75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85</v>
      </c>
      <c r="C15" s="580">
        <f t="shared" si="1"/>
        <v>13.75</v>
      </c>
      <c r="D15" s="603">
        <f t="shared" si="2"/>
        <v>1</v>
      </c>
      <c r="E15" s="604">
        <f t="shared" si="3"/>
        <v>2.5</v>
      </c>
      <c r="F15" s="605">
        <f t="shared" si="4"/>
        <v>11.25</v>
      </c>
      <c r="G15" s="606" t="s">
        <v>269</v>
      </c>
      <c r="H15" s="609"/>
      <c r="I15" s="607">
        <v>2.0</v>
      </c>
      <c r="J15" s="608"/>
      <c r="K15" s="609"/>
      <c r="L15" s="610"/>
      <c r="M15" s="606" t="s">
        <v>269</v>
      </c>
      <c r="N15" s="607">
        <v>2.5</v>
      </c>
      <c r="O15" s="607">
        <v>3.75</v>
      </c>
      <c r="P15" s="611"/>
      <c r="Q15" s="609"/>
      <c r="R15" s="612"/>
      <c r="S15" s="611" t="s">
        <v>261</v>
      </c>
      <c r="T15" s="609"/>
      <c r="U15" s="607">
        <v>1.0</v>
      </c>
      <c r="V15" s="611"/>
      <c r="W15" s="609"/>
      <c r="X15" s="610"/>
      <c r="Y15" s="611" t="s">
        <v>261</v>
      </c>
      <c r="Z15" s="609"/>
      <c r="AA15" s="634">
        <v>2.0</v>
      </c>
      <c r="AB15" s="611"/>
      <c r="AC15" s="609"/>
      <c r="AD15" s="612"/>
      <c r="AE15" s="611" t="s">
        <v>269</v>
      </c>
      <c r="AF15" s="609"/>
      <c r="AG15" s="607">
        <v>2.5</v>
      </c>
      <c r="AH15" s="611" t="s">
        <v>263</v>
      </c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2"/>
      <c r="C26" s="62"/>
      <c r="D26" s="632"/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281</v>
      </c>
      <c r="C6" s="580">
        <f t="shared" ref="C6:C15" si="1">SUM(H6:AK6)</f>
        <v>29</v>
      </c>
      <c r="D6" s="581">
        <f t="shared" ref="D6:D15" si="2">E6/2.5</f>
        <v>5</v>
      </c>
      <c r="E6" s="582">
        <f t="shared" ref="E6:E15" si="3">SUM(H6+N6+T6+Z6+AF6+AL6+AR6)</f>
        <v>12.5</v>
      </c>
      <c r="F6" s="583">
        <f t="shared" ref="F6:F15" si="4">C6-E6</f>
        <v>16.5</v>
      </c>
      <c r="G6" s="584" t="s">
        <v>261</v>
      </c>
      <c r="H6" s="585">
        <v>2.5</v>
      </c>
      <c r="I6" s="585">
        <v>4.0</v>
      </c>
      <c r="J6" s="586" t="s">
        <v>260</v>
      </c>
      <c r="K6" s="590"/>
      <c r="L6" s="588"/>
      <c r="M6" s="584" t="s">
        <v>261</v>
      </c>
      <c r="N6" s="585">
        <v>2.5</v>
      </c>
      <c r="O6" s="585">
        <v>3.5</v>
      </c>
      <c r="P6" s="586" t="s">
        <v>260</v>
      </c>
      <c r="Q6" s="590"/>
      <c r="R6" s="588"/>
      <c r="S6" s="586" t="s">
        <v>269</v>
      </c>
      <c r="T6" s="585">
        <v>2.5</v>
      </c>
      <c r="U6" s="585">
        <v>2.75</v>
      </c>
      <c r="V6" s="586"/>
      <c r="W6" s="590"/>
      <c r="X6" s="588"/>
      <c r="Y6" s="586" t="s">
        <v>261</v>
      </c>
      <c r="Z6" s="585">
        <v>2.5</v>
      </c>
      <c r="AA6" s="591">
        <v>2.5</v>
      </c>
      <c r="AB6" s="586" t="s">
        <v>11</v>
      </c>
      <c r="AC6" s="590"/>
      <c r="AD6" s="587">
        <v>0.5</v>
      </c>
      <c r="AE6" s="586" t="s">
        <v>261</v>
      </c>
      <c r="AF6" s="585">
        <v>2.5</v>
      </c>
      <c r="AG6" s="585">
        <v>3.25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95</v>
      </c>
      <c r="C7" s="580">
        <f t="shared" si="1"/>
        <v>28.25</v>
      </c>
      <c r="D7" s="594">
        <f t="shared" si="2"/>
        <v>4</v>
      </c>
      <c r="E7" s="595">
        <f t="shared" si="3"/>
        <v>10</v>
      </c>
      <c r="F7" s="596">
        <f t="shared" si="4"/>
        <v>18.25</v>
      </c>
      <c r="G7" s="584" t="s">
        <v>271</v>
      </c>
      <c r="H7" s="585">
        <v>2.5</v>
      </c>
      <c r="I7" s="585">
        <v>4.0</v>
      </c>
      <c r="J7" s="586"/>
      <c r="K7" s="590"/>
      <c r="L7" s="588"/>
      <c r="M7" s="584" t="s">
        <v>261</v>
      </c>
      <c r="N7" s="585">
        <v>2.5</v>
      </c>
      <c r="O7" s="585">
        <v>3.25</v>
      </c>
      <c r="P7" s="589"/>
      <c r="Q7" s="590"/>
      <c r="R7" s="588"/>
      <c r="S7" s="586" t="s">
        <v>261</v>
      </c>
      <c r="T7" s="590"/>
      <c r="U7" s="585">
        <v>2.25</v>
      </c>
      <c r="V7" s="586"/>
      <c r="W7" s="590"/>
      <c r="X7" s="587"/>
      <c r="Y7" s="586" t="s">
        <v>261</v>
      </c>
      <c r="Z7" s="585">
        <v>2.5</v>
      </c>
      <c r="AA7" s="585">
        <v>4.0</v>
      </c>
      <c r="AB7" s="589"/>
      <c r="AC7" s="590"/>
      <c r="AD7" s="588"/>
      <c r="AE7" s="586" t="s">
        <v>261</v>
      </c>
      <c r="AF7" s="585">
        <v>2.5</v>
      </c>
      <c r="AG7" s="585">
        <v>3.75</v>
      </c>
      <c r="AH7" s="586" t="s">
        <v>11</v>
      </c>
      <c r="AI7" s="585">
        <v>0.5</v>
      </c>
      <c r="AJ7" s="587">
        <v>0.5</v>
      </c>
      <c r="AK7" s="588"/>
      <c r="AL7" s="593"/>
    </row>
    <row r="8">
      <c r="A8" s="578">
        <v>3.0</v>
      </c>
      <c r="B8" s="579" t="s">
        <v>113</v>
      </c>
      <c r="C8" s="580">
        <f t="shared" si="1"/>
        <v>24.25</v>
      </c>
      <c r="D8" s="594">
        <f t="shared" si="2"/>
        <v>3</v>
      </c>
      <c r="E8" s="595">
        <f t="shared" si="3"/>
        <v>7.5</v>
      </c>
      <c r="F8" s="596">
        <f t="shared" si="4"/>
        <v>16.75</v>
      </c>
      <c r="G8" s="584" t="s">
        <v>261</v>
      </c>
      <c r="H8" s="585">
        <v>2.5</v>
      </c>
      <c r="I8" s="585">
        <v>2.5</v>
      </c>
      <c r="J8" s="586" t="s">
        <v>11</v>
      </c>
      <c r="K8" s="585"/>
      <c r="L8" s="587">
        <v>0.5</v>
      </c>
      <c r="M8" s="584" t="s">
        <v>269</v>
      </c>
      <c r="N8" s="590"/>
      <c r="O8" s="585">
        <v>2.75</v>
      </c>
      <c r="P8" s="586" t="s">
        <v>263</v>
      </c>
      <c r="Q8" s="585"/>
      <c r="R8" s="588"/>
      <c r="S8" s="586" t="s">
        <v>265</v>
      </c>
      <c r="T8" s="585">
        <v>2.5</v>
      </c>
      <c r="U8" s="585">
        <v>4.0</v>
      </c>
      <c r="V8" s="589"/>
      <c r="W8" s="590"/>
      <c r="X8" s="588"/>
      <c r="Y8" s="586" t="s">
        <v>265</v>
      </c>
      <c r="Z8" s="590"/>
      <c r="AA8" s="591">
        <v>3.0</v>
      </c>
      <c r="AB8" s="589"/>
      <c r="AC8" s="590"/>
      <c r="AD8" s="588"/>
      <c r="AE8" s="586" t="s">
        <v>261</v>
      </c>
      <c r="AF8" s="585">
        <v>2.5</v>
      </c>
      <c r="AG8" s="585">
        <v>4.0</v>
      </c>
      <c r="AH8" s="589"/>
      <c r="AI8" s="590"/>
      <c r="AJ8" s="588"/>
      <c r="AK8" s="588"/>
      <c r="AL8" s="593"/>
    </row>
    <row r="9">
      <c r="A9" s="578">
        <v>4.0</v>
      </c>
      <c r="B9" s="579" t="s">
        <v>84</v>
      </c>
      <c r="C9" s="580">
        <f t="shared" si="1"/>
        <v>21.75</v>
      </c>
      <c r="D9" s="594">
        <f t="shared" si="2"/>
        <v>3</v>
      </c>
      <c r="E9" s="595">
        <f t="shared" si="3"/>
        <v>7.5</v>
      </c>
      <c r="F9" s="596">
        <f t="shared" si="4"/>
        <v>14.25</v>
      </c>
      <c r="G9" s="584" t="s">
        <v>269</v>
      </c>
      <c r="H9" s="590"/>
      <c r="I9" s="585">
        <v>2.5</v>
      </c>
      <c r="J9" s="586" t="s">
        <v>263</v>
      </c>
      <c r="K9" s="590"/>
      <c r="L9" s="588"/>
      <c r="M9" s="584" t="s">
        <v>261</v>
      </c>
      <c r="N9" s="585">
        <v>2.5</v>
      </c>
      <c r="O9" s="585">
        <v>2.75</v>
      </c>
      <c r="P9" s="586" t="s">
        <v>11</v>
      </c>
      <c r="Q9" s="585">
        <v>0.5</v>
      </c>
      <c r="R9" s="587">
        <v>0.5</v>
      </c>
      <c r="S9" s="586" t="s">
        <v>261</v>
      </c>
      <c r="T9" s="590"/>
      <c r="U9" s="585">
        <v>2.0</v>
      </c>
      <c r="V9" s="586"/>
      <c r="W9" s="590"/>
      <c r="X9" s="588"/>
      <c r="Y9" s="586" t="s">
        <v>261</v>
      </c>
      <c r="Z9" s="585">
        <v>2.5</v>
      </c>
      <c r="AA9" s="591">
        <v>3.5</v>
      </c>
      <c r="AB9" s="589"/>
      <c r="AC9" s="590"/>
      <c r="AD9" s="588"/>
      <c r="AE9" s="586" t="s">
        <v>261</v>
      </c>
      <c r="AF9" s="585">
        <v>2.5</v>
      </c>
      <c r="AG9" s="585">
        <v>2.5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133</v>
      </c>
      <c r="C10" s="580">
        <f t="shared" si="1"/>
        <v>21.5</v>
      </c>
      <c r="D10" s="594">
        <f t="shared" si="2"/>
        <v>3</v>
      </c>
      <c r="E10" s="595">
        <f t="shared" si="3"/>
        <v>7.5</v>
      </c>
      <c r="F10" s="596">
        <f t="shared" si="4"/>
        <v>14</v>
      </c>
      <c r="G10" s="584" t="s">
        <v>261</v>
      </c>
      <c r="H10" s="597">
        <v>2.5</v>
      </c>
      <c r="I10" s="585">
        <v>3.5</v>
      </c>
      <c r="J10" s="586" t="s">
        <v>260</v>
      </c>
      <c r="K10" s="590"/>
      <c r="L10" s="588"/>
      <c r="M10" s="584" t="s">
        <v>271</v>
      </c>
      <c r="N10" s="597">
        <v>2.5</v>
      </c>
      <c r="O10" s="585">
        <v>3.25</v>
      </c>
      <c r="P10" s="589"/>
      <c r="Q10" s="590"/>
      <c r="R10" s="588"/>
      <c r="S10" s="586" t="s">
        <v>261</v>
      </c>
      <c r="T10" s="598"/>
      <c r="U10" s="585">
        <v>2.0</v>
      </c>
      <c r="V10" s="586"/>
      <c r="W10" s="590"/>
      <c r="X10" s="588"/>
      <c r="Y10" s="586" t="s">
        <v>269</v>
      </c>
      <c r="Z10" s="598"/>
      <c r="AA10" s="591">
        <v>2.5</v>
      </c>
      <c r="AB10" s="586"/>
      <c r="AC10" s="585"/>
      <c r="AD10" s="587"/>
      <c r="AE10" s="586" t="s">
        <v>261</v>
      </c>
      <c r="AF10" s="597">
        <v>2.5</v>
      </c>
      <c r="AG10" s="585">
        <v>2.75</v>
      </c>
      <c r="AH10" s="586"/>
      <c r="AI10" s="590"/>
      <c r="AJ10" s="587"/>
      <c r="AK10" s="588"/>
      <c r="AL10" s="593"/>
    </row>
    <row r="11">
      <c r="A11" s="578">
        <v>6.0</v>
      </c>
      <c r="B11" s="579" t="s">
        <v>112</v>
      </c>
      <c r="C11" s="580">
        <f t="shared" si="1"/>
        <v>21.5</v>
      </c>
      <c r="D11" s="594">
        <f t="shared" si="2"/>
        <v>4</v>
      </c>
      <c r="E11" s="595">
        <f t="shared" si="3"/>
        <v>10</v>
      </c>
      <c r="F11" s="596">
        <f t="shared" si="4"/>
        <v>11.5</v>
      </c>
      <c r="G11" s="584" t="s">
        <v>261</v>
      </c>
      <c r="H11" s="585">
        <v>2.5</v>
      </c>
      <c r="I11" s="585">
        <v>2.5</v>
      </c>
      <c r="J11" s="586"/>
      <c r="K11" s="590"/>
      <c r="L11" s="588"/>
      <c r="M11" s="584" t="s">
        <v>261</v>
      </c>
      <c r="N11" s="585">
        <v>2.5</v>
      </c>
      <c r="O11" s="585">
        <v>2.0</v>
      </c>
      <c r="P11" s="586"/>
      <c r="Q11" s="585"/>
      <c r="R11" s="587"/>
      <c r="S11" s="586" t="s">
        <v>271</v>
      </c>
      <c r="T11" s="590"/>
      <c r="U11" s="585">
        <v>2.25</v>
      </c>
      <c r="V11" s="586" t="s">
        <v>11</v>
      </c>
      <c r="W11" s="590"/>
      <c r="X11" s="587">
        <v>0.5</v>
      </c>
      <c r="Y11" s="586" t="s">
        <v>261</v>
      </c>
      <c r="Z11" s="585">
        <v>2.5</v>
      </c>
      <c r="AA11" s="591">
        <v>1.5</v>
      </c>
      <c r="AB11" s="589"/>
      <c r="AC11" s="590"/>
      <c r="AD11" s="588"/>
      <c r="AE11" s="586" t="s">
        <v>261</v>
      </c>
      <c r="AF11" s="585">
        <v>2.5</v>
      </c>
      <c r="AG11" s="585">
        <v>2.75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120</v>
      </c>
      <c r="C12" s="580">
        <f t="shared" si="1"/>
        <v>21</v>
      </c>
      <c r="D12" s="594">
        <f t="shared" si="2"/>
        <v>3</v>
      </c>
      <c r="E12" s="595">
        <f t="shared" si="3"/>
        <v>7.5</v>
      </c>
      <c r="F12" s="596">
        <f t="shared" si="4"/>
        <v>13.5</v>
      </c>
      <c r="G12" s="584" t="s">
        <v>261</v>
      </c>
      <c r="H12" s="597">
        <v>2.5</v>
      </c>
      <c r="I12" s="585">
        <v>2.25</v>
      </c>
      <c r="J12" s="586"/>
      <c r="K12" s="590"/>
      <c r="L12" s="588"/>
      <c r="M12" s="584" t="s">
        <v>261</v>
      </c>
      <c r="N12" s="597">
        <v>2.5</v>
      </c>
      <c r="O12" s="585">
        <v>2.75</v>
      </c>
      <c r="P12" s="589"/>
      <c r="Q12" s="590"/>
      <c r="R12" s="588"/>
      <c r="S12" s="586" t="s">
        <v>261</v>
      </c>
      <c r="T12" s="598"/>
      <c r="U12" s="585">
        <v>2.25</v>
      </c>
      <c r="V12" s="586"/>
      <c r="W12" s="590"/>
      <c r="X12" s="588"/>
      <c r="Y12" s="586" t="s">
        <v>269</v>
      </c>
      <c r="Z12" s="598"/>
      <c r="AA12" s="591">
        <v>2.25</v>
      </c>
      <c r="AB12" s="589"/>
      <c r="AC12" s="590"/>
      <c r="AD12" s="588"/>
      <c r="AE12" s="586" t="s">
        <v>271</v>
      </c>
      <c r="AF12" s="597">
        <v>2.5</v>
      </c>
      <c r="AG12" s="585">
        <v>4.0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119</v>
      </c>
      <c r="C13" s="580">
        <f t="shared" si="1"/>
        <v>19.75</v>
      </c>
      <c r="D13" s="594">
        <f t="shared" si="2"/>
        <v>3</v>
      </c>
      <c r="E13" s="595">
        <f t="shared" si="3"/>
        <v>7.5</v>
      </c>
      <c r="F13" s="596">
        <f t="shared" si="4"/>
        <v>12.25</v>
      </c>
      <c r="G13" s="584" t="s">
        <v>261</v>
      </c>
      <c r="H13" s="585">
        <v>2.5</v>
      </c>
      <c r="I13" s="585">
        <v>3.0</v>
      </c>
      <c r="J13" s="589"/>
      <c r="K13" s="590"/>
      <c r="L13" s="588"/>
      <c r="M13" s="584" t="s">
        <v>265</v>
      </c>
      <c r="N13" s="590"/>
      <c r="O13" s="600">
        <v>1.25</v>
      </c>
      <c r="P13" s="586"/>
      <c r="Q13" s="590"/>
      <c r="R13" s="587"/>
      <c r="S13" s="586" t="s">
        <v>269</v>
      </c>
      <c r="T13" s="585">
        <v>2.5</v>
      </c>
      <c r="U13" s="585">
        <v>3.75</v>
      </c>
      <c r="V13" s="586"/>
      <c r="W13" s="590"/>
      <c r="X13" s="588"/>
      <c r="Y13" s="586" t="s">
        <v>271</v>
      </c>
      <c r="Z13" s="585">
        <v>2.5</v>
      </c>
      <c r="AA13" s="591">
        <v>2.5</v>
      </c>
      <c r="AB13" s="586"/>
      <c r="AC13" s="590"/>
      <c r="AD13" s="587"/>
      <c r="AE13" s="586" t="s">
        <v>265</v>
      </c>
      <c r="AF13" s="590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134</v>
      </c>
      <c r="C14" s="580">
        <f t="shared" si="1"/>
        <v>15.75</v>
      </c>
      <c r="D14" s="594">
        <f t="shared" si="2"/>
        <v>2</v>
      </c>
      <c r="E14" s="595">
        <f t="shared" si="3"/>
        <v>5</v>
      </c>
      <c r="F14" s="596">
        <f t="shared" si="4"/>
        <v>10.75</v>
      </c>
      <c r="G14" s="584" t="s">
        <v>265</v>
      </c>
      <c r="H14" s="590"/>
      <c r="I14" s="585">
        <v>1.0</v>
      </c>
      <c r="J14" s="589"/>
      <c r="K14" s="590"/>
      <c r="L14" s="588"/>
      <c r="M14" s="584" t="s">
        <v>261</v>
      </c>
      <c r="N14" s="585">
        <v>2.5</v>
      </c>
      <c r="O14" s="585">
        <v>3.25</v>
      </c>
      <c r="P14" s="586" t="s">
        <v>260</v>
      </c>
      <c r="Q14" s="590"/>
      <c r="R14" s="588"/>
      <c r="S14" s="586" t="s">
        <v>261</v>
      </c>
      <c r="T14" s="590"/>
      <c r="U14" s="585">
        <v>2.0</v>
      </c>
      <c r="V14" s="586"/>
      <c r="W14" s="590"/>
      <c r="X14" s="587"/>
      <c r="Y14" s="586" t="s">
        <v>261</v>
      </c>
      <c r="Z14" s="585">
        <v>2.5</v>
      </c>
      <c r="AA14" s="585">
        <v>2.75</v>
      </c>
      <c r="AB14" s="589"/>
      <c r="AC14" s="590"/>
      <c r="AD14" s="588"/>
      <c r="AE14" s="586" t="s">
        <v>269</v>
      </c>
      <c r="AF14" s="590"/>
      <c r="AG14" s="585">
        <v>1.75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126</v>
      </c>
      <c r="C15" s="580">
        <f t="shared" si="1"/>
        <v>15.25</v>
      </c>
      <c r="D15" s="603">
        <f t="shared" si="2"/>
        <v>1</v>
      </c>
      <c r="E15" s="604">
        <f t="shared" si="3"/>
        <v>2.5</v>
      </c>
      <c r="F15" s="605">
        <f t="shared" si="4"/>
        <v>12.75</v>
      </c>
      <c r="G15" s="606" t="s">
        <v>269</v>
      </c>
      <c r="H15" s="635"/>
      <c r="I15" s="607">
        <v>2.25</v>
      </c>
      <c r="J15" s="611"/>
      <c r="K15" s="607"/>
      <c r="L15" s="610"/>
      <c r="M15" s="606" t="s">
        <v>269</v>
      </c>
      <c r="N15" s="635"/>
      <c r="O15" s="607">
        <v>2.25</v>
      </c>
      <c r="P15" s="608"/>
      <c r="Q15" s="609"/>
      <c r="R15" s="610"/>
      <c r="S15" s="611" t="s">
        <v>261</v>
      </c>
      <c r="T15" s="635"/>
      <c r="U15" s="607">
        <v>2.5</v>
      </c>
      <c r="V15" s="611"/>
      <c r="W15" s="609"/>
      <c r="X15" s="610"/>
      <c r="Y15" s="611" t="s">
        <v>261</v>
      </c>
      <c r="Z15" s="636">
        <v>2.5</v>
      </c>
      <c r="AA15" s="634">
        <v>3.75</v>
      </c>
      <c r="AB15" s="608"/>
      <c r="AC15" s="609"/>
      <c r="AD15" s="610"/>
      <c r="AE15" s="611" t="s">
        <v>269</v>
      </c>
      <c r="AF15" s="635"/>
      <c r="AG15" s="607">
        <v>2.0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274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4" t="str">
        <f t="array" ref="F24:G33">SORT(B6:C15,2,False)</f>
        <v>Сэнсэй</v>
      </c>
      <c r="G24" s="389">
        <v>29.0</v>
      </c>
      <c r="AK24" s="62"/>
    </row>
    <row r="25">
      <c r="A25" s="629"/>
      <c r="B25" s="629"/>
      <c r="C25" s="629"/>
      <c r="D25" s="629"/>
      <c r="F25" s="384" t="s">
        <v>95</v>
      </c>
      <c r="G25" s="389">
        <v>28.25</v>
      </c>
      <c r="AK25" s="62"/>
    </row>
    <row r="26">
      <c r="A26" s="630">
        <v>2.0</v>
      </c>
      <c r="B26" s="631" t="s">
        <v>119</v>
      </c>
      <c r="C26" s="631" t="s">
        <v>16</v>
      </c>
      <c r="D26" s="630">
        <v>0.5</v>
      </c>
      <c r="E26" s="632"/>
      <c r="F26" s="632" t="s">
        <v>113</v>
      </c>
      <c r="G26" s="389">
        <v>24.25</v>
      </c>
      <c r="AK26" s="62"/>
    </row>
    <row r="27">
      <c r="A27" s="62"/>
      <c r="B27" s="62"/>
      <c r="C27" s="62"/>
      <c r="D27" s="62"/>
      <c r="E27" s="62"/>
      <c r="F27" s="62" t="s">
        <v>84</v>
      </c>
      <c r="G27" s="389">
        <v>21.75</v>
      </c>
      <c r="AK27" s="62"/>
    </row>
    <row r="28">
      <c r="A28" s="62"/>
      <c r="B28" s="62"/>
      <c r="C28" s="62"/>
      <c r="D28" s="62"/>
      <c r="E28" s="62"/>
      <c r="F28" s="62" t="s">
        <v>133</v>
      </c>
      <c r="G28" s="389">
        <v>21.5</v>
      </c>
      <c r="AK28" s="62"/>
    </row>
    <row r="29">
      <c r="A29" s="62"/>
      <c r="B29" s="62"/>
      <c r="C29" s="62"/>
      <c r="D29" s="62"/>
      <c r="E29" s="62"/>
      <c r="F29" s="62" t="s">
        <v>112</v>
      </c>
      <c r="G29" s="389">
        <v>21.5</v>
      </c>
      <c r="AK29" s="62"/>
    </row>
    <row r="30">
      <c r="A30" s="62"/>
      <c r="B30" s="62"/>
      <c r="C30" s="62"/>
      <c r="D30" s="62"/>
      <c r="E30" s="62"/>
      <c r="F30" s="62" t="s">
        <v>120</v>
      </c>
      <c r="G30" s="389">
        <v>21.0</v>
      </c>
      <c r="AK30" s="62"/>
    </row>
    <row r="31">
      <c r="A31" s="62"/>
      <c r="B31" s="62"/>
      <c r="C31" s="62"/>
      <c r="D31" s="62"/>
      <c r="E31" s="62"/>
      <c r="F31" s="62" t="s">
        <v>119</v>
      </c>
      <c r="G31" s="389">
        <v>19.75</v>
      </c>
      <c r="AK31" s="62"/>
    </row>
    <row r="32">
      <c r="A32" s="62"/>
      <c r="B32" s="62"/>
      <c r="C32" s="62"/>
      <c r="D32" s="62"/>
      <c r="E32" s="62"/>
      <c r="F32" s="62" t="s">
        <v>134</v>
      </c>
      <c r="G32" s="389">
        <v>15.75</v>
      </c>
      <c r="AK32" s="62"/>
    </row>
    <row r="33">
      <c r="A33" s="62"/>
      <c r="B33" s="62"/>
      <c r="C33" s="62"/>
      <c r="D33" s="62"/>
      <c r="E33" s="62"/>
      <c r="F33" s="62" t="s">
        <v>126</v>
      </c>
      <c r="G33" s="389">
        <v>15.25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города на круге при восьмерых,Победа мафии 2в2,Победа мафии 1в1,Победа мафии"&amp;" 1в1 (ППК),Победа мафии 2в2,Победа мафии 2в2 (ППК),Победа мафии 3в3,Победа мафии 3в3 (ППК),Победа мафии (ППК)"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112</v>
      </c>
      <c r="C6" s="580">
        <f t="shared" ref="C6:C15" si="1">SUM(H6:AK6)</f>
        <v>26.5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16.5</v>
      </c>
      <c r="G6" s="584" t="s">
        <v>261</v>
      </c>
      <c r="H6" s="585">
        <v>2.5</v>
      </c>
      <c r="I6" s="585">
        <v>4.75</v>
      </c>
      <c r="J6" s="586"/>
      <c r="K6" s="590"/>
      <c r="L6" s="588"/>
      <c r="M6" s="584" t="s">
        <v>261</v>
      </c>
      <c r="N6" s="585">
        <v>2.5</v>
      </c>
      <c r="O6" s="585">
        <v>3.25</v>
      </c>
      <c r="P6" s="586" t="s">
        <v>260</v>
      </c>
      <c r="Q6" s="585"/>
      <c r="R6" s="587"/>
      <c r="S6" s="586" t="s">
        <v>271</v>
      </c>
      <c r="T6" s="590"/>
      <c r="U6" s="585">
        <v>2.0</v>
      </c>
      <c r="V6" s="589"/>
      <c r="W6" s="590"/>
      <c r="X6" s="588"/>
      <c r="Y6" s="586" t="s">
        <v>261</v>
      </c>
      <c r="Z6" s="585">
        <v>2.5</v>
      </c>
      <c r="AA6" s="591">
        <v>2.25</v>
      </c>
      <c r="AB6" s="586" t="s">
        <v>11</v>
      </c>
      <c r="AC6" s="590"/>
      <c r="AD6" s="587">
        <v>0.5</v>
      </c>
      <c r="AE6" s="586" t="s">
        <v>265</v>
      </c>
      <c r="AF6" s="585">
        <v>2.5</v>
      </c>
      <c r="AG6" s="585">
        <v>3.75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119</v>
      </c>
      <c r="C7" s="580">
        <f t="shared" si="1"/>
        <v>26.5</v>
      </c>
      <c r="D7" s="594">
        <f t="shared" si="2"/>
        <v>4</v>
      </c>
      <c r="E7" s="595">
        <f t="shared" si="3"/>
        <v>10</v>
      </c>
      <c r="F7" s="596">
        <f t="shared" si="4"/>
        <v>16.5</v>
      </c>
      <c r="G7" s="584" t="s">
        <v>261</v>
      </c>
      <c r="H7" s="597">
        <v>2.5</v>
      </c>
      <c r="I7" s="585">
        <v>4.0</v>
      </c>
      <c r="J7" s="586"/>
      <c r="K7" s="585"/>
      <c r="L7" s="588"/>
      <c r="M7" s="584" t="s">
        <v>269</v>
      </c>
      <c r="N7" s="590"/>
      <c r="O7" s="600">
        <v>2.25</v>
      </c>
      <c r="P7" s="589"/>
      <c r="Q7" s="590"/>
      <c r="R7" s="588"/>
      <c r="S7" s="586" t="s">
        <v>269</v>
      </c>
      <c r="T7" s="597">
        <v>2.5</v>
      </c>
      <c r="U7" s="585">
        <v>4.0</v>
      </c>
      <c r="V7" s="586"/>
      <c r="W7" s="590"/>
      <c r="X7" s="588"/>
      <c r="Y7" s="586" t="s">
        <v>261</v>
      </c>
      <c r="Z7" s="597">
        <v>2.5</v>
      </c>
      <c r="AA7" s="591">
        <v>3.0</v>
      </c>
      <c r="AB7" s="589"/>
      <c r="AC7" s="590"/>
      <c r="AD7" s="588"/>
      <c r="AE7" s="586" t="s">
        <v>269</v>
      </c>
      <c r="AF7" s="597">
        <v>2.5</v>
      </c>
      <c r="AG7" s="600">
        <v>3.25</v>
      </c>
      <c r="AH7" s="589"/>
      <c r="AI7" s="590"/>
      <c r="AJ7" s="588"/>
      <c r="AK7" s="588"/>
      <c r="AL7" s="593"/>
    </row>
    <row r="8">
      <c r="A8" s="578">
        <v>3.0</v>
      </c>
      <c r="B8" s="579" t="s">
        <v>131</v>
      </c>
      <c r="C8" s="580">
        <f t="shared" si="1"/>
        <v>24</v>
      </c>
      <c r="D8" s="594">
        <f t="shared" si="2"/>
        <v>3</v>
      </c>
      <c r="E8" s="595">
        <f t="shared" si="3"/>
        <v>7.5</v>
      </c>
      <c r="F8" s="596">
        <f t="shared" si="4"/>
        <v>16.5</v>
      </c>
      <c r="G8" s="584" t="s">
        <v>261</v>
      </c>
      <c r="H8" s="585">
        <v>2.5</v>
      </c>
      <c r="I8" s="585">
        <v>3.0</v>
      </c>
      <c r="J8" s="586" t="s">
        <v>11</v>
      </c>
      <c r="K8" s="585"/>
      <c r="L8" s="587">
        <v>0.5</v>
      </c>
      <c r="M8" s="584" t="s">
        <v>261</v>
      </c>
      <c r="N8" s="585">
        <v>2.5</v>
      </c>
      <c r="O8" s="585">
        <v>3.25</v>
      </c>
      <c r="P8" s="586"/>
      <c r="Q8" s="585"/>
      <c r="R8" s="588"/>
      <c r="S8" s="586" t="s">
        <v>261</v>
      </c>
      <c r="T8" s="590"/>
      <c r="U8" s="585">
        <v>2.25</v>
      </c>
      <c r="V8" s="589"/>
      <c r="W8" s="590"/>
      <c r="X8" s="588"/>
      <c r="Y8" s="586" t="s">
        <v>261</v>
      </c>
      <c r="Z8" s="585">
        <v>2.5</v>
      </c>
      <c r="AA8" s="591">
        <v>4.25</v>
      </c>
      <c r="AB8" s="589"/>
      <c r="AC8" s="590"/>
      <c r="AD8" s="588"/>
      <c r="AE8" s="586" t="s">
        <v>261</v>
      </c>
      <c r="AF8" s="590"/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132</v>
      </c>
      <c r="C9" s="580">
        <f t="shared" si="1"/>
        <v>20.25</v>
      </c>
      <c r="D9" s="594">
        <f t="shared" si="2"/>
        <v>2</v>
      </c>
      <c r="E9" s="595">
        <f t="shared" si="3"/>
        <v>5</v>
      </c>
      <c r="F9" s="596">
        <f t="shared" si="4"/>
        <v>15.25</v>
      </c>
      <c r="G9" s="584" t="s">
        <v>261</v>
      </c>
      <c r="H9" s="585">
        <v>2.5</v>
      </c>
      <c r="I9" s="585">
        <v>3.75</v>
      </c>
      <c r="J9" s="586"/>
      <c r="K9" s="590"/>
      <c r="L9" s="588"/>
      <c r="M9" s="584" t="s">
        <v>261</v>
      </c>
      <c r="N9" s="585">
        <v>2.5</v>
      </c>
      <c r="O9" s="585">
        <v>3.75</v>
      </c>
      <c r="P9" s="586" t="s">
        <v>260</v>
      </c>
      <c r="Q9" s="590"/>
      <c r="R9" s="588"/>
      <c r="S9" s="586" t="s">
        <v>261</v>
      </c>
      <c r="T9" s="590"/>
      <c r="U9" s="585">
        <v>2.25</v>
      </c>
      <c r="V9" s="586"/>
      <c r="W9" s="590"/>
      <c r="X9" s="587"/>
      <c r="Y9" s="586" t="s">
        <v>269</v>
      </c>
      <c r="Z9" s="590"/>
      <c r="AA9" s="585">
        <v>2.25</v>
      </c>
      <c r="AB9" s="589"/>
      <c r="AC9" s="590"/>
      <c r="AD9" s="588"/>
      <c r="AE9" s="586" t="s">
        <v>261</v>
      </c>
      <c r="AF9" s="590"/>
      <c r="AG9" s="585">
        <v>3.25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153</v>
      </c>
      <c r="C10" s="580">
        <f t="shared" si="1"/>
        <v>20</v>
      </c>
      <c r="D10" s="594">
        <f t="shared" si="2"/>
        <v>2</v>
      </c>
      <c r="E10" s="595">
        <f t="shared" si="3"/>
        <v>5</v>
      </c>
      <c r="F10" s="596">
        <f t="shared" si="4"/>
        <v>15</v>
      </c>
      <c r="G10" s="584" t="s">
        <v>261</v>
      </c>
      <c r="H10" s="585">
        <v>2.5</v>
      </c>
      <c r="I10" s="585">
        <v>3.75</v>
      </c>
      <c r="J10" s="589"/>
      <c r="K10" s="590"/>
      <c r="L10" s="588"/>
      <c r="M10" s="584" t="s">
        <v>265</v>
      </c>
      <c r="N10" s="590"/>
      <c r="O10" s="585">
        <v>3.0</v>
      </c>
      <c r="P10" s="589"/>
      <c r="Q10" s="590"/>
      <c r="R10" s="588"/>
      <c r="S10" s="586" t="s">
        <v>261</v>
      </c>
      <c r="T10" s="590"/>
      <c r="U10" s="585">
        <v>1.75</v>
      </c>
      <c r="V10" s="586"/>
      <c r="W10" s="590"/>
      <c r="X10" s="587"/>
      <c r="Y10" s="586" t="s">
        <v>261</v>
      </c>
      <c r="Z10" s="585">
        <v>2.5</v>
      </c>
      <c r="AA10" s="585">
        <v>3.75</v>
      </c>
      <c r="AB10" s="589"/>
      <c r="AC10" s="590"/>
      <c r="AD10" s="588"/>
      <c r="AE10" s="586" t="s">
        <v>261</v>
      </c>
      <c r="AF10" s="590"/>
      <c r="AG10" s="585">
        <v>2.25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86</v>
      </c>
      <c r="C11" s="580">
        <f t="shared" si="1"/>
        <v>19.75</v>
      </c>
      <c r="D11" s="594">
        <f t="shared" si="2"/>
        <v>3</v>
      </c>
      <c r="E11" s="595">
        <f t="shared" si="3"/>
        <v>7.5</v>
      </c>
      <c r="F11" s="596">
        <f t="shared" si="4"/>
        <v>12.25</v>
      </c>
      <c r="G11" s="584" t="s">
        <v>261</v>
      </c>
      <c r="H11" s="585">
        <v>2.5</v>
      </c>
      <c r="I11" s="585">
        <v>3.75</v>
      </c>
      <c r="J11" s="586"/>
      <c r="K11" s="590"/>
      <c r="L11" s="588"/>
      <c r="M11" s="584" t="s">
        <v>271</v>
      </c>
      <c r="N11" s="585">
        <v>2.5</v>
      </c>
      <c r="O11" s="600">
        <v>3.0</v>
      </c>
      <c r="P11" s="586"/>
      <c r="Q11" s="590"/>
      <c r="R11" s="588"/>
      <c r="S11" s="586" t="s">
        <v>261</v>
      </c>
      <c r="T11" s="590"/>
      <c r="U11" s="585">
        <v>2.0</v>
      </c>
      <c r="V11" s="586" t="s">
        <v>11</v>
      </c>
      <c r="W11" s="590"/>
      <c r="X11" s="587">
        <v>0.5</v>
      </c>
      <c r="Y11" s="586" t="s">
        <v>271</v>
      </c>
      <c r="Z11" s="585">
        <v>2.5</v>
      </c>
      <c r="AA11" s="591">
        <v>2.25</v>
      </c>
      <c r="AB11" s="589"/>
      <c r="AC11" s="590"/>
      <c r="AD11" s="588"/>
      <c r="AE11" s="586" t="s">
        <v>271</v>
      </c>
      <c r="AF11" s="590"/>
      <c r="AG11" s="600">
        <v>0.75</v>
      </c>
      <c r="AH11" s="589"/>
      <c r="AI11" s="590"/>
      <c r="AJ11" s="588"/>
      <c r="AK11" s="599"/>
      <c r="AL11" s="593"/>
    </row>
    <row r="12">
      <c r="A12" s="578">
        <v>7.0</v>
      </c>
      <c r="B12" s="579" t="s">
        <v>120</v>
      </c>
      <c r="C12" s="580">
        <f t="shared" si="1"/>
        <v>18.5</v>
      </c>
      <c r="D12" s="594">
        <f t="shared" si="2"/>
        <v>3</v>
      </c>
      <c r="E12" s="595">
        <f t="shared" si="3"/>
        <v>7.5</v>
      </c>
      <c r="F12" s="596">
        <f t="shared" si="4"/>
        <v>11</v>
      </c>
      <c r="G12" s="584" t="s">
        <v>265</v>
      </c>
      <c r="H12" s="590"/>
      <c r="I12" s="585">
        <v>1.25</v>
      </c>
      <c r="J12" s="589"/>
      <c r="K12" s="590"/>
      <c r="L12" s="588"/>
      <c r="M12" s="584" t="s">
        <v>261</v>
      </c>
      <c r="N12" s="585">
        <v>2.5</v>
      </c>
      <c r="O12" s="585">
        <v>2.5</v>
      </c>
      <c r="P12" s="586" t="s">
        <v>11</v>
      </c>
      <c r="Q12" s="590"/>
      <c r="R12" s="587">
        <v>0.5</v>
      </c>
      <c r="S12" s="586" t="s">
        <v>265</v>
      </c>
      <c r="T12" s="585">
        <v>2.5</v>
      </c>
      <c r="U12" s="585">
        <v>2.0</v>
      </c>
      <c r="V12" s="586"/>
      <c r="W12" s="590"/>
      <c r="X12" s="588"/>
      <c r="Y12" s="586" t="s">
        <v>265</v>
      </c>
      <c r="Z12" s="590"/>
      <c r="AA12" s="591">
        <v>1.5</v>
      </c>
      <c r="AB12" s="586"/>
      <c r="AC12" s="590"/>
      <c r="AD12" s="587"/>
      <c r="AE12" s="586" t="s">
        <v>269</v>
      </c>
      <c r="AF12" s="585">
        <v>2.5</v>
      </c>
      <c r="AG12" s="585">
        <v>3.25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101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271</v>
      </c>
      <c r="H13" s="597">
        <v>2.5</v>
      </c>
      <c r="I13" s="585">
        <v>3.75</v>
      </c>
      <c r="J13" s="586"/>
      <c r="K13" s="590"/>
      <c r="L13" s="588"/>
      <c r="M13" s="584" t="s">
        <v>261</v>
      </c>
      <c r="N13" s="636">
        <v>2.5</v>
      </c>
      <c r="O13" s="585">
        <v>2.25</v>
      </c>
      <c r="P13" s="589"/>
      <c r="Q13" s="590"/>
      <c r="R13" s="588"/>
      <c r="S13" s="586" t="s">
        <v>261</v>
      </c>
      <c r="T13" s="598"/>
      <c r="U13" s="585">
        <v>2.75</v>
      </c>
      <c r="V13" s="586" t="s">
        <v>263</v>
      </c>
      <c r="W13" s="590"/>
      <c r="X13" s="588"/>
      <c r="Y13" s="586" t="s">
        <v>269</v>
      </c>
      <c r="Z13" s="598"/>
      <c r="AA13" s="591">
        <v>1.75</v>
      </c>
      <c r="AB13" s="586"/>
      <c r="AC13" s="585"/>
      <c r="AD13" s="587"/>
      <c r="AE13" s="586" t="s">
        <v>261</v>
      </c>
      <c r="AF13" s="598"/>
      <c r="AG13" s="585">
        <v>2.0</v>
      </c>
      <c r="AH13" s="586"/>
      <c r="AI13" s="590"/>
      <c r="AJ13" s="587"/>
      <c r="AK13" s="588"/>
      <c r="AL13" s="593"/>
    </row>
    <row r="14">
      <c r="A14" s="578">
        <v>9.0</v>
      </c>
      <c r="B14" s="579" t="s">
        <v>104</v>
      </c>
      <c r="C14" s="580">
        <f t="shared" si="1"/>
        <v>17.25</v>
      </c>
      <c r="D14" s="594">
        <f t="shared" si="2"/>
        <v>2</v>
      </c>
      <c r="E14" s="595">
        <f t="shared" si="3"/>
        <v>5</v>
      </c>
      <c r="F14" s="596">
        <f t="shared" si="4"/>
        <v>12.25</v>
      </c>
      <c r="G14" s="584" t="s">
        <v>269</v>
      </c>
      <c r="H14" s="590"/>
      <c r="I14" s="585">
        <v>2.0</v>
      </c>
      <c r="J14" s="589"/>
      <c r="K14" s="590"/>
      <c r="L14" s="588"/>
      <c r="M14" s="584" t="s">
        <v>269</v>
      </c>
      <c r="N14" s="590"/>
      <c r="O14" s="585">
        <v>2.0</v>
      </c>
      <c r="P14" s="586" t="s">
        <v>263</v>
      </c>
      <c r="Q14" s="590"/>
      <c r="R14" s="588"/>
      <c r="S14" s="586" t="s">
        <v>269</v>
      </c>
      <c r="T14" s="585">
        <v>2.5</v>
      </c>
      <c r="U14" s="585">
        <v>3.5</v>
      </c>
      <c r="V14" s="586"/>
      <c r="W14" s="590"/>
      <c r="X14" s="588"/>
      <c r="Y14" s="586" t="s">
        <v>261</v>
      </c>
      <c r="Z14" s="585">
        <v>2.5</v>
      </c>
      <c r="AA14" s="591">
        <v>3.0</v>
      </c>
      <c r="AB14" s="589"/>
      <c r="AC14" s="590"/>
      <c r="AD14" s="588"/>
      <c r="AE14" s="586" t="s">
        <v>261</v>
      </c>
      <c r="AF14" s="590"/>
      <c r="AG14" s="585">
        <v>1.75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128</v>
      </c>
      <c r="C15" s="580">
        <f t="shared" si="1"/>
        <v>16</v>
      </c>
      <c r="D15" s="603">
        <f t="shared" si="2"/>
        <v>2</v>
      </c>
      <c r="E15" s="604">
        <f t="shared" si="3"/>
        <v>5</v>
      </c>
      <c r="F15" s="605">
        <f t="shared" si="4"/>
        <v>11</v>
      </c>
      <c r="G15" s="606" t="s">
        <v>269</v>
      </c>
      <c r="H15" s="635"/>
      <c r="I15" s="607">
        <v>2.0</v>
      </c>
      <c r="J15" s="611"/>
      <c r="K15" s="609"/>
      <c r="L15" s="610"/>
      <c r="M15" s="606" t="s">
        <v>261</v>
      </c>
      <c r="N15" s="636">
        <v>2.5</v>
      </c>
      <c r="O15" s="607">
        <v>2.0</v>
      </c>
      <c r="P15" s="608"/>
      <c r="Q15" s="609"/>
      <c r="R15" s="610"/>
      <c r="S15" s="611" t="s">
        <v>261</v>
      </c>
      <c r="T15" s="635"/>
      <c r="U15" s="607">
        <v>2.5</v>
      </c>
      <c r="V15" s="611" t="s">
        <v>263</v>
      </c>
      <c r="W15" s="609"/>
      <c r="X15" s="610"/>
      <c r="Y15" s="611" t="s">
        <v>261</v>
      </c>
      <c r="Z15" s="636">
        <v>2.5</v>
      </c>
      <c r="AA15" s="634">
        <v>2.75</v>
      </c>
      <c r="AB15" s="608"/>
      <c r="AC15" s="609"/>
      <c r="AD15" s="610"/>
      <c r="AE15" s="611" t="s">
        <v>261</v>
      </c>
      <c r="AF15" s="635"/>
      <c r="AG15" s="607">
        <v>1.75</v>
      </c>
      <c r="AH15" s="611"/>
      <c r="AI15" s="609"/>
      <c r="AJ15" s="612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262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2.0</v>
      </c>
      <c r="B26" s="631" t="s">
        <v>119</v>
      </c>
      <c r="C26" s="631" t="s">
        <v>16</v>
      </c>
      <c r="D26" s="630">
        <v>0.5</v>
      </c>
      <c r="E26" s="632"/>
      <c r="F26" s="632"/>
      <c r="AK26" s="62"/>
    </row>
    <row r="27">
      <c r="A27" s="631">
        <v>2.0</v>
      </c>
      <c r="B27" s="631" t="s">
        <v>86</v>
      </c>
      <c r="C27" s="631" t="s">
        <v>16</v>
      </c>
      <c r="D27" s="631">
        <v>0.5</v>
      </c>
      <c r="E27" s="62"/>
      <c r="F27" s="62"/>
      <c r="AK27" s="62"/>
    </row>
    <row r="28">
      <c r="A28" s="631">
        <v>5.0</v>
      </c>
      <c r="B28" s="631" t="s">
        <v>86</v>
      </c>
      <c r="C28" s="631" t="s">
        <v>16</v>
      </c>
      <c r="D28" s="631">
        <v>1.0</v>
      </c>
      <c r="E28" s="62"/>
      <c r="F28" s="62"/>
      <c r="AK28" s="62"/>
    </row>
    <row r="29">
      <c r="A29" s="631">
        <v>5.0</v>
      </c>
      <c r="B29" s="631" t="s">
        <v>119</v>
      </c>
      <c r="C29" s="631" t="s">
        <v>16</v>
      </c>
      <c r="D29" s="631">
        <v>1.0</v>
      </c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N7">
      <formula1>"0"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N6 H6:H15 N8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131</v>
      </c>
      <c r="C6" s="580">
        <f t="shared" ref="C6:C15" si="1">SUM(H6:AK6)</f>
        <v>28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18</v>
      </c>
      <c r="G6" s="584" t="s">
        <v>265</v>
      </c>
      <c r="H6" s="585">
        <v>2.5</v>
      </c>
      <c r="I6" s="585">
        <v>4.5</v>
      </c>
      <c r="J6" s="586" t="s">
        <v>260</v>
      </c>
      <c r="K6" s="590"/>
      <c r="L6" s="588"/>
      <c r="M6" s="584" t="s">
        <v>261</v>
      </c>
      <c r="N6" s="585">
        <v>2.5</v>
      </c>
      <c r="O6" s="585">
        <v>3.5</v>
      </c>
      <c r="P6" s="586"/>
      <c r="Q6" s="590"/>
      <c r="R6" s="588"/>
      <c r="S6" s="586" t="s">
        <v>269</v>
      </c>
      <c r="T6" s="585">
        <v>2.5</v>
      </c>
      <c r="U6" s="585">
        <v>4.75</v>
      </c>
      <c r="V6" s="586" t="s">
        <v>260</v>
      </c>
      <c r="W6" s="590"/>
      <c r="X6" s="588"/>
      <c r="Y6" s="586" t="s">
        <v>271</v>
      </c>
      <c r="Z6" s="590"/>
      <c r="AA6" s="591">
        <v>1.75</v>
      </c>
      <c r="AB6" s="586" t="s">
        <v>11</v>
      </c>
      <c r="AC6" s="590"/>
      <c r="AD6" s="587">
        <v>0.5</v>
      </c>
      <c r="AE6" s="586" t="s">
        <v>269</v>
      </c>
      <c r="AF6" s="585">
        <v>2.5</v>
      </c>
      <c r="AG6" s="585">
        <v>3.0</v>
      </c>
      <c r="AH6" s="589"/>
      <c r="AI6" s="590"/>
      <c r="AJ6" s="588"/>
      <c r="AK6" s="647"/>
      <c r="AL6" s="593"/>
    </row>
    <row r="7" ht="23.25" customHeight="1">
      <c r="A7" s="578">
        <v>2.0</v>
      </c>
      <c r="B7" s="579" t="s">
        <v>153</v>
      </c>
      <c r="C7" s="580">
        <f t="shared" si="1"/>
        <v>22.25</v>
      </c>
      <c r="D7" s="594">
        <f t="shared" si="2"/>
        <v>2</v>
      </c>
      <c r="E7" s="595">
        <f t="shared" si="3"/>
        <v>5</v>
      </c>
      <c r="F7" s="596">
        <f t="shared" si="4"/>
        <v>17.25</v>
      </c>
      <c r="G7" s="584" t="s">
        <v>261</v>
      </c>
      <c r="H7" s="598"/>
      <c r="I7" s="585">
        <v>3.0</v>
      </c>
      <c r="J7" s="586"/>
      <c r="K7" s="590"/>
      <c r="L7" s="588"/>
      <c r="M7" s="584" t="s">
        <v>261</v>
      </c>
      <c r="N7" s="597">
        <v>2.5</v>
      </c>
      <c r="O7" s="585">
        <v>3.25</v>
      </c>
      <c r="P7" s="589"/>
      <c r="Q7" s="590"/>
      <c r="R7" s="588"/>
      <c r="S7" s="586" t="s">
        <v>261</v>
      </c>
      <c r="T7" s="598"/>
      <c r="U7" s="585">
        <v>2.5</v>
      </c>
      <c r="V7" s="586" t="s">
        <v>11</v>
      </c>
      <c r="W7" s="585"/>
      <c r="X7" s="587">
        <v>0.5</v>
      </c>
      <c r="Y7" s="586" t="s">
        <v>269</v>
      </c>
      <c r="Z7" s="597">
        <v>2.5</v>
      </c>
      <c r="AA7" s="591">
        <v>4.25</v>
      </c>
      <c r="AB7" s="589"/>
      <c r="AC7" s="590"/>
      <c r="AD7" s="588"/>
      <c r="AE7" s="586" t="s">
        <v>261</v>
      </c>
      <c r="AF7" s="598"/>
      <c r="AG7" s="585">
        <v>3.75</v>
      </c>
      <c r="AH7" s="586"/>
      <c r="AI7" s="590"/>
      <c r="AJ7" s="587"/>
      <c r="AK7" s="588"/>
      <c r="AL7" s="593"/>
    </row>
    <row r="8">
      <c r="A8" s="578">
        <v>3.0</v>
      </c>
      <c r="B8" s="579" t="s">
        <v>98</v>
      </c>
      <c r="C8" s="580">
        <f t="shared" si="1"/>
        <v>21.75</v>
      </c>
      <c r="D8" s="594">
        <f t="shared" si="2"/>
        <v>2</v>
      </c>
      <c r="E8" s="595">
        <f t="shared" si="3"/>
        <v>5</v>
      </c>
      <c r="F8" s="596">
        <f t="shared" si="4"/>
        <v>16.75</v>
      </c>
      <c r="G8" s="584" t="s">
        <v>261</v>
      </c>
      <c r="H8" s="590"/>
      <c r="I8" s="585">
        <v>3.25</v>
      </c>
      <c r="J8" s="589"/>
      <c r="K8" s="590"/>
      <c r="L8" s="588"/>
      <c r="M8" s="584" t="s">
        <v>271</v>
      </c>
      <c r="N8" s="585">
        <v>2.5</v>
      </c>
      <c r="O8" s="585">
        <v>4.5</v>
      </c>
      <c r="P8" s="589"/>
      <c r="Q8" s="590"/>
      <c r="R8" s="588"/>
      <c r="S8" s="586" t="s">
        <v>261</v>
      </c>
      <c r="T8" s="590"/>
      <c r="U8" s="585">
        <v>2.75</v>
      </c>
      <c r="V8" s="586" t="s">
        <v>263</v>
      </c>
      <c r="W8" s="590"/>
      <c r="X8" s="588"/>
      <c r="Y8" s="586" t="s">
        <v>261</v>
      </c>
      <c r="Z8" s="590"/>
      <c r="AA8" s="591">
        <v>2.0</v>
      </c>
      <c r="AB8" s="589"/>
      <c r="AC8" s="590"/>
      <c r="AD8" s="588"/>
      <c r="AE8" s="586" t="s">
        <v>265</v>
      </c>
      <c r="AF8" s="585">
        <v>2.5</v>
      </c>
      <c r="AG8" s="585">
        <v>4.25</v>
      </c>
      <c r="AH8" s="589"/>
      <c r="AI8" s="590"/>
      <c r="AJ8" s="588"/>
      <c r="AK8" s="588"/>
      <c r="AL8" s="593"/>
    </row>
    <row r="9">
      <c r="A9" s="578">
        <v>4.0</v>
      </c>
      <c r="B9" s="579" t="s">
        <v>96</v>
      </c>
      <c r="C9" s="580">
        <f t="shared" si="1"/>
        <v>21.25</v>
      </c>
      <c r="D9" s="594">
        <f t="shared" si="2"/>
        <v>3</v>
      </c>
      <c r="E9" s="595">
        <f t="shared" si="3"/>
        <v>7.5</v>
      </c>
      <c r="F9" s="596">
        <f t="shared" si="4"/>
        <v>13.75</v>
      </c>
      <c r="G9" s="584" t="s">
        <v>269</v>
      </c>
      <c r="H9" s="597">
        <v>2.5</v>
      </c>
      <c r="I9" s="585">
        <v>3.75</v>
      </c>
      <c r="J9" s="586"/>
      <c r="K9" s="590"/>
      <c r="L9" s="588"/>
      <c r="M9" s="584" t="s">
        <v>265</v>
      </c>
      <c r="N9" s="598"/>
      <c r="O9" s="585">
        <v>2.0</v>
      </c>
      <c r="P9" s="589"/>
      <c r="Q9" s="590"/>
      <c r="R9" s="588"/>
      <c r="S9" s="586" t="s">
        <v>265</v>
      </c>
      <c r="T9" s="597">
        <v>2.5</v>
      </c>
      <c r="U9" s="585">
        <v>3.5</v>
      </c>
      <c r="V9" s="586"/>
      <c r="W9" s="590"/>
      <c r="X9" s="588"/>
      <c r="Y9" s="586" t="s">
        <v>265</v>
      </c>
      <c r="Z9" s="597">
        <v>2.5</v>
      </c>
      <c r="AA9" s="591">
        <v>3.25</v>
      </c>
      <c r="AB9" s="586"/>
      <c r="AC9" s="585"/>
      <c r="AD9" s="587"/>
      <c r="AE9" s="586" t="s">
        <v>261</v>
      </c>
      <c r="AF9" s="598"/>
      <c r="AG9" s="585">
        <v>1.25</v>
      </c>
      <c r="AH9" s="586"/>
      <c r="AI9" s="590"/>
      <c r="AJ9" s="587"/>
      <c r="AK9" s="588"/>
      <c r="AL9" s="593"/>
    </row>
    <row r="10">
      <c r="A10" s="578">
        <v>5.0</v>
      </c>
      <c r="B10" s="579" t="s">
        <v>108</v>
      </c>
      <c r="C10" s="580">
        <f t="shared" si="1"/>
        <v>21.25</v>
      </c>
      <c r="D10" s="594">
        <f t="shared" si="2"/>
        <v>2</v>
      </c>
      <c r="E10" s="595">
        <f t="shared" si="3"/>
        <v>5</v>
      </c>
      <c r="F10" s="596">
        <f t="shared" si="4"/>
        <v>16.25</v>
      </c>
      <c r="G10" s="584" t="s">
        <v>261</v>
      </c>
      <c r="H10" s="590"/>
      <c r="I10" s="585">
        <v>3.0</v>
      </c>
      <c r="J10" s="586" t="s">
        <v>11</v>
      </c>
      <c r="K10" s="585">
        <v>0.5</v>
      </c>
      <c r="L10" s="587">
        <v>0.5</v>
      </c>
      <c r="M10" s="584" t="s">
        <v>261</v>
      </c>
      <c r="N10" s="585">
        <v>2.5</v>
      </c>
      <c r="O10" s="585">
        <v>3.0</v>
      </c>
      <c r="P10" s="586" t="s">
        <v>11</v>
      </c>
      <c r="Q10" s="585">
        <v>0.5</v>
      </c>
      <c r="R10" s="587">
        <v>1.0</v>
      </c>
      <c r="S10" s="586" t="s">
        <v>269</v>
      </c>
      <c r="T10" s="585">
        <v>2.5</v>
      </c>
      <c r="U10" s="585">
        <v>3.0</v>
      </c>
      <c r="V10" s="589"/>
      <c r="W10" s="590"/>
      <c r="X10" s="588"/>
      <c r="Y10" s="586" t="s">
        <v>261</v>
      </c>
      <c r="Z10" s="590"/>
      <c r="AA10" s="637">
        <v>1.5</v>
      </c>
      <c r="AB10" s="589"/>
      <c r="AC10" s="590"/>
      <c r="AD10" s="588"/>
      <c r="AE10" s="586" t="s">
        <v>261</v>
      </c>
      <c r="AF10" s="590"/>
      <c r="AG10" s="585">
        <v>3.25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138</v>
      </c>
      <c r="C11" s="580">
        <f t="shared" si="1"/>
        <v>19</v>
      </c>
      <c r="D11" s="594">
        <f t="shared" si="2"/>
        <v>2</v>
      </c>
      <c r="E11" s="595">
        <f t="shared" si="3"/>
        <v>5</v>
      </c>
      <c r="F11" s="596">
        <f t="shared" si="4"/>
        <v>14</v>
      </c>
      <c r="G11" s="584" t="s">
        <v>269</v>
      </c>
      <c r="H11" s="585">
        <v>2.5</v>
      </c>
      <c r="I11" s="585">
        <v>2.25</v>
      </c>
      <c r="J11" s="589"/>
      <c r="K11" s="590"/>
      <c r="L11" s="588"/>
      <c r="M11" s="584" t="s">
        <v>261</v>
      </c>
      <c r="N11" s="585">
        <v>2.5</v>
      </c>
      <c r="O11" s="585">
        <v>3.75</v>
      </c>
      <c r="P11" s="586"/>
      <c r="Q11" s="590"/>
      <c r="R11" s="587"/>
      <c r="S11" s="586" t="s">
        <v>271</v>
      </c>
      <c r="T11" s="590"/>
      <c r="U11" s="585">
        <v>3.0</v>
      </c>
      <c r="V11" s="586"/>
      <c r="W11" s="590"/>
      <c r="X11" s="588"/>
      <c r="Y11" s="586" t="s">
        <v>261</v>
      </c>
      <c r="Z11" s="590"/>
      <c r="AA11" s="591">
        <v>2.5</v>
      </c>
      <c r="AB11" s="586"/>
      <c r="AC11" s="590"/>
      <c r="AD11" s="587"/>
      <c r="AE11" s="586" t="s">
        <v>271</v>
      </c>
      <c r="AF11" s="590"/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102</v>
      </c>
      <c r="C12" s="580">
        <f t="shared" si="1"/>
        <v>16.5</v>
      </c>
      <c r="D12" s="594">
        <f t="shared" si="2"/>
        <v>1</v>
      </c>
      <c r="E12" s="595">
        <f t="shared" si="3"/>
        <v>2.5</v>
      </c>
      <c r="F12" s="596">
        <f t="shared" si="4"/>
        <v>14</v>
      </c>
      <c r="G12" s="584" t="s">
        <v>271</v>
      </c>
      <c r="H12" s="590"/>
      <c r="I12" s="585">
        <v>3.0</v>
      </c>
      <c r="J12" s="586" t="s">
        <v>263</v>
      </c>
      <c r="K12" s="590"/>
      <c r="L12" s="588"/>
      <c r="M12" s="584" t="s">
        <v>261</v>
      </c>
      <c r="N12" s="585">
        <v>2.5</v>
      </c>
      <c r="O12" s="585">
        <v>3.75</v>
      </c>
      <c r="P12" s="586" t="s">
        <v>260</v>
      </c>
      <c r="Q12" s="590"/>
      <c r="R12" s="588"/>
      <c r="S12" s="586" t="s">
        <v>261</v>
      </c>
      <c r="T12" s="590"/>
      <c r="U12" s="585">
        <v>2.75</v>
      </c>
      <c r="V12" s="586" t="s">
        <v>263</v>
      </c>
      <c r="W12" s="590"/>
      <c r="X12" s="587"/>
      <c r="Y12" s="586" t="s">
        <v>261</v>
      </c>
      <c r="Z12" s="590"/>
      <c r="AA12" s="585">
        <v>2.25</v>
      </c>
      <c r="AB12" s="589"/>
      <c r="AC12" s="590"/>
      <c r="AD12" s="588"/>
      <c r="AE12" s="586" t="s">
        <v>261</v>
      </c>
      <c r="AF12" s="590"/>
      <c r="AG12" s="585">
        <v>1.75</v>
      </c>
      <c r="AH12" s="586" t="s">
        <v>11</v>
      </c>
      <c r="AI12" s="590"/>
      <c r="AJ12" s="587">
        <v>0.5</v>
      </c>
      <c r="AK12" s="588"/>
      <c r="AL12" s="593"/>
    </row>
    <row r="13">
      <c r="A13" s="578">
        <v>8.0</v>
      </c>
      <c r="B13" s="579" t="s">
        <v>97</v>
      </c>
      <c r="C13" s="580">
        <f t="shared" si="1"/>
        <v>15</v>
      </c>
      <c r="D13" s="594">
        <f t="shared" si="2"/>
        <v>1</v>
      </c>
      <c r="E13" s="595">
        <f t="shared" si="3"/>
        <v>2.5</v>
      </c>
      <c r="F13" s="596">
        <f t="shared" si="4"/>
        <v>12.5</v>
      </c>
      <c r="G13" s="584" t="s">
        <v>261</v>
      </c>
      <c r="H13" s="590"/>
      <c r="I13" s="585">
        <v>2.75</v>
      </c>
      <c r="J13" s="586"/>
      <c r="K13" s="590"/>
      <c r="L13" s="588"/>
      <c r="M13" s="584" t="s">
        <v>261</v>
      </c>
      <c r="N13" s="585">
        <v>2.5</v>
      </c>
      <c r="O13" s="585">
        <v>3.75</v>
      </c>
      <c r="P13" s="586" t="s">
        <v>260</v>
      </c>
      <c r="Q13" s="585"/>
      <c r="R13" s="587"/>
      <c r="S13" s="586" t="s">
        <v>261</v>
      </c>
      <c r="T13" s="590"/>
      <c r="U13" s="600">
        <v>1.5</v>
      </c>
      <c r="V13" s="586" t="s">
        <v>263</v>
      </c>
      <c r="W13" s="590"/>
      <c r="X13" s="588"/>
      <c r="Y13" s="586" t="s">
        <v>261</v>
      </c>
      <c r="Z13" s="590"/>
      <c r="AA13" s="591">
        <v>2.0</v>
      </c>
      <c r="AB13" s="589"/>
      <c r="AC13" s="590"/>
      <c r="AD13" s="588"/>
      <c r="AE13" s="586" t="s">
        <v>261</v>
      </c>
      <c r="AF13" s="590"/>
      <c r="AG13" s="585">
        <v>2.5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129</v>
      </c>
      <c r="C14" s="580">
        <f t="shared" si="1"/>
        <v>13.75</v>
      </c>
      <c r="D14" s="594">
        <f t="shared" si="2"/>
        <v>1</v>
      </c>
      <c r="E14" s="595">
        <f t="shared" si="3"/>
        <v>2.5</v>
      </c>
      <c r="F14" s="596">
        <f t="shared" si="4"/>
        <v>11.25</v>
      </c>
      <c r="G14" s="584" t="s">
        <v>261</v>
      </c>
      <c r="H14" s="590"/>
      <c r="I14" s="585">
        <v>1.75</v>
      </c>
      <c r="J14" s="586" t="s">
        <v>263</v>
      </c>
      <c r="K14" s="590"/>
      <c r="L14" s="588"/>
      <c r="M14" s="584" t="s">
        <v>269</v>
      </c>
      <c r="N14" s="590"/>
      <c r="O14" s="585">
        <v>2.5</v>
      </c>
      <c r="P14" s="586" t="s">
        <v>263</v>
      </c>
      <c r="Q14" s="590"/>
      <c r="R14" s="588"/>
      <c r="S14" s="586" t="s">
        <v>261</v>
      </c>
      <c r="T14" s="590"/>
      <c r="U14" s="585">
        <v>2.0</v>
      </c>
      <c r="V14" s="586"/>
      <c r="W14" s="590"/>
      <c r="X14" s="587"/>
      <c r="Y14" s="586" t="s">
        <v>269</v>
      </c>
      <c r="Z14" s="585">
        <v>2.5</v>
      </c>
      <c r="AA14" s="585">
        <v>2.5</v>
      </c>
      <c r="AB14" s="589"/>
      <c r="AC14" s="590"/>
      <c r="AD14" s="588"/>
      <c r="AE14" s="586" t="s">
        <v>261</v>
      </c>
      <c r="AF14" s="590"/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106</v>
      </c>
      <c r="C15" s="580">
        <f t="shared" si="1"/>
        <v>13.75</v>
      </c>
      <c r="D15" s="603">
        <f t="shared" si="2"/>
        <v>1</v>
      </c>
      <c r="E15" s="604">
        <f t="shared" si="3"/>
        <v>2.5</v>
      </c>
      <c r="F15" s="605">
        <f t="shared" si="4"/>
        <v>11.25</v>
      </c>
      <c r="G15" s="606" t="s">
        <v>261</v>
      </c>
      <c r="H15" s="635"/>
      <c r="I15" s="607">
        <v>1.75</v>
      </c>
      <c r="J15" s="611"/>
      <c r="K15" s="607"/>
      <c r="L15" s="610"/>
      <c r="M15" s="606" t="s">
        <v>269</v>
      </c>
      <c r="N15" s="635"/>
      <c r="O15" s="607">
        <v>2.0</v>
      </c>
      <c r="P15" s="608"/>
      <c r="Q15" s="609"/>
      <c r="R15" s="610"/>
      <c r="S15" s="611" t="s">
        <v>261</v>
      </c>
      <c r="T15" s="635"/>
      <c r="U15" s="607">
        <v>1.75</v>
      </c>
      <c r="V15" s="611"/>
      <c r="W15" s="609"/>
      <c r="X15" s="610"/>
      <c r="Y15" s="611" t="s">
        <v>261</v>
      </c>
      <c r="Z15" s="635"/>
      <c r="AA15" s="634">
        <v>2.0</v>
      </c>
      <c r="AB15" s="608"/>
      <c r="AC15" s="609"/>
      <c r="AD15" s="610"/>
      <c r="AE15" s="611" t="s">
        <v>269</v>
      </c>
      <c r="AF15" s="636">
        <v>2.5</v>
      </c>
      <c r="AG15" s="607">
        <v>3.75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0">
        <v>3.0</v>
      </c>
      <c r="B26" s="631" t="s">
        <v>97</v>
      </c>
      <c r="C26" s="631" t="s">
        <v>16</v>
      </c>
      <c r="D26" s="630">
        <v>0.5</v>
      </c>
      <c r="E26" s="632"/>
      <c r="F26" s="632"/>
      <c r="AK26" s="62"/>
    </row>
    <row r="27">
      <c r="A27" s="631">
        <v>4.0</v>
      </c>
      <c r="B27" s="631" t="s">
        <v>108</v>
      </c>
      <c r="C27" s="631" t="s">
        <v>16</v>
      </c>
      <c r="D27" s="631">
        <v>0.5</v>
      </c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131</v>
      </c>
      <c r="C6" s="580">
        <f t="shared" ref="C6:C15" si="1">SUM(H6:AK6)</f>
        <v>23.25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15.75</v>
      </c>
      <c r="G6" s="584" t="s">
        <v>271</v>
      </c>
      <c r="H6" s="585">
        <v>2.5</v>
      </c>
      <c r="I6" s="585">
        <v>2.5</v>
      </c>
      <c r="J6" s="589"/>
      <c r="K6" s="590"/>
      <c r="L6" s="588"/>
      <c r="M6" s="584" t="s">
        <v>271</v>
      </c>
      <c r="N6" s="590"/>
      <c r="O6" s="585">
        <v>3.5</v>
      </c>
      <c r="P6" s="589"/>
      <c r="Q6" s="590"/>
      <c r="R6" s="588"/>
      <c r="S6" s="586" t="s">
        <v>261</v>
      </c>
      <c r="T6" s="585">
        <v>2.5</v>
      </c>
      <c r="U6" s="585">
        <v>4.0</v>
      </c>
      <c r="V6" s="586"/>
      <c r="W6" s="590"/>
      <c r="X6" s="587"/>
      <c r="Y6" s="586" t="s">
        <v>271</v>
      </c>
      <c r="Z6" s="590"/>
      <c r="AA6" s="585">
        <v>2.0</v>
      </c>
      <c r="AB6" s="589"/>
      <c r="AC6" s="590"/>
      <c r="AD6" s="588"/>
      <c r="AE6" s="586" t="s">
        <v>265</v>
      </c>
      <c r="AF6" s="585">
        <v>2.5</v>
      </c>
      <c r="AG6" s="585">
        <v>3.75</v>
      </c>
      <c r="AH6" s="589"/>
      <c r="AI6" s="590"/>
      <c r="AJ6" s="588"/>
      <c r="AK6" s="592"/>
      <c r="AL6" s="593"/>
    </row>
    <row r="7" ht="23.25" customHeight="1">
      <c r="A7" s="578">
        <v>2.0</v>
      </c>
      <c r="B7" s="579" t="s">
        <v>91</v>
      </c>
      <c r="C7" s="580">
        <f t="shared" si="1"/>
        <v>22.25</v>
      </c>
      <c r="D7" s="594">
        <f t="shared" si="2"/>
        <v>3</v>
      </c>
      <c r="E7" s="595">
        <f t="shared" si="3"/>
        <v>7.5</v>
      </c>
      <c r="F7" s="596">
        <f t="shared" si="4"/>
        <v>14.75</v>
      </c>
      <c r="G7" s="584" t="s">
        <v>261</v>
      </c>
      <c r="H7" s="597">
        <v>2.5</v>
      </c>
      <c r="I7" s="585">
        <v>3.25</v>
      </c>
      <c r="J7" s="586"/>
      <c r="K7" s="585"/>
      <c r="L7" s="588"/>
      <c r="M7" s="584" t="s">
        <v>269</v>
      </c>
      <c r="N7" s="597">
        <v>2.5</v>
      </c>
      <c r="O7" s="585">
        <v>3.75</v>
      </c>
      <c r="P7" s="589"/>
      <c r="Q7" s="590"/>
      <c r="R7" s="588"/>
      <c r="S7" s="586" t="s">
        <v>269</v>
      </c>
      <c r="T7" s="598"/>
      <c r="U7" s="585">
        <v>2.0</v>
      </c>
      <c r="V7" s="586"/>
      <c r="W7" s="590"/>
      <c r="X7" s="588"/>
      <c r="Y7" s="586" t="s">
        <v>269</v>
      </c>
      <c r="Z7" s="597">
        <v>2.5</v>
      </c>
      <c r="AA7" s="591">
        <v>2.0</v>
      </c>
      <c r="AB7" s="589"/>
      <c r="AC7" s="590"/>
      <c r="AD7" s="588"/>
      <c r="AE7" s="586" t="s">
        <v>261</v>
      </c>
      <c r="AF7" s="598"/>
      <c r="AG7" s="585">
        <v>3.75</v>
      </c>
      <c r="AH7" s="589"/>
      <c r="AI7" s="590"/>
      <c r="AJ7" s="588"/>
      <c r="AK7" s="588"/>
      <c r="AL7" s="593"/>
    </row>
    <row r="8">
      <c r="A8" s="578">
        <v>3.0</v>
      </c>
      <c r="B8" s="579" t="s">
        <v>153</v>
      </c>
      <c r="C8" s="580">
        <f t="shared" si="1"/>
        <v>21.75</v>
      </c>
      <c r="D8" s="594">
        <f t="shared" si="2"/>
        <v>2</v>
      </c>
      <c r="E8" s="595">
        <f t="shared" si="3"/>
        <v>5</v>
      </c>
      <c r="F8" s="596">
        <f t="shared" si="4"/>
        <v>16.75</v>
      </c>
      <c r="G8" s="584" t="s">
        <v>261</v>
      </c>
      <c r="H8" s="585">
        <v>2.5</v>
      </c>
      <c r="I8" s="585">
        <v>3.75</v>
      </c>
      <c r="J8" s="586"/>
      <c r="K8" s="585"/>
      <c r="L8" s="587"/>
      <c r="M8" s="584" t="s">
        <v>261</v>
      </c>
      <c r="N8" s="590"/>
      <c r="O8" s="585">
        <v>4.0</v>
      </c>
      <c r="P8" s="586"/>
      <c r="Q8" s="585"/>
      <c r="R8" s="588"/>
      <c r="S8" s="586" t="s">
        <v>261</v>
      </c>
      <c r="T8" s="585">
        <v>2.5</v>
      </c>
      <c r="U8" s="585">
        <v>3.0</v>
      </c>
      <c r="V8" s="589"/>
      <c r="W8" s="590"/>
      <c r="X8" s="588"/>
      <c r="Y8" s="586" t="s">
        <v>261</v>
      </c>
      <c r="Z8" s="590"/>
      <c r="AA8" s="591">
        <v>2.5</v>
      </c>
      <c r="AB8" s="586" t="s">
        <v>11</v>
      </c>
      <c r="AC8" s="590"/>
      <c r="AD8" s="587">
        <v>0.5</v>
      </c>
      <c r="AE8" s="586" t="s">
        <v>261</v>
      </c>
      <c r="AF8" s="590"/>
      <c r="AG8" s="585">
        <v>3.0</v>
      </c>
      <c r="AH8" s="589"/>
      <c r="AI8" s="590"/>
      <c r="AJ8" s="588"/>
      <c r="AK8" s="588"/>
      <c r="AL8" s="593"/>
    </row>
    <row r="9">
      <c r="A9" s="578">
        <v>4.0</v>
      </c>
      <c r="B9" s="579" t="s">
        <v>108</v>
      </c>
      <c r="C9" s="580">
        <f t="shared" si="1"/>
        <v>21.5</v>
      </c>
      <c r="D9" s="594">
        <f t="shared" si="2"/>
        <v>3</v>
      </c>
      <c r="E9" s="595">
        <f t="shared" si="3"/>
        <v>7.5</v>
      </c>
      <c r="F9" s="596">
        <f t="shared" si="4"/>
        <v>14</v>
      </c>
      <c r="G9" s="584" t="s">
        <v>261</v>
      </c>
      <c r="H9" s="585">
        <v>2.5</v>
      </c>
      <c r="I9" s="585">
        <v>1.75</v>
      </c>
      <c r="J9" s="589"/>
      <c r="K9" s="590"/>
      <c r="L9" s="588"/>
      <c r="M9" s="584" t="s">
        <v>269</v>
      </c>
      <c r="N9" s="585">
        <v>2.5</v>
      </c>
      <c r="O9" s="585">
        <v>4.0</v>
      </c>
      <c r="P9" s="586"/>
      <c r="Q9" s="590"/>
      <c r="R9" s="587"/>
      <c r="S9" s="586" t="s">
        <v>269</v>
      </c>
      <c r="T9" s="585"/>
      <c r="U9" s="585">
        <v>2.25</v>
      </c>
      <c r="V9" s="586"/>
      <c r="W9" s="590"/>
      <c r="X9" s="588"/>
      <c r="Y9" s="586" t="s">
        <v>261</v>
      </c>
      <c r="Z9" s="590"/>
      <c r="AA9" s="591">
        <v>2.0</v>
      </c>
      <c r="AB9" s="586"/>
      <c r="AC9" s="590"/>
      <c r="AD9" s="587"/>
      <c r="AE9" s="586" t="s">
        <v>269</v>
      </c>
      <c r="AF9" s="585">
        <v>2.5</v>
      </c>
      <c r="AG9" s="585">
        <v>4.0</v>
      </c>
      <c r="AH9" s="589"/>
      <c r="AI9" s="590"/>
      <c r="AJ9" s="588"/>
      <c r="AK9" s="588"/>
      <c r="AL9" s="593"/>
    </row>
    <row r="10">
      <c r="A10" s="578">
        <v>5.0</v>
      </c>
      <c r="B10" s="579" t="s">
        <v>124</v>
      </c>
      <c r="C10" s="580">
        <f t="shared" si="1"/>
        <v>21.25</v>
      </c>
      <c r="D10" s="594">
        <f t="shared" si="2"/>
        <v>3</v>
      </c>
      <c r="E10" s="595">
        <f t="shared" si="3"/>
        <v>7.5</v>
      </c>
      <c r="F10" s="596">
        <f t="shared" si="4"/>
        <v>13.75</v>
      </c>
      <c r="G10" s="584" t="s">
        <v>261</v>
      </c>
      <c r="H10" s="585">
        <v>2.5</v>
      </c>
      <c r="I10" s="585">
        <v>4.25</v>
      </c>
      <c r="J10" s="586" t="s">
        <v>260</v>
      </c>
      <c r="K10" s="590"/>
      <c r="L10" s="588"/>
      <c r="M10" s="584" t="s">
        <v>261</v>
      </c>
      <c r="N10" s="590"/>
      <c r="O10" s="585">
        <v>1.25</v>
      </c>
      <c r="P10" s="589"/>
      <c r="Q10" s="590"/>
      <c r="R10" s="588"/>
      <c r="S10" s="586" t="s">
        <v>271</v>
      </c>
      <c r="T10" s="585">
        <v>2.5</v>
      </c>
      <c r="U10" s="585">
        <v>3.0</v>
      </c>
      <c r="V10" s="586"/>
      <c r="W10" s="590"/>
      <c r="X10" s="588"/>
      <c r="Y10" s="586" t="s">
        <v>261</v>
      </c>
      <c r="Z10" s="590"/>
      <c r="AA10" s="591">
        <v>1.75</v>
      </c>
      <c r="AB10" s="589"/>
      <c r="AC10" s="590"/>
      <c r="AD10" s="588"/>
      <c r="AE10" s="586" t="s">
        <v>269</v>
      </c>
      <c r="AF10" s="585">
        <v>2.5</v>
      </c>
      <c r="AG10" s="585">
        <v>3.5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104</v>
      </c>
      <c r="C11" s="580">
        <f t="shared" si="1"/>
        <v>19</v>
      </c>
      <c r="D11" s="594">
        <f t="shared" si="2"/>
        <v>2</v>
      </c>
      <c r="E11" s="595">
        <f t="shared" si="3"/>
        <v>5</v>
      </c>
      <c r="F11" s="596">
        <f t="shared" si="4"/>
        <v>14</v>
      </c>
      <c r="G11" s="584" t="s">
        <v>261</v>
      </c>
      <c r="H11" s="585">
        <v>2.5</v>
      </c>
      <c r="I11" s="585">
        <v>4.25</v>
      </c>
      <c r="J11" s="586" t="s">
        <v>260</v>
      </c>
      <c r="K11" s="590"/>
      <c r="L11" s="588"/>
      <c r="M11" s="584" t="s">
        <v>261</v>
      </c>
      <c r="N11" s="590"/>
      <c r="O11" s="585">
        <v>2.0</v>
      </c>
      <c r="P11" s="586" t="s">
        <v>11</v>
      </c>
      <c r="Q11" s="590"/>
      <c r="R11" s="587">
        <v>0.5</v>
      </c>
      <c r="S11" s="586" t="s">
        <v>261</v>
      </c>
      <c r="T11" s="585">
        <v>2.5</v>
      </c>
      <c r="U11" s="585">
        <v>3.25</v>
      </c>
      <c r="V11" s="586"/>
      <c r="W11" s="590"/>
      <c r="X11" s="588"/>
      <c r="Y11" s="586" t="s">
        <v>261</v>
      </c>
      <c r="Z11" s="590"/>
      <c r="AA11" s="591">
        <v>2.0</v>
      </c>
      <c r="AB11" s="586" t="s">
        <v>263</v>
      </c>
      <c r="AC11" s="590"/>
      <c r="AD11" s="588"/>
      <c r="AE11" s="586" t="s">
        <v>261</v>
      </c>
      <c r="AF11" s="590"/>
      <c r="AG11" s="585">
        <v>2.0</v>
      </c>
      <c r="AH11" s="589"/>
      <c r="AI11" s="590"/>
      <c r="AJ11" s="588"/>
      <c r="AK11" s="599"/>
      <c r="AL11" s="593"/>
    </row>
    <row r="12">
      <c r="A12" s="578">
        <v>7.0</v>
      </c>
      <c r="B12" s="579" t="s">
        <v>129</v>
      </c>
      <c r="C12" s="580">
        <f t="shared" si="1"/>
        <v>18.75</v>
      </c>
      <c r="D12" s="594">
        <f t="shared" si="2"/>
        <v>2</v>
      </c>
      <c r="E12" s="595">
        <f t="shared" si="3"/>
        <v>5</v>
      </c>
      <c r="F12" s="596">
        <f t="shared" si="4"/>
        <v>13.75</v>
      </c>
      <c r="G12" s="584" t="s">
        <v>261</v>
      </c>
      <c r="H12" s="585">
        <v>2.5</v>
      </c>
      <c r="I12" s="585">
        <v>2.0</v>
      </c>
      <c r="J12" s="586"/>
      <c r="K12" s="590"/>
      <c r="L12" s="588"/>
      <c r="M12" s="584" t="s">
        <v>261</v>
      </c>
      <c r="N12" s="590"/>
      <c r="O12" s="585">
        <v>1.75</v>
      </c>
      <c r="P12" s="586"/>
      <c r="Q12" s="585"/>
      <c r="R12" s="587"/>
      <c r="S12" s="586" t="s">
        <v>261</v>
      </c>
      <c r="T12" s="585">
        <v>2.5</v>
      </c>
      <c r="U12" s="585">
        <v>4.75</v>
      </c>
      <c r="V12" s="589"/>
      <c r="W12" s="590"/>
      <c r="X12" s="588"/>
      <c r="Y12" s="586" t="s">
        <v>261</v>
      </c>
      <c r="Z12" s="590"/>
      <c r="AA12" s="591">
        <v>3.75</v>
      </c>
      <c r="AB12" s="586" t="s">
        <v>263</v>
      </c>
      <c r="AC12" s="590"/>
      <c r="AD12" s="588"/>
      <c r="AE12" s="586" t="s">
        <v>261</v>
      </c>
      <c r="AF12" s="590"/>
      <c r="AG12" s="585">
        <v>1.5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117</v>
      </c>
      <c r="C13" s="580">
        <f t="shared" si="1"/>
        <v>18.75</v>
      </c>
      <c r="D13" s="594">
        <f t="shared" si="2"/>
        <v>2</v>
      </c>
      <c r="E13" s="595">
        <f t="shared" si="3"/>
        <v>5</v>
      </c>
      <c r="F13" s="596">
        <f t="shared" si="4"/>
        <v>13.75</v>
      </c>
      <c r="G13" s="584" t="s">
        <v>269</v>
      </c>
      <c r="H13" s="590"/>
      <c r="I13" s="585">
        <v>1.75</v>
      </c>
      <c r="J13" s="586" t="s">
        <v>263</v>
      </c>
      <c r="K13" s="590"/>
      <c r="L13" s="588"/>
      <c r="M13" s="584" t="s">
        <v>265</v>
      </c>
      <c r="N13" s="585">
        <v>2.5</v>
      </c>
      <c r="O13" s="585">
        <v>4.5</v>
      </c>
      <c r="P13" s="589"/>
      <c r="Q13" s="590"/>
      <c r="R13" s="588"/>
      <c r="S13" s="586" t="s">
        <v>261</v>
      </c>
      <c r="T13" s="585">
        <v>2.5</v>
      </c>
      <c r="U13" s="585">
        <v>2.25</v>
      </c>
      <c r="V13" s="586"/>
      <c r="W13" s="590"/>
      <c r="X13" s="587"/>
      <c r="Y13" s="586" t="s">
        <v>261</v>
      </c>
      <c r="Z13" s="590"/>
      <c r="AA13" s="585">
        <v>2.25</v>
      </c>
      <c r="AB13" s="589"/>
      <c r="AC13" s="590"/>
      <c r="AD13" s="588"/>
      <c r="AE13" s="586" t="s">
        <v>261</v>
      </c>
      <c r="AF13" s="590"/>
      <c r="AG13" s="585">
        <v>2.5</v>
      </c>
      <c r="AH13" s="586" t="s">
        <v>11</v>
      </c>
      <c r="AI13" s="590"/>
      <c r="AJ13" s="587">
        <v>0.5</v>
      </c>
      <c r="AK13" s="588"/>
      <c r="AL13" s="593"/>
    </row>
    <row r="14">
      <c r="A14" s="578">
        <v>9.0</v>
      </c>
      <c r="B14" s="579" t="s">
        <v>79</v>
      </c>
      <c r="C14" s="580">
        <f t="shared" si="1"/>
        <v>17.5</v>
      </c>
      <c r="D14" s="594">
        <f t="shared" si="2"/>
        <v>2</v>
      </c>
      <c r="E14" s="595">
        <f t="shared" si="3"/>
        <v>5</v>
      </c>
      <c r="F14" s="596">
        <f t="shared" si="4"/>
        <v>12.5</v>
      </c>
      <c r="G14" s="584" t="s">
        <v>265</v>
      </c>
      <c r="H14" s="598"/>
      <c r="I14" s="585">
        <v>2.5</v>
      </c>
      <c r="J14" s="586"/>
      <c r="K14" s="590"/>
      <c r="L14" s="588"/>
      <c r="M14" s="584" t="s">
        <v>261</v>
      </c>
      <c r="N14" s="598"/>
      <c r="O14" s="585">
        <v>1.5</v>
      </c>
      <c r="P14" s="589"/>
      <c r="Q14" s="590"/>
      <c r="R14" s="588"/>
      <c r="S14" s="586" t="s">
        <v>261</v>
      </c>
      <c r="T14" s="597">
        <v>2.5</v>
      </c>
      <c r="U14" s="585">
        <v>2.75</v>
      </c>
      <c r="V14" s="586" t="s">
        <v>11</v>
      </c>
      <c r="W14" s="585">
        <v>0.5</v>
      </c>
      <c r="X14" s="587">
        <v>0.5</v>
      </c>
      <c r="Y14" s="586" t="s">
        <v>269</v>
      </c>
      <c r="Z14" s="597">
        <v>2.5</v>
      </c>
      <c r="AA14" s="637">
        <v>3.0</v>
      </c>
      <c r="AB14" s="586" t="s">
        <v>260</v>
      </c>
      <c r="AC14" s="590"/>
      <c r="AD14" s="588"/>
      <c r="AE14" s="586" t="s">
        <v>261</v>
      </c>
      <c r="AF14" s="598"/>
      <c r="AG14" s="585">
        <v>1.75</v>
      </c>
      <c r="AH14" s="586"/>
      <c r="AI14" s="590"/>
      <c r="AJ14" s="587"/>
      <c r="AK14" s="588"/>
      <c r="AL14" s="593"/>
    </row>
    <row r="15">
      <c r="A15" s="601">
        <v>10.0</v>
      </c>
      <c r="B15" s="602" t="s">
        <v>116</v>
      </c>
      <c r="C15" s="580">
        <f t="shared" si="1"/>
        <v>13</v>
      </c>
      <c r="D15" s="603">
        <f t="shared" si="2"/>
        <v>1</v>
      </c>
      <c r="E15" s="604">
        <f t="shared" si="3"/>
        <v>2.5</v>
      </c>
      <c r="F15" s="605">
        <f t="shared" si="4"/>
        <v>10.5</v>
      </c>
      <c r="G15" s="606" t="s">
        <v>269</v>
      </c>
      <c r="H15" s="635"/>
      <c r="I15" s="607">
        <v>2.25</v>
      </c>
      <c r="J15" s="611"/>
      <c r="K15" s="609"/>
      <c r="L15" s="610"/>
      <c r="M15" s="606" t="s">
        <v>261</v>
      </c>
      <c r="N15" s="635"/>
      <c r="O15" s="607">
        <v>1.0</v>
      </c>
      <c r="P15" s="608"/>
      <c r="Q15" s="609"/>
      <c r="R15" s="610"/>
      <c r="S15" s="611" t="s">
        <v>265</v>
      </c>
      <c r="T15" s="635"/>
      <c r="U15" s="607">
        <v>1.5</v>
      </c>
      <c r="V15" s="611"/>
      <c r="W15" s="609"/>
      <c r="X15" s="610"/>
      <c r="Y15" s="611" t="s">
        <v>265</v>
      </c>
      <c r="Z15" s="636">
        <v>2.5</v>
      </c>
      <c r="AA15" s="634">
        <v>3.0</v>
      </c>
      <c r="AB15" s="611"/>
      <c r="AC15" s="607"/>
      <c r="AD15" s="612"/>
      <c r="AE15" s="611" t="s">
        <v>271</v>
      </c>
      <c r="AF15" s="635"/>
      <c r="AG15" s="607">
        <v>2.75</v>
      </c>
      <c r="AH15" s="611"/>
      <c r="AI15" s="609"/>
      <c r="AJ15" s="612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283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MSR</v>
      </c>
      <c r="G24" s="389">
        <v>23.25</v>
      </c>
      <c r="AK24" s="62"/>
    </row>
    <row r="25">
      <c r="A25" s="629"/>
      <c r="B25" s="629"/>
      <c r="C25" s="629"/>
      <c r="D25" s="629"/>
      <c r="F25" s="384" t="s">
        <v>91</v>
      </c>
      <c r="G25" s="389">
        <v>22.25</v>
      </c>
      <c r="AK25" s="62"/>
    </row>
    <row r="26">
      <c r="A26" s="630">
        <v>4.0</v>
      </c>
      <c r="B26" s="631" t="s">
        <v>79</v>
      </c>
      <c r="C26" s="631" t="s">
        <v>16</v>
      </c>
      <c r="D26" s="630">
        <v>0.5</v>
      </c>
      <c r="E26" s="632"/>
      <c r="F26" s="632" t="s">
        <v>153</v>
      </c>
      <c r="G26" s="389">
        <v>21.75</v>
      </c>
      <c r="AK26" s="62"/>
    </row>
    <row r="27">
      <c r="A27" s="62"/>
      <c r="B27" s="62"/>
      <c r="C27" s="62"/>
      <c r="D27" s="62"/>
      <c r="E27" s="62"/>
      <c r="F27" s="62" t="s">
        <v>108</v>
      </c>
      <c r="G27" s="389">
        <v>21.5</v>
      </c>
      <c r="AK27" s="62"/>
    </row>
    <row r="28">
      <c r="A28" s="62"/>
      <c r="B28" s="62"/>
      <c r="C28" s="62"/>
      <c r="D28" s="62"/>
      <c r="E28" s="62"/>
      <c r="F28" s="62" t="s">
        <v>124</v>
      </c>
      <c r="G28" s="389">
        <v>21.25</v>
      </c>
      <c r="AK28" s="62"/>
    </row>
    <row r="29">
      <c r="A29" s="62"/>
      <c r="B29" s="62"/>
      <c r="C29" s="62"/>
      <c r="D29" s="62"/>
      <c r="E29" s="62"/>
      <c r="F29" s="62" t="s">
        <v>104</v>
      </c>
      <c r="G29" s="389">
        <v>19.0</v>
      </c>
      <c r="AK29" s="62"/>
    </row>
    <row r="30">
      <c r="A30" s="62"/>
      <c r="B30" s="62"/>
      <c r="C30" s="62"/>
      <c r="D30" s="62"/>
      <c r="E30" s="62"/>
      <c r="F30" s="62" t="s">
        <v>129</v>
      </c>
      <c r="G30" s="389">
        <v>18.75</v>
      </c>
      <c r="AK30" s="62"/>
    </row>
    <row r="31">
      <c r="A31" s="62"/>
      <c r="B31" s="62"/>
      <c r="C31" s="62"/>
      <c r="D31" s="62"/>
      <c r="E31" s="62"/>
      <c r="F31" s="62" t="s">
        <v>117</v>
      </c>
      <c r="G31" s="389">
        <v>18.75</v>
      </c>
      <c r="AK31" s="62"/>
    </row>
    <row r="32">
      <c r="A32" s="62"/>
      <c r="B32" s="62"/>
      <c r="C32" s="62"/>
      <c r="D32" s="62"/>
      <c r="E32" s="62"/>
      <c r="F32" s="62" t="s">
        <v>79</v>
      </c>
      <c r="G32" s="389">
        <v>17.5</v>
      </c>
      <c r="AK32" s="62"/>
    </row>
    <row r="33">
      <c r="A33" s="62"/>
      <c r="B33" s="62"/>
      <c r="C33" s="62"/>
      <c r="D33" s="62"/>
      <c r="E33" s="62"/>
      <c r="F33" s="62" t="s">
        <v>116</v>
      </c>
      <c r="G33" s="389">
        <v>13.0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113</v>
      </c>
      <c r="C6" s="580">
        <f t="shared" ref="C6:C15" si="1">SUM(H6:AK6)</f>
        <v>21.5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16.5</v>
      </c>
      <c r="G6" s="584" t="s">
        <v>269</v>
      </c>
      <c r="H6" s="597">
        <v>2.5</v>
      </c>
      <c r="I6" s="585">
        <v>4.5</v>
      </c>
      <c r="J6" s="586" t="s">
        <v>260</v>
      </c>
      <c r="K6" s="590"/>
      <c r="L6" s="588"/>
      <c r="M6" s="584" t="s">
        <v>261</v>
      </c>
      <c r="N6" s="598"/>
      <c r="O6" s="600">
        <v>2.5</v>
      </c>
      <c r="P6" s="589"/>
      <c r="Q6" s="590"/>
      <c r="R6" s="588"/>
      <c r="S6" s="586" t="s">
        <v>261</v>
      </c>
      <c r="T6" s="597">
        <v>2.5</v>
      </c>
      <c r="U6" s="585">
        <v>4.0</v>
      </c>
      <c r="V6" s="586"/>
      <c r="W6" s="590"/>
      <c r="X6" s="588"/>
      <c r="Y6" s="586" t="s">
        <v>271</v>
      </c>
      <c r="Z6" s="598"/>
      <c r="AA6" s="591">
        <v>2.75</v>
      </c>
      <c r="AB6" s="586" t="s">
        <v>11</v>
      </c>
      <c r="AC6" s="585"/>
      <c r="AD6" s="587">
        <v>0.5</v>
      </c>
      <c r="AE6" s="586" t="s">
        <v>261</v>
      </c>
      <c r="AF6" s="598"/>
      <c r="AG6" s="585">
        <v>2.25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83</v>
      </c>
      <c r="C7" s="580">
        <f t="shared" si="1"/>
        <v>21.25</v>
      </c>
      <c r="D7" s="594">
        <f t="shared" si="2"/>
        <v>3</v>
      </c>
      <c r="E7" s="595">
        <f t="shared" si="3"/>
        <v>7.5</v>
      </c>
      <c r="F7" s="596">
        <f t="shared" si="4"/>
        <v>13.75</v>
      </c>
      <c r="G7" s="584" t="s">
        <v>271</v>
      </c>
      <c r="H7" s="590"/>
      <c r="I7" s="585">
        <v>3.0</v>
      </c>
      <c r="J7" s="586" t="s">
        <v>11</v>
      </c>
      <c r="K7" s="585"/>
      <c r="L7" s="587">
        <v>0.5</v>
      </c>
      <c r="M7" s="584" t="s">
        <v>269</v>
      </c>
      <c r="N7" s="585">
        <v>2.5</v>
      </c>
      <c r="O7" s="585">
        <v>2.5</v>
      </c>
      <c r="P7" s="586"/>
      <c r="Q7" s="585"/>
      <c r="R7" s="588"/>
      <c r="S7" s="586" t="s">
        <v>265</v>
      </c>
      <c r="T7" s="590"/>
      <c r="U7" s="585">
        <v>2.25</v>
      </c>
      <c r="V7" s="589"/>
      <c r="W7" s="590"/>
      <c r="X7" s="588"/>
      <c r="Y7" s="586" t="s">
        <v>269</v>
      </c>
      <c r="Z7" s="585">
        <v>2.5</v>
      </c>
      <c r="AA7" s="591">
        <v>3.0</v>
      </c>
      <c r="AB7" s="589"/>
      <c r="AC7" s="590"/>
      <c r="AD7" s="588"/>
      <c r="AE7" s="586" t="s">
        <v>269</v>
      </c>
      <c r="AF7" s="585">
        <v>2.5</v>
      </c>
      <c r="AG7" s="585">
        <v>2.5</v>
      </c>
      <c r="AH7" s="589"/>
      <c r="AI7" s="590"/>
      <c r="AJ7" s="588"/>
      <c r="AK7" s="588"/>
      <c r="AL7" s="593"/>
    </row>
    <row r="8">
      <c r="A8" s="578">
        <v>3.0</v>
      </c>
      <c r="B8" s="579" t="s">
        <v>108</v>
      </c>
      <c r="C8" s="580">
        <f t="shared" si="1"/>
        <v>21.25</v>
      </c>
      <c r="D8" s="594">
        <f t="shared" si="2"/>
        <v>3</v>
      </c>
      <c r="E8" s="595">
        <f t="shared" si="3"/>
        <v>7.5</v>
      </c>
      <c r="F8" s="596">
        <f t="shared" si="4"/>
        <v>13.75</v>
      </c>
      <c r="G8" s="584" t="s">
        <v>269</v>
      </c>
      <c r="H8" s="585">
        <v>2.5</v>
      </c>
      <c r="I8" s="585">
        <v>2.5</v>
      </c>
      <c r="J8" s="589"/>
      <c r="K8" s="590"/>
      <c r="L8" s="588"/>
      <c r="M8" s="584" t="s">
        <v>261</v>
      </c>
      <c r="N8" s="590"/>
      <c r="O8" s="585">
        <v>3.5</v>
      </c>
      <c r="P8" s="589"/>
      <c r="Q8" s="590"/>
      <c r="R8" s="588"/>
      <c r="S8" s="586" t="s">
        <v>261</v>
      </c>
      <c r="T8" s="585">
        <v>2.5</v>
      </c>
      <c r="U8" s="585">
        <v>2.5</v>
      </c>
      <c r="V8" s="586" t="s">
        <v>11</v>
      </c>
      <c r="W8" s="590"/>
      <c r="X8" s="587">
        <v>0.5</v>
      </c>
      <c r="Y8" s="586" t="s">
        <v>261</v>
      </c>
      <c r="Z8" s="590"/>
      <c r="AA8" s="591">
        <v>1.5</v>
      </c>
      <c r="AB8" s="589"/>
      <c r="AC8" s="590"/>
      <c r="AD8" s="588"/>
      <c r="AE8" s="586" t="s">
        <v>265</v>
      </c>
      <c r="AF8" s="585">
        <v>2.5</v>
      </c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119</v>
      </c>
      <c r="C9" s="580">
        <f t="shared" si="1"/>
        <v>20.25</v>
      </c>
      <c r="D9" s="594">
        <f t="shared" si="2"/>
        <v>3</v>
      </c>
      <c r="E9" s="595">
        <f t="shared" si="3"/>
        <v>7.5</v>
      </c>
      <c r="F9" s="596">
        <f t="shared" si="4"/>
        <v>12.75</v>
      </c>
      <c r="G9" s="584" t="s">
        <v>265</v>
      </c>
      <c r="H9" s="585">
        <v>2.5</v>
      </c>
      <c r="I9" s="585">
        <v>1.75</v>
      </c>
      <c r="J9" s="586"/>
      <c r="K9" s="590"/>
      <c r="L9" s="588"/>
      <c r="M9" s="584" t="s">
        <v>261</v>
      </c>
      <c r="N9" s="590"/>
      <c r="O9" s="585">
        <v>1.5</v>
      </c>
      <c r="P9" s="586"/>
      <c r="Q9" s="585"/>
      <c r="R9" s="587"/>
      <c r="S9" s="586" t="s">
        <v>261</v>
      </c>
      <c r="T9" s="585">
        <v>2.5</v>
      </c>
      <c r="U9" s="585">
        <v>3.75</v>
      </c>
      <c r="V9" s="589"/>
      <c r="W9" s="590"/>
      <c r="X9" s="588"/>
      <c r="Y9" s="586" t="s">
        <v>269</v>
      </c>
      <c r="Z9" s="585">
        <v>2.5</v>
      </c>
      <c r="AA9" s="591">
        <v>3.25</v>
      </c>
      <c r="AB9" s="589"/>
      <c r="AC9" s="590"/>
      <c r="AD9" s="588"/>
      <c r="AE9" s="586" t="s">
        <v>271</v>
      </c>
      <c r="AF9" s="590"/>
      <c r="AG9" s="585">
        <v>2.5</v>
      </c>
      <c r="AH9" s="589"/>
      <c r="AI9" s="590"/>
      <c r="AJ9" s="588"/>
      <c r="AK9" s="588"/>
      <c r="AL9" s="593"/>
    </row>
    <row r="10">
      <c r="A10" s="578">
        <v>5.0</v>
      </c>
      <c r="B10" s="579" t="s">
        <v>120</v>
      </c>
      <c r="C10" s="580">
        <f t="shared" si="1"/>
        <v>20</v>
      </c>
      <c r="D10" s="594">
        <f t="shared" si="2"/>
        <v>2</v>
      </c>
      <c r="E10" s="595">
        <f t="shared" si="3"/>
        <v>5</v>
      </c>
      <c r="F10" s="596">
        <f t="shared" si="4"/>
        <v>15</v>
      </c>
      <c r="G10" s="584" t="s">
        <v>261</v>
      </c>
      <c r="H10" s="590"/>
      <c r="I10" s="585">
        <v>3.5</v>
      </c>
      <c r="J10" s="589"/>
      <c r="K10" s="590"/>
      <c r="L10" s="588"/>
      <c r="M10" s="584" t="s">
        <v>269</v>
      </c>
      <c r="N10" s="585">
        <v>2.5</v>
      </c>
      <c r="O10" s="585">
        <v>3.0</v>
      </c>
      <c r="P10" s="589"/>
      <c r="Q10" s="590"/>
      <c r="R10" s="588"/>
      <c r="S10" s="586" t="s">
        <v>269</v>
      </c>
      <c r="T10" s="590"/>
      <c r="U10" s="585">
        <v>1.75</v>
      </c>
      <c r="V10" s="586"/>
      <c r="W10" s="590"/>
      <c r="X10" s="587"/>
      <c r="Y10" s="586" t="s">
        <v>265</v>
      </c>
      <c r="Z10" s="585">
        <v>2.5</v>
      </c>
      <c r="AA10" s="585">
        <v>3.75</v>
      </c>
      <c r="AB10" s="589"/>
      <c r="AC10" s="590"/>
      <c r="AD10" s="588"/>
      <c r="AE10" s="586" t="s">
        <v>261</v>
      </c>
      <c r="AF10" s="590"/>
      <c r="AG10" s="585">
        <v>2.5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137</v>
      </c>
      <c r="C11" s="580">
        <f t="shared" si="1"/>
        <v>18</v>
      </c>
      <c r="D11" s="594">
        <f t="shared" si="2"/>
        <v>1</v>
      </c>
      <c r="E11" s="595">
        <f t="shared" si="3"/>
        <v>2.5</v>
      </c>
      <c r="F11" s="596">
        <f t="shared" si="4"/>
        <v>15.5</v>
      </c>
      <c r="G11" s="584" t="s">
        <v>261</v>
      </c>
      <c r="H11" s="598"/>
      <c r="I11" s="585">
        <v>3.5</v>
      </c>
      <c r="J11" s="586" t="s">
        <v>263</v>
      </c>
      <c r="K11" s="585"/>
      <c r="L11" s="588"/>
      <c r="M11" s="584" t="s">
        <v>261</v>
      </c>
      <c r="N11" s="598"/>
      <c r="O11" s="585">
        <v>1.75</v>
      </c>
      <c r="P11" s="589"/>
      <c r="Q11" s="590"/>
      <c r="R11" s="588"/>
      <c r="S11" s="586" t="s">
        <v>261</v>
      </c>
      <c r="T11" s="597">
        <v>2.5</v>
      </c>
      <c r="U11" s="585">
        <v>4.5</v>
      </c>
      <c r="V11" s="586"/>
      <c r="W11" s="590"/>
      <c r="X11" s="588"/>
      <c r="Y11" s="586" t="s">
        <v>261</v>
      </c>
      <c r="Z11" s="598"/>
      <c r="AA11" s="591">
        <v>2.75</v>
      </c>
      <c r="AB11" s="589"/>
      <c r="AC11" s="590"/>
      <c r="AD11" s="588"/>
      <c r="AE11" s="586" t="s">
        <v>261</v>
      </c>
      <c r="AF11" s="598"/>
      <c r="AG11" s="585">
        <v>3.0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96</v>
      </c>
      <c r="C12" s="580">
        <f t="shared" si="1"/>
        <v>17.25</v>
      </c>
      <c r="D12" s="594">
        <f t="shared" si="2"/>
        <v>2</v>
      </c>
      <c r="E12" s="595">
        <f t="shared" si="3"/>
        <v>5</v>
      </c>
      <c r="F12" s="596">
        <f t="shared" si="4"/>
        <v>12.25</v>
      </c>
      <c r="G12" s="584" t="s">
        <v>261</v>
      </c>
      <c r="H12" s="598"/>
      <c r="I12" s="585">
        <v>2.0</v>
      </c>
      <c r="J12" s="586"/>
      <c r="K12" s="590"/>
      <c r="L12" s="588"/>
      <c r="M12" s="584" t="s">
        <v>261</v>
      </c>
      <c r="N12" s="598"/>
      <c r="O12" s="585">
        <v>1.75</v>
      </c>
      <c r="P12" s="589"/>
      <c r="Q12" s="590"/>
      <c r="R12" s="588"/>
      <c r="S12" s="586" t="s">
        <v>261</v>
      </c>
      <c r="T12" s="597">
        <v>2.5</v>
      </c>
      <c r="U12" s="585">
        <v>2.75</v>
      </c>
      <c r="V12" s="586"/>
      <c r="W12" s="590"/>
      <c r="X12" s="588"/>
      <c r="Y12" s="586" t="s">
        <v>261</v>
      </c>
      <c r="Z12" s="598"/>
      <c r="AA12" s="591">
        <v>2.0</v>
      </c>
      <c r="AB12" s="589"/>
      <c r="AC12" s="590"/>
      <c r="AD12" s="588"/>
      <c r="AE12" s="586" t="s">
        <v>269</v>
      </c>
      <c r="AF12" s="597">
        <v>2.5</v>
      </c>
      <c r="AG12" s="585">
        <v>3.75</v>
      </c>
      <c r="AH12" s="586"/>
      <c r="AI12" s="590"/>
      <c r="AJ12" s="587"/>
      <c r="AK12" s="588"/>
      <c r="AL12" s="593"/>
    </row>
    <row r="13">
      <c r="A13" s="578">
        <v>8.0</v>
      </c>
      <c r="B13" s="579" t="s">
        <v>153</v>
      </c>
      <c r="C13" s="580">
        <f t="shared" si="1"/>
        <v>16</v>
      </c>
      <c r="D13" s="594">
        <f t="shared" si="2"/>
        <v>1</v>
      </c>
      <c r="E13" s="595">
        <f t="shared" si="3"/>
        <v>2.5</v>
      </c>
      <c r="F13" s="596">
        <f t="shared" si="4"/>
        <v>13.5</v>
      </c>
      <c r="G13" s="584" t="s">
        <v>261</v>
      </c>
      <c r="H13" s="590"/>
      <c r="I13" s="585">
        <v>2.0</v>
      </c>
      <c r="J13" s="586"/>
      <c r="K13" s="585" t="s">
        <v>283</v>
      </c>
      <c r="L13" s="588"/>
      <c r="M13" s="584" t="s">
        <v>261</v>
      </c>
      <c r="N13" s="590"/>
      <c r="O13" s="585">
        <v>3.0</v>
      </c>
      <c r="P13" s="586" t="s">
        <v>11</v>
      </c>
      <c r="Q13" s="585">
        <v>0.5</v>
      </c>
      <c r="R13" s="587">
        <v>0.5</v>
      </c>
      <c r="S13" s="586" t="s">
        <v>271</v>
      </c>
      <c r="T13" s="585">
        <v>2.5</v>
      </c>
      <c r="U13" s="585">
        <v>3.5</v>
      </c>
      <c r="V13" s="586"/>
      <c r="W13" s="590"/>
      <c r="X13" s="588"/>
      <c r="Y13" s="586" t="s">
        <v>261</v>
      </c>
      <c r="Z13" s="590"/>
      <c r="AA13" s="591">
        <v>1.5</v>
      </c>
      <c r="AB13" s="589"/>
      <c r="AC13" s="590"/>
      <c r="AD13" s="588"/>
      <c r="AE13" s="586" t="s">
        <v>261</v>
      </c>
      <c r="AF13" s="590"/>
      <c r="AG13" s="585">
        <v>2.5</v>
      </c>
      <c r="AH13" s="589"/>
      <c r="AI13" s="590"/>
      <c r="AJ13" s="588"/>
      <c r="AK13" s="599"/>
      <c r="AL13" s="593"/>
    </row>
    <row r="14">
      <c r="A14" s="578">
        <v>9.0</v>
      </c>
      <c r="B14" s="579" t="s">
        <v>117</v>
      </c>
      <c r="C14" s="580">
        <f t="shared" si="1"/>
        <v>14.75</v>
      </c>
      <c r="D14" s="594">
        <f t="shared" si="2"/>
        <v>1</v>
      </c>
      <c r="E14" s="595">
        <f t="shared" si="3"/>
        <v>2.5</v>
      </c>
      <c r="F14" s="596">
        <f t="shared" si="4"/>
        <v>12.25</v>
      </c>
      <c r="G14" s="584" t="s">
        <v>261</v>
      </c>
      <c r="H14" s="590"/>
      <c r="I14" s="585">
        <v>2.0</v>
      </c>
      <c r="J14" s="586" t="s">
        <v>263</v>
      </c>
      <c r="K14" s="590"/>
      <c r="L14" s="588"/>
      <c r="M14" s="584" t="s">
        <v>265</v>
      </c>
      <c r="N14" s="585">
        <v>2.5</v>
      </c>
      <c r="O14" s="585">
        <v>3.5</v>
      </c>
      <c r="P14" s="586"/>
      <c r="Q14" s="590"/>
      <c r="R14" s="587"/>
      <c r="S14" s="586" t="s">
        <v>269</v>
      </c>
      <c r="T14" s="590"/>
      <c r="U14" s="585">
        <v>2.0</v>
      </c>
      <c r="V14" s="586"/>
      <c r="W14" s="590"/>
      <c r="X14" s="588"/>
      <c r="Y14" s="586" t="s">
        <v>261</v>
      </c>
      <c r="Z14" s="590"/>
      <c r="AA14" s="591">
        <v>2.5</v>
      </c>
      <c r="AB14" s="586"/>
      <c r="AC14" s="590"/>
      <c r="AD14" s="587"/>
      <c r="AE14" s="586" t="s">
        <v>261</v>
      </c>
      <c r="AF14" s="590"/>
      <c r="AG14" s="585">
        <v>2.25</v>
      </c>
      <c r="AH14" s="589"/>
      <c r="AI14" s="590"/>
      <c r="AJ14" s="587" t="s">
        <v>284</v>
      </c>
      <c r="AK14" s="588"/>
      <c r="AL14" s="593"/>
    </row>
    <row r="15">
      <c r="A15" s="601">
        <v>10.0</v>
      </c>
      <c r="B15" s="602" t="s">
        <v>131</v>
      </c>
      <c r="C15" s="580">
        <f t="shared" si="1"/>
        <v>14.25</v>
      </c>
      <c r="D15" s="603">
        <f t="shared" si="2"/>
        <v>1</v>
      </c>
      <c r="E15" s="604">
        <f t="shared" si="3"/>
        <v>2.5</v>
      </c>
      <c r="F15" s="605">
        <f t="shared" si="4"/>
        <v>11.75</v>
      </c>
      <c r="G15" s="606" t="s">
        <v>261</v>
      </c>
      <c r="H15" s="609"/>
      <c r="I15" s="607">
        <v>2.0</v>
      </c>
      <c r="J15" s="611" t="s">
        <v>263</v>
      </c>
      <c r="K15" s="609"/>
      <c r="L15" s="610"/>
      <c r="M15" s="606" t="s">
        <v>271</v>
      </c>
      <c r="N15" s="609"/>
      <c r="O15" s="607">
        <v>2.25</v>
      </c>
      <c r="P15" s="608"/>
      <c r="Q15" s="609"/>
      <c r="R15" s="610"/>
      <c r="S15" s="611" t="s">
        <v>261</v>
      </c>
      <c r="T15" s="607">
        <v>2.5</v>
      </c>
      <c r="U15" s="607">
        <v>3.0</v>
      </c>
      <c r="V15" s="611"/>
      <c r="W15" s="609"/>
      <c r="X15" s="612"/>
      <c r="Y15" s="611" t="s">
        <v>261</v>
      </c>
      <c r="Z15" s="609"/>
      <c r="AA15" s="607">
        <v>3.0</v>
      </c>
      <c r="AB15" s="608"/>
      <c r="AC15" s="609"/>
      <c r="AD15" s="610"/>
      <c r="AE15" s="611" t="s">
        <v>261</v>
      </c>
      <c r="AF15" s="609"/>
      <c r="AG15" s="607">
        <v>1.5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113</v>
      </c>
      <c r="C26" s="631" t="s">
        <v>16</v>
      </c>
      <c r="D26" s="630">
        <v>0.5</v>
      </c>
      <c r="E26" s="632"/>
      <c r="F26" s="632"/>
      <c r="AK26" s="62"/>
    </row>
    <row r="27">
      <c r="A27" s="62"/>
      <c r="B27" s="62"/>
      <c r="C27" s="62"/>
      <c r="D27" s="62"/>
      <c r="E27" s="62"/>
      <c r="F27" s="62"/>
      <c r="AK27" s="62"/>
    </row>
    <row r="28">
      <c r="A28" s="62"/>
      <c r="B28" s="62"/>
      <c r="C28" s="62"/>
      <c r="D28" s="62"/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130</v>
      </c>
      <c r="C6" s="580">
        <f t="shared" ref="C6:C15" si="1">SUM(H6:AK6)</f>
        <v>15.75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13.25</v>
      </c>
      <c r="G6" s="584" t="s">
        <v>265</v>
      </c>
      <c r="H6" s="598"/>
      <c r="I6" s="585">
        <v>2.0</v>
      </c>
      <c r="J6" s="586"/>
      <c r="K6" s="590"/>
      <c r="L6" s="588"/>
      <c r="M6" s="584" t="s">
        <v>265</v>
      </c>
      <c r="N6" s="597"/>
      <c r="O6" s="585">
        <v>2.75</v>
      </c>
      <c r="P6" s="589"/>
      <c r="Q6" s="590"/>
      <c r="R6" s="588"/>
      <c r="S6" s="586" t="s">
        <v>261</v>
      </c>
      <c r="T6" s="598"/>
      <c r="U6" s="585">
        <v>2.25</v>
      </c>
      <c r="V6" s="586"/>
      <c r="W6" s="590"/>
      <c r="X6" s="588"/>
      <c r="Y6" s="586" t="s">
        <v>261</v>
      </c>
      <c r="Z6" s="597">
        <v>2.5</v>
      </c>
      <c r="AA6" s="591">
        <v>3.75</v>
      </c>
      <c r="AB6" s="589"/>
      <c r="AC6" s="590"/>
      <c r="AD6" s="588"/>
      <c r="AE6" s="586" t="s">
        <v>269</v>
      </c>
      <c r="AF6" s="598"/>
      <c r="AG6" s="585">
        <v>2.5</v>
      </c>
      <c r="AH6" s="586" t="s">
        <v>263</v>
      </c>
      <c r="AI6" s="590"/>
      <c r="AJ6" s="587"/>
      <c r="AK6" s="592"/>
      <c r="AL6" s="593"/>
    </row>
    <row r="7" ht="23.25" customHeight="1">
      <c r="A7" s="578">
        <v>2.0</v>
      </c>
      <c r="B7" s="579" t="s">
        <v>81</v>
      </c>
      <c r="C7" s="580">
        <f t="shared" si="1"/>
        <v>21.25</v>
      </c>
      <c r="D7" s="594">
        <f t="shared" si="2"/>
        <v>3</v>
      </c>
      <c r="E7" s="595">
        <f t="shared" si="3"/>
        <v>7.5</v>
      </c>
      <c r="F7" s="596">
        <f t="shared" si="4"/>
        <v>13.75</v>
      </c>
      <c r="G7" s="584" t="s">
        <v>269</v>
      </c>
      <c r="H7" s="598"/>
      <c r="I7" s="585">
        <v>2.25</v>
      </c>
      <c r="J7" s="586"/>
      <c r="K7" s="590"/>
      <c r="L7" s="588"/>
      <c r="M7" s="584" t="s">
        <v>261</v>
      </c>
      <c r="N7" s="597">
        <v>2.5</v>
      </c>
      <c r="O7" s="585">
        <v>2.75</v>
      </c>
      <c r="P7" s="589"/>
      <c r="Q7" s="590"/>
      <c r="R7" s="588"/>
      <c r="S7" s="586" t="s">
        <v>265</v>
      </c>
      <c r="T7" s="597">
        <v>2.5</v>
      </c>
      <c r="U7" s="585">
        <v>3.5</v>
      </c>
      <c r="V7" s="586"/>
      <c r="W7" s="590"/>
      <c r="X7" s="588"/>
      <c r="Y7" s="586" t="s">
        <v>269</v>
      </c>
      <c r="Z7" s="598"/>
      <c r="AA7" s="591">
        <v>2.0</v>
      </c>
      <c r="AB7" s="586"/>
      <c r="AC7" s="585"/>
      <c r="AD7" s="587"/>
      <c r="AE7" s="586" t="s">
        <v>261</v>
      </c>
      <c r="AF7" s="597">
        <v>2.5</v>
      </c>
      <c r="AG7" s="585">
        <v>3.25</v>
      </c>
      <c r="AH7" s="586"/>
      <c r="AI7" s="590"/>
      <c r="AJ7" s="587"/>
      <c r="AK7" s="588"/>
      <c r="AL7" s="593"/>
    </row>
    <row r="8">
      <c r="A8" s="578">
        <v>3.0</v>
      </c>
      <c r="B8" s="579" t="s">
        <v>83</v>
      </c>
      <c r="C8" s="580">
        <f t="shared" si="1"/>
        <v>25</v>
      </c>
      <c r="D8" s="594">
        <f t="shared" si="2"/>
        <v>4</v>
      </c>
      <c r="E8" s="595">
        <f t="shared" si="3"/>
        <v>10</v>
      </c>
      <c r="F8" s="596">
        <f t="shared" si="4"/>
        <v>15</v>
      </c>
      <c r="G8" s="584" t="s">
        <v>261</v>
      </c>
      <c r="H8" s="585">
        <v>2.5</v>
      </c>
      <c r="I8" s="585">
        <v>3.5</v>
      </c>
      <c r="J8" s="589"/>
      <c r="K8" s="590"/>
      <c r="L8" s="588"/>
      <c r="M8" s="584" t="s">
        <v>261</v>
      </c>
      <c r="N8" s="585">
        <v>2.5</v>
      </c>
      <c r="O8" s="585">
        <v>3.0</v>
      </c>
      <c r="P8" s="586" t="s">
        <v>260</v>
      </c>
      <c r="Q8" s="590"/>
      <c r="R8" s="588"/>
      <c r="S8" s="586" t="s">
        <v>271</v>
      </c>
      <c r="T8" s="590"/>
      <c r="U8" s="585">
        <v>2.0</v>
      </c>
      <c r="V8" s="586"/>
      <c r="W8" s="590"/>
      <c r="X8" s="587"/>
      <c r="Y8" s="586" t="s">
        <v>261</v>
      </c>
      <c r="Z8" s="585">
        <v>2.5</v>
      </c>
      <c r="AA8" s="585">
        <v>3.5</v>
      </c>
      <c r="AB8" s="589"/>
      <c r="AC8" s="590"/>
      <c r="AD8" s="588"/>
      <c r="AE8" s="586" t="s">
        <v>261</v>
      </c>
      <c r="AF8" s="585">
        <v>2.5</v>
      </c>
      <c r="AG8" s="585">
        <v>3.0</v>
      </c>
      <c r="AH8" s="586" t="s">
        <v>260</v>
      </c>
      <c r="AI8" s="590"/>
      <c r="AJ8" s="588"/>
      <c r="AK8" s="588"/>
      <c r="AL8" s="593"/>
    </row>
    <row r="9">
      <c r="A9" s="578">
        <v>4.0</v>
      </c>
      <c r="B9" s="579" t="s">
        <v>108</v>
      </c>
      <c r="C9" s="580">
        <f t="shared" si="1"/>
        <v>20.5</v>
      </c>
      <c r="D9" s="594">
        <f t="shared" si="2"/>
        <v>3</v>
      </c>
      <c r="E9" s="595">
        <f t="shared" si="3"/>
        <v>7.5</v>
      </c>
      <c r="F9" s="596">
        <f t="shared" si="4"/>
        <v>13</v>
      </c>
      <c r="G9" s="584" t="s">
        <v>261</v>
      </c>
      <c r="H9" s="585">
        <v>2.5</v>
      </c>
      <c r="I9" s="600">
        <v>1.5</v>
      </c>
      <c r="J9" s="586" t="s">
        <v>11</v>
      </c>
      <c r="K9" s="590"/>
      <c r="L9" s="587">
        <v>0.5</v>
      </c>
      <c r="M9" s="584" t="s">
        <v>261</v>
      </c>
      <c r="N9" s="585">
        <v>2.5</v>
      </c>
      <c r="O9" s="585">
        <v>4.5</v>
      </c>
      <c r="P9" s="586" t="s">
        <v>260</v>
      </c>
      <c r="Q9" s="590"/>
      <c r="R9" s="588"/>
      <c r="S9" s="586" t="s">
        <v>261</v>
      </c>
      <c r="T9" s="590"/>
      <c r="U9" s="585">
        <v>2.0</v>
      </c>
      <c r="V9" s="586"/>
      <c r="W9" s="590"/>
      <c r="X9" s="588"/>
      <c r="Y9" s="586" t="s">
        <v>261</v>
      </c>
      <c r="Z9" s="585">
        <v>2.5</v>
      </c>
      <c r="AA9" s="591">
        <v>2.75</v>
      </c>
      <c r="AB9" s="589"/>
      <c r="AC9" s="590"/>
      <c r="AD9" s="587" t="s">
        <v>283</v>
      </c>
      <c r="AE9" s="586" t="s">
        <v>265</v>
      </c>
      <c r="AF9" s="590"/>
      <c r="AG9" s="585">
        <v>1.75</v>
      </c>
      <c r="AH9" s="589"/>
      <c r="AI9" s="590"/>
      <c r="AJ9" s="588"/>
      <c r="AK9" s="599"/>
      <c r="AL9" s="593"/>
    </row>
    <row r="10">
      <c r="A10" s="578">
        <v>5.0</v>
      </c>
      <c r="B10" s="579" t="s">
        <v>95</v>
      </c>
      <c r="C10" s="580">
        <f t="shared" si="1"/>
        <v>16.75</v>
      </c>
      <c r="D10" s="594">
        <f t="shared" si="2"/>
        <v>2</v>
      </c>
      <c r="E10" s="595">
        <f t="shared" si="3"/>
        <v>5</v>
      </c>
      <c r="F10" s="596">
        <f t="shared" si="4"/>
        <v>11.75</v>
      </c>
      <c r="G10" s="584" t="s">
        <v>269</v>
      </c>
      <c r="H10" s="590"/>
      <c r="I10" s="585">
        <v>2.25</v>
      </c>
      <c r="J10" s="586" t="s">
        <v>263</v>
      </c>
      <c r="K10" s="590"/>
      <c r="L10" s="588"/>
      <c r="M10" s="584" t="s">
        <v>269</v>
      </c>
      <c r="N10" s="585"/>
      <c r="O10" s="585">
        <v>2.0</v>
      </c>
      <c r="P10" s="586"/>
      <c r="Q10" s="590"/>
      <c r="R10" s="587"/>
      <c r="S10" s="586" t="s">
        <v>261</v>
      </c>
      <c r="T10" s="590"/>
      <c r="U10" s="585">
        <v>1.0</v>
      </c>
      <c r="V10" s="586"/>
      <c r="W10" s="590"/>
      <c r="X10" s="588"/>
      <c r="Y10" s="586" t="s">
        <v>261</v>
      </c>
      <c r="Z10" s="585">
        <v>2.5</v>
      </c>
      <c r="AA10" s="591">
        <v>3.5</v>
      </c>
      <c r="AB10" s="586"/>
      <c r="AC10" s="590"/>
      <c r="AD10" s="587"/>
      <c r="AE10" s="586" t="s">
        <v>261</v>
      </c>
      <c r="AF10" s="585">
        <v>2.5</v>
      </c>
      <c r="AG10" s="585">
        <v>3.0</v>
      </c>
      <c r="AH10" s="586" t="s">
        <v>260</v>
      </c>
      <c r="AI10" s="590"/>
      <c r="AJ10" s="588"/>
      <c r="AK10" s="588"/>
      <c r="AL10" s="593"/>
    </row>
    <row r="11">
      <c r="A11" s="578">
        <v>6.0</v>
      </c>
      <c r="B11" s="579" t="s">
        <v>91</v>
      </c>
      <c r="C11" s="580">
        <f t="shared" si="1"/>
        <v>15</v>
      </c>
      <c r="D11" s="594">
        <f t="shared" si="2"/>
        <v>2</v>
      </c>
      <c r="E11" s="595">
        <f t="shared" si="3"/>
        <v>5</v>
      </c>
      <c r="F11" s="596">
        <f t="shared" si="4"/>
        <v>10</v>
      </c>
      <c r="G11" s="584" t="s">
        <v>261</v>
      </c>
      <c r="H11" s="585">
        <v>2.5</v>
      </c>
      <c r="I11" s="585">
        <v>3.25</v>
      </c>
      <c r="J11" s="586"/>
      <c r="K11" s="590"/>
      <c r="L11" s="588"/>
      <c r="M11" s="584" t="s">
        <v>261</v>
      </c>
      <c r="N11" s="585">
        <v>2.5</v>
      </c>
      <c r="O11" s="585">
        <v>1.75</v>
      </c>
      <c r="P11" s="586"/>
      <c r="Q11" s="585"/>
      <c r="R11" s="587"/>
      <c r="S11" s="586" t="s">
        <v>261</v>
      </c>
      <c r="T11" s="590"/>
      <c r="U11" s="585">
        <v>1.75</v>
      </c>
      <c r="V11" s="589"/>
      <c r="W11" s="590"/>
      <c r="X11" s="588"/>
      <c r="Y11" s="586" t="s">
        <v>269</v>
      </c>
      <c r="Z11" s="590"/>
      <c r="AA11" s="591">
        <v>1.75</v>
      </c>
      <c r="AB11" s="589"/>
      <c r="AC11" s="590"/>
      <c r="AD11" s="588"/>
      <c r="AE11" s="586" t="s">
        <v>269</v>
      </c>
      <c r="AF11" s="590"/>
      <c r="AG11" s="585">
        <v>1.5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103</v>
      </c>
      <c r="C12" s="580">
        <f t="shared" si="1"/>
        <v>24.25</v>
      </c>
      <c r="D12" s="594">
        <f t="shared" si="2"/>
        <v>4</v>
      </c>
      <c r="E12" s="595">
        <f t="shared" si="3"/>
        <v>10</v>
      </c>
      <c r="F12" s="596">
        <f t="shared" si="4"/>
        <v>14.25</v>
      </c>
      <c r="G12" s="584" t="s">
        <v>261</v>
      </c>
      <c r="H12" s="585">
        <v>2.5</v>
      </c>
      <c r="I12" s="585">
        <v>2.5</v>
      </c>
      <c r="J12" s="586" t="s">
        <v>260</v>
      </c>
      <c r="K12" s="590"/>
      <c r="L12" s="588"/>
      <c r="M12" s="584" t="s">
        <v>261</v>
      </c>
      <c r="N12" s="585">
        <v>2.5</v>
      </c>
      <c r="O12" s="585">
        <v>1.75</v>
      </c>
      <c r="P12" s="589"/>
      <c r="Q12" s="590"/>
      <c r="R12" s="588"/>
      <c r="S12" s="586" t="s">
        <v>261</v>
      </c>
      <c r="T12" s="590"/>
      <c r="U12" s="585">
        <v>2.5</v>
      </c>
      <c r="V12" s="586"/>
      <c r="W12" s="590"/>
      <c r="X12" s="587"/>
      <c r="Y12" s="586" t="s">
        <v>271</v>
      </c>
      <c r="Z12" s="585">
        <v>2.5</v>
      </c>
      <c r="AA12" s="585">
        <v>4.0</v>
      </c>
      <c r="AB12" s="589"/>
      <c r="AC12" s="590"/>
      <c r="AD12" s="588"/>
      <c r="AE12" s="586" t="s">
        <v>261</v>
      </c>
      <c r="AF12" s="585">
        <v>2.5</v>
      </c>
      <c r="AG12" s="585">
        <v>3.5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106</v>
      </c>
      <c r="C13" s="580">
        <f t="shared" si="1"/>
        <v>28.5</v>
      </c>
      <c r="D13" s="594">
        <f t="shared" si="2"/>
        <v>5</v>
      </c>
      <c r="E13" s="595">
        <f t="shared" si="3"/>
        <v>12.5</v>
      </c>
      <c r="F13" s="596">
        <f t="shared" si="4"/>
        <v>16</v>
      </c>
      <c r="G13" s="584" t="s">
        <v>261</v>
      </c>
      <c r="H13" s="597">
        <v>2.5</v>
      </c>
      <c r="I13" s="585">
        <v>4.0</v>
      </c>
      <c r="J13" s="586"/>
      <c r="K13" s="585"/>
      <c r="L13" s="588"/>
      <c r="M13" s="584" t="s">
        <v>271</v>
      </c>
      <c r="N13" s="597">
        <v>2.5</v>
      </c>
      <c r="O13" s="585">
        <v>1.75</v>
      </c>
      <c r="P13" s="589"/>
      <c r="Q13" s="590"/>
      <c r="R13" s="588"/>
      <c r="S13" s="586" t="s">
        <v>269</v>
      </c>
      <c r="T13" s="597">
        <v>2.5</v>
      </c>
      <c r="U13" s="585">
        <v>4.25</v>
      </c>
      <c r="V13" s="586"/>
      <c r="W13" s="590"/>
      <c r="X13" s="588"/>
      <c r="Y13" s="586" t="s">
        <v>261</v>
      </c>
      <c r="Z13" s="597">
        <v>2.5</v>
      </c>
      <c r="AA13" s="591">
        <v>2.25</v>
      </c>
      <c r="AB13" s="586" t="s">
        <v>11</v>
      </c>
      <c r="AC13" s="590"/>
      <c r="AD13" s="587">
        <v>0.5</v>
      </c>
      <c r="AE13" s="586" t="s">
        <v>261</v>
      </c>
      <c r="AF13" s="597">
        <v>2.5</v>
      </c>
      <c r="AG13" s="585">
        <v>3.25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93</v>
      </c>
      <c r="C14" s="580">
        <f t="shared" si="1"/>
        <v>25.25</v>
      </c>
      <c r="D14" s="594">
        <f t="shared" si="2"/>
        <v>3</v>
      </c>
      <c r="E14" s="595">
        <f t="shared" si="3"/>
        <v>7.5</v>
      </c>
      <c r="F14" s="596">
        <f t="shared" si="4"/>
        <v>17.75</v>
      </c>
      <c r="G14" s="584" t="s">
        <v>261</v>
      </c>
      <c r="H14" s="585">
        <v>2.5</v>
      </c>
      <c r="I14" s="585">
        <v>3.75</v>
      </c>
      <c r="J14" s="586"/>
      <c r="K14" s="585"/>
      <c r="L14" s="587"/>
      <c r="M14" s="584" t="s">
        <v>269</v>
      </c>
      <c r="N14" s="585"/>
      <c r="O14" s="585">
        <v>3.0</v>
      </c>
      <c r="P14" s="586" t="s">
        <v>263</v>
      </c>
      <c r="Q14" s="585"/>
      <c r="R14" s="588"/>
      <c r="S14" s="586" t="s">
        <v>261</v>
      </c>
      <c r="T14" s="590"/>
      <c r="U14" s="585">
        <v>2.25</v>
      </c>
      <c r="V14" s="586" t="s">
        <v>11</v>
      </c>
      <c r="W14" s="590"/>
      <c r="X14" s="587">
        <v>0.5</v>
      </c>
      <c r="Y14" s="586" t="s">
        <v>261</v>
      </c>
      <c r="Z14" s="585">
        <v>2.5</v>
      </c>
      <c r="AA14" s="591">
        <v>4.5</v>
      </c>
      <c r="AB14" s="589"/>
      <c r="AC14" s="590"/>
      <c r="AD14" s="588"/>
      <c r="AE14" s="586" t="s">
        <v>271</v>
      </c>
      <c r="AF14" s="585">
        <v>2.5</v>
      </c>
      <c r="AG14" s="585">
        <v>3.75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153</v>
      </c>
      <c r="C15" s="580">
        <f t="shared" si="1"/>
        <v>25.25</v>
      </c>
      <c r="D15" s="603">
        <f t="shared" si="2"/>
        <v>4</v>
      </c>
      <c r="E15" s="604">
        <f t="shared" si="3"/>
        <v>10</v>
      </c>
      <c r="F15" s="605">
        <f t="shared" si="4"/>
        <v>15.25</v>
      </c>
      <c r="G15" s="606" t="s">
        <v>271</v>
      </c>
      <c r="H15" s="607">
        <v>2.5</v>
      </c>
      <c r="I15" s="607">
        <v>3.25</v>
      </c>
      <c r="J15" s="611" t="s">
        <v>260</v>
      </c>
      <c r="K15" s="609"/>
      <c r="L15" s="610"/>
      <c r="M15" s="606" t="s">
        <v>261</v>
      </c>
      <c r="N15" s="607">
        <v>2.5</v>
      </c>
      <c r="O15" s="613">
        <v>1.75</v>
      </c>
      <c r="P15" s="611" t="s">
        <v>11</v>
      </c>
      <c r="Q15" s="609"/>
      <c r="R15" s="612">
        <v>0.5</v>
      </c>
      <c r="S15" s="611" t="s">
        <v>269</v>
      </c>
      <c r="T15" s="607">
        <v>2.5</v>
      </c>
      <c r="U15" s="607">
        <v>3.75</v>
      </c>
      <c r="V15" s="611"/>
      <c r="W15" s="609"/>
      <c r="X15" s="610"/>
      <c r="Y15" s="611" t="s">
        <v>265</v>
      </c>
      <c r="Z15" s="609"/>
      <c r="AA15" s="634">
        <v>2.0</v>
      </c>
      <c r="AB15" s="608"/>
      <c r="AC15" s="609"/>
      <c r="AD15" s="610"/>
      <c r="AE15" s="611" t="s">
        <v>261</v>
      </c>
      <c r="AF15" s="607">
        <v>2.5</v>
      </c>
      <c r="AG15" s="607">
        <v>4.0</v>
      </c>
      <c r="AH15" s="611" t="s">
        <v>260</v>
      </c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417</v>
      </c>
      <c r="L16" s="543"/>
      <c r="M16" s="616" t="s">
        <v>418</v>
      </c>
      <c r="R16" s="543"/>
      <c r="S16" s="616" t="s">
        <v>340</v>
      </c>
      <c r="X16" s="543"/>
      <c r="Y16" s="616" t="s">
        <v>373</v>
      </c>
      <c r="AD16" s="543"/>
      <c r="AE16" s="616" t="s">
        <v>395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258</v>
      </c>
      <c r="Z18" s="548"/>
      <c r="AA18" s="548"/>
      <c r="AB18" s="548"/>
      <c r="AC18" s="548"/>
      <c r="AD18" s="549"/>
      <c r="AE18" s="621" t="s">
        <v>264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Продюсер</v>
      </c>
      <c r="G24" s="389">
        <v>28.5</v>
      </c>
      <c r="AK24" s="62"/>
    </row>
    <row r="25">
      <c r="A25" s="629"/>
      <c r="B25" s="629"/>
      <c r="C25" s="629"/>
      <c r="D25" s="629"/>
      <c r="F25" s="384" t="s">
        <v>93</v>
      </c>
      <c r="G25" s="389">
        <v>25.25</v>
      </c>
      <c r="AK25" s="62"/>
    </row>
    <row r="26">
      <c r="A26" s="630">
        <v>1.0</v>
      </c>
      <c r="B26" s="631" t="s">
        <v>108</v>
      </c>
      <c r="C26" s="631" t="s">
        <v>16</v>
      </c>
      <c r="D26" s="630">
        <v>0.5</v>
      </c>
      <c r="E26" s="632"/>
      <c r="F26" s="632" t="s">
        <v>153</v>
      </c>
      <c r="G26" s="389">
        <v>25.25</v>
      </c>
      <c r="AK26" s="62"/>
    </row>
    <row r="27">
      <c r="A27" s="631">
        <v>2.0</v>
      </c>
      <c r="B27" s="631" t="s">
        <v>153</v>
      </c>
      <c r="C27" s="631" t="s">
        <v>16</v>
      </c>
      <c r="D27" s="631">
        <v>0.5</v>
      </c>
      <c r="E27" s="62"/>
      <c r="F27" s="62" t="s">
        <v>83</v>
      </c>
      <c r="G27" s="389">
        <v>25.0</v>
      </c>
      <c r="AK27" s="62"/>
    </row>
    <row r="28">
      <c r="A28" s="62"/>
      <c r="B28" s="62"/>
      <c r="C28" s="62"/>
      <c r="D28" s="62"/>
      <c r="E28" s="62"/>
      <c r="F28" s="62" t="s">
        <v>103</v>
      </c>
      <c r="G28" s="389">
        <v>24.25</v>
      </c>
      <c r="AK28" s="62"/>
    </row>
    <row r="29">
      <c r="A29" s="62"/>
      <c r="B29" s="62"/>
      <c r="C29" s="62"/>
      <c r="D29" s="62"/>
      <c r="E29" s="62"/>
      <c r="F29" s="62" t="s">
        <v>81</v>
      </c>
      <c r="G29" s="389">
        <v>21.25</v>
      </c>
      <c r="AK29" s="62"/>
    </row>
    <row r="30">
      <c r="A30" s="62"/>
      <c r="B30" s="62"/>
      <c r="C30" s="62"/>
      <c r="D30" s="62"/>
      <c r="E30" s="62"/>
      <c r="F30" s="62" t="s">
        <v>108</v>
      </c>
      <c r="G30" s="389">
        <v>20.5</v>
      </c>
      <c r="AK30" s="62"/>
    </row>
    <row r="31">
      <c r="A31" s="62"/>
      <c r="B31" s="62"/>
      <c r="C31" s="62"/>
      <c r="D31" s="62"/>
      <c r="E31" s="62"/>
      <c r="F31" s="62" t="s">
        <v>95</v>
      </c>
      <c r="G31" s="389">
        <v>16.75</v>
      </c>
      <c r="AK31" s="62"/>
    </row>
    <row r="32">
      <c r="A32" s="62"/>
      <c r="B32" s="62"/>
      <c r="C32" s="62"/>
      <c r="D32" s="62"/>
      <c r="E32" s="62"/>
      <c r="F32" s="62" t="s">
        <v>130</v>
      </c>
      <c r="G32" s="389">
        <v>15.75</v>
      </c>
      <c r="AK32" s="62"/>
    </row>
    <row r="33">
      <c r="A33" s="62"/>
      <c r="B33" s="62"/>
      <c r="C33" s="62"/>
      <c r="D33" s="62"/>
      <c r="E33" s="62"/>
      <c r="F33" s="62" t="s">
        <v>91</v>
      </c>
      <c r="G33" s="389">
        <v>15.0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130</v>
      </c>
      <c r="C6" s="580">
        <f t="shared" ref="C6:C15" si="1">SUM(H6:AK6)</f>
        <v>10.75</v>
      </c>
      <c r="D6" s="581">
        <f t="shared" ref="D6:D15" si="2">E6/2.5</f>
        <v>0</v>
      </c>
      <c r="E6" s="582">
        <f t="shared" ref="E6:E15" si="3">SUM(H6+N6+T6+Z6+AF6+AL6+AR6)</f>
        <v>0</v>
      </c>
      <c r="F6" s="583">
        <f t="shared" ref="F6:F15" si="4">C6-E6</f>
        <v>10.75</v>
      </c>
      <c r="G6" s="584" t="s">
        <v>265</v>
      </c>
      <c r="H6" s="598"/>
      <c r="I6" s="585">
        <v>2.0</v>
      </c>
      <c r="J6" s="586"/>
      <c r="K6" s="590"/>
      <c r="L6" s="588"/>
      <c r="M6" s="584" t="s">
        <v>261</v>
      </c>
      <c r="N6" s="598"/>
      <c r="O6" s="585">
        <v>2.0</v>
      </c>
      <c r="P6" s="589"/>
      <c r="Q6" s="590"/>
      <c r="R6" s="588"/>
      <c r="S6" s="586" t="s">
        <v>261</v>
      </c>
      <c r="T6" s="598"/>
      <c r="U6" s="585">
        <v>1.5</v>
      </c>
      <c r="V6" s="586"/>
      <c r="W6" s="590"/>
      <c r="X6" s="588"/>
      <c r="Y6" s="586" t="s">
        <v>269</v>
      </c>
      <c r="Z6" s="598"/>
      <c r="AA6" s="591">
        <v>1.75</v>
      </c>
      <c r="AB6" s="589"/>
      <c r="AC6" s="590"/>
      <c r="AD6" s="588"/>
      <c r="AE6" s="586" t="s">
        <v>261</v>
      </c>
      <c r="AF6" s="598"/>
      <c r="AG6" s="585">
        <v>3.5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134</v>
      </c>
      <c r="C7" s="580">
        <f t="shared" si="1"/>
        <v>24</v>
      </c>
      <c r="D7" s="594">
        <f t="shared" si="2"/>
        <v>4</v>
      </c>
      <c r="E7" s="595">
        <f t="shared" si="3"/>
        <v>10</v>
      </c>
      <c r="F7" s="596">
        <f t="shared" si="4"/>
        <v>14</v>
      </c>
      <c r="G7" s="584" t="s">
        <v>261</v>
      </c>
      <c r="H7" s="597">
        <v>2.5</v>
      </c>
      <c r="I7" s="585">
        <v>3.25</v>
      </c>
      <c r="J7" s="586"/>
      <c r="K7" s="590"/>
      <c r="L7" s="588"/>
      <c r="M7" s="584" t="s">
        <v>269</v>
      </c>
      <c r="N7" s="597">
        <v>2.5</v>
      </c>
      <c r="O7" s="585">
        <v>2.75</v>
      </c>
      <c r="P7" s="589"/>
      <c r="Q7" s="590"/>
      <c r="R7" s="588"/>
      <c r="S7" s="586" t="s">
        <v>261</v>
      </c>
      <c r="T7" s="598"/>
      <c r="U7" s="585">
        <v>2.0</v>
      </c>
      <c r="V7" s="586" t="s">
        <v>11</v>
      </c>
      <c r="W7" s="590"/>
      <c r="X7" s="587">
        <v>0.5</v>
      </c>
      <c r="Y7" s="586" t="s">
        <v>261</v>
      </c>
      <c r="Z7" s="597">
        <v>2.5</v>
      </c>
      <c r="AA7" s="591">
        <v>2.0</v>
      </c>
      <c r="AB7" s="586"/>
      <c r="AC7" s="585"/>
      <c r="AD7" s="587"/>
      <c r="AE7" s="586" t="s">
        <v>269</v>
      </c>
      <c r="AF7" s="597">
        <v>2.5</v>
      </c>
      <c r="AG7" s="585">
        <v>3.5</v>
      </c>
      <c r="AH7" s="586" t="s">
        <v>260</v>
      </c>
      <c r="AI7" s="590"/>
      <c r="AJ7" s="587"/>
      <c r="AK7" s="588"/>
      <c r="AL7" s="593"/>
    </row>
    <row r="8">
      <c r="A8" s="578">
        <v>3.0</v>
      </c>
      <c r="B8" s="579" t="s">
        <v>123</v>
      </c>
      <c r="C8" s="580">
        <f t="shared" si="1"/>
        <v>17</v>
      </c>
      <c r="D8" s="594">
        <f t="shared" si="2"/>
        <v>2</v>
      </c>
      <c r="E8" s="595">
        <f t="shared" si="3"/>
        <v>5</v>
      </c>
      <c r="F8" s="596">
        <f t="shared" si="4"/>
        <v>12</v>
      </c>
      <c r="G8" s="584" t="s">
        <v>271</v>
      </c>
      <c r="H8" s="585">
        <v>2.5</v>
      </c>
      <c r="I8" s="585">
        <v>2.5</v>
      </c>
      <c r="J8" s="589"/>
      <c r="K8" s="590"/>
      <c r="L8" s="588"/>
      <c r="M8" s="584" t="s">
        <v>261</v>
      </c>
      <c r="N8" s="590"/>
      <c r="O8" s="585">
        <v>2.25</v>
      </c>
      <c r="P8" s="589"/>
      <c r="Q8" s="590"/>
      <c r="R8" s="588"/>
      <c r="S8" s="586" t="s">
        <v>261</v>
      </c>
      <c r="T8" s="590"/>
      <c r="U8" s="585">
        <v>2.5</v>
      </c>
      <c r="V8" s="586"/>
      <c r="W8" s="590"/>
      <c r="X8" s="587"/>
      <c r="Y8" s="586" t="s">
        <v>261</v>
      </c>
      <c r="Z8" s="585">
        <v>2.5</v>
      </c>
      <c r="AA8" s="585">
        <v>2.25</v>
      </c>
      <c r="AB8" s="586" t="s">
        <v>11</v>
      </c>
      <c r="AC8" s="590"/>
      <c r="AD8" s="587">
        <v>0.5</v>
      </c>
      <c r="AE8" s="586" t="s">
        <v>261</v>
      </c>
      <c r="AF8" s="590"/>
      <c r="AG8" s="585">
        <v>2.0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83</v>
      </c>
      <c r="C9" s="580">
        <f t="shared" si="1"/>
        <v>19.25</v>
      </c>
      <c r="D9" s="594">
        <f t="shared" si="2"/>
        <v>2</v>
      </c>
      <c r="E9" s="595">
        <f t="shared" si="3"/>
        <v>5</v>
      </c>
      <c r="F9" s="596">
        <f t="shared" si="4"/>
        <v>14.25</v>
      </c>
      <c r="G9" s="584" t="s">
        <v>261</v>
      </c>
      <c r="H9" s="585">
        <v>2.5</v>
      </c>
      <c r="I9" s="585">
        <v>3.5</v>
      </c>
      <c r="J9" s="586"/>
      <c r="K9" s="590"/>
      <c r="L9" s="588"/>
      <c r="M9" s="584" t="s">
        <v>265</v>
      </c>
      <c r="N9" s="585">
        <v>2.5</v>
      </c>
      <c r="O9" s="585">
        <v>3.5</v>
      </c>
      <c r="P9" s="586"/>
      <c r="Q9" s="590"/>
      <c r="R9" s="588"/>
      <c r="S9" s="586" t="s">
        <v>261</v>
      </c>
      <c r="T9" s="590"/>
      <c r="U9" s="585">
        <v>2.5</v>
      </c>
      <c r="V9" s="586"/>
      <c r="W9" s="590"/>
      <c r="X9" s="588"/>
      <c r="Y9" s="586" t="s">
        <v>269</v>
      </c>
      <c r="Z9" s="590"/>
      <c r="AA9" s="591">
        <v>3.25</v>
      </c>
      <c r="AB9" s="586" t="s">
        <v>263</v>
      </c>
      <c r="AC9" s="590"/>
      <c r="AD9" s="588"/>
      <c r="AE9" s="586" t="s">
        <v>261</v>
      </c>
      <c r="AF9" s="590"/>
      <c r="AG9" s="585">
        <v>1.5</v>
      </c>
      <c r="AH9" s="586" t="s">
        <v>263</v>
      </c>
      <c r="AI9" s="590"/>
      <c r="AJ9" s="588"/>
      <c r="AK9" s="599"/>
      <c r="AL9" s="593"/>
    </row>
    <row r="10">
      <c r="A10" s="578">
        <v>5.0</v>
      </c>
      <c r="B10" s="579" t="s">
        <v>112</v>
      </c>
      <c r="C10" s="580">
        <f t="shared" si="1"/>
        <v>22.75</v>
      </c>
      <c r="D10" s="594">
        <f t="shared" si="2"/>
        <v>3</v>
      </c>
      <c r="E10" s="595">
        <f t="shared" si="3"/>
        <v>7.5</v>
      </c>
      <c r="F10" s="596">
        <f t="shared" si="4"/>
        <v>15.25</v>
      </c>
      <c r="G10" s="584" t="s">
        <v>261</v>
      </c>
      <c r="H10" s="585">
        <v>2.5</v>
      </c>
      <c r="I10" s="585">
        <v>2.5</v>
      </c>
      <c r="J10" s="589"/>
      <c r="K10" s="590"/>
      <c r="L10" s="588"/>
      <c r="M10" s="584" t="s">
        <v>271</v>
      </c>
      <c r="N10" s="590"/>
      <c r="O10" s="585">
        <v>2.5</v>
      </c>
      <c r="P10" s="586"/>
      <c r="Q10" s="590"/>
      <c r="R10" s="587"/>
      <c r="S10" s="586" t="s">
        <v>269</v>
      </c>
      <c r="T10" s="585">
        <v>2.5</v>
      </c>
      <c r="U10" s="585">
        <v>3.75</v>
      </c>
      <c r="V10" s="586"/>
      <c r="W10" s="590"/>
      <c r="X10" s="588"/>
      <c r="Y10" s="586" t="s">
        <v>271</v>
      </c>
      <c r="Z10" s="585">
        <v>2.5</v>
      </c>
      <c r="AA10" s="591">
        <v>3.75</v>
      </c>
      <c r="AB10" s="586"/>
      <c r="AC10" s="590"/>
      <c r="AD10" s="587"/>
      <c r="AE10" s="586" t="s">
        <v>261</v>
      </c>
      <c r="AF10" s="590"/>
      <c r="AG10" s="585">
        <v>2.25</v>
      </c>
      <c r="AH10" s="586" t="s">
        <v>11</v>
      </c>
      <c r="AI10" s="590"/>
      <c r="AJ10" s="587">
        <v>0.5</v>
      </c>
      <c r="AK10" s="588"/>
      <c r="AL10" s="593"/>
    </row>
    <row r="11">
      <c r="A11" s="578">
        <v>6.0</v>
      </c>
      <c r="B11" s="579" t="s">
        <v>93</v>
      </c>
      <c r="C11" s="580">
        <f t="shared" si="1"/>
        <v>14.75</v>
      </c>
      <c r="D11" s="594">
        <f t="shared" si="2"/>
        <v>1</v>
      </c>
      <c r="E11" s="595">
        <f t="shared" si="3"/>
        <v>2.5</v>
      </c>
      <c r="F11" s="596">
        <f t="shared" si="4"/>
        <v>12.25</v>
      </c>
      <c r="G11" s="584" t="s">
        <v>269</v>
      </c>
      <c r="H11" s="590"/>
      <c r="I11" s="585">
        <v>2.0</v>
      </c>
      <c r="J11" s="586"/>
      <c r="K11" s="590"/>
      <c r="L11" s="588"/>
      <c r="M11" s="584" t="s">
        <v>261</v>
      </c>
      <c r="N11" s="590"/>
      <c r="O11" s="600">
        <v>1.5</v>
      </c>
      <c r="P11" s="586" t="s">
        <v>11</v>
      </c>
      <c r="Q11" s="585"/>
      <c r="R11" s="587">
        <v>0.5</v>
      </c>
      <c r="S11" s="586" t="s">
        <v>271</v>
      </c>
      <c r="T11" s="590"/>
      <c r="U11" s="585">
        <v>2.75</v>
      </c>
      <c r="V11" s="589"/>
      <c r="W11" s="590"/>
      <c r="X11" s="588"/>
      <c r="Y11" s="586" t="s">
        <v>261</v>
      </c>
      <c r="Z11" s="585">
        <v>2.5</v>
      </c>
      <c r="AA11" s="591">
        <v>2.0</v>
      </c>
      <c r="AB11" s="589"/>
      <c r="AC11" s="590"/>
      <c r="AD11" s="588"/>
      <c r="AE11" s="586" t="s">
        <v>261</v>
      </c>
      <c r="AF11" s="590"/>
      <c r="AG11" s="585">
        <v>3.5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101</v>
      </c>
      <c r="C12" s="580">
        <f t="shared" si="1"/>
        <v>18.5</v>
      </c>
      <c r="D12" s="594">
        <f t="shared" si="2"/>
        <v>2</v>
      </c>
      <c r="E12" s="595">
        <f t="shared" si="3"/>
        <v>5</v>
      </c>
      <c r="F12" s="596">
        <f t="shared" si="4"/>
        <v>13.5</v>
      </c>
      <c r="G12" s="584" t="s">
        <v>261</v>
      </c>
      <c r="H12" s="585">
        <v>2.5</v>
      </c>
      <c r="I12" s="585">
        <v>3.25</v>
      </c>
      <c r="J12" s="586"/>
      <c r="K12" s="590"/>
      <c r="L12" s="588"/>
      <c r="M12" s="584" t="s">
        <v>261</v>
      </c>
      <c r="N12" s="590"/>
      <c r="O12" s="585">
        <v>2.0</v>
      </c>
      <c r="P12" s="589"/>
      <c r="Q12" s="590"/>
      <c r="R12" s="588"/>
      <c r="S12" s="586" t="s">
        <v>261</v>
      </c>
      <c r="T12" s="590"/>
      <c r="U12" s="585">
        <v>2.0</v>
      </c>
      <c r="V12" s="586"/>
      <c r="W12" s="590"/>
      <c r="X12" s="587"/>
      <c r="Y12" s="586" t="s">
        <v>261</v>
      </c>
      <c r="Z12" s="585">
        <v>2.5</v>
      </c>
      <c r="AA12" s="585">
        <v>3.75</v>
      </c>
      <c r="AB12" s="589"/>
      <c r="AC12" s="590"/>
      <c r="AD12" s="588"/>
      <c r="AE12" s="586" t="s">
        <v>271</v>
      </c>
      <c r="AF12" s="590"/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108</v>
      </c>
      <c r="C13" s="580">
        <f t="shared" si="1"/>
        <v>23.5</v>
      </c>
      <c r="D13" s="594">
        <f t="shared" si="2"/>
        <v>3</v>
      </c>
      <c r="E13" s="595">
        <f t="shared" si="3"/>
        <v>7.5</v>
      </c>
      <c r="F13" s="596">
        <f t="shared" si="4"/>
        <v>16</v>
      </c>
      <c r="G13" s="584" t="s">
        <v>261</v>
      </c>
      <c r="H13" s="597">
        <v>2.5</v>
      </c>
      <c r="I13" s="585">
        <v>3.5</v>
      </c>
      <c r="J13" s="586"/>
      <c r="K13" s="585"/>
      <c r="L13" s="588"/>
      <c r="M13" s="584" t="s">
        <v>269</v>
      </c>
      <c r="N13" s="597">
        <v>2.5</v>
      </c>
      <c r="O13" s="585">
        <v>5.0</v>
      </c>
      <c r="P13" s="589"/>
      <c r="Q13" s="590"/>
      <c r="R13" s="588"/>
      <c r="S13" s="586" t="s">
        <v>269</v>
      </c>
      <c r="T13" s="597">
        <v>2.5</v>
      </c>
      <c r="U13" s="585">
        <v>3.75</v>
      </c>
      <c r="V13" s="586"/>
      <c r="W13" s="590"/>
      <c r="X13" s="588"/>
      <c r="Y13" s="586" t="s">
        <v>265</v>
      </c>
      <c r="Z13" s="598"/>
      <c r="AA13" s="637">
        <v>1.75</v>
      </c>
      <c r="AB13" s="589"/>
      <c r="AC13" s="590"/>
      <c r="AD13" s="588"/>
      <c r="AE13" s="586" t="s">
        <v>261</v>
      </c>
      <c r="AF13" s="598"/>
      <c r="AG13" s="585">
        <v>2.0</v>
      </c>
      <c r="AH13" s="586" t="s">
        <v>263</v>
      </c>
      <c r="AI13" s="590"/>
      <c r="AJ13" s="588"/>
      <c r="AK13" s="588"/>
      <c r="AL13" s="593"/>
    </row>
    <row r="14">
      <c r="A14" s="578">
        <v>9.0</v>
      </c>
      <c r="B14" s="579" t="s">
        <v>91</v>
      </c>
      <c r="C14" s="580">
        <f t="shared" si="1"/>
        <v>21</v>
      </c>
      <c r="D14" s="594">
        <f t="shared" si="2"/>
        <v>3</v>
      </c>
      <c r="E14" s="595">
        <f t="shared" si="3"/>
        <v>7.5</v>
      </c>
      <c r="F14" s="596">
        <f t="shared" si="4"/>
        <v>13.5</v>
      </c>
      <c r="G14" s="584" t="s">
        <v>261</v>
      </c>
      <c r="H14" s="585">
        <v>2.5</v>
      </c>
      <c r="I14" s="585">
        <v>2.0</v>
      </c>
      <c r="J14" s="586"/>
      <c r="K14" s="585"/>
      <c r="L14" s="587"/>
      <c r="M14" s="584" t="s">
        <v>261</v>
      </c>
      <c r="N14" s="590"/>
      <c r="O14" s="585">
        <v>1.75</v>
      </c>
      <c r="P14" s="586"/>
      <c r="Q14" s="585"/>
      <c r="R14" s="588"/>
      <c r="S14" s="586" t="s">
        <v>261</v>
      </c>
      <c r="T14" s="590"/>
      <c r="U14" s="585">
        <v>3.0</v>
      </c>
      <c r="V14" s="589"/>
      <c r="W14" s="590"/>
      <c r="X14" s="588"/>
      <c r="Y14" s="586" t="s">
        <v>261</v>
      </c>
      <c r="Z14" s="585">
        <v>2.5</v>
      </c>
      <c r="AA14" s="591">
        <v>4.75</v>
      </c>
      <c r="AB14" s="586" t="s">
        <v>260</v>
      </c>
      <c r="AC14" s="590"/>
      <c r="AD14" s="588"/>
      <c r="AE14" s="586" t="s">
        <v>265</v>
      </c>
      <c r="AF14" s="585">
        <v>2.5</v>
      </c>
      <c r="AG14" s="585">
        <v>2.0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100</v>
      </c>
      <c r="C15" s="580">
        <f t="shared" si="1"/>
        <v>21</v>
      </c>
      <c r="D15" s="603">
        <f t="shared" si="2"/>
        <v>3</v>
      </c>
      <c r="E15" s="604">
        <f t="shared" si="3"/>
        <v>7.5</v>
      </c>
      <c r="F15" s="605">
        <f t="shared" si="4"/>
        <v>13.5</v>
      </c>
      <c r="G15" s="606" t="s">
        <v>269</v>
      </c>
      <c r="H15" s="609"/>
      <c r="I15" s="607">
        <v>1.5</v>
      </c>
      <c r="J15" s="608"/>
      <c r="K15" s="609"/>
      <c r="L15" s="610"/>
      <c r="M15" s="606" t="s">
        <v>261</v>
      </c>
      <c r="N15" s="609"/>
      <c r="O15" s="607">
        <v>2.0</v>
      </c>
      <c r="P15" s="608"/>
      <c r="Q15" s="609"/>
      <c r="R15" s="610"/>
      <c r="S15" s="611" t="s">
        <v>265</v>
      </c>
      <c r="T15" s="607">
        <v>2.5</v>
      </c>
      <c r="U15" s="607">
        <v>4.0</v>
      </c>
      <c r="V15" s="611"/>
      <c r="W15" s="609"/>
      <c r="X15" s="610"/>
      <c r="Y15" s="611" t="s">
        <v>261</v>
      </c>
      <c r="Z15" s="607">
        <v>2.5</v>
      </c>
      <c r="AA15" s="648">
        <v>3.0</v>
      </c>
      <c r="AB15" s="611" t="s">
        <v>260</v>
      </c>
      <c r="AC15" s="609"/>
      <c r="AD15" s="610"/>
      <c r="AE15" s="611" t="s">
        <v>269</v>
      </c>
      <c r="AF15" s="607">
        <v>2.5</v>
      </c>
      <c r="AG15" s="607">
        <v>3.0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268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AK24" s="62"/>
    </row>
    <row r="25">
      <c r="A25" s="629"/>
      <c r="B25" s="629"/>
      <c r="C25" s="629"/>
      <c r="D25" s="629"/>
      <c r="AK25" s="62"/>
    </row>
    <row r="26">
      <c r="A26" s="632"/>
      <c r="B26" s="631" t="s">
        <v>93</v>
      </c>
      <c r="C26" s="631" t="s">
        <v>292</v>
      </c>
      <c r="D26" s="630">
        <v>-1.0</v>
      </c>
      <c r="E26" s="632"/>
      <c r="F26" s="632"/>
      <c r="AK26" s="62"/>
    </row>
    <row r="27">
      <c r="A27" s="62"/>
      <c r="B27" s="631" t="s">
        <v>108</v>
      </c>
      <c r="C27" s="631" t="s">
        <v>292</v>
      </c>
      <c r="D27" s="631">
        <v>-1.0</v>
      </c>
      <c r="E27" s="62"/>
      <c r="F27" s="62"/>
      <c r="AK27" s="62"/>
    </row>
    <row r="28">
      <c r="A28" s="62"/>
      <c r="B28" s="631" t="s">
        <v>100</v>
      </c>
      <c r="C28" s="631" t="s">
        <v>16</v>
      </c>
      <c r="D28" s="631">
        <v>-0.5</v>
      </c>
      <c r="E28" s="62"/>
      <c r="F28" s="62"/>
      <c r="AK28" s="62"/>
    </row>
    <row r="29">
      <c r="A29" s="62"/>
      <c r="B29" s="62"/>
      <c r="C29" s="62"/>
      <c r="D29" s="62"/>
      <c r="E29" s="62"/>
      <c r="F29" s="62"/>
      <c r="AK29" s="62"/>
    </row>
    <row r="30">
      <c r="A30" s="62"/>
      <c r="B30" s="62"/>
      <c r="C30" s="62"/>
      <c r="D30" s="62"/>
      <c r="E30" s="62"/>
      <c r="F30" s="62"/>
      <c r="AK30" s="62"/>
    </row>
    <row r="31">
      <c r="A31" s="62"/>
      <c r="B31" s="62"/>
      <c r="C31" s="62"/>
      <c r="D31" s="62"/>
      <c r="E31" s="62"/>
      <c r="F31" s="62"/>
      <c r="AK31" s="62"/>
    </row>
    <row r="32">
      <c r="A32" s="62"/>
      <c r="B32" s="62"/>
      <c r="C32" s="62"/>
      <c r="D32" s="62"/>
      <c r="E32" s="62"/>
      <c r="F32" s="62"/>
      <c r="AK32" s="62"/>
    </row>
    <row r="33">
      <c r="A33" s="62"/>
      <c r="B33" s="62"/>
      <c r="C33" s="62"/>
      <c r="D33" s="62"/>
      <c r="E33" s="62"/>
      <c r="F33" s="62"/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97</v>
      </c>
      <c r="C6" s="580">
        <f t="shared" ref="C6:C15" si="1">SUM(H6:AK6)</f>
        <v>22.25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12.25</v>
      </c>
      <c r="G6" s="584" t="s">
        <v>261</v>
      </c>
      <c r="H6" s="597">
        <v>2.5</v>
      </c>
      <c r="I6" s="585">
        <v>2.75</v>
      </c>
      <c r="J6" s="586" t="s">
        <v>260</v>
      </c>
      <c r="K6" s="590"/>
      <c r="L6" s="588"/>
      <c r="M6" s="584" t="s">
        <v>261</v>
      </c>
      <c r="N6" s="598"/>
      <c r="O6" s="585">
        <v>1.75</v>
      </c>
      <c r="P6" s="589"/>
      <c r="Q6" s="590"/>
      <c r="R6" s="588"/>
      <c r="S6" s="586" t="s">
        <v>271</v>
      </c>
      <c r="T6" s="597">
        <v>2.5</v>
      </c>
      <c r="U6" s="585">
        <v>4.0</v>
      </c>
      <c r="V6" s="586"/>
      <c r="W6" s="590"/>
      <c r="X6" s="588"/>
      <c r="Y6" s="586" t="s">
        <v>261</v>
      </c>
      <c r="Z6" s="597">
        <v>2.5</v>
      </c>
      <c r="AA6" s="591">
        <v>2.0</v>
      </c>
      <c r="AB6" s="589"/>
      <c r="AC6" s="590"/>
      <c r="AD6" s="588"/>
      <c r="AE6" s="586" t="s">
        <v>261</v>
      </c>
      <c r="AF6" s="597">
        <v>2.5</v>
      </c>
      <c r="AG6" s="585">
        <v>1.75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135</v>
      </c>
      <c r="C7" s="580">
        <f t="shared" si="1"/>
        <v>23.25</v>
      </c>
      <c r="D7" s="594">
        <f t="shared" si="2"/>
        <v>4</v>
      </c>
      <c r="E7" s="595">
        <f t="shared" si="3"/>
        <v>10</v>
      </c>
      <c r="F7" s="596">
        <f t="shared" si="4"/>
        <v>13.25</v>
      </c>
      <c r="G7" s="584" t="s">
        <v>261</v>
      </c>
      <c r="H7" s="597">
        <v>2.5</v>
      </c>
      <c r="I7" s="585">
        <v>2.5</v>
      </c>
      <c r="J7" s="586"/>
      <c r="K7" s="590"/>
      <c r="L7" s="588"/>
      <c r="M7" s="584" t="s">
        <v>269</v>
      </c>
      <c r="N7" s="597">
        <v>2.5</v>
      </c>
      <c r="O7" s="585">
        <v>2.5</v>
      </c>
      <c r="P7" s="589"/>
      <c r="Q7" s="590"/>
      <c r="R7" s="588"/>
      <c r="S7" s="586" t="s">
        <v>261</v>
      </c>
      <c r="T7" s="597">
        <v>2.5</v>
      </c>
      <c r="U7" s="585">
        <v>3.0</v>
      </c>
      <c r="V7" s="586" t="s">
        <v>260</v>
      </c>
      <c r="W7" s="590"/>
      <c r="X7" s="588"/>
      <c r="Y7" s="586" t="s">
        <v>271</v>
      </c>
      <c r="Z7" s="597">
        <v>2.5</v>
      </c>
      <c r="AA7" s="591">
        <v>2.75</v>
      </c>
      <c r="AB7" s="586"/>
      <c r="AC7" s="585"/>
      <c r="AD7" s="587"/>
      <c r="AE7" s="586" t="s">
        <v>269</v>
      </c>
      <c r="AF7" s="598"/>
      <c r="AG7" s="585">
        <v>2.5</v>
      </c>
      <c r="AH7" s="586"/>
      <c r="AI7" s="590"/>
      <c r="AJ7" s="587"/>
      <c r="AK7" s="588"/>
      <c r="AL7" s="593"/>
    </row>
    <row r="8">
      <c r="A8" s="578">
        <v>3.0</v>
      </c>
      <c r="B8" s="579" t="s">
        <v>86</v>
      </c>
      <c r="C8" s="580">
        <f t="shared" si="1"/>
        <v>19.75</v>
      </c>
      <c r="D8" s="594">
        <f t="shared" si="2"/>
        <v>2</v>
      </c>
      <c r="E8" s="595">
        <f t="shared" si="3"/>
        <v>5</v>
      </c>
      <c r="F8" s="596">
        <f t="shared" si="4"/>
        <v>14.75</v>
      </c>
      <c r="G8" s="584" t="s">
        <v>261</v>
      </c>
      <c r="H8" s="585">
        <v>2.5</v>
      </c>
      <c r="I8" s="585">
        <v>2.75</v>
      </c>
      <c r="J8" s="589"/>
      <c r="K8" s="590"/>
      <c r="L8" s="588"/>
      <c r="M8" s="584" t="s">
        <v>271</v>
      </c>
      <c r="N8" s="590"/>
      <c r="O8" s="585">
        <v>2.75</v>
      </c>
      <c r="P8" s="586" t="s">
        <v>11</v>
      </c>
      <c r="Q8" s="590"/>
      <c r="R8" s="587">
        <v>0.5</v>
      </c>
      <c r="S8" s="586" t="s">
        <v>269</v>
      </c>
      <c r="T8" s="590"/>
      <c r="U8" s="585">
        <v>2.75</v>
      </c>
      <c r="V8" s="586"/>
      <c r="W8" s="590"/>
      <c r="X8" s="587"/>
      <c r="Y8" s="586" t="s">
        <v>261</v>
      </c>
      <c r="Z8" s="585">
        <v>2.5</v>
      </c>
      <c r="AA8" s="585">
        <v>3.5</v>
      </c>
      <c r="AB8" s="586" t="s">
        <v>260</v>
      </c>
      <c r="AC8" s="590"/>
      <c r="AD8" s="588"/>
      <c r="AE8" s="586" t="s">
        <v>269</v>
      </c>
      <c r="AF8" s="590"/>
      <c r="AG8" s="585">
        <v>2.5</v>
      </c>
      <c r="AH8" s="589"/>
      <c r="AI8" s="590"/>
      <c r="AJ8" s="588"/>
      <c r="AK8" s="588"/>
      <c r="AL8" s="593"/>
    </row>
    <row r="9">
      <c r="A9" s="578">
        <v>4.0</v>
      </c>
      <c r="B9" s="579" t="s">
        <v>107</v>
      </c>
      <c r="C9" s="580">
        <f t="shared" si="1"/>
        <v>22.5</v>
      </c>
      <c r="D9" s="594">
        <f t="shared" si="2"/>
        <v>3</v>
      </c>
      <c r="E9" s="595">
        <f t="shared" si="3"/>
        <v>7.5</v>
      </c>
      <c r="F9" s="596">
        <f t="shared" si="4"/>
        <v>15</v>
      </c>
      <c r="G9" s="584" t="s">
        <v>261</v>
      </c>
      <c r="H9" s="585">
        <v>2.5</v>
      </c>
      <c r="I9" s="585">
        <v>2.25</v>
      </c>
      <c r="J9" s="586" t="s">
        <v>11</v>
      </c>
      <c r="K9" s="590"/>
      <c r="L9" s="587">
        <v>0.5</v>
      </c>
      <c r="M9" s="584" t="s">
        <v>261</v>
      </c>
      <c r="N9" s="590"/>
      <c r="O9" s="585">
        <v>3.25</v>
      </c>
      <c r="P9" s="586"/>
      <c r="Q9" s="590"/>
      <c r="R9" s="588"/>
      <c r="S9" s="586" t="s">
        <v>269</v>
      </c>
      <c r="T9" s="590"/>
      <c r="U9" s="585">
        <v>2.25</v>
      </c>
      <c r="V9" s="586" t="s">
        <v>263</v>
      </c>
      <c r="W9" s="590"/>
      <c r="X9" s="588"/>
      <c r="Y9" s="586" t="s">
        <v>261</v>
      </c>
      <c r="Z9" s="585">
        <v>2.5</v>
      </c>
      <c r="AA9" s="591">
        <v>3.0</v>
      </c>
      <c r="AB9" s="586" t="s">
        <v>260</v>
      </c>
      <c r="AC9" s="590"/>
      <c r="AD9" s="588"/>
      <c r="AE9" s="586" t="s">
        <v>261</v>
      </c>
      <c r="AF9" s="585">
        <v>2.5</v>
      </c>
      <c r="AG9" s="585">
        <v>2.75</v>
      </c>
      <c r="AH9" s="586" t="s">
        <v>11</v>
      </c>
      <c r="AI9" s="590"/>
      <c r="AJ9" s="587">
        <v>1.0</v>
      </c>
      <c r="AK9" s="599"/>
      <c r="AL9" s="593"/>
    </row>
    <row r="10">
      <c r="A10" s="578">
        <v>5.0</v>
      </c>
      <c r="B10" s="579" t="s">
        <v>94</v>
      </c>
      <c r="C10" s="580">
        <f t="shared" si="1"/>
        <v>20.25</v>
      </c>
      <c r="D10" s="594">
        <f t="shared" si="2"/>
        <v>3</v>
      </c>
      <c r="E10" s="595">
        <f t="shared" si="3"/>
        <v>7.5</v>
      </c>
      <c r="F10" s="596">
        <f t="shared" si="4"/>
        <v>12.75</v>
      </c>
      <c r="G10" s="584" t="s">
        <v>271</v>
      </c>
      <c r="H10" s="585">
        <v>2.5</v>
      </c>
      <c r="I10" s="585">
        <v>3.25</v>
      </c>
      <c r="J10" s="589"/>
      <c r="K10" s="590"/>
      <c r="L10" s="588"/>
      <c r="M10" s="584" t="s">
        <v>261</v>
      </c>
      <c r="N10" s="590"/>
      <c r="O10" s="585">
        <v>1.75</v>
      </c>
      <c r="P10" s="586"/>
      <c r="Q10" s="590"/>
      <c r="R10" s="587"/>
      <c r="S10" s="586" t="s">
        <v>261</v>
      </c>
      <c r="T10" s="585">
        <v>2.5</v>
      </c>
      <c r="U10" s="585">
        <v>3.0</v>
      </c>
      <c r="V10" s="586" t="s">
        <v>260</v>
      </c>
      <c r="W10" s="590"/>
      <c r="X10" s="588"/>
      <c r="Y10" s="586" t="s">
        <v>265</v>
      </c>
      <c r="Z10" s="590"/>
      <c r="AA10" s="591">
        <v>2.25</v>
      </c>
      <c r="AB10" s="586"/>
      <c r="AC10" s="590"/>
      <c r="AD10" s="587"/>
      <c r="AE10" s="586" t="s">
        <v>261</v>
      </c>
      <c r="AF10" s="585">
        <v>2.5</v>
      </c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110</v>
      </c>
      <c r="C11" s="580">
        <f t="shared" si="1"/>
        <v>25.25</v>
      </c>
      <c r="D11" s="594">
        <f t="shared" si="2"/>
        <v>4</v>
      </c>
      <c r="E11" s="595">
        <f t="shared" si="3"/>
        <v>10</v>
      </c>
      <c r="F11" s="596">
        <f t="shared" si="4"/>
        <v>15.25</v>
      </c>
      <c r="G11" s="584" t="s">
        <v>261</v>
      </c>
      <c r="H11" s="585">
        <v>2.5</v>
      </c>
      <c r="I11" s="585">
        <v>3.5</v>
      </c>
      <c r="J11" s="586" t="s">
        <v>260</v>
      </c>
      <c r="K11" s="590"/>
      <c r="L11" s="588"/>
      <c r="M11" s="584" t="s">
        <v>261</v>
      </c>
      <c r="N11" s="590"/>
      <c r="O11" s="585">
        <v>2.5</v>
      </c>
      <c r="P11" s="586"/>
      <c r="Q11" s="585"/>
      <c r="R11" s="587"/>
      <c r="S11" s="586" t="s">
        <v>261</v>
      </c>
      <c r="T11" s="585">
        <v>2.5</v>
      </c>
      <c r="U11" s="585">
        <v>4.5</v>
      </c>
      <c r="V11" s="589"/>
      <c r="W11" s="590"/>
      <c r="X11" s="588"/>
      <c r="Y11" s="586" t="s">
        <v>261</v>
      </c>
      <c r="Z11" s="585">
        <v>2.5</v>
      </c>
      <c r="AA11" s="591">
        <v>2.75</v>
      </c>
      <c r="AB11" s="589"/>
      <c r="AC11" s="590"/>
      <c r="AD11" s="588"/>
      <c r="AE11" s="586" t="s">
        <v>261</v>
      </c>
      <c r="AF11" s="585">
        <v>2.5</v>
      </c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93</v>
      </c>
      <c r="C12" s="580">
        <f t="shared" si="1"/>
        <v>24.25</v>
      </c>
      <c r="D12" s="594">
        <f t="shared" si="2"/>
        <v>3</v>
      </c>
      <c r="E12" s="595">
        <f t="shared" si="3"/>
        <v>7.5</v>
      </c>
      <c r="F12" s="596">
        <f t="shared" si="4"/>
        <v>16.75</v>
      </c>
      <c r="G12" s="584" t="s">
        <v>265</v>
      </c>
      <c r="H12" s="590"/>
      <c r="I12" s="585">
        <v>2.5</v>
      </c>
      <c r="J12" s="586"/>
      <c r="K12" s="590"/>
      <c r="L12" s="588"/>
      <c r="M12" s="584" t="s">
        <v>269</v>
      </c>
      <c r="N12" s="585">
        <v>2.5</v>
      </c>
      <c r="O12" s="585">
        <v>3.75</v>
      </c>
      <c r="P12" s="589"/>
      <c r="Q12" s="590"/>
      <c r="R12" s="588"/>
      <c r="S12" s="586" t="s">
        <v>265</v>
      </c>
      <c r="T12" s="590"/>
      <c r="U12" s="585">
        <v>2.5</v>
      </c>
      <c r="V12" s="586"/>
      <c r="W12" s="590"/>
      <c r="X12" s="587"/>
      <c r="Y12" s="586" t="s">
        <v>261</v>
      </c>
      <c r="Z12" s="585">
        <v>2.5</v>
      </c>
      <c r="AA12" s="585">
        <v>2.75</v>
      </c>
      <c r="AB12" s="586" t="s">
        <v>11</v>
      </c>
      <c r="AC12" s="585">
        <v>0.5</v>
      </c>
      <c r="AD12" s="587">
        <v>0.5</v>
      </c>
      <c r="AE12" s="586" t="s">
        <v>261</v>
      </c>
      <c r="AF12" s="585">
        <v>2.5</v>
      </c>
      <c r="AG12" s="585">
        <v>4.25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81</v>
      </c>
      <c r="C13" s="580">
        <f t="shared" si="1"/>
        <v>13.25</v>
      </c>
      <c r="D13" s="594">
        <f t="shared" si="2"/>
        <v>1</v>
      </c>
      <c r="E13" s="595">
        <f t="shared" si="3"/>
        <v>2.5</v>
      </c>
      <c r="F13" s="596">
        <f t="shared" si="4"/>
        <v>10.75</v>
      </c>
      <c r="G13" s="584" t="s">
        <v>269</v>
      </c>
      <c r="H13" s="598"/>
      <c r="I13" s="585">
        <v>2.0</v>
      </c>
      <c r="J13" s="586" t="s">
        <v>263</v>
      </c>
      <c r="K13" s="585"/>
      <c r="L13" s="588"/>
      <c r="M13" s="584" t="s">
        <v>261</v>
      </c>
      <c r="N13" s="598"/>
      <c r="O13" s="585">
        <v>1.75</v>
      </c>
      <c r="P13" s="589"/>
      <c r="Q13" s="590"/>
      <c r="R13" s="588"/>
      <c r="S13" s="586" t="s">
        <v>261</v>
      </c>
      <c r="T13" s="597">
        <v>2.5</v>
      </c>
      <c r="U13" s="585">
        <v>2.75</v>
      </c>
      <c r="V13" s="586"/>
      <c r="W13" s="590"/>
      <c r="X13" s="588"/>
      <c r="Y13" s="586" t="s">
        <v>269</v>
      </c>
      <c r="Z13" s="598"/>
      <c r="AA13" s="591">
        <v>2.25</v>
      </c>
      <c r="AB13" s="589"/>
      <c r="AC13" s="590"/>
      <c r="AD13" s="588"/>
      <c r="AE13" s="586" t="s">
        <v>265</v>
      </c>
      <c r="AF13" s="598"/>
      <c r="AG13" s="585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98</v>
      </c>
      <c r="C14" s="580">
        <f t="shared" si="1"/>
        <v>21.75</v>
      </c>
      <c r="D14" s="594">
        <f t="shared" si="2"/>
        <v>3</v>
      </c>
      <c r="E14" s="595">
        <f t="shared" si="3"/>
        <v>7.5</v>
      </c>
      <c r="F14" s="596">
        <f t="shared" si="4"/>
        <v>14.25</v>
      </c>
      <c r="G14" s="584" t="s">
        <v>261</v>
      </c>
      <c r="H14" s="585">
        <v>2.5</v>
      </c>
      <c r="I14" s="600">
        <v>3.25</v>
      </c>
      <c r="J14" s="586"/>
      <c r="K14" s="585"/>
      <c r="L14" s="587"/>
      <c r="M14" s="584" t="s">
        <v>261</v>
      </c>
      <c r="N14" s="590"/>
      <c r="O14" s="585">
        <v>1.75</v>
      </c>
      <c r="P14" s="586"/>
      <c r="Q14" s="585"/>
      <c r="R14" s="588"/>
      <c r="S14" s="586" t="s">
        <v>261</v>
      </c>
      <c r="T14" s="585">
        <v>2.5</v>
      </c>
      <c r="U14" s="585">
        <v>4.0</v>
      </c>
      <c r="V14" s="589"/>
      <c r="W14" s="590"/>
      <c r="X14" s="588"/>
      <c r="Y14" s="586" t="s">
        <v>269</v>
      </c>
      <c r="Z14" s="590"/>
      <c r="AA14" s="591">
        <v>2.75</v>
      </c>
      <c r="AB14" s="586" t="s">
        <v>263</v>
      </c>
      <c r="AC14" s="590"/>
      <c r="AD14" s="588"/>
      <c r="AE14" s="586" t="s">
        <v>271</v>
      </c>
      <c r="AF14" s="585">
        <v>2.5</v>
      </c>
      <c r="AG14" s="585">
        <v>2.5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100</v>
      </c>
      <c r="C15" s="580">
        <f t="shared" si="1"/>
        <v>28</v>
      </c>
      <c r="D15" s="603">
        <f t="shared" si="2"/>
        <v>4</v>
      </c>
      <c r="E15" s="604">
        <f t="shared" si="3"/>
        <v>10</v>
      </c>
      <c r="F15" s="605">
        <f t="shared" si="4"/>
        <v>18</v>
      </c>
      <c r="G15" s="606" t="s">
        <v>269</v>
      </c>
      <c r="H15" s="609"/>
      <c r="I15" s="607">
        <v>2.5</v>
      </c>
      <c r="J15" s="608"/>
      <c r="K15" s="609"/>
      <c r="L15" s="610"/>
      <c r="M15" s="606" t="s">
        <v>265</v>
      </c>
      <c r="N15" s="607">
        <v>2.5</v>
      </c>
      <c r="O15" s="607">
        <v>4.5</v>
      </c>
      <c r="P15" s="608"/>
      <c r="Q15" s="609"/>
      <c r="R15" s="610"/>
      <c r="S15" s="611" t="s">
        <v>261</v>
      </c>
      <c r="T15" s="607">
        <v>2.5</v>
      </c>
      <c r="U15" s="607">
        <v>2.75</v>
      </c>
      <c r="V15" s="611" t="s">
        <v>11</v>
      </c>
      <c r="W15" s="609"/>
      <c r="X15" s="612">
        <v>0.5</v>
      </c>
      <c r="Y15" s="611" t="s">
        <v>261</v>
      </c>
      <c r="Z15" s="607">
        <v>2.5</v>
      </c>
      <c r="AA15" s="634">
        <v>3.75</v>
      </c>
      <c r="AB15" s="608"/>
      <c r="AC15" s="609"/>
      <c r="AD15" s="610"/>
      <c r="AE15" s="611" t="s">
        <v>261</v>
      </c>
      <c r="AF15" s="607">
        <v>2.5</v>
      </c>
      <c r="AG15" s="607">
        <v>4.0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383</v>
      </c>
      <c r="L16" s="543"/>
      <c r="M16" s="616" t="s">
        <v>389</v>
      </c>
      <c r="R16" s="543"/>
      <c r="S16" s="616" t="s">
        <v>372</v>
      </c>
      <c r="X16" s="543"/>
      <c r="Y16" s="616" t="s">
        <v>397</v>
      </c>
      <c r="AD16" s="543"/>
      <c r="AE16" s="616" t="s">
        <v>389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262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553" t="s">
        <v>321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553" t="s">
        <v>322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T24" s="388" t="str">
        <f t="array" ref="T24:U33">SORT(B6:C15,2,False)</f>
        <v>Ментик</v>
      </c>
      <c r="U24" s="389">
        <v>28.0</v>
      </c>
      <c r="AK24" s="62"/>
    </row>
    <row r="25">
      <c r="A25" s="629"/>
      <c r="B25" s="629"/>
      <c r="C25" s="629"/>
      <c r="D25" s="629"/>
      <c r="T25" s="384" t="s">
        <v>110</v>
      </c>
      <c r="U25" s="389">
        <v>25.25</v>
      </c>
      <c r="AK25" s="62"/>
    </row>
    <row r="26">
      <c r="A26" s="630">
        <v>1.0</v>
      </c>
      <c r="B26" s="631" t="s">
        <v>98</v>
      </c>
      <c r="C26" s="631" t="s">
        <v>16</v>
      </c>
      <c r="D26" s="630">
        <v>0.5</v>
      </c>
      <c r="E26" s="632"/>
      <c r="F26" s="632"/>
      <c r="T26" s="384" t="s">
        <v>93</v>
      </c>
      <c r="U26" s="389">
        <v>24.25</v>
      </c>
      <c r="AK26" s="62"/>
    </row>
    <row r="27">
      <c r="A27" s="62"/>
      <c r="B27" s="62"/>
      <c r="C27" s="62"/>
      <c r="D27" s="62"/>
      <c r="E27" s="62"/>
      <c r="F27" s="62"/>
      <c r="T27" s="384" t="s">
        <v>135</v>
      </c>
      <c r="U27" s="389">
        <v>23.25</v>
      </c>
      <c r="AK27" s="62"/>
    </row>
    <row r="28">
      <c r="A28" s="62"/>
      <c r="B28" s="62"/>
      <c r="C28" s="62"/>
      <c r="D28" s="62"/>
      <c r="E28" s="62"/>
      <c r="F28" s="62"/>
      <c r="T28" s="384" t="s">
        <v>107</v>
      </c>
      <c r="U28" s="389">
        <v>22.5</v>
      </c>
      <c r="AK28" s="62"/>
    </row>
    <row r="29">
      <c r="A29" s="62"/>
      <c r="B29" s="62"/>
      <c r="C29" s="62"/>
      <c r="D29" s="62"/>
      <c r="E29" s="62"/>
      <c r="F29" s="62"/>
      <c r="T29" s="384" t="s">
        <v>97</v>
      </c>
      <c r="U29" s="389">
        <v>22.25</v>
      </c>
      <c r="AK29" s="62"/>
    </row>
    <row r="30">
      <c r="A30" s="62"/>
      <c r="B30" s="62"/>
      <c r="C30" s="62"/>
      <c r="D30" s="62"/>
      <c r="E30" s="62"/>
      <c r="F30" s="62"/>
      <c r="T30" s="384" t="s">
        <v>98</v>
      </c>
      <c r="U30" s="389">
        <v>21.75</v>
      </c>
      <c r="AK30" s="62"/>
    </row>
    <row r="31">
      <c r="A31" s="62"/>
      <c r="B31" s="62"/>
      <c r="C31" s="62"/>
      <c r="D31" s="62"/>
      <c r="E31" s="62"/>
      <c r="F31" s="62"/>
      <c r="T31" s="384" t="s">
        <v>94</v>
      </c>
      <c r="U31" s="389">
        <v>20.25</v>
      </c>
      <c r="AK31" s="62"/>
    </row>
    <row r="32">
      <c r="A32" s="62"/>
      <c r="B32" s="62"/>
      <c r="C32" s="62"/>
      <c r="D32" s="62"/>
      <c r="E32" s="62"/>
      <c r="F32" s="62"/>
      <c r="T32" s="384" t="s">
        <v>86</v>
      </c>
      <c r="U32" s="389">
        <v>19.75</v>
      </c>
      <c r="AK32" s="62"/>
    </row>
    <row r="33">
      <c r="A33" s="62"/>
      <c r="B33" s="62"/>
      <c r="C33" s="62"/>
      <c r="D33" s="62"/>
      <c r="E33" s="62"/>
      <c r="F33" s="62"/>
      <c r="T33" s="384" t="s">
        <v>81</v>
      </c>
      <c r="U33" s="389">
        <v>13.25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100</v>
      </c>
      <c r="C6" s="580">
        <f t="shared" ref="C6:C15" si="1">SUM(H6:AK6)</f>
        <v>20.75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13.25</v>
      </c>
      <c r="G6" s="584" t="s">
        <v>261</v>
      </c>
      <c r="H6" s="597">
        <v>2.5</v>
      </c>
      <c r="I6" s="585">
        <v>4.25</v>
      </c>
      <c r="J6" s="586"/>
      <c r="K6" s="590"/>
      <c r="L6" s="588"/>
      <c r="M6" s="584" t="s">
        <v>261</v>
      </c>
      <c r="N6" s="598"/>
      <c r="O6" s="585">
        <v>2.0</v>
      </c>
      <c r="P6" s="589"/>
      <c r="Q6" s="590"/>
      <c r="R6" s="588"/>
      <c r="S6" s="586" t="s">
        <v>261</v>
      </c>
      <c r="T6" s="598"/>
      <c r="U6" s="585">
        <v>1.5</v>
      </c>
      <c r="V6" s="586"/>
      <c r="W6" s="590"/>
      <c r="X6" s="588"/>
      <c r="Y6" s="586" t="s">
        <v>269</v>
      </c>
      <c r="Z6" s="597">
        <v>2.5</v>
      </c>
      <c r="AA6" s="591">
        <v>3.0</v>
      </c>
      <c r="AB6" s="589"/>
      <c r="AC6" s="590"/>
      <c r="AD6" s="588"/>
      <c r="AE6" s="586" t="s">
        <v>265</v>
      </c>
      <c r="AF6" s="597">
        <v>2.5</v>
      </c>
      <c r="AG6" s="585">
        <v>2.5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128</v>
      </c>
      <c r="C7" s="580">
        <f t="shared" si="1"/>
        <v>16</v>
      </c>
      <c r="D7" s="594">
        <f t="shared" si="2"/>
        <v>2</v>
      </c>
      <c r="E7" s="595">
        <f t="shared" si="3"/>
        <v>5</v>
      </c>
      <c r="F7" s="596">
        <f t="shared" si="4"/>
        <v>11</v>
      </c>
      <c r="G7" s="584" t="s">
        <v>261</v>
      </c>
      <c r="H7" s="597">
        <v>2.5</v>
      </c>
      <c r="I7" s="585">
        <v>1.75</v>
      </c>
      <c r="J7" s="586"/>
      <c r="K7" s="590"/>
      <c r="L7" s="588"/>
      <c r="M7" s="584" t="s">
        <v>265</v>
      </c>
      <c r="N7" s="597">
        <v>2.5</v>
      </c>
      <c r="O7" s="585">
        <v>2.75</v>
      </c>
      <c r="P7" s="589"/>
      <c r="Q7" s="590"/>
      <c r="R7" s="588"/>
      <c r="S7" s="586" t="s">
        <v>261</v>
      </c>
      <c r="T7" s="598"/>
      <c r="U7" s="585">
        <v>3.0</v>
      </c>
      <c r="V7" s="586"/>
      <c r="W7" s="590"/>
      <c r="X7" s="588"/>
      <c r="Y7" s="586" t="s">
        <v>261</v>
      </c>
      <c r="Z7" s="598"/>
      <c r="AA7" s="591">
        <v>1.75</v>
      </c>
      <c r="AB7" s="586"/>
      <c r="AC7" s="585"/>
      <c r="AD7" s="587"/>
      <c r="AE7" s="586" t="s">
        <v>261</v>
      </c>
      <c r="AF7" s="598"/>
      <c r="AG7" s="585">
        <v>1.75</v>
      </c>
      <c r="AH7" s="586" t="s">
        <v>263</v>
      </c>
      <c r="AI7" s="590"/>
      <c r="AJ7" s="587"/>
      <c r="AK7" s="588"/>
      <c r="AL7" s="593"/>
    </row>
    <row r="8">
      <c r="A8" s="578">
        <v>3.0</v>
      </c>
      <c r="B8" s="579" t="s">
        <v>126</v>
      </c>
      <c r="C8" s="580">
        <f t="shared" si="1"/>
        <v>16.5</v>
      </c>
      <c r="D8" s="594">
        <f t="shared" si="2"/>
        <v>2</v>
      </c>
      <c r="E8" s="595">
        <f t="shared" si="3"/>
        <v>5</v>
      </c>
      <c r="F8" s="596">
        <f t="shared" si="4"/>
        <v>11.5</v>
      </c>
      <c r="G8" s="584" t="s">
        <v>261</v>
      </c>
      <c r="H8" s="585">
        <v>2.5</v>
      </c>
      <c r="I8" s="585">
        <v>2.5</v>
      </c>
      <c r="J8" s="586" t="s">
        <v>260</v>
      </c>
      <c r="K8" s="590"/>
      <c r="L8" s="588"/>
      <c r="M8" s="584" t="s">
        <v>261</v>
      </c>
      <c r="N8" s="590"/>
      <c r="O8" s="585">
        <v>1.75</v>
      </c>
      <c r="P8" s="589"/>
      <c r="Q8" s="590"/>
      <c r="R8" s="588"/>
      <c r="S8" s="586" t="s">
        <v>269</v>
      </c>
      <c r="T8" s="585">
        <v>2.5</v>
      </c>
      <c r="U8" s="585">
        <v>3.0</v>
      </c>
      <c r="V8" s="586"/>
      <c r="W8" s="590"/>
      <c r="X8" s="587"/>
      <c r="Y8" s="586" t="s">
        <v>261</v>
      </c>
      <c r="Z8" s="590"/>
      <c r="AA8" s="585">
        <v>1.75</v>
      </c>
      <c r="AB8" s="589"/>
      <c r="AC8" s="590"/>
      <c r="AD8" s="588"/>
      <c r="AE8" s="586" t="s">
        <v>261</v>
      </c>
      <c r="AF8" s="590"/>
      <c r="AG8" s="585">
        <v>2.5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93</v>
      </c>
      <c r="C9" s="580">
        <f t="shared" si="1"/>
        <v>21.75</v>
      </c>
      <c r="D9" s="594">
        <f t="shared" si="2"/>
        <v>2</v>
      </c>
      <c r="E9" s="595">
        <f t="shared" si="3"/>
        <v>5</v>
      </c>
      <c r="F9" s="596">
        <f t="shared" si="4"/>
        <v>16.75</v>
      </c>
      <c r="G9" s="584" t="s">
        <v>269</v>
      </c>
      <c r="H9" s="590"/>
      <c r="I9" s="585">
        <v>2.5</v>
      </c>
      <c r="J9" s="586" t="s">
        <v>263</v>
      </c>
      <c r="K9" s="590"/>
      <c r="L9" s="588"/>
      <c r="M9" s="584" t="s">
        <v>261</v>
      </c>
      <c r="N9" s="590"/>
      <c r="O9" s="585">
        <v>2.0</v>
      </c>
      <c r="P9" s="586"/>
      <c r="Q9" s="590"/>
      <c r="R9" s="588"/>
      <c r="S9" s="586" t="s">
        <v>265</v>
      </c>
      <c r="T9" s="585">
        <v>2.5</v>
      </c>
      <c r="U9" s="585">
        <v>4.25</v>
      </c>
      <c r="V9" s="586"/>
      <c r="W9" s="590"/>
      <c r="X9" s="588"/>
      <c r="Y9" s="586" t="s">
        <v>269</v>
      </c>
      <c r="Z9" s="585">
        <v>2.5</v>
      </c>
      <c r="AA9" s="591">
        <v>3.5</v>
      </c>
      <c r="AB9" s="589"/>
      <c r="AC9" s="590"/>
      <c r="AD9" s="588"/>
      <c r="AE9" s="586" t="s">
        <v>261</v>
      </c>
      <c r="AF9" s="590"/>
      <c r="AG9" s="585">
        <v>3.5</v>
      </c>
      <c r="AH9" s="586" t="s">
        <v>11</v>
      </c>
      <c r="AI9" s="585">
        <v>0.5</v>
      </c>
      <c r="AJ9" s="587">
        <v>0.5</v>
      </c>
      <c r="AK9" s="599"/>
      <c r="AL9" s="593"/>
    </row>
    <row r="10">
      <c r="A10" s="578">
        <v>5.0</v>
      </c>
      <c r="B10" s="579" t="s">
        <v>135</v>
      </c>
      <c r="C10" s="580">
        <f t="shared" si="1"/>
        <v>21.5</v>
      </c>
      <c r="D10" s="594">
        <f t="shared" si="2"/>
        <v>3</v>
      </c>
      <c r="E10" s="595">
        <f t="shared" si="3"/>
        <v>7.5</v>
      </c>
      <c r="F10" s="596">
        <f t="shared" si="4"/>
        <v>14</v>
      </c>
      <c r="G10" s="584" t="s">
        <v>271</v>
      </c>
      <c r="H10" s="585">
        <v>2.5</v>
      </c>
      <c r="I10" s="585">
        <v>3.25</v>
      </c>
      <c r="J10" s="589"/>
      <c r="K10" s="590"/>
      <c r="L10" s="588"/>
      <c r="M10" s="584" t="s">
        <v>271</v>
      </c>
      <c r="N10" s="590"/>
      <c r="O10" s="585">
        <v>2.25</v>
      </c>
      <c r="P10" s="586"/>
      <c r="Q10" s="590"/>
      <c r="R10" s="587"/>
      <c r="S10" s="586" t="s">
        <v>271</v>
      </c>
      <c r="T10" s="590"/>
      <c r="U10" s="585">
        <v>2.0</v>
      </c>
      <c r="V10" s="586"/>
      <c r="W10" s="590"/>
      <c r="X10" s="588"/>
      <c r="Y10" s="586" t="s">
        <v>265</v>
      </c>
      <c r="Z10" s="585">
        <v>2.5</v>
      </c>
      <c r="AA10" s="591">
        <v>4.0</v>
      </c>
      <c r="AB10" s="586"/>
      <c r="AC10" s="590"/>
      <c r="AD10" s="587"/>
      <c r="AE10" s="586" t="s">
        <v>269</v>
      </c>
      <c r="AF10" s="585">
        <v>2.5</v>
      </c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99</v>
      </c>
      <c r="C11" s="580">
        <f t="shared" si="1"/>
        <v>16.25</v>
      </c>
      <c r="D11" s="594">
        <f t="shared" si="2"/>
        <v>1</v>
      </c>
      <c r="E11" s="595">
        <f t="shared" si="3"/>
        <v>2.5</v>
      </c>
      <c r="F11" s="596">
        <f t="shared" si="4"/>
        <v>13.75</v>
      </c>
      <c r="G11" s="584" t="s">
        <v>261</v>
      </c>
      <c r="H11" s="585">
        <v>2.5</v>
      </c>
      <c r="I11" s="585">
        <v>4.0</v>
      </c>
      <c r="J11" s="586" t="s">
        <v>260</v>
      </c>
      <c r="K11" s="590"/>
      <c r="L11" s="588"/>
      <c r="M11" s="584" t="s">
        <v>261</v>
      </c>
      <c r="N11" s="590"/>
      <c r="O11" s="585">
        <v>2.5</v>
      </c>
      <c r="P11" s="586"/>
      <c r="Q11" s="585"/>
      <c r="R11" s="587"/>
      <c r="S11" s="586" t="s">
        <v>261</v>
      </c>
      <c r="T11" s="590"/>
      <c r="U11" s="585">
        <v>2.0</v>
      </c>
      <c r="V11" s="589"/>
      <c r="W11" s="590"/>
      <c r="X11" s="588"/>
      <c r="Y11" s="586" t="s">
        <v>261</v>
      </c>
      <c r="Z11" s="590"/>
      <c r="AA11" s="637">
        <v>1.25</v>
      </c>
      <c r="AB11" s="589"/>
      <c r="AC11" s="590"/>
      <c r="AD11" s="588"/>
      <c r="AE11" s="586" t="s">
        <v>261</v>
      </c>
      <c r="AF11" s="590"/>
      <c r="AG11" s="585">
        <v>4.0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91</v>
      </c>
      <c r="C12" s="580">
        <f t="shared" si="1"/>
        <v>18</v>
      </c>
      <c r="D12" s="594">
        <f t="shared" si="2"/>
        <v>2</v>
      </c>
      <c r="E12" s="595">
        <f t="shared" si="3"/>
        <v>5</v>
      </c>
      <c r="F12" s="596">
        <f t="shared" si="4"/>
        <v>13</v>
      </c>
      <c r="G12" s="584" t="s">
        <v>261</v>
      </c>
      <c r="H12" s="585">
        <v>2.5</v>
      </c>
      <c r="I12" s="585">
        <v>2.75</v>
      </c>
      <c r="J12" s="586"/>
      <c r="K12" s="590"/>
      <c r="L12" s="588"/>
      <c r="M12" s="584" t="s">
        <v>269</v>
      </c>
      <c r="N12" s="585">
        <v>2.5</v>
      </c>
      <c r="O12" s="585">
        <v>3.5</v>
      </c>
      <c r="P12" s="589"/>
      <c r="Q12" s="590"/>
      <c r="R12" s="588"/>
      <c r="S12" s="586" t="s">
        <v>261</v>
      </c>
      <c r="T12" s="590"/>
      <c r="U12" s="585">
        <v>2.25</v>
      </c>
      <c r="V12" s="586"/>
      <c r="W12" s="590"/>
      <c r="X12" s="587"/>
      <c r="Y12" s="586" t="s">
        <v>261</v>
      </c>
      <c r="Z12" s="590"/>
      <c r="AA12" s="585">
        <v>3.0</v>
      </c>
      <c r="AB12" s="589"/>
      <c r="AC12" s="590"/>
      <c r="AD12" s="588"/>
      <c r="AE12" s="586" t="s">
        <v>261</v>
      </c>
      <c r="AF12" s="590"/>
      <c r="AG12" s="585">
        <v>1.5</v>
      </c>
      <c r="AH12" s="586" t="s">
        <v>263</v>
      </c>
      <c r="AI12" s="590"/>
      <c r="AJ12" s="588"/>
      <c r="AK12" s="588"/>
      <c r="AL12" s="593"/>
    </row>
    <row r="13">
      <c r="A13" s="578">
        <v>8.0</v>
      </c>
      <c r="B13" s="579" t="s">
        <v>107</v>
      </c>
      <c r="C13" s="580">
        <f t="shared" si="1"/>
        <v>23.75</v>
      </c>
      <c r="D13" s="594">
        <f t="shared" si="2"/>
        <v>3</v>
      </c>
      <c r="E13" s="595">
        <f t="shared" si="3"/>
        <v>7.5</v>
      </c>
      <c r="F13" s="596">
        <f t="shared" si="4"/>
        <v>16.25</v>
      </c>
      <c r="G13" s="584" t="s">
        <v>261</v>
      </c>
      <c r="H13" s="597">
        <v>2.5</v>
      </c>
      <c r="I13" s="585">
        <v>3.0</v>
      </c>
      <c r="J13" s="586" t="s">
        <v>11</v>
      </c>
      <c r="K13" s="585"/>
      <c r="L13" s="587">
        <v>0.5</v>
      </c>
      <c r="M13" s="584" t="s">
        <v>269</v>
      </c>
      <c r="N13" s="597">
        <v>2.5</v>
      </c>
      <c r="O13" s="585">
        <v>4.0</v>
      </c>
      <c r="P13" s="589"/>
      <c r="Q13" s="590"/>
      <c r="R13" s="588"/>
      <c r="S13" s="586" t="s">
        <v>269</v>
      </c>
      <c r="T13" s="597">
        <v>2.5</v>
      </c>
      <c r="U13" s="585">
        <v>4.5</v>
      </c>
      <c r="V13" s="586" t="s">
        <v>11</v>
      </c>
      <c r="W13" s="590"/>
      <c r="X13" s="588"/>
      <c r="Y13" s="586" t="s">
        <v>261</v>
      </c>
      <c r="Z13" s="598"/>
      <c r="AA13" s="591">
        <v>2.0</v>
      </c>
      <c r="AB13" s="589"/>
      <c r="AC13" s="590"/>
      <c r="AD13" s="588"/>
      <c r="AE13" s="586" t="s">
        <v>271</v>
      </c>
      <c r="AF13" s="598"/>
      <c r="AG13" s="585">
        <v>2.25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129</v>
      </c>
      <c r="C14" s="580">
        <f t="shared" si="1"/>
        <v>10</v>
      </c>
      <c r="D14" s="594">
        <f t="shared" si="2"/>
        <v>0</v>
      </c>
      <c r="E14" s="595">
        <f t="shared" si="3"/>
        <v>0</v>
      </c>
      <c r="F14" s="596">
        <f t="shared" si="4"/>
        <v>10</v>
      </c>
      <c r="G14" s="584" t="s">
        <v>269</v>
      </c>
      <c r="H14" s="590"/>
      <c r="I14" s="585">
        <v>2.0</v>
      </c>
      <c r="J14" s="586"/>
      <c r="K14" s="585"/>
      <c r="L14" s="587"/>
      <c r="M14" s="584" t="s">
        <v>261</v>
      </c>
      <c r="N14" s="590"/>
      <c r="O14" s="585">
        <v>1.25</v>
      </c>
      <c r="P14" s="586"/>
      <c r="Q14" s="585"/>
      <c r="R14" s="588"/>
      <c r="S14" s="586" t="s">
        <v>261</v>
      </c>
      <c r="T14" s="590"/>
      <c r="U14" s="585">
        <v>1.25</v>
      </c>
      <c r="V14" s="589"/>
      <c r="W14" s="590"/>
      <c r="X14" s="588"/>
      <c r="Y14" s="586" t="s">
        <v>271</v>
      </c>
      <c r="Z14" s="590"/>
      <c r="AA14" s="591">
        <v>2.25</v>
      </c>
      <c r="AB14" s="586" t="s">
        <v>11</v>
      </c>
      <c r="AC14" s="590"/>
      <c r="AD14" s="587">
        <v>0.5</v>
      </c>
      <c r="AE14" s="586" t="s">
        <v>261</v>
      </c>
      <c r="AF14" s="590"/>
      <c r="AG14" s="585">
        <v>2.75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82</v>
      </c>
      <c r="C15" s="580">
        <f t="shared" si="1"/>
        <v>16</v>
      </c>
      <c r="D15" s="603">
        <f t="shared" si="2"/>
        <v>1</v>
      </c>
      <c r="E15" s="604">
        <f t="shared" si="3"/>
        <v>2.5</v>
      </c>
      <c r="F15" s="605">
        <f t="shared" si="4"/>
        <v>13.5</v>
      </c>
      <c r="G15" s="606" t="s">
        <v>265</v>
      </c>
      <c r="H15" s="609"/>
      <c r="I15" s="607">
        <v>3.0</v>
      </c>
      <c r="J15" s="608"/>
      <c r="K15" s="609"/>
      <c r="L15" s="610"/>
      <c r="M15" s="606" t="s">
        <v>261</v>
      </c>
      <c r="N15" s="609"/>
      <c r="O15" s="607">
        <v>2.25</v>
      </c>
      <c r="P15" s="611" t="s">
        <v>11</v>
      </c>
      <c r="Q15" s="609"/>
      <c r="R15" s="612">
        <v>0.5</v>
      </c>
      <c r="S15" s="611" t="s">
        <v>261</v>
      </c>
      <c r="T15" s="609"/>
      <c r="U15" s="607">
        <v>1.5</v>
      </c>
      <c r="V15" s="611"/>
      <c r="W15" s="609"/>
      <c r="X15" s="610"/>
      <c r="Y15" s="611" t="s">
        <v>261</v>
      </c>
      <c r="Z15" s="609"/>
      <c r="AA15" s="634">
        <v>2.25</v>
      </c>
      <c r="AB15" s="608"/>
      <c r="AC15" s="609"/>
      <c r="AD15" s="610"/>
      <c r="AE15" s="611" t="s">
        <v>269</v>
      </c>
      <c r="AF15" s="607">
        <v>2.5</v>
      </c>
      <c r="AG15" s="607">
        <v>4.0</v>
      </c>
      <c r="AH15" s="611" t="s">
        <v>260</v>
      </c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РФ</v>
      </c>
      <c r="G24" s="389">
        <v>23.75</v>
      </c>
      <c r="AK24" s="62"/>
    </row>
    <row r="25">
      <c r="A25" s="629"/>
      <c r="B25" s="629"/>
      <c r="C25" s="629"/>
      <c r="D25" s="629"/>
      <c r="F25" s="384" t="s">
        <v>93</v>
      </c>
      <c r="G25" s="389">
        <v>21.75</v>
      </c>
      <c r="AK25" s="62"/>
    </row>
    <row r="26">
      <c r="A26" s="630">
        <v>4.0</v>
      </c>
      <c r="B26" s="631" t="s">
        <v>99</v>
      </c>
      <c r="C26" s="631" t="s">
        <v>16</v>
      </c>
      <c r="D26" s="630">
        <v>-0.5</v>
      </c>
      <c r="E26" s="632"/>
      <c r="F26" s="632" t="s">
        <v>135</v>
      </c>
      <c r="G26" s="389">
        <v>21.5</v>
      </c>
      <c r="AK26" s="62"/>
    </row>
    <row r="27">
      <c r="A27" s="62"/>
      <c r="B27" s="62"/>
      <c r="C27" s="62"/>
      <c r="D27" s="62"/>
      <c r="E27" s="62"/>
      <c r="F27" s="62" t="s">
        <v>100</v>
      </c>
      <c r="G27" s="389">
        <v>20.75</v>
      </c>
      <c r="AK27" s="62"/>
    </row>
    <row r="28">
      <c r="A28" s="62"/>
      <c r="B28" s="62"/>
      <c r="C28" s="62"/>
      <c r="D28" s="62"/>
      <c r="E28" s="62"/>
      <c r="F28" s="62" t="s">
        <v>91</v>
      </c>
      <c r="G28" s="389">
        <v>18.0</v>
      </c>
      <c r="AK28" s="62"/>
    </row>
    <row r="29">
      <c r="A29" s="62"/>
      <c r="B29" s="62"/>
      <c r="C29" s="62"/>
      <c r="D29" s="62"/>
      <c r="E29" s="62"/>
      <c r="F29" s="62" t="s">
        <v>126</v>
      </c>
      <c r="G29" s="389">
        <v>16.5</v>
      </c>
      <c r="AK29" s="62"/>
    </row>
    <row r="30">
      <c r="A30" s="62"/>
      <c r="B30" s="62"/>
      <c r="C30" s="62"/>
      <c r="D30" s="62"/>
      <c r="E30" s="62"/>
      <c r="F30" s="62" t="s">
        <v>99</v>
      </c>
      <c r="G30" s="389">
        <v>16.25</v>
      </c>
      <c r="AK30" s="62"/>
    </row>
    <row r="31">
      <c r="A31" s="62"/>
      <c r="B31" s="62"/>
      <c r="C31" s="62"/>
      <c r="D31" s="62"/>
      <c r="E31" s="62"/>
      <c r="F31" s="62" t="s">
        <v>128</v>
      </c>
      <c r="G31" s="389">
        <v>16.0</v>
      </c>
      <c r="AK31" s="62"/>
    </row>
    <row r="32">
      <c r="A32" s="62"/>
      <c r="B32" s="62"/>
      <c r="C32" s="62"/>
      <c r="D32" s="62"/>
      <c r="E32" s="62"/>
      <c r="F32" s="62" t="s">
        <v>82</v>
      </c>
      <c r="G32" s="389">
        <v>16.0</v>
      </c>
      <c r="AK32" s="62"/>
    </row>
    <row r="33">
      <c r="A33" s="62"/>
      <c r="B33" s="62"/>
      <c r="C33" s="62"/>
      <c r="D33" s="62"/>
      <c r="E33" s="62"/>
      <c r="F33" s="62" t="s">
        <v>129</v>
      </c>
      <c r="G33" s="389">
        <v>10.0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5" width="8.88"/>
    <col customWidth="1" min="6" max="6" width="7.75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419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107</v>
      </c>
      <c r="C6" s="580">
        <f t="shared" ref="C6:C15" si="1">SUM(H6:AK6)</f>
        <v>15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12.5</v>
      </c>
      <c r="G6" s="584" t="s">
        <v>261</v>
      </c>
      <c r="H6" s="598"/>
      <c r="I6" s="585">
        <v>1.75</v>
      </c>
      <c r="J6" s="586"/>
      <c r="K6" s="590"/>
      <c r="L6" s="588"/>
      <c r="M6" s="584" t="s">
        <v>261</v>
      </c>
      <c r="N6" s="597">
        <v>2.5</v>
      </c>
      <c r="O6" s="585">
        <v>3.25</v>
      </c>
      <c r="P6" s="586" t="s">
        <v>11</v>
      </c>
      <c r="Q6" s="590"/>
      <c r="R6" s="587">
        <v>0.5</v>
      </c>
      <c r="S6" s="586" t="s">
        <v>261</v>
      </c>
      <c r="T6" s="598"/>
      <c r="U6" s="585">
        <v>3.75</v>
      </c>
      <c r="V6" s="586"/>
      <c r="W6" s="590"/>
      <c r="X6" s="588"/>
      <c r="Y6" s="586" t="s">
        <v>261</v>
      </c>
      <c r="Z6" s="598"/>
      <c r="AA6" s="591">
        <v>1.0</v>
      </c>
      <c r="AB6" s="589"/>
      <c r="AC6" s="590"/>
      <c r="AD6" s="588"/>
      <c r="AE6" s="586" t="s">
        <v>265</v>
      </c>
      <c r="AF6" s="598"/>
      <c r="AG6" s="585">
        <v>2.25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105</v>
      </c>
      <c r="C7" s="580">
        <f t="shared" si="1"/>
        <v>21</v>
      </c>
      <c r="D7" s="594">
        <f t="shared" si="2"/>
        <v>3</v>
      </c>
      <c r="E7" s="595">
        <f t="shared" si="3"/>
        <v>7.5</v>
      </c>
      <c r="F7" s="596">
        <f t="shared" si="4"/>
        <v>13.5</v>
      </c>
      <c r="G7" s="584" t="s">
        <v>269</v>
      </c>
      <c r="H7" s="597">
        <v>2.5</v>
      </c>
      <c r="I7" s="585">
        <v>3.5</v>
      </c>
      <c r="J7" s="586"/>
      <c r="K7" s="590"/>
      <c r="L7" s="588"/>
      <c r="M7" s="584" t="s">
        <v>261</v>
      </c>
      <c r="N7" s="597">
        <v>2.5</v>
      </c>
      <c r="O7" s="585">
        <v>3.75</v>
      </c>
      <c r="P7" s="589"/>
      <c r="Q7" s="590"/>
      <c r="R7" s="588"/>
      <c r="S7" s="586" t="s">
        <v>261</v>
      </c>
      <c r="T7" s="598"/>
      <c r="U7" s="585">
        <v>1.75</v>
      </c>
      <c r="V7" s="586"/>
      <c r="W7" s="590"/>
      <c r="X7" s="588"/>
      <c r="Y7" s="586" t="s">
        <v>261</v>
      </c>
      <c r="Z7" s="598"/>
      <c r="AA7" s="591">
        <v>1.5</v>
      </c>
      <c r="AB7" s="586"/>
      <c r="AC7" s="585"/>
      <c r="AD7" s="587"/>
      <c r="AE7" s="586" t="s">
        <v>261</v>
      </c>
      <c r="AF7" s="597">
        <v>2.5</v>
      </c>
      <c r="AG7" s="585">
        <v>2.5</v>
      </c>
      <c r="AH7" s="586" t="s">
        <v>11</v>
      </c>
      <c r="AI7" s="590"/>
      <c r="AJ7" s="587">
        <v>0.5</v>
      </c>
      <c r="AK7" s="588"/>
      <c r="AL7" s="593"/>
    </row>
    <row r="8">
      <c r="A8" s="578">
        <v>3.0</v>
      </c>
      <c r="B8" s="579" t="s">
        <v>120</v>
      </c>
      <c r="C8" s="580">
        <f t="shared" si="1"/>
        <v>13.75</v>
      </c>
      <c r="D8" s="594">
        <f t="shared" si="2"/>
        <v>1</v>
      </c>
      <c r="E8" s="595">
        <f t="shared" si="3"/>
        <v>2.5</v>
      </c>
      <c r="F8" s="596">
        <f t="shared" si="4"/>
        <v>11.25</v>
      </c>
      <c r="G8" s="584" t="s">
        <v>261</v>
      </c>
      <c r="H8" s="590"/>
      <c r="I8" s="585">
        <v>1.5</v>
      </c>
      <c r="J8" s="589"/>
      <c r="K8" s="590"/>
      <c r="L8" s="588"/>
      <c r="M8" s="584" t="s">
        <v>265</v>
      </c>
      <c r="N8" s="590"/>
      <c r="O8" s="585">
        <v>2.5</v>
      </c>
      <c r="P8" s="589"/>
      <c r="Q8" s="590"/>
      <c r="R8" s="588"/>
      <c r="S8" s="586" t="s">
        <v>261</v>
      </c>
      <c r="T8" s="590"/>
      <c r="U8" s="585">
        <v>1.75</v>
      </c>
      <c r="V8" s="586"/>
      <c r="W8" s="590"/>
      <c r="X8" s="587"/>
      <c r="Y8" s="586" t="s">
        <v>261</v>
      </c>
      <c r="Z8" s="590"/>
      <c r="AA8" s="585">
        <v>2.0</v>
      </c>
      <c r="AB8" s="589"/>
      <c r="AC8" s="590"/>
      <c r="AD8" s="588"/>
      <c r="AE8" s="586" t="s">
        <v>261</v>
      </c>
      <c r="AF8" s="585">
        <v>2.5</v>
      </c>
      <c r="AG8" s="585">
        <v>3.5</v>
      </c>
      <c r="AH8" s="589"/>
      <c r="AI8" s="590"/>
      <c r="AJ8" s="588"/>
      <c r="AK8" s="588"/>
      <c r="AL8" s="593"/>
    </row>
    <row r="9">
      <c r="A9" s="578">
        <v>4.0</v>
      </c>
      <c r="B9" s="579" t="s">
        <v>135</v>
      </c>
      <c r="C9" s="580">
        <f t="shared" si="1"/>
        <v>17.5</v>
      </c>
      <c r="D9" s="594">
        <f t="shared" si="2"/>
        <v>2</v>
      </c>
      <c r="E9" s="595">
        <f t="shared" si="3"/>
        <v>5</v>
      </c>
      <c r="F9" s="596">
        <f t="shared" si="4"/>
        <v>12.5</v>
      </c>
      <c r="G9" s="584" t="s">
        <v>261</v>
      </c>
      <c r="H9" s="590"/>
      <c r="I9" s="585">
        <v>1.75</v>
      </c>
      <c r="J9" s="586"/>
      <c r="K9" s="590"/>
      <c r="L9" s="588"/>
      <c r="M9" s="584" t="s">
        <v>261</v>
      </c>
      <c r="N9" s="585">
        <v>2.5</v>
      </c>
      <c r="O9" s="585">
        <v>2.75</v>
      </c>
      <c r="P9" s="586"/>
      <c r="Q9" s="590"/>
      <c r="R9" s="588"/>
      <c r="S9" s="586" t="s">
        <v>269</v>
      </c>
      <c r="T9" s="585">
        <v>2.5</v>
      </c>
      <c r="U9" s="585">
        <v>3.75</v>
      </c>
      <c r="V9" s="586"/>
      <c r="W9" s="590"/>
      <c r="X9" s="588"/>
      <c r="Y9" s="586" t="s">
        <v>261</v>
      </c>
      <c r="Z9" s="590"/>
      <c r="AA9" s="591">
        <v>2.0</v>
      </c>
      <c r="AB9" s="589"/>
      <c r="AC9" s="590"/>
      <c r="AD9" s="588"/>
      <c r="AE9" s="586" t="s">
        <v>269</v>
      </c>
      <c r="AF9" s="590"/>
      <c r="AG9" s="585">
        <v>2.25</v>
      </c>
      <c r="AH9" s="589"/>
      <c r="AI9" s="590"/>
      <c r="AJ9" s="588"/>
      <c r="AK9" s="599"/>
      <c r="AL9" s="593"/>
    </row>
    <row r="10">
      <c r="A10" s="578">
        <v>5.0</v>
      </c>
      <c r="B10" s="579" t="s">
        <v>97</v>
      </c>
      <c r="C10" s="580">
        <f t="shared" si="1"/>
        <v>29.5</v>
      </c>
      <c r="D10" s="594">
        <f t="shared" si="2"/>
        <v>5</v>
      </c>
      <c r="E10" s="595">
        <f t="shared" si="3"/>
        <v>12.5</v>
      </c>
      <c r="F10" s="596">
        <f t="shared" si="4"/>
        <v>17</v>
      </c>
      <c r="G10" s="584" t="s">
        <v>269</v>
      </c>
      <c r="H10" s="585">
        <v>2.5</v>
      </c>
      <c r="I10" s="585">
        <v>3.0</v>
      </c>
      <c r="J10" s="589"/>
      <c r="K10" s="590"/>
      <c r="L10" s="588"/>
      <c r="M10" s="584" t="s">
        <v>271</v>
      </c>
      <c r="N10" s="585">
        <v>2.5</v>
      </c>
      <c r="O10" s="585">
        <v>3.5</v>
      </c>
      <c r="P10" s="586"/>
      <c r="Q10" s="590"/>
      <c r="R10" s="587"/>
      <c r="S10" s="586" t="s">
        <v>269</v>
      </c>
      <c r="T10" s="585">
        <v>2.5</v>
      </c>
      <c r="U10" s="585">
        <v>3.25</v>
      </c>
      <c r="V10" s="586"/>
      <c r="W10" s="590"/>
      <c r="X10" s="588"/>
      <c r="Y10" s="586" t="s">
        <v>269</v>
      </c>
      <c r="Z10" s="585">
        <v>2.5</v>
      </c>
      <c r="AA10" s="591">
        <v>3.25</v>
      </c>
      <c r="AB10" s="586"/>
      <c r="AC10" s="590"/>
      <c r="AD10" s="587"/>
      <c r="AE10" s="586" t="s">
        <v>261</v>
      </c>
      <c r="AF10" s="585">
        <v>2.5</v>
      </c>
      <c r="AG10" s="585">
        <v>4.0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100</v>
      </c>
      <c r="C11" s="580">
        <f t="shared" si="1"/>
        <v>20</v>
      </c>
      <c r="D11" s="594">
        <f t="shared" si="2"/>
        <v>2</v>
      </c>
      <c r="E11" s="595">
        <f t="shared" si="3"/>
        <v>5</v>
      </c>
      <c r="F11" s="596">
        <f t="shared" si="4"/>
        <v>15</v>
      </c>
      <c r="G11" s="584" t="s">
        <v>271</v>
      </c>
      <c r="H11" s="590"/>
      <c r="I11" s="585">
        <v>1.5</v>
      </c>
      <c r="J11" s="586"/>
      <c r="K11" s="590"/>
      <c r="L11" s="588"/>
      <c r="M11" s="584" t="s">
        <v>269</v>
      </c>
      <c r="N11" s="590"/>
      <c r="O11" s="585">
        <v>2.5</v>
      </c>
      <c r="P11" s="586"/>
      <c r="Q11" s="585"/>
      <c r="R11" s="587"/>
      <c r="S11" s="586" t="s">
        <v>261</v>
      </c>
      <c r="T11" s="590"/>
      <c r="U11" s="585">
        <v>3.25</v>
      </c>
      <c r="V11" s="589"/>
      <c r="W11" s="585" t="s">
        <v>285</v>
      </c>
      <c r="X11" s="588"/>
      <c r="Y11" s="586" t="s">
        <v>269</v>
      </c>
      <c r="Z11" s="585">
        <v>2.5</v>
      </c>
      <c r="AA11" s="591">
        <v>3.75</v>
      </c>
      <c r="AB11" s="589"/>
      <c r="AC11" s="590"/>
      <c r="AD11" s="588"/>
      <c r="AE11" s="586" t="s">
        <v>261</v>
      </c>
      <c r="AF11" s="585">
        <v>2.5</v>
      </c>
      <c r="AG11" s="585">
        <v>4.0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90</v>
      </c>
      <c r="C12" s="580">
        <f t="shared" si="1"/>
        <v>18.75</v>
      </c>
      <c r="D12" s="594">
        <f t="shared" si="2"/>
        <v>2</v>
      </c>
      <c r="E12" s="595">
        <f t="shared" si="3"/>
        <v>5</v>
      </c>
      <c r="F12" s="596">
        <f t="shared" si="4"/>
        <v>13.75</v>
      </c>
      <c r="G12" s="584" t="s">
        <v>261</v>
      </c>
      <c r="H12" s="590"/>
      <c r="I12" s="585">
        <v>2.0</v>
      </c>
      <c r="J12" s="586"/>
      <c r="K12" s="590"/>
      <c r="L12" s="588"/>
      <c r="M12" s="584" t="s">
        <v>261</v>
      </c>
      <c r="N12" s="585">
        <v>2.5</v>
      </c>
      <c r="O12" s="585">
        <v>3.5</v>
      </c>
      <c r="P12" s="589"/>
      <c r="Q12" s="590"/>
      <c r="R12" s="588"/>
      <c r="S12" s="586" t="s">
        <v>261</v>
      </c>
      <c r="T12" s="590"/>
      <c r="U12" s="585">
        <v>1.5</v>
      </c>
      <c r="V12" s="586"/>
      <c r="W12" s="590"/>
      <c r="X12" s="587"/>
      <c r="Y12" s="586" t="s">
        <v>261</v>
      </c>
      <c r="Z12" s="590"/>
      <c r="AA12" s="585">
        <v>2.0</v>
      </c>
      <c r="AB12" s="589"/>
      <c r="AC12" s="590"/>
      <c r="AD12" s="587">
        <v>0.5</v>
      </c>
      <c r="AE12" s="586" t="s">
        <v>261</v>
      </c>
      <c r="AF12" s="585">
        <v>2.5</v>
      </c>
      <c r="AG12" s="585">
        <v>4.25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137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261</v>
      </c>
      <c r="H13" s="598"/>
      <c r="I13" s="585">
        <v>2.0</v>
      </c>
      <c r="J13" s="586"/>
      <c r="K13" s="585"/>
      <c r="L13" s="588"/>
      <c r="M13" s="584" t="s">
        <v>261</v>
      </c>
      <c r="N13" s="597">
        <v>2.5</v>
      </c>
      <c r="O13" s="585">
        <v>2.25</v>
      </c>
      <c r="P13" s="589"/>
      <c r="Q13" s="585" t="s">
        <v>283</v>
      </c>
      <c r="R13" s="588"/>
      <c r="S13" s="586" t="s">
        <v>261</v>
      </c>
      <c r="T13" s="598"/>
      <c r="U13" s="585">
        <v>2.5</v>
      </c>
      <c r="V13" s="586"/>
      <c r="W13" s="590"/>
      <c r="X13" s="588"/>
      <c r="Y13" s="586" t="s">
        <v>261</v>
      </c>
      <c r="Z13" s="598"/>
      <c r="AA13" s="591">
        <v>2.0</v>
      </c>
      <c r="AB13" s="589"/>
      <c r="AC13" s="590"/>
      <c r="AD13" s="588"/>
      <c r="AE13" s="586" t="s">
        <v>261</v>
      </c>
      <c r="AF13" s="597">
        <v>2.5</v>
      </c>
      <c r="AG13" s="585">
        <v>3.75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93</v>
      </c>
      <c r="C14" s="580">
        <f t="shared" si="1"/>
        <v>20.25</v>
      </c>
      <c r="D14" s="594">
        <f t="shared" si="2"/>
        <v>2</v>
      </c>
      <c r="E14" s="595">
        <f t="shared" si="3"/>
        <v>5</v>
      </c>
      <c r="F14" s="596">
        <f t="shared" si="4"/>
        <v>15.25</v>
      </c>
      <c r="G14" s="584" t="s">
        <v>261</v>
      </c>
      <c r="H14" s="590"/>
      <c r="I14" s="585">
        <v>1.75</v>
      </c>
      <c r="J14" s="586"/>
      <c r="K14" s="585"/>
      <c r="L14" s="587"/>
      <c r="M14" s="584" t="s">
        <v>261</v>
      </c>
      <c r="N14" s="585">
        <v>2.5</v>
      </c>
      <c r="O14" s="585">
        <v>3.75</v>
      </c>
      <c r="P14" s="586"/>
      <c r="Q14" s="585"/>
      <c r="R14" s="588"/>
      <c r="S14" s="586" t="s">
        <v>271</v>
      </c>
      <c r="T14" s="590"/>
      <c r="U14" s="585">
        <v>2.5</v>
      </c>
      <c r="V14" s="586" t="s">
        <v>11</v>
      </c>
      <c r="W14" s="590"/>
      <c r="X14" s="587">
        <v>0.5</v>
      </c>
      <c r="Y14" s="586" t="s">
        <v>265</v>
      </c>
      <c r="Z14" s="585">
        <v>2.5</v>
      </c>
      <c r="AA14" s="591">
        <v>4.5</v>
      </c>
      <c r="AB14" s="589"/>
      <c r="AC14" s="590"/>
      <c r="AD14" s="588"/>
      <c r="AE14" s="586" t="s">
        <v>269</v>
      </c>
      <c r="AF14" s="590"/>
      <c r="AG14" s="585">
        <v>2.25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134</v>
      </c>
      <c r="C15" s="580">
        <f t="shared" si="1"/>
        <v>19.25</v>
      </c>
      <c r="D15" s="603">
        <f t="shared" si="2"/>
        <v>3</v>
      </c>
      <c r="E15" s="604">
        <f t="shared" si="3"/>
        <v>7.5</v>
      </c>
      <c r="F15" s="605">
        <f t="shared" si="4"/>
        <v>11.75</v>
      </c>
      <c r="G15" s="606" t="s">
        <v>265</v>
      </c>
      <c r="H15" s="607">
        <v>2.5</v>
      </c>
      <c r="I15" s="607">
        <v>3.0</v>
      </c>
      <c r="J15" s="608"/>
      <c r="K15" s="609"/>
      <c r="L15" s="610"/>
      <c r="M15" s="606" t="s">
        <v>269</v>
      </c>
      <c r="N15" s="609"/>
      <c r="O15" s="613">
        <v>1.0</v>
      </c>
      <c r="P15" s="608"/>
      <c r="Q15" s="609"/>
      <c r="R15" s="610"/>
      <c r="S15" s="611" t="s">
        <v>265</v>
      </c>
      <c r="T15" s="607">
        <v>2.5</v>
      </c>
      <c r="U15" s="607">
        <v>3.75</v>
      </c>
      <c r="V15" s="611"/>
      <c r="W15" s="609"/>
      <c r="X15" s="610"/>
      <c r="Y15" s="611" t="s">
        <v>271</v>
      </c>
      <c r="Z15" s="609"/>
      <c r="AA15" s="634">
        <v>1.75</v>
      </c>
      <c r="AB15" s="608"/>
      <c r="AC15" s="609"/>
      <c r="AD15" s="610"/>
      <c r="AE15" s="611" t="s">
        <v>271</v>
      </c>
      <c r="AF15" s="607">
        <v>2.5</v>
      </c>
      <c r="AG15" s="613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Маваши</v>
      </c>
      <c r="G24" s="389">
        <v>29.5</v>
      </c>
      <c r="AK24" s="62"/>
    </row>
    <row r="25">
      <c r="A25" s="629"/>
      <c r="B25" s="629"/>
      <c r="C25" s="629"/>
      <c r="D25" s="629"/>
      <c r="F25" s="384" t="s">
        <v>105</v>
      </c>
      <c r="G25" s="389">
        <v>21.0</v>
      </c>
      <c r="AK25" s="62"/>
    </row>
    <row r="26">
      <c r="A26" s="632"/>
      <c r="B26" s="631" t="s">
        <v>134</v>
      </c>
      <c r="C26" s="631" t="s">
        <v>16</v>
      </c>
      <c r="D26" s="630">
        <v>-0.5</v>
      </c>
      <c r="E26" s="632"/>
      <c r="F26" s="632" t="s">
        <v>93</v>
      </c>
      <c r="G26" s="389">
        <v>20.25</v>
      </c>
      <c r="AK26" s="62"/>
    </row>
    <row r="27">
      <c r="A27" s="62"/>
      <c r="B27" s="631" t="s">
        <v>134</v>
      </c>
      <c r="C27" s="631" t="s">
        <v>292</v>
      </c>
      <c r="D27" s="631">
        <v>-1.0</v>
      </c>
      <c r="E27" s="62"/>
      <c r="F27" s="62" t="s">
        <v>100</v>
      </c>
      <c r="G27" s="389">
        <v>20.0</v>
      </c>
      <c r="AK27" s="62"/>
    </row>
    <row r="28">
      <c r="A28" s="62"/>
      <c r="B28" s="62"/>
      <c r="C28" s="62"/>
      <c r="D28" s="62"/>
      <c r="E28" s="62"/>
      <c r="F28" s="62" t="s">
        <v>134</v>
      </c>
      <c r="G28" s="389">
        <v>19.25</v>
      </c>
      <c r="AK28" s="62"/>
    </row>
    <row r="29">
      <c r="A29" s="62"/>
      <c r="B29" s="62"/>
      <c r="C29" s="62"/>
      <c r="D29" s="62"/>
      <c r="E29" s="62"/>
      <c r="F29" s="62" t="s">
        <v>90</v>
      </c>
      <c r="G29" s="389">
        <v>18.75</v>
      </c>
      <c r="AK29" s="62"/>
    </row>
    <row r="30">
      <c r="A30" s="62"/>
      <c r="B30" s="62"/>
      <c r="C30" s="62"/>
      <c r="D30" s="62"/>
      <c r="E30" s="62"/>
      <c r="F30" s="62" t="s">
        <v>135</v>
      </c>
      <c r="G30" s="389">
        <v>17.5</v>
      </c>
      <c r="AK30" s="62"/>
    </row>
    <row r="31">
      <c r="A31" s="62"/>
      <c r="B31" s="62"/>
      <c r="C31" s="62"/>
      <c r="D31" s="62"/>
      <c r="E31" s="62"/>
      <c r="F31" s="62" t="s">
        <v>137</v>
      </c>
      <c r="G31" s="389">
        <v>17.5</v>
      </c>
      <c r="AK31" s="62"/>
    </row>
    <row r="32">
      <c r="A32" s="62"/>
      <c r="B32" s="62"/>
      <c r="C32" s="62"/>
      <c r="D32" s="62"/>
      <c r="E32" s="62"/>
      <c r="F32" s="62" t="s">
        <v>107</v>
      </c>
      <c r="G32" s="389">
        <v>15.0</v>
      </c>
      <c r="AK32" s="62"/>
    </row>
    <row r="33">
      <c r="A33" s="62"/>
      <c r="B33" s="62"/>
      <c r="C33" s="62"/>
      <c r="D33" s="62"/>
      <c r="E33" s="62"/>
      <c r="F33" s="62" t="s">
        <v>120</v>
      </c>
      <c r="G33" s="389">
        <v>13.75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79</v>
      </c>
      <c r="C6" s="580">
        <f t="shared" ref="C6:C15" si="1">SUM(H6:AK6)</f>
        <v>16.5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11.5</v>
      </c>
      <c r="G6" s="584" t="s">
        <v>261</v>
      </c>
      <c r="H6" s="597">
        <v>2.5</v>
      </c>
      <c r="I6" s="585">
        <v>3.0</v>
      </c>
      <c r="J6" s="586"/>
      <c r="K6" s="590"/>
      <c r="L6" s="588"/>
      <c r="M6" s="584" t="s">
        <v>261</v>
      </c>
      <c r="N6" s="598"/>
      <c r="O6" s="585">
        <v>1.5</v>
      </c>
      <c r="P6" s="589"/>
      <c r="Q6" s="590"/>
      <c r="R6" s="588"/>
      <c r="S6" s="586" t="s">
        <v>261</v>
      </c>
      <c r="T6" s="598"/>
      <c r="U6" s="600">
        <v>3.25</v>
      </c>
      <c r="V6" s="586"/>
      <c r="W6" s="590"/>
      <c r="X6" s="588"/>
      <c r="Y6" s="586" t="s">
        <v>261</v>
      </c>
      <c r="Z6" s="598"/>
      <c r="AA6" s="637">
        <v>0.5</v>
      </c>
      <c r="AB6" s="589"/>
      <c r="AC6" s="590"/>
      <c r="AD6" s="588"/>
      <c r="AE6" s="586" t="s">
        <v>261</v>
      </c>
      <c r="AF6" s="597">
        <v>2.5</v>
      </c>
      <c r="AG6" s="585">
        <v>3.25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132</v>
      </c>
      <c r="C7" s="580">
        <f t="shared" si="1"/>
        <v>16.75</v>
      </c>
      <c r="D7" s="594">
        <f t="shared" si="2"/>
        <v>1</v>
      </c>
      <c r="E7" s="595">
        <f t="shared" si="3"/>
        <v>2.5</v>
      </c>
      <c r="F7" s="596">
        <f t="shared" si="4"/>
        <v>14.25</v>
      </c>
      <c r="G7" s="584" t="s">
        <v>271</v>
      </c>
      <c r="H7" s="597">
        <v>2.5</v>
      </c>
      <c r="I7" s="585">
        <v>4.25</v>
      </c>
      <c r="J7" s="586" t="s">
        <v>260</v>
      </c>
      <c r="K7" s="590"/>
      <c r="L7" s="588"/>
      <c r="M7" s="584" t="s">
        <v>261</v>
      </c>
      <c r="N7" s="598"/>
      <c r="O7" s="585">
        <v>2.5</v>
      </c>
      <c r="P7" s="586" t="s">
        <v>11</v>
      </c>
      <c r="Q7" s="590"/>
      <c r="R7" s="587">
        <v>0.5</v>
      </c>
      <c r="S7" s="586" t="s">
        <v>261</v>
      </c>
      <c r="T7" s="598"/>
      <c r="U7" s="585">
        <v>1.5</v>
      </c>
      <c r="V7" s="586"/>
      <c r="W7" s="590"/>
      <c r="X7" s="588"/>
      <c r="Y7" s="586" t="s">
        <v>271</v>
      </c>
      <c r="Z7" s="598"/>
      <c r="AA7" s="591">
        <v>2.5</v>
      </c>
      <c r="AB7" s="586"/>
      <c r="AC7" s="585"/>
      <c r="AD7" s="587"/>
      <c r="AE7" s="586" t="s">
        <v>269</v>
      </c>
      <c r="AF7" s="598"/>
      <c r="AG7" s="585">
        <v>3.0</v>
      </c>
      <c r="AH7" s="586"/>
      <c r="AI7" s="590"/>
      <c r="AJ7" s="587"/>
      <c r="AK7" s="588"/>
      <c r="AL7" s="593"/>
    </row>
    <row r="8">
      <c r="A8" s="578">
        <v>3.0</v>
      </c>
      <c r="B8" s="579" t="s">
        <v>93</v>
      </c>
      <c r="C8" s="580">
        <f t="shared" si="1"/>
        <v>29.5</v>
      </c>
      <c r="D8" s="594">
        <f t="shared" si="2"/>
        <v>4</v>
      </c>
      <c r="E8" s="595">
        <f t="shared" si="3"/>
        <v>10</v>
      </c>
      <c r="F8" s="596">
        <f t="shared" si="4"/>
        <v>19.5</v>
      </c>
      <c r="G8" s="584" t="s">
        <v>261</v>
      </c>
      <c r="H8" s="585">
        <v>2.5</v>
      </c>
      <c r="I8" s="585">
        <v>4.25</v>
      </c>
      <c r="J8" s="589"/>
      <c r="K8" s="590"/>
      <c r="L8" s="588"/>
      <c r="M8" s="584" t="s">
        <v>261</v>
      </c>
      <c r="N8" s="590"/>
      <c r="O8" s="585">
        <v>3.5</v>
      </c>
      <c r="P8" s="589"/>
      <c r="Q8" s="590"/>
      <c r="R8" s="588"/>
      <c r="S8" s="586" t="s">
        <v>265</v>
      </c>
      <c r="T8" s="585">
        <v>2.5</v>
      </c>
      <c r="U8" s="585">
        <v>4.0</v>
      </c>
      <c r="V8" s="586"/>
      <c r="W8" s="590"/>
      <c r="X8" s="587"/>
      <c r="Y8" s="586" t="s">
        <v>269</v>
      </c>
      <c r="Z8" s="585">
        <v>2.5</v>
      </c>
      <c r="AA8" s="585">
        <v>3.5</v>
      </c>
      <c r="AB8" s="589"/>
      <c r="AC8" s="590"/>
      <c r="AD8" s="588"/>
      <c r="AE8" s="586" t="s">
        <v>271</v>
      </c>
      <c r="AF8" s="585">
        <v>2.5</v>
      </c>
      <c r="AG8" s="585">
        <v>3.25</v>
      </c>
      <c r="AH8" s="586" t="s">
        <v>11</v>
      </c>
      <c r="AI8" s="585">
        <v>0.5</v>
      </c>
      <c r="AJ8" s="587">
        <v>0.5</v>
      </c>
      <c r="AK8" s="588"/>
      <c r="AL8" s="593"/>
    </row>
    <row r="9">
      <c r="A9" s="578">
        <v>4.0</v>
      </c>
      <c r="B9" s="579" t="s">
        <v>90</v>
      </c>
      <c r="C9" s="580">
        <f t="shared" si="1"/>
        <v>25.25</v>
      </c>
      <c r="D9" s="594">
        <f t="shared" si="2"/>
        <v>4</v>
      </c>
      <c r="E9" s="595">
        <f t="shared" si="3"/>
        <v>10</v>
      </c>
      <c r="F9" s="596">
        <f t="shared" si="4"/>
        <v>15.25</v>
      </c>
      <c r="G9" s="584" t="s">
        <v>261</v>
      </c>
      <c r="H9" s="585">
        <v>2.5</v>
      </c>
      <c r="I9" s="585">
        <v>3.25</v>
      </c>
      <c r="J9" s="586" t="s">
        <v>11</v>
      </c>
      <c r="K9" s="585">
        <v>0.5</v>
      </c>
      <c r="L9" s="587">
        <v>0.5</v>
      </c>
      <c r="M9" s="584" t="s">
        <v>265</v>
      </c>
      <c r="N9" s="585">
        <v>2.5</v>
      </c>
      <c r="O9" s="585">
        <v>2.0</v>
      </c>
      <c r="P9" s="586"/>
      <c r="Q9" s="590"/>
      <c r="R9" s="588"/>
      <c r="S9" s="586" t="s">
        <v>269</v>
      </c>
      <c r="T9" s="585">
        <v>2.5</v>
      </c>
      <c r="U9" s="585">
        <v>4.25</v>
      </c>
      <c r="V9" s="586"/>
      <c r="W9" s="590"/>
      <c r="X9" s="588"/>
      <c r="Y9" s="586" t="s">
        <v>261</v>
      </c>
      <c r="Z9" s="590"/>
      <c r="AA9" s="591">
        <v>1.75</v>
      </c>
      <c r="AB9" s="589"/>
      <c r="AC9" s="590"/>
      <c r="AD9" s="588"/>
      <c r="AE9" s="586" t="s">
        <v>261</v>
      </c>
      <c r="AF9" s="585">
        <v>2.5</v>
      </c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107</v>
      </c>
      <c r="C10" s="580">
        <f t="shared" si="1"/>
        <v>21.5</v>
      </c>
      <c r="D10" s="594">
        <f t="shared" si="2"/>
        <v>2</v>
      </c>
      <c r="E10" s="595">
        <f t="shared" si="3"/>
        <v>5</v>
      </c>
      <c r="F10" s="596">
        <f t="shared" si="4"/>
        <v>16.5</v>
      </c>
      <c r="G10" s="584" t="s">
        <v>269</v>
      </c>
      <c r="H10" s="590"/>
      <c r="I10" s="585">
        <v>2.5</v>
      </c>
      <c r="J10" s="586" t="s">
        <v>263</v>
      </c>
      <c r="K10" s="590"/>
      <c r="L10" s="588"/>
      <c r="M10" s="584" t="s">
        <v>271</v>
      </c>
      <c r="N10" s="590"/>
      <c r="O10" s="585">
        <v>3.0</v>
      </c>
      <c r="P10" s="586"/>
      <c r="Q10" s="590"/>
      <c r="R10" s="587"/>
      <c r="S10" s="586" t="s">
        <v>261</v>
      </c>
      <c r="T10" s="590"/>
      <c r="U10" s="585">
        <v>2.75</v>
      </c>
      <c r="V10" s="586" t="s">
        <v>11</v>
      </c>
      <c r="W10" s="585">
        <v>0.5</v>
      </c>
      <c r="X10" s="587">
        <v>0.5</v>
      </c>
      <c r="Y10" s="586" t="s">
        <v>269</v>
      </c>
      <c r="Z10" s="585">
        <v>2.5</v>
      </c>
      <c r="AA10" s="591">
        <v>3.75</v>
      </c>
      <c r="AB10" s="586"/>
      <c r="AC10" s="590"/>
      <c r="AD10" s="587"/>
      <c r="AE10" s="586" t="s">
        <v>261</v>
      </c>
      <c r="AF10" s="585">
        <v>2.5</v>
      </c>
      <c r="AG10" s="585">
        <v>3.5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136</v>
      </c>
      <c r="C11" s="580">
        <f t="shared" si="1"/>
        <v>19.75</v>
      </c>
      <c r="D11" s="594">
        <f t="shared" si="2"/>
        <v>2</v>
      </c>
      <c r="E11" s="595">
        <f t="shared" si="3"/>
        <v>5</v>
      </c>
      <c r="F11" s="596">
        <f t="shared" si="4"/>
        <v>14.75</v>
      </c>
      <c r="G11" s="584" t="s">
        <v>261</v>
      </c>
      <c r="H11" s="585">
        <v>2.5</v>
      </c>
      <c r="I11" s="585">
        <v>3.5</v>
      </c>
      <c r="J11" s="586"/>
      <c r="K11" s="590"/>
      <c r="L11" s="588"/>
      <c r="M11" s="584" t="s">
        <v>269</v>
      </c>
      <c r="N11" s="585">
        <v>2.5</v>
      </c>
      <c r="O11" s="585">
        <v>4.5</v>
      </c>
      <c r="P11" s="586"/>
      <c r="Q11" s="585"/>
      <c r="R11" s="587"/>
      <c r="S11" s="586" t="s">
        <v>261</v>
      </c>
      <c r="T11" s="590"/>
      <c r="U11" s="585">
        <v>2.25</v>
      </c>
      <c r="V11" s="589"/>
      <c r="W11" s="590"/>
      <c r="X11" s="588"/>
      <c r="Y11" s="586" t="s">
        <v>261</v>
      </c>
      <c r="Z11" s="590"/>
      <c r="AA11" s="591">
        <v>2.25</v>
      </c>
      <c r="AB11" s="586" t="s">
        <v>11</v>
      </c>
      <c r="AC11" s="590"/>
      <c r="AD11" s="587">
        <v>0.5</v>
      </c>
      <c r="AE11" s="586" t="s">
        <v>269</v>
      </c>
      <c r="AF11" s="590"/>
      <c r="AG11" s="585">
        <v>1.75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100</v>
      </c>
      <c r="C12" s="580">
        <f t="shared" si="1"/>
        <v>19.5</v>
      </c>
      <c r="D12" s="594">
        <f t="shared" si="2"/>
        <v>2</v>
      </c>
      <c r="E12" s="595">
        <f t="shared" si="3"/>
        <v>5</v>
      </c>
      <c r="F12" s="596">
        <f t="shared" si="4"/>
        <v>14.5</v>
      </c>
      <c r="G12" s="584" t="s">
        <v>269</v>
      </c>
      <c r="H12" s="590"/>
      <c r="I12" s="585">
        <v>2.0</v>
      </c>
      <c r="J12" s="586"/>
      <c r="K12" s="590"/>
      <c r="L12" s="588"/>
      <c r="M12" s="584" t="s">
        <v>261</v>
      </c>
      <c r="N12" s="590"/>
      <c r="O12" s="585">
        <v>3.25</v>
      </c>
      <c r="P12" s="589"/>
      <c r="Q12" s="590"/>
      <c r="R12" s="588"/>
      <c r="S12" s="586" t="s">
        <v>271</v>
      </c>
      <c r="T12" s="590"/>
      <c r="U12" s="585">
        <v>2.0</v>
      </c>
      <c r="V12" s="586"/>
      <c r="W12" s="590"/>
      <c r="X12" s="587"/>
      <c r="Y12" s="586" t="s">
        <v>265</v>
      </c>
      <c r="Z12" s="585">
        <v>2.5</v>
      </c>
      <c r="AA12" s="585">
        <v>4.0</v>
      </c>
      <c r="AB12" s="589"/>
      <c r="AC12" s="590"/>
      <c r="AD12" s="588"/>
      <c r="AE12" s="586" t="s">
        <v>261</v>
      </c>
      <c r="AF12" s="585">
        <v>2.5</v>
      </c>
      <c r="AG12" s="585">
        <v>3.25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122</v>
      </c>
      <c r="C13" s="580">
        <f t="shared" si="1"/>
        <v>23.5</v>
      </c>
      <c r="D13" s="594">
        <f t="shared" si="2"/>
        <v>3</v>
      </c>
      <c r="E13" s="595">
        <f t="shared" si="3"/>
        <v>7.5</v>
      </c>
      <c r="F13" s="596">
        <f t="shared" si="4"/>
        <v>16</v>
      </c>
      <c r="G13" s="584" t="s">
        <v>261</v>
      </c>
      <c r="H13" s="597">
        <v>2.5</v>
      </c>
      <c r="I13" s="585">
        <v>3.75</v>
      </c>
      <c r="J13" s="586"/>
      <c r="K13" s="585"/>
      <c r="L13" s="588"/>
      <c r="M13" s="584" t="s">
        <v>269</v>
      </c>
      <c r="N13" s="597">
        <v>2.5</v>
      </c>
      <c r="O13" s="585">
        <v>3.25</v>
      </c>
      <c r="P13" s="589"/>
      <c r="Q13" s="590"/>
      <c r="R13" s="588"/>
      <c r="S13" s="586" t="s">
        <v>261</v>
      </c>
      <c r="T13" s="598"/>
      <c r="U13" s="585">
        <v>2.5</v>
      </c>
      <c r="V13" s="586"/>
      <c r="W13" s="590"/>
      <c r="X13" s="588"/>
      <c r="Y13" s="586" t="s">
        <v>261</v>
      </c>
      <c r="Z13" s="598"/>
      <c r="AA13" s="591">
        <v>3.0</v>
      </c>
      <c r="AB13" s="589"/>
      <c r="AC13" s="590"/>
      <c r="AD13" s="588"/>
      <c r="AE13" s="586" t="s">
        <v>261</v>
      </c>
      <c r="AF13" s="597">
        <v>2.5</v>
      </c>
      <c r="AG13" s="585">
        <v>3.5</v>
      </c>
      <c r="AH13" s="586" t="s">
        <v>260</v>
      </c>
      <c r="AI13" s="590"/>
      <c r="AJ13" s="588"/>
      <c r="AK13" s="588"/>
      <c r="AL13" s="593"/>
    </row>
    <row r="14">
      <c r="A14" s="578">
        <v>9.0</v>
      </c>
      <c r="B14" s="579" t="s">
        <v>103</v>
      </c>
      <c r="C14" s="580">
        <f t="shared" si="1"/>
        <v>21.75</v>
      </c>
      <c r="D14" s="594">
        <f t="shared" si="2"/>
        <v>3</v>
      </c>
      <c r="E14" s="595">
        <f t="shared" si="3"/>
        <v>7.5</v>
      </c>
      <c r="F14" s="596">
        <f t="shared" si="4"/>
        <v>14.25</v>
      </c>
      <c r="G14" s="584" t="s">
        <v>261</v>
      </c>
      <c r="H14" s="585">
        <v>2.5</v>
      </c>
      <c r="I14" s="585">
        <v>3.0</v>
      </c>
      <c r="J14" s="586" t="s">
        <v>260</v>
      </c>
      <c r="K14" s="585"/>
      <c r="L14" s="587"/>
      <c r="M14" s="584" t="s">
        <v>261</v>
      </c>
      <c r="N14" s="590"/>
      <c r="O14" s="585">
        <v>3.5</v>
      </c>
      <c r="P14" s="586"/>
      <c r="Q14" s="585"/>
      <c r="R14" s="588"/>
      <c r="S14" s="586" t="s">
        <v>269</v>
      </c>
      <c r="T14" s="585">
        <v>2.5</v>
      </c>
      <c r="U14" s="585">
        <v>3.25</v>
      </c>
      <c r="V14" s="589"/>
      <c r="W14" s="590"/>
      <c r="X14" s="588"/>
      <c r="Y14" s="586" t="s">
        <v>261</v>
      </c>
      <c r="Z14" s="590"/>
      <c r="AA14" s="591">
        <v>1.25</v>
      </c>
      <c r="AB14" s="589"/>
      <c r="AC14" s="590"/>
      <c r="AD14" s="588"/>
      <c r="AE14" s="586" t="s">
        <v>261</v>
      </c>
      <c r="AF14" s="585">
        <v>2.5</v>
      </c>
      <c r="AG14" s="585">
        <v>3.25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98</v>
      </c>
      <c r="C15" s="580">
        <f t="shared" si="1"/>
        <v>10.25</v>
      </c>
      <c r="D15" s="603">
        <f t="shared" si="2"/>
        <v>0</v>
      </c>
      <c r="E15" s="604">
        <f t="shared" si="3"/>
        <v>0</v>
      </c>
      <c r="F15" s="605">
        <f t="shared" si="4"/>
        <v>10.25</v>
      </c>
      <c r="G15" s="606" t="s">
        <v>265</v>
      </c>
      <c r="H15" s="609"/>
      <c r="I15" s="613">
        <v>1.25</v>
      </c>
      <c r="J15" s="608"/>
      <c r="K15" s="609"/>
      <c r="L15" s="610"/>
      <c r="M15" s="606" t="s">
        <v>261</v>
      </c>
      <c r="N15" s="609"/>
      <c r="O15" s="607">
        <v>2.75</v>
      </c>
      <c r="P15" s="608"/>
      <c r="Q15" s="609"/>
      <c r="R15" s="610"/>
      <c r="S15" s="611" t="s">
        <v>261</v>
      </c>
      <c r="T15" s="609"/>
      <c r="U15" s="607">
        <v>1.75</v>
      </c>
      <c r="V15" s="611"/>
      <c r="W15" s="609"/>
      <c r="X15" s="610"/>
      <c r="Y15" s="611" t="s">
        <v>261</v>
      </c>
      <c r="Z15" s="609"/>
      <c r="AA15" s="634">
        <v>2.0</v>
      </c>
      <c r="AB15" s="608"/>
      <c r="AC15" s="609"/>
      <c r="AD15" s="610"/>
      <c r="AE15" s="611" t="s">
        <v>265</v>
      </c>
      <c r="AF15" s="609"/>
      <c r="AG15" s="607">
        <v>2.5</v>
      </c>
      <c r="AH15" s="611" t="s">
        <v>263</v>
      </c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259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Крёстный Отец (RU)</v>
      </c>
      <c r="G24" s="389">
        <v>29.5</v>
      </c>
      <c r="AK24" s="62"/>
    </row>
    <row r="25">
      <c r="A25" s="629"/>
      <c r="B25" s="629"/>
      <c r="C25" s="629"/>
      <c r="D25" s="629"/>
      <c r="F25" s="384" t="s">
        <v>90</v>
      </c>
      <c r="G25" s="389">
        <v>25.25</v>
      </c>
      <c r="AK25" s="62"/>
    </row>
    <row r="26">
      <c r="A26" s="630">
        <v>1.0</v>
      </c>
      <c r="B26" s="631" t="s">
        <v>98</v>
      </c>
      <c r="C26" s="631" t="s">
        <v>16</v>
      </c>
      <c r="D26" s="630">
        <v>-0.5</v>
      </c>
      <c r="E26" s="632"/>
      <c r="F26" s="632" t="s">
        <v>122</v>
      </c>
      <c r="G26" s="389">
        <v>23.5</v>
      </c>
      <c r="AK26" s="62"/>
    </row>
    <row r="27">
      <c r="A27" s="631">
        <v>3.0</v>
      </c>
      <c r="B27" s="631" t="s">
        <v>79</v>
      </c>
      <c r="C27" s="631" t="s">
        <v>16</v>
      </c>
      <c r="D27" s="631">
        <v>-0.5</v>
      </c>
      <c r="E27" s="62"/>
      <c r="F27" s="62" t="s">
        <v>103</v>
      </c>
      <c r="G27" s="389">
        <v>21.75</v>
      </c>
      <c r="AK27" s="62"/>
    </row>
    <row r="28">
      <c r="A28" s="631">
        <v>4.0</v>
      </c>
      <c r="B28" s="631" t="s">
        <v>79</v>
      </c>
      <c r="C28" s="631" t="s">
        <v>292</v>
      </c>
      <c r="D28" s="631">
        <v>-1.0</v>
      </c>
      <c r="E28" s="62"/>
      <c r="F28" s="62" t="s">
        <v>107</v>
      </c>
      <c r="G28" s="389">
        <v>21.5</v>
      </c>
      <c r="AK28" s="62"/>
    </row>
    <row r="29">
      <c r="A29" s="62"/>
      <c r="B29" s="62"/>
      <c r="C29" s="62"/>
      <c r="D29" s="62"/>
      <c r="E29" s="62"/>
      <c r="F29" s="62" t="s">
        <v>136</v>
      </c>
      <c r="G29" s="389">
        <v>19.75</v>
      </c>
      <c r="AK29" s="62"/>
    </row>
    <row r="30">
      <c r="A30" s="62"/>
      <c r="B30" s="62"/>
      <c r="C30" s="62"/>
      <c r="D30" s="62"/>
      <c r="E30" s="62"/>
      <c r="F30" s="62" t="s">
        <v>100</v>
      </c>
      <c r="G30" s="389">
        <v>19.5</v>
      </c>
      <c r="AK30" s="62"/>
    </row>
    <row r="31">
      <c r="A31" s="62"/>
      <c r="B31" s="62"/>
      <c r="C31" s="62"/>
      <c r="D31" s="62"/>
      <c r="E31" s="62"/>
      <c r="F31" s="62" t="s">
        <v>132</v>
      </c>
      <c r="G31" s="389">
        <v>16.75</v>
      </c>
      <c r="AK31" s="62"/>
    </row>
    <row r="32">
      <c r="A32" s="62"/>
      <c r="B32" s="62"/>
      <c r="C32" s="62"/>
      <c r="D32" s="62"/>
      <c r="E32" s="62"/>
      <c r="F32" s="62" t="s">
        <v>79</v>
      </c>
      <c r="G32" s="389">
        <v>16.5</v>
      </c>
      <c r="AK32" s="62"/>
    </row>
    <row r="33">
      <c r="A33" s="62"/>
      <c r="B33" s="62"/>
      <c r="C33" s="62"/>
      <c r="D33" s="62"/>
      <c r="E33" s="62"/>
      <c r="F33" s="62" t="s">
        <v>98</v>
      </c>
      <c r="G33" s="389">
        <v>10.25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420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115</v>
      </c>
      <c r="C6" s="580">
        <f t="shared" ref="C6:C15" si="1">SUM(H6:AK6)</f>
        <v>21.25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13.75</v>
      </c>
      <c r="G6" s="584" t="s">
        <v>265</v>
      </c>
      <c r="H6" s="597">
        <v>2.5</v>
      </c>
      <c r="I6" s="585">
        <v>3.25</v>
      </c>
      <c r="J6" s="586"/>
      <c r="K6" s="590"/>
      <c r="L6" s="588"/>
      <c r="M6" s="584" t="s">
        <v>261</v>
      </c>
      <c r="N6" s="597">
        <v>2.5</v>
      </c>
      <c r="O6" s="585">
        <v>3.5</v>
      </c>
      <c r="P6" s="589"/>
      <c r="Q6" s="590"/>
      <c r="R6" s="588"/>
      <c r="S6" s="586" t="s">
        <v>271</v>
      </c>
      <c r="T6" s="597">
        <v>2.5</v>
      </c>
      <c r="U6" s="585">
        <v>3.75</v>
      </c>
      <c r="V6" s="586" t="s">
        <v>260</v>
      </c>
      <c r="W6" s="590"/>
      <c r="X6" s="588"/>
      <c r="Y6" s="586" t="s">
        <v>261</v>
      </c>
      <c r="Z6" s="598"/>
      <c r="AA6" s="591">
        <v>1.25</v>
      </c>
      <c r="AB6" s="589"/>
      <c r="AC6" s="590"/>
      <c r="AD6" s="588"/>
      <c r="AE6" s="586" t="s">
        <v>261</v>
      </c>
      <c r="AF6" s="598"/>
      <c r="AG6" s="585">
        <v>2.0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127</v>
      </c>
      <c r="C7" s="580">
        <f t="shared" si="1"/>
        <v>18.75</v>
      </c>
      <c r="D7" s="594">
        <f t="shared" si="2"/>
        <v>3</v>
      </c>
      <c r="E7" s="595">
        <f t="shared" si="3"/>
        <v>7.5</v>
      </c>
      <c r="F7" s="596">
        <f t="shared" si="4"/>
        <v>11.25</v>
      </c>
      <c r="G7" s="584" t="s">
        <v>269</v>
      </c>
      <c r="H7" s="597">
        <v>2.5</v>
      </c>
      <c r="I7" s="585">
        <v>3.75</v>
      </c>
      <c r="J7" s="586"/>
      <c r="K7" s="590"/>
      <c r="L7" s="588"/>
      <c r="M7" s="584" t="s">
        <v>261</v>
      </c>
      <c r="N7" s="597">
        <v>2.5</v>
      </c>
      <c r="O7" s="585">
        <v>2.0</v>
      </c>
      <c r="P7" s="589"/>
      <c r="Q7" s="590"/>
      <c r="R7" s="588"/>
      <c r="S7" s="586" t="s">
        <v>261</v>
      </c>
      <c r="T7" s="597">
        <v>2.5</v>
      </c>
      <c r="U7" s="585">
        <v>2.0</v>
      </c>
      <c r="V7" s="586"/>
      <c r="W7" s="590"/>
      <c r="X7" s="588"/>
      <c r="Y7" s="586" t="s">
        <v>271</v>
      </c>
      <c r="Z7" s="598"/>
      <c r="AA7" s="591">
        <v>1.75</v>
      </c>
      <c r="AB7" s="586"/>
      <c r="AC7" s="585"/>
      <c r="AD7" s="587"/>
      <c r="AE7" s="586" t="s">
        <v>261</v>
      </c>
      <c r="AF7" s="598"/>
      <c r="AG7" s="585">
        <v>1.75</v>
      </c>
      <c r="AH7" s="586" t="s">
        <v>263</v>
      </c>
      <c r="AI7" s="590"/>
      <c r="AJ7" s="587"/>
      <c r="AK7" s="588"/>
      <c r="AL7" s="593"/>
    </row>
    <row r="8">
      <c r="A8" s="578">
        <v>3.0</v>
      </c>
      <c r="B8" s="579" t="s">
        <v>117</v>
      </c>
      <c r="C8" s="580">
        <f t="shared" si="1"/>
        <v>14.5</v>
      </c>
      <c r="D8" s="594">
        <f t="shared" si="2"/>
        <v>1</v>
      </c>
      <c r="E8" s="595">
        <f t="shared" si="3"/>
        <v>2.5</v>
      </c>
      <c r="F8" s="596">
        <f t="shared" si="4"/>
        <v>12</v>
      </c>
      <c r="G8" s="584" t="s">
        <v>261</v>
      </c>
      <c r="H8" s="585"/>
      <c r="I8" s="585">
        <v>2.75</v>
      </c>
      <c r="J8" s="589"/>
      <c r="K8" s="590"/>
      <c r="L8" s="588"/>
      <c r="M8" s="584" t="s">
        <v>269</v>
      </c>
      <c r="N8" s="590"/>
      <c r="O8" s="585">
        <v>2.0</v>
      </c>
      <c r="P8" s="589"/>
      <c r="Q8" s="590"/>
      <c r="R8" s="588"/>
      <c r="S8" s="586" t="s">
        <v>261</v>
      </c>
      <c r="T8" s="585">
        <v>2.5</v>
      </c>
      <c r="U8" s="585">
        <v>2.75</v>
      </c>
      <c r="V8" s="586"/>
      <c r="W8" s="590"/>
      <c r="X8" s="587"/>
      <c r="Y8" s="586" t="s">
        <v>261</v>
      </c>
      <c r="Z8" s="590"/>
      <c r="AA8" s="585">
        <v>1.5</v>
      </c>
      <c r="AB8" s="589"/>
      <c r="AC8" s="590"/>
      <c r="AD8" s="588"/>
      <c r="AE8" s="586" t="s">
        <v>271</v>
      </c>
      <c r="AF8" s="590"/>
      <c r="AG8" s="585">
        <v>2.5</v>
      </c>
      <c r="AH8" s="586" t="s">
        <v>11</v>
      </c>
      <c r="AI8" s="590"/>
      <c r="AJ8" s="587">
        <v>0.5</v>
      </c>
      <c r="AK8" s="588"/>
      <c r="AL8" s="593"/>
    </row>
    <row r="9">
      <c r="A9" s="578">
        <v>4.0</v>
      </c>
      <c r="B9" s="579" t="s">
        <v>124</v>
      </c>
      <c r="C9" s="580">
        <f t="shared" si="1"/>
        <v>16.75</v>
      </c>
      <c r="D9" s="594">
        <f t="shared" si="2"/>
        <v>2</v>
      </c>
      <c r="E9" s="595">
        <f t="shared" si="3"/>
        <v>5</v>
      </c>
      <c r="F9" s="596">
        <f t="shared" si="4"/>
        <v>11.75</v>
      </c>
      <c r="G9" s="584" t="s">
        <v>261</v>
      </c>
      <c r="H9" s="585"/>
      <c r="I9" s="585">
        <v>1.75</v>
      </c>
      <c r="J9" s="586"/>
      <c r="K9" s="590"/>
      <c r="L9" s="588"/>
      <c r="M9" s="584" t="s">
        <v>261</v>
      </c>
      <c r="N9" s="585">
        <v>2.5</v>
      </c>
      <c r="O9" s="585">
        <v>2.75</v>
      </c>
      <c r="P9" s="586"/>
      <c r="Q9" s="590"/>
      <c r="R9" s="588"/>
      <c r="S9" s="586" t="s">
        <v>261</v>
      </c>
      <c r="T9" s="585">
        <v>2.5</v>
      </c>
      <c r="U9" s="585">
        <v>3.0</v>
      </c>
      <c r="V9" s="586" t="s">
        <v>260</v>
      </c>
      <c r="W9" s="590"/>
      <c r="X9" s="588"/>
      <c r="Y9" s="586" t="s">
        <v>261</v>
      </c>
      <c r="Z9" s="590"/>
      <c r="AA9" s="591">
        <v>2.25</v>
      </c>
      <c r="AB9" s="589"/>
      <c r="AC9" s="590"/>
      <c r="AD9" s="588"/>
      <c r="AE9" s="586" t="s">
        <v>261</v>
      </c>
      <c r="AF9" s="590"/>
      <c r="AG9" s="585">
        <v>2.0</v>
      </c>
      <c r="AH9" s="586" t="s">
        <v>263</v>
      </c>
      <c r="AI9" s="585" t="s">
        <v>283</v>
      </c>
      <c r="AJ9" s="588"/>
      <c r="AK9" s="599"/>
      <c r="AL9" s="593"/>
    </row>
    <row r="10">
      <c r="A10" s="578">
        <v>5.0</v>
      </c>
      <c r="B10" s="579" t="s">
        <v>116</v>
      </c>
      <c r="C10" s="580">
        <f t="shared" si="1"/>
        <v>21.25</v>
      </c>
      <c r="D10" s="594">
        <f t="shared" si="2"/>
        <v>3</v>
      </c>
      <c r="E10" s="595">
        <f t="shared" si="3"/>
        <v>7.5</v>
      </c>
      <c r="F10" s="596">
        <f t="shared" si="4"/>
        <v>13.75</v>
      </c>
      <c r="G10" s="584" t="s">
        <v>271</v>
      </c>
      <c r="H10" s="585"/>
      <c r="I10" s="585">
        <v>1.5</v>
      </c>
      <c r="J10" s="589"/>
      <c r="K10" s="590"/>
      <c r="L10" s="588"/>
      <c r="M10" s="584" t="s">
        <v>261</v>
      </c>
      <c r="N10" s="585">
        <v>2.5</v>
      </c>
      <c r="O10" s="585">
        <v>3.75</v>
      </c>
      <c r="P10" s="586"/>
      <c r="Q10" s="590"/>
      <c r="R10" s="587"/>
      <c r="S10" s="586" t="s">
        <v>269</v>
      </c>
      <c r="T10" s="590"/>
      <c r="U10" s="585">
        <v>2.5</v>
      </c>
      <c r="V10" s="586"/>
      <c r="W10" s="590"/>
      <c r="X10" s="588"/>
      <c r="Y10" s="586" t="s">
        <v>269</v>
      </c>
      <c r="Z10" s="585">
        <v>2.5</v>
      </c>
      <c r="AA10" s="591">
        <v>3.75</v>
      </c>
      <c r="AB10" s="586"/>
      <c r="AC10" s="590"/>
      <c r="AD10" s="587"/>
      <c r="AE10" s="586" t="s">
        <v>269</v>
      </c>
      <c r="AF10" s="585">
        <v>2.5</v>
      </c>
      <c r="AG10" s="585">
        <v>2.25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132</v>
      </c>
      <c r="C11" s="580">
        <f t="shared" si="1"/>
        <v>26</v>
      </c>
      <c r="D11" s="594">
        <f t="shared" si="2"/>
        <v>3</v>
      </c>
      <c r="E11" s="595">
        <f t="shared" si="3"/>
        <v>7.5</v>
      </c>
      <c r="F11" s="596">
        <f t="shared" si="4"/>
        <v>18.5</v>
      </c>
      <c r="G11" s="584" t="s">
        <v>261</v>
      </c>
      <c r="H11" s="585"/>
      <c r="I11" s="585">
        <v>3.0</v>
      </c>
      <c r="J11" s="586" t="s">
        <v>11</v>
      </c>
      <c r="K11" s="585">
        <v>0.5</v>
      </c>
      <c r="L11" s="587">
        <v>0.5</v>
      </c>
      <c r="M11" s="584" t="s">
        <v>271</v>
      </c>
      <c r="N11" s="585">
        <v>2.5</v>
      </c>
      <c r="O11" s="585">
        <v>3.25</v>
      </c>
      <c r="P11" s="586"/>
      <c r="Q11" s="585"/>
      <c r="R11" s="587"/>
      <c r="S11" s="586" t="s">
        <v>261</v>
      </c>
      <c r="T11" s="585">
        <v>2.5</v>
      </c>
      <c r="U11" s="585">
        <v>4.0</v>
      </c>
      <c r="V11" s="589"/>
      <c r="W11" s="590"/>
      <c r="X11" s="588"/>
      <c r="Y11" s="586" t="s">
        <v>265</v>
      </c>
      <c r="Z11" s="585">
        <v>2.5</v>
      </c>
      <c r="AA11" s="591">
        <v>4.25</v>
      </c>
      <c r="AB11" s="589"/>
      <c r="AC11" s="590"/>
      <c r="AD11" s="588"/>
      <c r="AE11" s="586" t="s">
        <v>261</v>
      </c>
      <c r="AF11" s="590"/>
      <c r="AG11" s="585">
        <v>3.0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131</v>
      </c>
      <c r="C12" s="580">
        <f t="shared" si="1"/>
        <v>23</v>
      </c>
      <c r="D12" s="594">
        <f t="shared" si="2"/>
        <v>3</v>
      </c>
      <c r="E12" s="595">
        <f t="shared" si="3"/>
        <v>7.5</v>
      </c>
      <c r="F12" s="596">
        <f t="shared" si="4"/>
        <v>15.5</v>
      </c>
      <c r="G12" s="584" t="s">
        <v>261</v>
      </c>
      <c r="H12" s="585"/>
      <c r="I12" s="585">
        <v>2.5</v>
      </c>
      <c r="J12" s="586"/>
      <c r="K12" s="590"/>
      <c r="L12" s="588"/>
      <c r="M12" s="584" t="s">
        <v>265</v>
      </c>
      <c r="N12" s="590"/>
      <c r="O12" s="585">
        <v>2.0</v>
      </c>
      <c r="P12" s="589"/>
      <c r="Q12" s="590"/>
      <c r="R12" s="588"/>
      <c r="S12" s="586" t="s">
        <v>261</v>
      </c>
      <c r="T12" s="585">
        <v>2.5</v>
      </c>
      <c r="U12" s="585">
        <v>4.25</v>
      </c>
      <c r="V12" s="586"/>
      <c r="W12" s="590"/>
      <c r="X12" s="587"/>
      <c r="Y12" s="586" t="s">
        <v>269</v>
      </c>
      <c r="Z12" s="585">
        <v>2.5</v>
      </c>
      <c r="AA12" s="585">
        <v>3.75</v>
      </c>
      <c r="AB12" s="589"/>
      <c r="AC12" s="590"/>
      <c r="AD12" s="588"/>
      <c r="AE12" s="586" t="s">
        <v>265</v>
      </c>
      <c r="AF12" s="585">
        <v>2.5</v>
      </c>
      <c r="AG12" s="585">
        <v>3.0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96</v>
      </c>
      <c r="C13" s="580">
        <f t="shared" si="1"/>
        <v>13.75</v>
      </c>
      <c r="D13" s="594">
        <f t="shared" si="2"/>
        <v>1</v>
      </c>
      <c r="E13" s="595">
        <f t="shared" si="3"/>
        <v>2.5</v>
      </c>
      <c r="F13" s="596">
        <f t="shared" si="4"/>
        <v>11.25</v>
      </c>
      <c r="G13" s="584" t="s">
        <v>261</v>
      </c>
      <c r="H13" s="585"/>
      <c r="I13" s="585">
        <v>1.75</v>
      </c>
      <c r="J13" s="586"/>
      <c r="K13" s="585"/>
      <c r="L13" s="588"/>
      <c r="M13" s="584" t="s">
        <v>261</v>
      </c>
      <c r="N13" s="597">
        <v>2.5</v>
      </c>
      <c r="O13" s="585">
        <v>2.75</v>
      </c>
      <c r="P13" s="589"/>
      <c r="Q13" s="590"/>
      <c r="R13" s="588"/>
      <c r="S13" s="586" t="s">
        <v>269</v>
      </c>
      <c r="T13" s="598"/>
      <c r="U13" s="585">
        <v>2.25</v>
      </c>
      <c r="V13" s="586"/>
      <c r="W13" s="590"/>
      <c r="X13" s="588"/>
      <c r="Y13" s="586" t="s">
        <v>261</v>
      </c>
      <c r="Z13" s="598"/>
      <c r="AA13" s="591">
        <v>2.5</v>
      </c>
      <c r="AB13" s="589"/>
      <c r="AC13" s="590"/>
      <c r="AD13" s="588"/>
      <c r="AE13" s="586" t="s">
        <v>261</v>
      </c>
      <c r="AF13" s="598"/>
      <c r="AG13" s="585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136</v>
      </c>
      <c r="C14" s="580">
        <f t="shared" si="1"/>
        <v>22</v>
      </c>
      <c r="D14" s="594">
        <f t="shared" si="2"/>
        <v>3</v>
      </c>
      <c r="E14" s="595">
        <f t="shared" si="3"/>
        <v>7.5</v>
      </c>
      <c r="F14" s="596">
        <f t="shared" si="4"/>
        <v>14.5</v>
      </c>
      <c r="G14" s="584" t="s">
        <v>261</v>
      </c>
      <c r="H14" s="585"/>
      <c r="I14" s="585">
        <v>2.25</v>
      </c>
      <c r="J14" s="586"/>
      <c r="K14" s="585"/>
      <c r="L14" s="587"/>
      <c r="M14" s="584" t="s">
        <v>261</v>
      </c>
      <c r="N14" s="585">
        <v>2.5</v>
      </c>
      <c r="O14" s="585">
        <v>2.5</v>
      </c>
      <c r="P14" s="586"/>
      <c r="Q14" s="585"/>
      <c r="R14" s="588"/>
      <c r="S14" s="586" t="s">
        <v>261</v>
      </c>
      <c r="T14" s="585">
        <v>2.5</v>
      </c>
      <c r="U14" s="585">
        <v>2.5</v>
      </c>
      <c r="V14" s="586" t="s">
        <v>11</v>
      </c>
      <c r="W14" s="590"/>
      <c r="X14" s="587">
        <v>0.5</v>
      </c>
      <c r="Y14" s="586" t="s">
        <v>261</v>
      </c>
      <c r="Z14" s="590"/>
      <c r="AA14" s="591">
        <v>2.5</v>
      </c>
      <c r="AB14" s="589"/>
      <c r="AC14" s="590"/>
      <c r="AD14" s="588"/>
      <c r="AE14" s="586" t="s">
        <v>269</v>
      </c>
      <c r="AF14" s="585">
        <v>2.5</v>
      </c>
      <c r="AG14" s="585">
        <v>4.25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121</v>
      </c>
      <c r="C15" s="580">
        <f t="shared" si="1"/>
        <v>16.25</v>
      </c>
      <c r="D15" s="603">
        <f t="shared" si="2"/>
        <v>1</v>
      </c>
      <c r="E15" s="604">
        <f t="shared" si="3"/>
        <v>2.5</v>
      </c>
      <c r="F15" s="605">
        <f t="shared" si="4"/>
        <v>13.75</v>
      </c>
      <c r="G15" s="606" t="s">
        <v>269</v>
      </c>
      <c r="H15" s="585">
        <v>2.5</v>
      </c>
      <c r="I15" s="607">
        <v>4.25</v>
      </c>
      <c r="J15" s="608"/>
      <c r="K15" s="609"/>
      <c r="L15" s="610"/>
      <c r="M15" s="606" t="s">
        <v>269</v>
      </c>
      <c r="N15" s="609"/>
      <c r="O15" s="607">
        <v>2.5</v>
      </c>
      <c r="P15" s="611" t="s">
        <v>11</v>
      </c>
      <c r="Q15" s="609"/>
      <c r="R15" s="610"/>
      <c r="S15" s="611" t="s">
        <v>265</v>
      </c>
      <c r="T15" s="609"/>
      <c r="U15" s="607">
        <v>2.0</v>
      </c>
      <c r="V15" s="611" t="s">
        <v>263</v>
      </c>
      <c r="W15" s="609"/>
      <c r="X15" s="610"/>
      <c r="Y15" s="611" t="s">
        <v>261</v>
      </c>
      <c r="Z15" s="609"/>
      <c r="AA15" s="634">
        <v>1.5</v>
      </c>
      <c r="AB15" s="611" t="s">
        <v>11</v>
      </c>
      <c r="AC15" s="607">
        <v>0.5</v>
      </c>
      <c r="AD15" s="612">
        <v>0.5</v>
      </c>
      <c r="AE15" s="611" t="s">
        <v>261</v>
      </c>
      <c r="AF15" s="609"/>
      <c r="AG15" s="607">
        <v>2.5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262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268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NLIP</v>
      </c>
      <c r="G24" s="389">
        <v>26.0</v>
      </c>
      <c r="AK24" s="62"/>
    </row>
    <row r="25">
      <c r="A25" s="629"/>
      <c r="B25" s="629"/>
      <c r="C25" s="629"/>
      <c r="D25" s="629"/>
      <c r="F25" s="384" t="s">
        <v>131</v>
      </c>
      <c r="G25" s="389">
        <v>23.0</v>
      </c>
      <c r="AK25" s="62"/>
    </row>
    <row r="26">
      <c r="A26" s="632"/>
      <c r="B26" s="62"/>
      <c r="C26" s="62"/>
      <c r="D26" s="632"/>
      <c r="E26" s="632"/>
      <c r="F26" s="632" t="s">
        <v>136</v>
      </c>
      <c r="G26" s="389">
        <v>22.0</v>
      </c>
      <c r="AK26" s="62"/>
    </row>
    <row r="27">
      <c r="A27" s="62"/>
      <c r="B27" s="62"/>
      <c r="C27" s="62"/>
      <c r="D27" s="62"/>
      <c r="E27" s="62"/>
      <c r="F27" s="62" t="s">
        <v>115</v>
      </c>
      <c r="G27" s="389">
        <v>21.25</v>
      </c>
      <c r="AK27" s="62"/>
    </row>
    <row r="28">
      <c r="A28" s="62"/>
      <c r="B28" s="62"/>
      <c r="C28" s="62"/>
      <c r="D28" s="62"/>
      <c r="E28" s="62"/>
      <c r="F28" s="62" t="s">
        <v>116</v>
      </c>
      <c r="G28" s="389">
        <v>21.25</v>
      </c>
      <c r="AK28" s="62"/>
    </row>
    <row r="29">
      <c r="A29" s="62"/>
      <c r="B29" s="62"/>
      <c r="C29" s="62"/>
      <c r="D29" s="62"/>
      <c r="E29" s="62"/>
      <c r="F29" s="62" t="s">
        <v>127</v>
      </c>
      <c r="G29" s="389">
        <v>18.75</v>
      </c>
      <c r="AK29" s="62"/>
    </row>
    <row r="30">
      <c r="A30" s="62"/>
      <c r="B30" s="62"/>
      <c r="C30" s="62"/>
      <c r="D30" s="62"/>
      <c r="E30" s="62"/>
      <c r="F30" s="62" t="s">
        <v>124</v>
      </c>
      <c r="G30" s="389">
        <v>16.75</v>
      </c>
      <c r="AK30" s="62"/>
    </row>
    <row r="31">
      <c r="A31" s="62"/>
      <c r="B31" s="62"/>
      <c r="C31" s="62"/>
      <c r="D31" s="62"/>
      <c r="E31" s="62"/>
      <c r="F31" s="62" t="s">
        <v>121</v>
      </c>
      <c r="G31" s="389">
        <v>16.25</v>
      </c>
      <c r="AK31" s="62"/>
    </row>
    <row r="32">
      <c r="A32" s="62"/>
      <c r="B32" s="62"/>
      <c r="C32" s="62"/>
      <c r="D32" s="62"/>
      <c r="E32" s="62"/>
      <c r="F32" s="62" t="s">
        <v>117</v>
      </c>
      <c r="G32" s="389">
        <v>14.5</v>
      </c>
      <c r="AK32" s="62"/>
    </row>
    <row r="33">
      <c r="A33" s="62"/>
      <c r="B33" s="62"/>
      <c r="C33" s="62"/>
      <c r="D33" s="62"/>
      <c r="E33" s="62"/>
      <c r="F33" s="62" t="s">
        <v>96</v>
      </c>
      <c r="G33" s="389">
        <v>13.75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115</v>
      </c>
      <c r="C6" s="580">
        <f t="shared" ref="C6:C15" si="1">SUM(H6:AK6)</f>
        <v>16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11</v>
      </c>
      <c r="G6" s="584" t="s">
        <v>269</v>
      </c>
      <c r="H6" s="597">
        <v>2.5</v>
      </c>
      <c r="I6" s="585">
        <v>2.5</v>
      </c>
      <c r="J6" s="586"/>
      <c r="K6" s="590"/>
      <c r="L6" s="588"/>
      <c r="M6" s="584" t="s">
        <v>261</v>
      </c>
      <c r="N6" s="598"/>
      <c r="O6" s="585">
        <v>1.75</v>
      </c>
      <c r="P6" s="589"/>
      <c r="Q6" s="590"/>
      <c r="R6" s="588"/>
      <c r="S6" s="586" t="s">
        <v>261</v>
      </c>
      <c r="T6" s="598"/>
      <c r="U6" s="585">
        <v>2.75</v>
      </c>
      <c r="V6" s="586" t="s">
        <v>263</v>
      </c>
      <c r="W6" s="590"/>
      <c r="X6" s="588"/>
      <c r="Y6" s="586" t="s">
        <v>261</v>
      </c>
      <c r="Z6" s="597">
        <v>2.5</v>
      </c>
      <c r="AA6" s="591">
        <v>1.5</v>
      </c>
      <c r="AB6" s="589"/>
      <c r="AC6" s="590"/>
      <c r="AD6" s="588"/>
      <c r="AE6" s="586" t="s">
        <v>261</v>
      </c>
      <c r="AF6" s="598"/>
      <c r="AG6" s="585">
        <v>2.5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79</v>
      </c>
      <c r="C7" s="580">
        <f t="shared" si="1"/>
        <v>15.75</v>
      </c>
      <c r="D7" s="594">
        <f t="shared" si="2"/>
        <v>1</v>
      </c>
      <c r="E7" s="595">
        <f t="shared" si="3"/>
        <v>2.5</v>
      </c>
      <c r="F7" s="596">
        <f t="shared" si="4"/>
        <v>13.25</v>
      </c>
      <c r="G7" s="584" t="s">
        <v>261</v>
      </c>
      <c r="H7" s="598"/>
      <c r="I7" s="585">
        <v>2.0</v>
      </c>
      <c r="J7" s="586" t="s">
        <v>263</v>
      </c>
      <c r="K7" s="590"/>
      <c r="L7" s="588"/>
      <c r="M7" s="584" t="s">
        <v>261</v>
      </c>
      <c r="N7" s="598"/>
      <c r="O7" s="585">
        <v>2.0</v>
      </c>
      <c r="P7" s="586" t="s">
        <v>263</v>
      </c>
      <c r="Q7" s="590"/>
      <c r="R7" s="588"/>
      <c r="S7" s="586" t="s">
        <v>261</v>
      </c>
      <c r="T7" s="598"/>
      <c r="U7" s="585">
        <v>2.5</v>
      </c>
      <c r="V7" s="586"/>
      <c r="W7" s="590"/>
      <c r="X7" s="588"/>
      <c r="Y7" s="586" t="s">
        <v>269</v>
      </c>
      <c r="Z7" s="597"/>
      <c r="AA7" s="591">
        <v>3.25</v>
      </c>
      <c r="AB7" s="586" t="s">
        <v>263</v>
      </c>
      <c r="AC7" s="585"/>
      <c r="AD7" s="587"/>
      <c r="AE7" s="586" t="s">
        <v>265</v>
      </c>
      <c r="AF7" s="597">
        <v>2.5</v>
      </c>
      <c r="AG7" s="585">
        <v>3.5</v>
      </c>
      <c r="AH7" s="586"/>
      <c r="AI7" s="590"/>
      <c r="AJ7" s="587"/>
      <c r="AK7" s="588"/>
      <c r="AL7" s="593"/>
    </row>
    <row r="8">
      <c r="A8" s="578">
        <v>3.0</v>
      </c>
      <c r="B8" s="579" t="s">
        <v>128</v>
      </c>
      <c r="C8" s="580">
        <f t="shared" si="1"/>
        <v>27.25</v>
      </c>
      <c r="D8" s="594">
        <f t="shared" si="2"/>
        <v>4</v>
      </c>
      <c r="E8" s="595">
        <f t="shared" si="3"/>
        <v>10</v>
      </c>
      <c r="F8" s="596">
        <f t="shared" si="4"/>
        <v>17.25</v>
      </c>
      <c r="G8" s="584" t="s">
        <v>269</v>
      </c>
      <c r="H8" s="585">
        <v>2.5</v>
      </c>
      <c r="I8" s="585">
        <v>4.0</v>
      </c>
      <c r="J8" s="586" t="s">
        <v>260</v>
      </c>
      <c r="K8" s="590"/>
      <c r="L8" s="588"/>
      <c r="M8" s="584" t="s">
        <v>269</v>
      </c>
      <c r="N8" s="585">
        <v>2.5</v>
      </c>
      <c r="O8" s="585">
        <v>4.25</v>
      </c>
      <c r="P8" s="586" t="s">
        <v>260</v>
      </c>
      <c r="Q8" s="590"/>
      <c r="R8" s="588"/>
      <c r="S8" s="586" t="s">
        <v>261</v>
      </c>
      <c r="T8" s="590"/>
      <c r="U8" s="585">
        <v>2.25</v>
      </c>
      <c r="V8" s="586"/>
      <c r="W8" s="590"/>
      <c r="X8" s="587"/>
      <c r="Y8" s="586" t="s">
        <v>261</v>
      </c>
      <c r="Z8" s="585">
        <v>2.5</v>
      </c>
      <c r="AA8" s="585">
        <v>3.5</v>
      </c>
      <c r="AB8" s="589"/>
      <c r="AC8" s="590"/>
      <c r="AD8" s="588"/>
      <c r="AE8" s="586" t="s">
        <v>269</v>
      </c>
      <c r="AF8" s="585">
        <v>2.5</v>
      </c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136</v>
      </c>
      <c r="C9" s="580">
        <f t="shared" si="1"/>
        <v>18.5</v>
      </c>
      <c r="D9" s="594">
        <f t="shared" si="2"/>
        <v>2</v>
      </c>
      <c r="E9" s="595">
        <f t="shared" si="3"/>
        <v>5</v>
      </c>
      <c r="F9" s="596">
        <f t="shared" si="4"/>
        <v>13.5</v>
      </c>
      <c r="G9" s="584" t="s">
        <v>265</v>
      </c>
      <c r="H9" s="585">
        <v>2.5</v>
      </c>
      <c r="I9" s="585">
        <v>3.25</v>
      </c>
      <c r="J9" s="586"/>
      <c r="K9" s="590"/>
      <c r="L9" s="588"/>
      <c r="M9" s="584" t="s">
        <v>271</v>
      </c>
      <c r="N9" s="590"/>
      <c r="O9" s="585">
        <v>2.25</v>
      </c>
      <c r="P9" s="586"/>
      <c r="Q9" s="590"/>
      <c r="R9" s="588"/>
      <c r="S9" s="586" t="s">
        <v>271</v>
      </c>
      <c r="T9" s="590"/>
      <c r="U9" s="585">
        <v>2.0</v>
      </c>
      <c r="V9" s="586" t="s">
        <v>11</v>
      </c>
      <c r="W9" s="585">
        <v>0.5</v>
      </c>
      <c r="X9" s="587">
        <v>0.5</v>
      </c>
      <c r="Y9" s="586" t="s">
        <v>261</v>
      </c>
      <c r="Z9" s="585">
        <v>2.5</v>
      </c>
      <c r="AA9" s="591">
        <v>2.5</v>
      </c>
      <c r="AB9" s="589"/>
      <c r="AC9" s="590"/>
      <c r="AD9" s="588"/>
      <c r="AE9" s="586" t="s">
        <v>261</v>
      </c>
      <c r="AF9" s="590"/>
      <c r="AG9" s="585">
        <v>2.5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121</v>
      </c>
      <c r="C10" s="580">
        <f t="shared" si="1"/>
        <v>17.25</v>
      </c>
      <c r="D10" s="594">
        <f t="shared" si="2"/>
        <v>1</v>
      </c>
      <c r="E10" s="595">
        <f t="shared" si="3"/>
        <v>2.5</v>
      </c>
      <c r="F10" s="596">
        <f t="shared" si="4"/>
        <v>14.75</v>
      </c>
      <c r="G10" s="584" t="s">
        <v>261</v>
      </c>
      <c r="H10" s="590"/>
      <c r="I10" s="585">
        <v>2.25</v>
      </c>
      <c r="J10" s="589"/>
      <c r="K10" s="590"/>
      <c r="L10" s="588"/>
      <c r="M10" s="584" t="s">
        <v>261</v>
      </c>
      <c r="N10" s="590"/>
      <c r="O10" s="585">
        <v>3.25</v>
      </c>
      <c r="P10" s="586" t="s">
        <v>11</v>
      </c>
      <c r="Q10" s="585">
        <v>0.5</v>
      </c>
      <c r="R10" s="587">
        <v>0.5</v>
      </c>
      <c r="S10" s="586" t="s">
        <v>269</v>
      </c>
      <c r="T10" s="585">
        <v>2.5</v>
      </c>
      <c r="U10" s="585">
        <v>3.25</v>
      </c>
      <c r="V10" s="586"/>
      <c r="W10" s="590"/>
      <c r="X10" s="588"/>
      <c r="Y10" s="586" t="s">
        <v>269</v>
      </c>
      <c r="Z10" s="585"/>
      <c r="AA10" s="591">
        <v>2.5</v>
      </c>
      <c r="AB10" s="586"/>
      <c r="AC10" s="590"/>
      <c r="AD10" s="587"/>
      <c r="AE10" s="586" t="s">
        <v>271</v>
      </c>
      <c r="AF10" s="590"/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122</v>
      </c>
      <c r="C11" s="580">
        <f t="shared" si="1"/>
        <v>23.5</v>
      </c>
      <c r="D11" s="594">
        <f t="shared" si="2"/>
        <v>3</v>
      </c>
      <c r="E11" s="595">
        <f t="shared" si="3"/>
        <v>7.5</v>
      </c>
      <c r="F11" s="596">
        <f t="shared" si="4"/>
        <v>16</v>
      </c>
      <c r="G11" s="584" t="s">
        <v>261</v>
      </c>
      <c r="H11" s="590"/>
      <c r="I11" s="585">
        <v>2.75</v>
      </c>
      <c r="J11" s="586"/>
      <c r="K11" s="590"/>
      <c r="L11" s="588"/>
      <c r="M11" s="584" t="s">
        <v>269</v>
      </c>
      <c r="N11" s="585">
        <v>2.5</v>
      </c>
      <c r="O11" s="585">
        <v>3.5</v>
      </c>
      <c r="P11" s="586"/>
      <c r="Q11" s="585"/>
      <c r="R11" s="587"/>
      <c r="S11" s="586" t="s">
        <v>261</v>
      </c>
      <c r="T11" s="590"/>
      <c r="U11" s="585">
        <v>2.25</v>
      </c>
      <c r="V11" s="589"/>
      <c r="W11" s="590"/>
      <c r="X11" s="588"/>
      <c r="Y11" s="586" t="s">
        <v>261</v>
      </c>
      <c r="Z11" s="585">
        <v>2.5</v>
      </c>
      <c r="AA11" s="591">
        <v>4.25</v>
      </c>
      <c r="AB11" s="586" t="s">
        <v>260</v>
      </c>
      <c r="AC11" s="590"/>
      <c r="AD11" s="588"/>
      <c r="AE11" s="586" t="s">
        <v>269</v>
      </c>
      <c r="AF11" s="585">
        <v>2.5</v>
      </c>
      <c r="AG11" s="585">
        <v>3.25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114</v>
      </c>
      <c r="C12" s="580">
        <f t="shared" si="1"/>
        <v>22.25</v>
      </c>
      <c r="D12" s="594">
        <f t="shared" si="2"/>
        <v>2</v>
      </c>
      <c r="E12" s="595">
        <f t="shared" si="3"/>
        <v>5</v>
      </c>
      <c r="F12" s="596">
        <f t="shared" si="4"/>
        <v>17.25</v>
      </c>
      <c r="G12" s="584" t="s">
        <v>261</v>
      </c>
      <c r="H12" s="590"/>
      <c r="I12" s="585">
        <v>3.5</v>
      </c>
      <c r="J12" s="586"/>
      <c r="K12" s="590"/>
      <c r="L12" s="588"/>
      <c r="M12" s="584" t="s">
        <v>261</v>
      </c>
      <c r="N12" s="590"/>
      <c r="O12" s="585">
        <v>2.5</v>
      </c>
      <c r="P12" s="589"/>
      <c r="Q12" s="590"/>
      <c r="R12" s="588"/>
      <c r="S12" s="586" t="s">
        <v>269</v>
      </c>
      <c r="T12" s="585">
        <v>2.5</v>
      </c>
      <c r="U12" s="585">
        <v>4.0</v>
      </c>
      <c r="V12" s="586" t="s">
        <v>260</v>
      </c>
      <c r="W12" s="590"/>
      <c r="X12" s="587"/>
      <c r="Y12" s="586" t="s">
        <v>261</v>
      </c>
      <c r="Z12" s="585">
        <v>2.5</v>
      </c>
      <c r="AA12" s="585">
        <v>3.5</v>
      </c>
      <c r="AB12" s="586" t="s">
        <v>11</v>
      </c>
      <c r="AC12" s="585">
        <v>0.5</v>
      </c>
      <c r="AD12" s="587">
        <v>0.5</v>
      </c>
      <c r="AE12" s="586" t="s">
        <v>261</v>
      </c>
      <c r="AF12" s="590"/>
      <c r="AG12" s="585">
        <v>2.75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116</v>
      </c>
      <c r="C13" s="580">
        <f t="shared" si="1"/>
        <v>17.5</v>
      </c>
      <c r="D13" s="594">
        <f t="shared" si="2"/>
        <v>2</v>
      </c>
      <c r="E13" s="595">
        <f t="shared" si="3"/>
        <v>5</v>
      </c>
      <c r="F13" s="596">
        <f t="shared" si="4"/>
        <v>12.5</v>
      </c>
      <c r="G13" s="584" t="s">
        <v>271</v>
      </c>
      <c r="H13" s="598"/>
      <c r="I13" s="585">
        <v>3.5</v>
      </c>
      <c r="J13" s="586"/>
      <c r="K13" s="585"/>
      <c r="L13" s="588"/>
      <c r="M13" s="584" t="s">
        <v>265</v>
      </c>
      <c r="N13" s="597">
        <v>2.5</v>
      </c>
      <c r="O13" s="585">
        <v>1.75</v>
      </c>
      <c r="P13" s="589"/>
      <c r="Q13" s="590"/>
      <c r="R13" s="588"/>
      <c r="S13" s="586" t="s">
        <v>261</v>
      </c>
      <c r="T13" s="598"/>
      <c r="U13" s="585">
        <v>2.5</v>
      </c>
      <c r="V13" s="586" t="s">
        <v>263</v>
      </c>
      <c r="W13" s="590"/>
      <c r="X13" s="588"/>
      <c r="Y13" s="586" t="s">
        <v>271</v>
      </c>
      <c r="Z13" s="597">
        <v>2.5</v>
      </c>
      <c r="AA13" s="591">
        <v>2.0</v>
      </c>
      <c r="AB13" s="589"/>
      <c r="AC13" s="590"/>
      <c r="AD13" s="588"/>
      <c r="AE13" s="586" t="s">
        <v>261</v>
      </c>
      <c r="AF13" s="598"/>
      <c r="AG13" s="585">
        <v>2.75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102</v>
      </c>
      <c r="C14" s="580">
        <f t="shared" si="1"/>
        <v>12</v>
      </c>
      <c r="D14" s="594">
        <f t="shared" si="2"/>
        <v>1</v>
      </c>
      <c r="E14" s="595">
        <f t="shared" si="3"/>
        <v>2.5</v>
      </c>
      <c r="F14" s="596">
        <f t="shared" si="4"/>
        <v>9.5</v>
      </c>
      <c r="G14" s="584" t="s">
        <v>261</v>
      </c>
      <c r="H14" s="590"/>
      <c r="I14" s="585">
        <v>2.0</v>
      </c>
      <c r="J14" s="586" t="s">
        <v>11</v>
      </c>
      <c r="K14" s="585"/>
      <c r="L14" s="587">
        <v>0.5</v>
      </c>
      <c r="M14" s="584" t="s">
        <v>261</v>
      </c>
      <c r="N14" s="590"/>
      <c r="O14" s="649">
        <v>1.0</v>
      </c>
      <c r="P14" s="586"/>
      <c r="Q14" s="585"/>
      <c r="R14" s="588"/>
      <c r="S14" s="586" t="s">
        <v>265</v>
      </c>
      <c r="T14" s="585">
        <v>2.5</v>
      </c>
      <c r="U14" s="585">
        <v>2.5</v>
      </c>
      <c r="V14" s="589"/>
      <c r="W14" s="590"/>
      <c r="X14" s="588"/>
      <c r="Y14" s="586" t="s">
        <v>265</v>
      </c>
      <c r="Z14" s="585"/>
      <c r="AA14" s="591">
        <v>2.5</v>
      </c>
      <c r="AB14" s="589"/>
      <c r="AC14" s="590"/>
      <c r="AD14" s="588"/>
      <c r="AE14" s="586" t="s">
        <v>261</v>
      </c>
      <c r="AF14" s="590"/>
      <c r="AG14" s="585">
        <v>1.0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131</v>
      </c>
      <c r="C15" s="580">
        <f t="shared" si="1"/>
        <v>15</v>
      </c>
      <c r="D15" s="603">
        <f t="shared" si="2"/>
        <v>1</v>
      </c>
      <c r="E15" s="604">
        <f t="shared" si="3"/>
        <v>2.5</v>
      </c>
      <c r="F15" s="605">
        <f t="shared" si="4"/>
        <v>12.5</v>
      </c>
      <c r="G15" s="606" t="s">
        <v>261</v>
      </c>
      <c r="H15" s="609"/>
      <c r="I15" s="607">
        <v>4.25</v>
      </c>
      <c r="J15" s="611" t="s">
        <v>263</v>
      </c>
      <c r="K15" s="609"/>
      <c r="L15" s="610"/>
      <c r="M15" s="606" t="s">
        <v>261</v>
      </c>
      <c r="N15" s="609"/>
      <c r="O15" s="607">
        <v>1.75</v>
      </c>
      <c r="P15" s="611" t="s">
        <v>263</v>
      </c>
      <c r="Q15" s="609"/>
      <c r="R15" s="610"/>
      <c r="S15" s="611" t="s">
        <v>261</v>
      </c>
      <c r="T15" s="609"/>
      <c r="U15" s="607">
        <v>1.75</v>
      </c>
      <c r="V15" s="611" t="s">
        <v>263</v>
      </c>
      <c r="W15" s="609"/>
      <c r="X15" s="610"/>
      <c r="Y15" s="611" t="s">
        <v>261</v>
      </c>
      <c r="Z15" s="607">
        <v>2.5</v>
      </c>
      <c r="AA15" s="634">
        <v>2.0</v>
      </c>
      <c r="AB15" s="611" t="s">
        <v>260</v>
      </c>
      <c r="AC15" s="609"/>
      <c r="AD15" s="610"/>
      <c r="AE15" s="611" t="s">
        <v>261</v>
      </c>
      <c r="AF15" s="609"/>
      <c r="AG15" s="607">
        <v>2.25</v>
      </c>
      <c r="AH15" s="611" t="s">
        <v>11</v>
      </c>
      <c r="AI15" s="607"/>
      <c r="AJ15" s="612">
        <v>0.5</v>
      </c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272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267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Ketamin</v>
      </c>
      <c r="G24" s="389">
        <v>27.25</v>
      </c>
      <c r="AK24" s="62"/>
    </row>
    <row r="25">
      <c r="A25" s="629"/>
      <c r="B25" s="629"/>
      <c r="C25" s="629"/>
      <c r="D25" s="629"/>
      <c r="F25" s="384" t="s">
        <v>122</v>
      </c>
      <c r="G25" s="389">
        <v>23.5</v>
      </c>
      <c r="AK25" s="62"/>
    </row>
    <row r="26">
      <c r="A26" s="630">
        <v>2.0</v>
      </c>
      <c r="B26" s="631" t="s">
        <v>102</v>
      </c>
      <c r="C26" s="631" t="s">
        <v>16</v>
      </c>
      <c r="D26" s="630">
        <v>0.5</v>
      </c>
      <c r="E26" s="632"/>
      <c r="F26" s="632" t="s">
        <v>114</v>
      </c>
      <c r="G26" s="389">
        <v>22.25</v>
      </c>
      <c r="AK26" s="62"/>
    </row>
    <row r="27">
      <c r="A27" s="631">
        <v>2.0</v>
      </c>
      <c r="B27" s="631" t="s">
        <v>102</v>
      </c>
      <c r="C27" s="631" t="s">
        <v>16</v>
      </c>
      <c r="D27" s="631">
        <v>1.0</v>
      </c>
      <c r="E27" s="62"/>
      <c r="F27" s="62" t="s">
        <v>136</v>
      </c>
      <c r="G27" s="389">
        <v>18.5</v>
      </c>
      <c r="AK27" s="62"/>
    </row>
    <row r="28">
      <c r="A28" s="631"/>
      <c r="B28" s="631"/>
      <c r="C28" s="631"/>
      <c r="D28" s="631"/>
      <c r="E28" s="62"/>
      <c r="F28" s="62" t="s">
        <v>116</v>
      </c>
      <c r="G28" s="389">
        <v>17.5</v>
      </c>
      <c r="AK28" s="62"/>
    </row>
    <row r="29">
      <c r="A29" s="62"/>
      <c r="B29" s="62"/>
      <c r="C29" s="62"/>
      <c r="D29" s="62"/>
      <c r="E29" s="62"/>
      <c r="F29" s="62" t="s">
        <v>121</v>
      </c>
      <c r="G29" s="389">
        <v>17.25</v>
      </c>
      <c r="AK29" s="62"/>
    </row>
    <row r="30">
      <c r="A30" s="62"/>
      <c r="B30" s="62"/>
      <c r="C30" s="62"/>
      <c r="D30" s="62"/>
      <c r="E30" s="62"/>
      <c r="F30" s="62" t="s">
        <v>115</v>
      </c>
      <c r="G30" s="389">
        <v>16.0</v>
      </c>
      <c r="AK30" s="62"/>
    </row>
    <row r="31">
      <c r="A31" s="62"/>
      <c r="B31" s="62"/>
      <c r="C31" s="62"/>
      <c r="D31" s="62"/>
      <c r="E31" s="62"/>
      <c r="F31" s="62" t="s">
        <v>79</v>
      </c>
      <c r="G31" s="389">
        <v>15.75</v>
      </c>
      <c r="AK31" s="62"/>
    </row>
    <row r="32">
      <c r="A32" s="62"/>
      <c r="B32" s="62"/>
      <c r="C32" s="62"/>
      <c r="D32" s="62"/>
      <c r="E32" s="62"/>
      <c r="F32" s="62" t="s">
        <v>131</v>
      </c>
      <c r="G32" s="389">
        <v>15.0</v>
      </c>
      <c r="AK32" s="62"/>
    </row>
    <row r="33">
      <c r="A33" s="62"/>
      <c r="B33" s="62"/>
      <c r="C33" s="62"/>
      <c r="D33" s="62"/>
      <c r="E33" s="62"/>
      <c r="F33" s="62" t="s">
        <v>102</v>
      </c>
      <c r="G33" s="389">
        <v>12.0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115</v>
      </c>
      <c r="C6" s="580">
        <f t="shared" ref="C6:C15" si="1">SUM(H6:AK6)</f>
        <v>21.25</v>
      </c>
      <c r="D6" s="581">
        <f t="shared" ref="D6:D15" si="2">E6/2.5</f>
        <v>3</v>
      </c>
      <c r="E6" s="582">
        <f t="shared" ref="E6:E15" si="3">SUM(H6+N6+T6+Z6+AF6+AL6+AR6)</f>
        <v>7.5</v>
      </c>
      <c r="F6" s="583">
        <f t="shared" ref="F6:F15" si="4">C6-E6</f>
        <v>13.75</v>
      </c>
      <c r="G6" s="584" t="s">
        <v>271</v>
      </c>
      <c r="H6" s="597">
        <v>2.5</v>
      </c>
      <c r="I6" s="585">
        <v>2.0</v>
      </c>
      <c r="J6" s="586"/>
      <c r="K6" s="590"/>
      <c r="L6" s="588"/>
      <c r="M6" s="584" t="s">
        <v>261</v>
      </c>
      <c r="N6" s="598"/>
      <c r="O6" s="585">
        <v>2.0</v>
      </c>
      <c r="P6" s="589"/>
      <c r="Q6" s="590"/>
      <c r="R6" s="588"/>
      <c r="S6" s="586" t="s">
        <v>271</v>
      </c>
      <c r="T6" s="597">
        <v>2.5</v>
      </c>
      <c r="U6" s="585">
        <v>3.75</v>
      </c>
      <c r="V6" s="586"/>
      <c r="W6" s="590"/>
      <c r="X6" s="588"/>
      <c r="Y6" s="586" t="s">
        <v>271</v>
      </c>
      <c r="Z6" s="597">
        <v>2.5</v>
      </c>
      <c r="AA6" s="591">
        <v>3.0</v>
      </c>
      <c r="AB6" s="589"/>
      <c r="AC6" s="590"/>
      <c r="AD6" s="588"/>
      <c r="AE6" s="586" t="s">
        <v>261</v>
      </c>
      <c r="AF6" s="598"/>
      <c r="AG6" s="585">
        <v>3.0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114</v>
      </c>
      <c r="C7" s="580">
        <f t="shared" si="1"/>
        <v>19.5</v>
      </c>
      <c r="D7" s="594">
        <f t="shared" si="2"/>
        <v>2</v>
      </c>
      <c r="E7" s="595">
        <f t="shared" si="3"/>
        <v>5</v>
      </c>
      <c r="F7" s="596">
        <f t="shared" si="4"/>
        <v>14.5</v>
      </c>
      <c r="G7" s="584" t="s">
        <v>269</v>
      </c>
      <c r="H7" s="598"/>
      <c r="I7" s="585">
        <v>2.5</v>
      </c>
      <c r="J7" s="586"/>
      <c r="K7" s="590"/>
      <c r="L7" s="588"/>
      <c r="M7" s="584" t="s">
        <v>261</v>
      </c>
      <c r="N7" s="598"/>
      <c r="O7" s="585">
        <v>1.5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/>
      <c r="W7" s="590"/>
      <c r="X7" s="588"/>
      <c r="Y7" s="586" t="s">
        <v>261</v>
      </c>
      <c r="Z7" s="597">
        <v>2.5</v>
      </c>
      <c r="AA7" s="591">
        <v>3.75</v>
      </c>
      <c r="AB7" s="586"/>
      <c r="AC7" s="585"/>
      <c r="AD7" s="587"/>
      <c r="AE7" s="586" t="s">
        <v>261</v>
      </c>
      <c r="AF7" s="598"/>
      <c r="AG7" s="585">
        <v>3.0</v>
      </c>
      <c r="AH7" s="586"/>
      <c r="AI7" s="590"/>
      <c r="AJ7" s="587"/>
      <c r="AK7" s="588"/>
      <c r="AL7" s="593"/>
    </row>
    <row r="8">
      <c r="A8" s="578">
        <v>3.0</v>
      </c>
      <c r="B8" s="579" t="s">
        <v>106</v>
      </c>
      <c r="C8" s="580">
        <f t="shared" si="1"/>
        <v>17.25</v>
      </c>
      <c r="D8" s="594">
        <f t="shared" si="2"/>
        <v>1</v>
      </c>
      <c r="E8" s="595">
        <f t="shared" si="3"/>
        <v>2.5</v>
      </c>
      <c r="F8" s="596">
        <f t="shared" si="4"/>
        <v>14.75</v>
      </c>
      <c r="G8" s="584" t="s">
        <v>265</v>
      </c>
      <c r="H8" s="590"/>
      <c r="I8" s="585">
        <v>3.0</v>
      </c>
      <c r="J8" s="589"/>
      <c r="K8" s="590"/>
      <c r="L8" s="588"/>
      <c r="M8" s="584" t="s">
        <v>261</v>
      </c>
      <c r="N8" s="590"/>
      <c r="O8" s="585">
        <v>3.5</v>
      </c>
      <c r="P8" s="589"/>
      <c r="Q8" s="590"/>
      <c r="R8" s="588"/>
      <c r="S8" s="586" t="s">
        <v>261</v>
      </c>
      <c r="T8" s="585">
        <v>2.5</v>
      </c>
      <c r="U8" s="585">
        <v>3.0</v>
      </c>
      <c r="V8" s="586"/>
      <c r="W8" s="590"/>
      <c r="X8" s="587"/>
      <c r="Y8" s="586" t="s">
        <v>265</v>
      </c>
      <c r="Z8" s="590"/>
      <c r="AA8" s="585">
        <v>2.0</v>
      </c>
      <c r="AB8" s="589"/>
      <c r="AC8" s="590"/>
      <c r="AD8" s="588"/>
      <c r="AE8" s="586" t="s">
        <v>271</v>
      </c>
      <c r="AF8" s="590"/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82</v>
      </c>
      <c r="C9" s="580">
        <f t="shared" si="1"/>
        <v>27</v>
      </c>
      <c r="D9" s="594">
        <f t="shared" si="2"/>
        <v>4</v>
      </c>
      <c r="E9" s="595">
        <f t="shared" si="3"/>
        <v>10</v>
      </c>
      <c r="F9" s="596">
        <f t="shared" si="4"/>
        <v>17</v>
      </c>
      <c r="G9" s="584" t="s">
        <v>261</v>
      </c>
      <c r="H9" s="585">
        <v>2.5</v>
      </c>
      <c r="I9" s="585">
        <v>2.25</v>
      </c>
      <c r="J9" s="586" t="s">
        <v>11</v>
      </c>
      <c r="K9" s="590"/>
      <c r="L9" s="587">
        <v>0.5</v>
      </c>
      <c r="M9" s="584" t="s">
        <v>261</v>
      </c>
      <c r="N9" s="590"/>
      <c r="O9" s="585">
        <v>1.75</v>
      </c>
      <c r="P9" s="586" t="s">
        <v>11</v>
      </c>
      <c r="Q9" s="590"/>
      <c r="R9" s="587">
        <v>1.0</v>
      </c>
      <c r="S9" s="586" t="s">
        <v>261</v>
      </c>
      <c r="T9" s="585">
        <v>2.5</v>
      </c>
      <c r="U9" s="585">
        <v>3.75</v>
      </c>
      <c r="V9" s="586"/>
      <c r="W9" s="590"/>
      <c r="X9" s="588"/>
      <c r="Y9" s="586" t="s">
        <v>261</v>
      </c>
      <c r="Z9" s="585">
        <v>2.5</v>
      </c>
      <c r="AA9" s="591">
        <v>2.75</v>
      </c>
      <c r="AB9" s="586" t="s">
        <v>11</v>
      </c>
      <c r="AC9" s="590"/>
      <c r="AD9" s="587">
        <v>1.5</v>
      </c>
      <c r="AE9" s="586" t="s">
        <v>269</v>
      </c>
      <c r="AF9" s="585">
        <v>2.5</v>
      </c>
      <c r="AG9" s="585">
        <v>3.5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83</v>
      </c>
      <c r="C10" s="580">
        <f t="shared" si="1"/>
        <v>17.25</v>
      </c>
      <c r="D10" s="594">
        <f t="shared" si="2"/>
        <v>2</v>
      </c>
      <c r="E10" s="595">
        <f t="shared" si="3"/>
        <v>5</v>
      </c>
      <c r="F10" s="596">
        <f t="shared" si="4"/>
        <v>12.25</v>
      </c>
      <c r="G10" s="584" t="s">
        <v>261</v>
      </c>
      <c r="H10" s="585">
        <v>2.5</v>
      </c>
      <c r="I10" s="585">
        <v>3.0</v>
      </c>
      <c r="J10" s="589"/>
      <c r="K10" s="590"/>
      <c r="L10" s="588"/>
      <c r="M10" s="584" t="s">
        <v>261</v>
      </c>
      <c r="N10" s="590"/>
      <c r="O10" s="585">
        <v>1.5</v>
      </c>
      <c r="P10" s="586"/>
      <c r="Q10" s="590"/>
      <c r="R10" s="587"/>
      <c r="S10" s="586" t="s">
        <v>269</v>
      </c>
      <c r="T10" s="590"/>
      <c r="U10" s="585">
        <v>1.75</v>
      </c>
      <c r="V10" s="586"/>
      <c r="W10" s="590"/>
      <c r="X10" s="588"/>
      <c r="Y10" s="586" t="s">
        <v>261</v>
      </c>
      <c r="Z10" s="585">
        <v>2.5</v>
      </c>
      <c r="AA10" s="591">
        <v>3.25</v>
      </c>
      <c r="AB10" s="586"/>
      <c r="AC10" s="590"/>
      <c r="AD10" s="587"/>
      <c r="AE10" s="586" t="s">
        <v>261</v>
      </c>
      <c r="AF10" s="590"/>
      <c r="AG10" s="585">
        <v>2.75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98</v>
      </c>
      <c r="C11" s="580">
        <f t="shared" si="1"/>
        <v>20.75</v>
      </c>
      <c r="D11" s="594">
        <f t="shared" si="2"/>
        <v>3</v>
      </c>
      <c r="E11" s="595">
        <f t="shared" si="3"/>
        <v>7.5</v>
      </c>
      <c r="F11" s="596">
        <f t="shared" si="4"/>
        <v>13.25</v>
      </c>
      <c r="G11" s="584" t="s">
        <v>261</v>
      </c>
      <c r="H11" s="585">
        <v>2.5</v>
      </c>
      <c r="I11" s="585">
        <v>2.0</v>
      </c>
      <c r="J11" s="586"/>
      <c r="K11" s="590"/>
      <c r="L11" s="588"/>
      <c r="M11" s="584" t="s">
        <v>265</v>
      </c>
      <c r="N11" s="585">
        <v>2.5</v>
      </c>
      <c r="O11" s="585">
        <v>4.0</v>
      </c>
      <c r="P11" s="586"/>
      <c r="Q11" s="585"/>
      <c r="R11" s="587"/>
      <c r="S11" s="586" t="s">
        <v>265</v>
      </c>
      <c r="T11" s="590"/>
      <c r="U11" s="585">
        <v>0.5</v>
      </c>
      <c r="V11" s="589"/>
      <c r="W11" s="590"/>
      <c r="X11" s="588"/>
      <c r="Y11" s="586" t="s">
        <v>261</v>
      </c>
      <c r="Z11" s="585">
        <v>2.5</v>
      </c>
      <c r="AA11" s="591">
        <v>3.25</v>
      </c>
      <c r="AB11" s="589"/>
      <c r="AC11" s="590"/>
      <c r="AD11" s="588"/>
      <c r="AE11" s="586" t="s">
        <v>261</v>
      </c>
      <c r="AF11" s="590"/>
      <c r="AG11" s="585">
        <v>3.5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97</v>
      </c>
      <c r="C12" s="580">
        <f t="shared" si="1"/>
        <v>22.25</v>
      </c>
      <c r="D12" s="594">
        <f t="shared" si="2"/>
        <v>3</v>
      </c>
      <c r="E12" s="595">
        <f t="shared" si="3"/>
        <v>7.5</v>
      </c>
      <c r="F12" s="596">
        <f t="shared" si="4"/>
        <v>14.75</v>
      </c>
      <c r="G12" s="584" t="s">
        <v>261</v>
      </c>
      <c r="H12" s="585">
        <v>2.5</v>
      </c>
      <c r="I12" s="585">
        <v>2.5</v>
      </c>
      <c r="J12" s="586"/>
      <c r="K12" s="590"/>
      <c r="L12" s="588"/>
      <c r="M12" s="584" t="s">
        <v>261</v>
      </c>
      <c r="N12" s="590"/>
      <c r="O12" s="585">
        <v>2.25</v>
      </c>
      <c r="P12" s="589"/>
      <c r="Q12" s="590"/>
      <c r="R12" s="588"/>
      <c r="S12" s="586" t="s">
        <v>261</v>
      </c>
      <c r="T12" s="585">
        <v>2.5</v>
      </c>
      <c r="U12" s="585">
        <v>4.0</v>
      </c>
      <c r="V12" s="586"/>
      <c r="W12" s="590"/>
      <c r="X12" s="587"/>
      <c r="Y12" s="586" t="s">
        <v>269</v>
      </c>
      <c r="Z12" s="590"/>
      <c r="AA12" s="585">
        <v>2.5</v>
      </c>
      <c r="AB12" s="589"/>
      <c r="AC12" s="590"/>
      <c r="AD12" s="588"/>
      <c r="AE12" s="586" t="s">
        <v>265</v>
      </c>
      <c r="AF12" s="585">
        <v>2.5</v>
      </c>
      <c r="AG12" s="585">
        <v>3.5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105</v>
      </c>
      <c r="C13" s="580">
        <f t="shared" si="1"/>
        <v>19</v>
      </c>
      <c r="D13" s="594">
        <f t="shared" si="2"/>
        <v>3</v>
      </c>
      <c r="E13" s="595">
        <f t="shared" si="3"/>
        <v>7.5</v>
      </c>
      <c r="F13" s="596">
        <f t="shared" si="4"/>
        <v>11.5</v>
      </c>
      <c r="G13" s="584" t="s">
        <v>261</v>
      </c>
      <c r="H13" s="597">
        <v>2.5</v>
      </c>
      <c r="I13" s="585">
        <v>2.75</v>
      </c>
      <c r="J13" s="586"/>
      <c r="K13" s="585"/>
      <c r="L13" s="588"/>
      <c r="M13" s="584" t="s">
        <v>269</v>
      </c>
      <c r="N13" s="597">
        <v>2.5</v>
      </c>
      <c r="O13" s="585">
        <v>3.5</v>
      </c>
      <c r="P13" s="589"/>
      <c r="Q13" s="590"/>
      <c r="R13" s="588"/>
      <c r="S13" s="586" t="s">
        <v>261</v>
      </c>
      <c r="T13" s="597">
        <v>2.5</v>
      </c>
      <c r="U13" s="585">
        <v>2.5</v>
      </c>
      <c r="V13" s="586"/>
      <c r="W13" s="590"/>
      <c r="X13" s="588"/>
      <c r="Y13" s="586" t="s">
        <v>269</v>
      </c>
      <c r="Z13" s="598"/>
      <c r="AA13" s="591">
        <v>1.5</v>
      </c>
      <c r="AB13" s="589"/>
      <c r="AC13" s="590"/>
      <c r="AD13" s="588"/>
      <c r="AE13" s="586" t="s">
        <v>261</v>
      </c>
      <c r="AF13" s="598"/>
      <c r="AG13" s="585">
        <v>1.25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121</v>
      </c>
      <c r="C14" s="580">
        <f t="shared" si="1"/>
        <v>29</v>
      </c>
      <c r="D14" s="594">
        <f t="shared" si="2"/>
        <v>4</v>
      </c>
      <c r="E14" s="595">
        <f t="shared" si="3"/>
        <v>10</v>
      </c>
      <c r="F14" s="596">
        <f t="shared" si="4"/>
        <v>19</v>
      </c>
      <c r="G14" s="584" t="s">
        <v>261</v>
      </c>
      <c r="H14" s="585">
        <v>2.5</v>
      </c>
      <c r="I14" s="585">
        <v>4.25</v>
      </c>
      <c r="J14" s="586"/>
      <c r="K14" s="585"/>
      <c r="L14" s="587"/>
      <c r="M14" s="584" t="s">
        <v>269</v>
      </c>
      <c r="N14" s="585">
        <v>2.5</v>
      </c>
      <c r="O14" s="585">
        <v>3.75</v>
      </c>
      <c r="P14" s="586"/>
      <c r="Q14" s="585"/>
      <c r="R14" s="588"/>
      <c r="S14" s="586" t="s">
        <v>261</v>
      </c>
      <c r="T14" s="585">
        <v>2.5</v>
      </c>
      <c r="U14" s="585">
        <v>3.25</v>
      </c>
      <c r="V14" s="586" t="s">
        <v>11</v>
      </c>
      <c r="W14" s="585">
        <v>0.5</v>
      </c>
      <c r="X14" s="587">
        <v>0.5</v>
      </c>
      <c r="Y14" s="586" t="s">
        <v>261</v>
      </c>
      <c r="Z14" s="585">
        <v>2.5</v>
      </c>
      <c r="AA14" s="591">
        <v>3.0</v>
      </c>
      <c r="AB14" s="589"/>
      <c r="AC14" s="590"/>
      <c r="AD14" s="588"/>
      <c r="AE14" s="586" t="s">
        <v>261</v>
      </c>
      <c r="AF14" s="590"/>
      <c r="AG14" s="585">
        <v>2.75</v>
      </c>
      <c r="AH14" s="586" t="s">
        <v>11</v>
      </c>
      <c r="AI14" s="590"/>
      <c r="AJ14" s="587">
        <v>1.0</v>
      </c>
      <c r="AK14" s="588"/>
      <c r="AL14" s="593"/>
    </row>
    <row r="15">
      <c r="A15" s="601">
        <v>10.0</v>
      </c>
      <c r="B15" s="602" t="s">
        <v>91</v>
      </c>
      <c r="C15" s="580">
        <f t="shared" si="1"/>
        <v>16</v>
      </c>
      <c r="D15" s="603">
        <f t="shared" si="2"/>
        <v>2</v>
      </c>
      <c r="E15" s="604">
        <f t="shared" si="3"/>
        <v>5</v>
      </c>
      <c r="F15" s="605">
        <f t="shared" si="4"/>
        <v>11</v>
      </c>
      <c r="G15" s="606" t="s">
        <v>269</v>
      </c>
      <c r="H15" s="609"/>
      <c r="I15" s="607">
        <v>1.75</v>
      </c>
      <c r="J15" s="608"/>
      <c r="K15" s="609"/>
      <c r="L15" s="610"/>
      <c r="M15" s="606" t="s">
        <v>271</v>
      </c>
      <c r="N15" s="609"/>
      <c r="O15" s="607">
        <v>1.25</v>
      </c>
      <c r="P15" s="608"/>
      <c r="Q15" s="609"/>
      <c r="R15" s="610"/>
      <c r="S15" s="611" t="s">
        <v>269</v>
      </c>
      <c r="T15" s="609"/>
      <c r="U15" s="607">
        <v>2.25</v>
      </c>
      <c r="V15" s="611"/>
      <c r="W15" s="609"/>
      <c r="X15" s="610"/>
      <c r="Y15" s="611" t="s">
        <v>261</v>
      </c>
      <c r="Z15" s="607">
        <v>2.5</v>
      </c>
      <c r="AA15" s="650">
        <v>2.5</v>
      </c>
      <c r="AB15" s="608"/>
      <c r="AC15" s="609"/>
      <c r="AD15" s="610"/>
      <c r="AE15" s="611" t="s">
        <v>269</v>
      </c>
      <c r="AF15" s="607">
        <v>2.5</v>
      </c>
      <c r="AG15" s="607">
        <v>3.25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268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257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BWDMoscow</v>
      </c>
      <c r="G24" s="389">
        <v>29.0</v>
      </c>
      <c r="AK24" s="62"/>
    </row>
    <row r="25">
      <c r="A25" s="629"/>
      <c r="B25" s="629"/>
      <c r="C25" s="629"/>
      <c r="D25" s="629"/>
      <c r="F25" s="384" t="s">
        <v>82</v>
      </c>
      <c r="G25" s="389">
        <v>27.0</v>
      </c>
      <c r="AK25" s="62"/>
    </row>
    <row r="26">
      <c r="A26" s="630">
        <v>4.0</v>
      </c>
      <c r="B26" s="631" t="s">
        <v>91</v>
      </c>
      <c r="C26" s="631" t="s">
        <v>16</v>
      </c>
      <c r="D26" s="630">
        <v>-0.5</v>
      </c>
      <c r="E26" s="632"/>
      <c r="F26" s="632" t="s">
        <v>97</v>
      </c>
      <c r="G26" s="389">
        <v>22.25</v>
      </c>
      <c r="AK26" s="62"/>
    </row>
    <row r="27">
      <c r="A27" s="62"/>
      <c r="B27" s="62"/>
      <c r="C27" s="62"/>
      <c r="D27" s="62"/>
      <c r="E27" s="62"/>
      <c r="F27" s="62" t="s">
        <v>115</v>
      </c>
      <c r="G27" s="389">
        <v>21.25</v>
      </c>
      <c r="AK27" s="62"/>
    </row>
    <row r="28">
      <c r="A28" s="62"/>
      <c r="B28" s="62"/>
      <c r="C28" s="62"/>
      <c r="D28" s="62"/>
      <c r="E28" s="62"/>
      <c r="F28" s="62" t="s">
        <v>98</v>
      </c>
      <c r="G28" s="389">
        <v>20.75</v>
      </c>
      <c r="AK28" s="62"/>
    </row>
    <row r="29">
      <c r="A29" s="62"/>
      <c r="B29" s="62"/>
      <c r="C29" s="62"/>
      <c r="D29" s="62"/>
      <c r="E29" s="62"/>
      <c r="F29" s="62" t="s">
        <v>114</v>
      </c>
      <c r="G29" s="389">
        <v>19.5</v>
      </c>
      <c r="AK29" s="62"/>
    </row>
    <row r="30">
      <c r="A30" s="62"/>
      <c r="B30" s="62"/>
      <c r="C30" s="62"/>
      <c r="D30" s="62"/>
      <c r="E30" s="62"/>
      <c r="F30" s="62" t="s">
        <v>105</v>
      </c>
      <c r="G30" s="389">
        <v>19.0</v>
      </c>
      <c r="AK30" s="62"/>
    </row>
    <row r="31">
      <c r="A31" s="62"/>
      <c r="B31" s="62"/>
      <c r="C31" s="62"/>
      <c r="D31" s="62"/>
      <c r="E31" s="62"/>
      <c r="F31" s="62" t="s">
        <v>106</v>
      </c>
      <c r="G31" s="389">
        <v>17.25</v>
      </c>
      <c r="AK31" s="62"/>
    </row>
    <row r="32">
      <c r="A32" s="62"/>
      <c r="B32" s="62"/>
      <c r="C32" s="62"/>
      <c r="D32" s="62"/>
      <c r="E32" s="62"/>
      <c r="F32" s="62" t="s">
        <v>83</v>
      </c>
      <c r="G32" s="389">
        <v>17.25</v>
      </c>
      <c r="AK32" s="62"/>
    </row>
    <row r="33">
      <c r="A33" s="62"/>
      <c r="B33" s="62"/>
      <c r="C33" s="62"/>
      <c r="D33" s="62"/>
      <c r="E33" s="62"/>
      <c r="F33" s="62" t="s">
        <v>91</v>
      </c>
      <c r="G33" s="389">
        <v>16.0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115</v>
      </c>
      <c r="C6" s="580">
        <f t="shared" ref="C6:C15" si="1">SUM(H6:AK6)</f>
        <v>25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15</v>
      </c>
      <c r="G6" s="584" t="s">
        <v>261</v>
      </c>
      <c r="H6" s="597">
        <v>2.5</v>
      </c>
      <c r="I6" s="585">
        <v>4.25</v>
      </c>
      <c r="J6" s="586"/>
      <c r="K6" s="590"/>
      <c r="L6" s="588"/>
      <c r="M6" s="584" t="s">
        <v>261</v>
      </c>
      <c r="N6" s="597">
        <v>2.5</v>
      </c>
      <c r="O6" s="585">
        <v>2.75</v>
      </c>
      <c r="P6" s="589"/>
      <c r="Q6" s="590"/>
      <c r="R6" s="588"/>
      <c r="S6" s="586" t="s">
        <v>269</v>
      </c>
      <c r="T6" s="598"/>
      <c r="U6" s="585">
        <v>1.5</v>
      </c>
      <c r="V6" s="586"/>
      <c r="W6" s="590"/>
      <c r="X6" s="588"/>
      <c r="Y6" s="586" t="s">
        <v>269</v>
      </c>
      <c r="Z6" s="597">
        <v>2.5</v>
      </c>
      <c r="AA6" s="651">
        <v>2.0</v>
      </c>
      <c r="AB6" s="589"/>
      <c r="AC6" s="590"/>
      <c r="AD6" s="588"/>
      <c r="AE6" s="586" t="s">
        <v>261</v>
      </c>
      <c r="AF6" s="597">
        <v>2.5</v>
      </c>
      <c r="AG6" s="585">
        <v>4.5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128</v>
      </c>
      <c r="C7" s="580">
        <f t="shared" si="1"/>
        <v>17.5</v>
      </c>
      <c r="D7" s="594">
        <f t="shared" si="2"/>
        <v>2</v>
      </c>
      <c r="E7" s="595">
        <f t="shared" si="3"/>
        <v>5</v>
      </c>
      <c r="F7" s="596">
        <f t="shared" si="4"/>
        <v>12.5</v>
      </c>
      <c r="G7" s="584" t="s">
        <v>269</v>
      </c>
      <c r="H7" s="598"/>
      <c r="I7" s="585">
        <v>1.75</v>
      </c>
      <c r="J7" s="586"/>
      <c r="K7" s="590"/>
      <c r="L7" s="588"/>
      <c r="M7" s="584" t="s">
        <v>265</v>
      </c>
      <c r="N7" s="598"/>
      <c r="O7" s="585">
        <v>2.0</v>
      </c>
      <c r="P7" s="586" t="s">
        <v>263</v>
      </c>
      <c r="Q7" s="590"/>
      <c r="R7" s="588"/>
      <c r="S7" s="586" t="s">
        <v>261</v>
      </c>
      <c r="T7" s="597">
        <v>2.5</v>
      </c>
      <c r="U7" s="585">
        <v>2.5</v>
      </c>
      <c r="V7" s="586"/>
      <c r="W7" s="590"/>
      <c r="X7" s="588"/>
      <c r="Y7" s="586" t="s">
        <v>261</v>
      </c>
      <c r="Z7" s="598"/>
      <c r="AA7" s="591">
        <v>3.25</v>
      </c>
      <c r="AB7" s="586"/>
      <c r="AC7" s="585"/>
      <c r="AD7" s="587"/>
      <c r="AE7" s="586" t="s">
        <v>261</v>
      </c>
      <c r="AF7" s="597">
        <v>2.5</v>
      </c>
      <c r="AG7" s="585">
        <v>3.0</v>
      </c>
      <c r="AH7" s="586"/>
      <c r="AI7" s="590"/>
      <c r="AJ7" s="587"/>
      <c r="AK7" s="588"/>
      <c r="AL7" s="593"/>
    </row>
    <row r="8">
      <c r="A8" s="578">
        <v>3.0</v>
      </c>
      <c r="B8" s="579" t="s">
        <v>134</v>
      </c>
      <c r="C8" s="580">
        <f t="shared" si="1"/>
        <v>16</v>
      </c>
      <c r="D8" s="594">
        <f t="shared" si="2"/>
        <v>2</v>
      </c>
      <c r="E8" s="595">
        <f t="shared" si="3"/>
        <v>5</v>
      </c>
      <c r="F8" s="596">
        <f t="shared" si="4"/>
        <v>11</v>
      </c>
      <c r="G8" s="584" t="s">
        <v>265</v>
      </c>
      <c r="H8" s="590"/>
      <c r="I8" s="585">
        <v>1.5</v>
      </c>
      <c r="J8" s="589"/>
      <c r="K8" s="590"/>
      <c r="L8" s="588"/>
      <c r="M8" s="584" t="s">
        <v>261</v>
      </c>
      <c r="N8" s="585">
        <v>2.5</v>
      </c>
      <c r="O8" s="585">
        <v>3.0</v>
      </c>
      <c r="P8" s="586" t="s">
        <v>260</v>
      </c>
      <c r="Q8" s="590"/>
      <c r="R8" s="588"/>
      <c r="S8" s="586" t="s">
        <v>265</v>
      </c>
      <c r="T8" s="590"/>
      <c r="U8" s="585">
        <v>2.25</v>
      </c>
      <c r="V8" s="586"/>
      <c r="W8" s="590"/>
      <c r="X8" s="587"/>
      <c r="Y8" s="586" t="s">
        <v>269</v>
      </c>
      <c r="Z8" s="585">
        <v>2.5</v>
      </c>
      <c r="AA8" s="585">
        <v>2.25</v>
      </c>
      <c r="AB8" s="589"/>
      <c r="AC8" s="590"/>
      <c r="AD8" s="588"/>
      <c r="AE8" s="586" t="s">
        <v>269</v>
      </c>
      <c r="AF8" s="590"/>
      <c r="AG8" s="585">
        <v>2.0</v>
      </c>
      <c r="AH8" s="589"/>
      <c r="AI8" s="590"/>
      <c r="AJ8" s="588"/>
      <c r="AK8" s="588"/>
      <c r="AL8" s="593"/>
    </row>
    <row r="9">
      <c r="A9" s="578">
        <v>4.0</v>
      </c>
      <c r="B9" s="579" t="s">
        <v>121</v>
      </c>
      <c r="C9" s="580">
        <f t="shared" si="1"/>
        <v>22.25</v>
      </c>
      <c r="D9" s="594">
        <f t="shared" si="2"/>
        <v>2</v>
      </c>
      <c r="E9" s="595">
        <f t="shared" si="3"/>
        <v>5</v>
      </c>
      <c r="F9" s="596">
        <f t="shared" si="4"/>
        <v>17.25</v>
      </c>
      <c r="G9" s="584" t="s">
        <v>269</v>
      </c>
      <c r="H9" s="590"/>
      <c r="I9" s="585">
        <v>2.5</v>
      </c>
      <c r="J9" s="586"/>
      <c r="K9" s="590"/>
      <c r="L9" s="588"/>
      <c r="M9" s="584" t="s">
        <v>261</v>
      </c>
      <c r="N9" s="585">
        <v>2.5</v>
      </c>
      <c r="O9" s="585">
        <v>3.0</v>
      </c>
      <c r="P9" s="586" t="s">
        <v>11</v>
      </c>
      <c r="Q9" s="590"/>
      <c r="R9" s="587">
        <v>0.5</v>
      </c>
      <c r="S9" s="586" t="s">
        <v>261</v>
      </c>
      <c r="T9" s="585">
        <v>2.5</v>
      </c>
      <c r="U9" s="585">
        <v>4.0</v>
      </c>
      <c r="V9" s="586"/>
      <c r="W9" s="590"/>
      <c r="X9" s="588"/>
      <c r="Y9" s="586" t="s">
        <v>271</v>
      </c>
      <c r="Z9" s="590"/>
      <c r="AA9" s="591">
        <v>2.75</v>
      </c>
      <c r="AB9" s="586" t="s">
        <v>11</v>
      </c>
      <c r="AC9" s="585">
        <v>0.5</v>
      </c>
      <c r="AD9" s="587">
        <v>1.0</v>
      </c>
      <c r="AE9" s="586" t="s">
        <v>265</v>
      </c>
      <c r="AF9" s="590"/>
      <c r="AG9" s="585">
        <v>3.0</v>
      </c>
      <c r="AH9" s="586" t="s">
        <v>263</v>
      </c>
      <c r="AI9" s="590"/>
      <c r="AJ9" s="588"/>
      <c r="AK9" s="599"/>
      <c r="AL9" s="593"/>
    </row>
    <row r="10">
      <c r="A10" s="578">
        <v>5.0</v>
      </c>
      <c r="B10" s="579" t="s">
        <v>94</v>
      </c>
      <c r="C10" s="580">
        <f t="shared" si="1"/>
        <v>20.75</v>
      </c>
      <c r="D10" s="594">
        <f t="shared" si="2"/>
        <v>3</v>
      </c>
      <c r="E10" s="595">
        <f t="shared" si="3"/>
        <v>7.5</v>
      </c>
      <c r="F10" s="596">
        <f t="shared" si="4"/>
        <v>13.25</v>
      </c>
      <c r="G10" s="584" t="s">
        <v>261</v>
      </c>
      <c r="H10" s="585">
        <v>2.5</v>
      </c>
      <c r="I10" s="585">
        <v>2.75</v>
      </c>
      <c r="J10" s="589"/>
      <c r="K10" s="590"/>
      <c r="L10" s="588"/>
      <c r="M10" s="584" t="s">
        <v>261</v>
      </c>
      <c r="N10" s="585">
        <v>2.5</v>
      </c>
      <c r="O10" s="585">
        <v>3.25</v>
      </c>
      <c r="P10" s="586" t="s">
        <v>260</v>
      </c>
      <c r="Q10" s="590"/>
      <c r="R10" s="587"/>
      <c r="S10" s="586" t="s">
        <v>271</v>
      </c>
      <c r="T10" s="585">
        <v>2.5</v>
      </c>
      <c r="U10" s="585">
        <v>3.25</v>
      </c>
      <c r="V10" s="586"/>
      <c r="W10" s="590"/>
      <c r="X10" s="588"/>
      <c r="Y10" s="586" t="s">
        <v>261</v>
      </c>
      <c r="Z10" s="590"/>
      <c r="AA10" s="591">
        <v>2.0</v>
      </c>
      <c r="AB10" s="586" t="s">
        <v>263</v>
      </c>
      <c r="AC10" s="590"/>
      <c r="AD10" s="587"/>
      <c r="AE10" s="586" t="s">
        <v>269</v>
      </c>
      <c r="AF10" s="590"/>
      <c r="AG10" s="585">
        <v>2.0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103</v>
      </c>
      <c r="C11" s="580">
        <f t="shared" si="1"/>
        <v>19.5</v>
      </c>
      <c r="D11" s="594">
        <f t="shared" si="2"/>
        <v>3</v>
      </c>
      <c r="E11" s="595">
        <f t="shared" si="3"/>
        <v>7.5</v>
      </c>
      <c r="F11" s="596">
        <f t="shared" si="4"/>
        <v>12</v>
      </c>
      <c r="G11" s="584" t="s">
        <v>271</v>
      </c>
      <c r="H11" s="585">
        <v>2.5</v>
      </c>
      <c r="I11" s="585">
        <v>3.5</v>
      </c>
      <c r="J11" s="586"/>
      <c r="K11" s="590"/>
      <c r="L11" s="588"/>
      <c r="M11" s="584" t="s">
        <v>261</v>
      </c>
      <c r="N11" s="585">
        <v>2.5</v>
      </c>
      <c r="O11" s="585">
        <v>4.5</v>
      </c>
      <c r="P11" s="586"/>
      <c r="Q11" s="585"/>
      <c r="R11" s="587"/>
      <c r="S11" s="586" t="s">
        <v>269</v>
      </c>
      <c r="T11" s="590"/>
      <c r="U11" s="585">
        <v>1.0</v>
      </c>
      <c r="V11" s="589"/>
      <c r="W11" s="590"/>
      <c r="X11" s="588"/>
      <c r="Y11" s="586" t="s">
        <v>261</v>
      </c>
      <c r="Z11" s="590"/>
      <c r="AA11" s="651">
        <v>1.25</v>
      </c>
      <c r="AB11" s="586" t="s">
        <v>263</v>
      </c>
      <c r="AC11" s="590"/>
      <c r="AD11" s="588"/>
      <c r="AE11" s="586" t="s">
        <v>261</v>
      </c>
      <c r="AF11" s="585">
        <v>2.5</v>
      </c>
      <c r="AG11" s="585">
        <v>2.75</v>
      </c>
      <c r="AH11" s="586" t="s">
        <v>260</v>
      </c>
      <c r="AI11" s="590"/>
      <c r="AJ11" s="588"/>
      <c r="AK11" s="587">
        <v>-1.0</v>
      </c>
      <c r="AL11" s="593"/>
    </row>
    <row r="12">
      <c r="A12" s="578">
        <v>7.0</v>
      </c>
      <c r="B12" s="579" t="s">
        <v>83</v>
      </c>
      <c r="C12" s="580">
        <f t="shared" si="1"/>
        <v>25.5</v>
      </c>
      <c r="D12" s="594">
        <f t="shared" si="2"/>
        <v>4</v>
      </c>
      <c r="E12" s="595">
        <f t="shared" si="3"/>
        <v>10</v>
      </c>
      <c r="F12" s="596">
        <f t="shared" si="4"/>
        <v>15.5</v>
      </c>
      <c r="G12" s="584" t="s">
        <v>261</v>
      </c>
      <c r="H12" s="585">
        <v>2.5</v>
      </c>
      <c r="I12" s="585">
        <v>3.25</v>
      </c>
      <c r="J12" s="586"/>
      <c r="K12" s="590"/>
      <c r="L12" s="588"/>
      <c r="M12" s="584" t="s">
        <v>269</v>
      </c>
      <c r="N12" s="590"/>
      <c r="O12" s="585">
        <v>2.25</v>
      </c>
      <c r="P12" s="589"/>
      <c r="Q12" s="590"/>
      <c r="R12" s="588"/>
      <c r="S12" s="586" t="s">
        <v>261</v>
      </c>
      <c r="T12" s="585">
        <v>2.5</v>
      </c>
      <c r="U12" s="585">
        <v>3.25</v>
      </c>
      <c r="V12" s="586"/>
      <c r="W12" s="590"/>
      <c r="X12" s="587"/>
      <c r="Y12" s="586" t="s">
        <v>265</v>
      </c>
      <c r="Z12" s="585">
        <v>2.5</v>
      </c>
      <c r="AA12" s="585">
        <v>4.25</v>
      </c>
      <c r="AB12" s="586" t="s">
        <v>260</v>
      </c>
      <c r="AC12" s="590"/>
      <c r="AD12" s="588"/>
      <c r="AE12" s="586" t="s">
        <v>261</v>
      </c>
      <c r="AF12" s="585">
        <v>2.5</v>
      </c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90</v>
      </c>
      <c r="C13" s="580">
        <f t="shared" si="1"/>
        <v>22.75</v>
      </c>
      <c r="D13" s="594">
        <f t="shared" si="2"/>
        <v>3</v>
      </c>
      <c r="E13" s="595">
        <f t="shared" si="3"/>
        <v>7.5</v>
      </c>
      <c r="F13" s="596">
        <f t="shared" si="4"/>
        <v>15.25</v>
      </c>
      <c r="G13" s="584" t="s">
        <v>261</v>
      </c>
      <c r="H13" s="597">
        <v>2.5</v>
      </c>
      <c r="I13" s="585">
        <v>4.25</v>
      </c>
      <c r="J13" s="586"/>
      <c r="K13" s="585"/>
      <c r="L13" s="588"/>
      <c r="M13" s="584" t="s">
        <v>269</v>
      </c>
      <c r="N13" s="598"/>
      <c r="O13" s="585">
        <v>2.25</v>
      </c>
      <c r="P13" s="589"/>
      <c r="Q13" s="590"/>
      <c r="R13" s="588"/>
      <c r="S13" s="586" t="s">
        <v>261</v>
      </c>
      <c r="T13" s="597">
        <v>2.5</v>
      </c>
      <c r="U13" s="585">
        <v>3.75</v>
      </c>
      <c r="V13" s="586"/>
      <c r="W13" s="590"/>
      <c r="X13" s="588"/>
      <c r="Y13" s="586" t="s">
        <v>261</v>
      </c>
      <c r="Z13" s="598"/>
      <c r="AA13" s="591">
        <v>2.0</v>
      </c>
      <c r="AB13" s="589"/>
      <c r="AC13" s="590"/>
      <c r="AD13" s="588"/>
      <c r="AE13" s="586" t="s">
        <v>261</v>
      </c>
      <c r="AF13" s="597">
        <v>2.5</v>
      </c>
      <c r="AG13" s="585">
        <v>2.5</v>
      </c>
      <c r="AH13" s="586" t="s">
        <v>11</v>
      </c>
      <c r="AI13" s="590"/>
      <c r="AJ13" s="587">
        <v>0.5</v>
      </c>
      <c r="AK13" s="588"/>
      <c r="AL13" s="593"/>
    </row>
    <row r="14">
      <c r="A14" s="578">
        <v>9.0</v>
      </c>
      <c r="B14" s="579" t="s">
        <v>117</v>
      </c>
      <c r="C14" s="580">
        <f t="shared" si="1"/>
        <v>27.25</v>
      </c>
      <c r="D14" s="594">
        <f t="shared" si="2"/>
        <v>4</v>
      </c>
      <c r="E14" s="595">
        <f t="shared" si="3"/>
        <v>10</v>
      </c>
      <c r="F14" s="596">
        <f t="shared" si="4"/>
        <v>17.25</v>
      </c>
      <c r="G14" s="584" t="s">
        <v>261</v>
      </c>
      <c r="H14" s="585">
        <v>2.5</v>
      </c>
      <c r="I14" s="585">
        <v>2.25</v>
      </c>
      <c r="J14" s="586"/>
      <c r="K14" s="585"/>
      <c r="L14" s="587"/>
      <c r="M14" s="584" t="s">
        <v>271</v>
      </c>
      <c r="N14" s="585">
        <v>2.5</v>
      </c>
      <c r="O14" s="585">
        <v>4.0</v>
      </c>
      <c r="P14" s="586"/>
      <c r="Q14" s="585"/>
      <c r="R14" s="588"/>
      <c r="S14" s="586" t="s">
        <v>261</v>
      </c>
      <c r="T14" s="585">
        <v>2.5</v>
      </c>
      <c r="U14" s="585">
        <v>3.5</v>
      </c>
      <c r="V14" s="589"/>
      <c r="W14" s="590"/>
      <c r="X14" s="588"/>
      <c r="Y14" s="586" t="s">
        <v>261</v>
      </c>
      <c r="Z14" s="590"/>
      <c r="AA14" s="591">
        <v>3.5</v>
      </c>
      <c r="AB14" s="589"/>
      <c r="AC14" s="590"/>
      <c r="AD14" s="588"/>
      <c r="AE14" s="586" t="s">
        <v>271</v>
      </c>
      <c r="AF14" s="585">
        <v>2.5</v>
      </c>
      <c r="AG14" s="585">
        <v>4.0</v>
      </c>
      <c r="AH14" s="586" t="s">
        <v>260</v>
      </c>
      <c r="AI14" s="590"/>
      <c r="AJ14" s="588"/>
      <c r="AK14" s="588"/>
      <c r="AL14" s="593"/>
    </row>
    <row r="15">
      <c r="A15" s="601">
        <v>10.0</v>
      </c>
      <c r="B15" s="602" t="s">
        <v>114</v>
      </c>
      <c r="C15" s="580">
        <f t="shared" si="1"/>
        <v>27.75</v>
      </c>
      <c r="D15" s="603">
        <f t="shared" si="2"/>
        <v>4</v>
      </c>
      <c r="E15" s="604">
        <f t="shared" si="3"/>
        <v>10</v>
      </c>
      <c r="F15" s="605">
        <f t="shared" si="4"/>
        <v>17.75</v>
      </c>
      <c r="G15" s="606" t="s">
        <v>261</v>
      </c>
      <c r="H15" s="607">
        <v>2.5</v>
      </c>
      <c r="I15" s="607">
        <v>4.25</v>
      </c>
      <c r="J15" s="608"/>
      <c r="K15" s="609"/>
      <c r="L15" s="610"/>
      <c r="M15" s="606" t="s">
        <v>261</v>
      </c>
      <c r="N15" s="607">
        <v>2.5</v>
      </c>
      <c r="O15" s="607">
        <v>2.75</v>
      </c>
      <c r="P15" s="608"/>
      <c r="Q15" s="609"/>
      <c r="R15" s="610"/>
      <c r="S15" s="611" t="s">
        <v>261</v>
      </c>
      <c r="T15" s="607">
        <v>2.5</v>
      </c>
      <c r="U15" s="607">
        <v>3.0</v>
      </c>
      <c r="V15" s="611" t="s">
        <v>11</v>
      </c>
      <c r="W15" s="607">
        <v>1.0</v>
      </c>
      <c r="X15" s="612">
        <v>0.5</v>
      </c>
      <c r="Y15" s="611" t="s">
        <v>261</v>
      </c>
      <c r="Z15" s="609"/>
      <c r="AA15" s="634">
        <v>3.0</v>
      </c>
      <c r="AB15" s="608"/>
      <c r="AC15" s="609"/>
      <c r="AD15" s="610"/>
      <c r="AE15" s="611" t="s">
        <v>261</v>
      </c>
      <c r="AF15" s="607">
        <v>2.5</v>
      </c>
      <c r="AG15" s="607">
        <v>3.25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257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257</v>
      </c>
      <c r="T18" s="548"/>
      <c r="U18" s="548"/>
      <c r="V18" s="548"/>
      <c r="W18" s="548"/>
      <c r="X18" s="549"/>
      <c r="Y18" s="621" t="s">
        <v>272</v>
      </c>
      <c r="Z18" s="548"/>
      <c r="AA18" s="548"/>
      <c r="AB18" s="548"/>
      <c r="AC18" s="548"/>
      <c r="AD18" s="549"/>
      <c r="AE18" s="621" t="s">
        <v>267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Фокс</v>
      </c>
      <c r="G24" s="389">
        <v>27.75</v>
      </c>
      <c r="AK24" s="62"/>
    </row>
    <row r="25">
      <c r="A25" s="629"/>
      <c r="B25" s="629"/>
      <c r="C25" s="629"/>
      <c r="D25" s="629"/>
      <c r="F25" s="384" t="s">
        <v>117</v>
      </c>
      <c r="G25" s="389">
        <v>27.25</v>
      </c>
      <c r="AK25" s="62"/>
    </row>
    <row r="26">
      <c r="A26" s="630">
        <v>1.0</v>
      </c>
      <c r="B26" s="631" t="s">
        <v>103</v>
      </c>
      <c r="C26" s="631" t="s">
        <v>412</v>
      </c>
      <c r="D26" s="630">
        <v>1.0</v>
      </c>
      <c r="E26" s="632"/>
      <c r="F26" s="632" t="s">
        <v>83</v>
      </c>
      <c r="G26" s="389">
        <v>25.5</v>
      </c>
      <c r="AK26" s="62"/>
    </row>
    <row r="27">
      <c r="A27" s="631">
        <v>4.0</v>
      </c>
      <c r="B27" s="631" t="s">
        <v>115</v>
      </c>
      <c r="C27" s="631" t="s">
        <v>16</v>
      </c>
      <c r="D27" s="631">
        <v>0.5</v>
      </c>
      <c r="E27" s="62"/>
      <c r="F27" s="62" t="s">
        <v>115</v>
      </c>
      <c r="G27" s="389">
        <v>25.0</v>
      </c>
      <c r="AK27" s="62"/>
    </row>
    <row r="28">
      <c r="A28" s="631">
        <v>4.0</v>
      </c>
      <c r="B28" s="631" t="s">
        <v>103</v>
      </c>
      <c r="C28" s="631" t="s">
        <v>16</v>
      </c>
      <c r="D28" s="631">
        <v>0.5</v>
      </c>
      <c r="E28" s="62"/>
      <c r="F28" s="62" t="s">
        <v>90</v>
      </c>
      <c r="G28" s="389">
        <v>22.75</v>
      </c>
      <c r="AK28" s="62"/>
    </row>
    <row r="29">
      <c r="A29" s="62"/>
      <c r="B29" s="62"/>
      <c r="C29" s="62"/>
      <c r="D29" s="62"/>
      <c r="E29" s="62"/>
      <c r="F29" s="62" t="s">
        <v>121</v>
      </c>
      <c r="G29" s="389">
        <v>22.25</v>
      </c>
      <c r="AK29" s="62"/>
    </row>
    <row r="30">
      <c r="A30" s="62"/>
      <c r="B30" s="62"/>
      <c r="C30" s="62"/>
      <c r="D30" s="62"/>
      <c r="E30" s="62"/>
      <c r="F30" s="62" t="s">
        <v>94</v>
      </c>
      <c r="G30" s="389">
        <v>20.75</v>
      </c>
      <c r="AK30" s="62"/>
    </row>
    <row r="31">
      <c r="A31" s="62"/>
      <c r="B31" s="62"/>
      <c r="C31" s="62"/>
      <c r="D31" s="62"/>
      <c r="E31" s="62"/>
      <c r="F31" s="62" t="s">
        <v>103</v>
      </c>
      <c r="G31" s="389">
        <v>19.5</v>
      </c>
      <c r="AK31" s="62"/>
    </row>
    <row r="32">
      <c r="A32" s="62"/>
      <c r="B32" s="62"/>
      <c r="C32" s="62"/>
      <c r="D32" s="62"/>
      <c r="E32" s="62"/>
      <c r="F32" s="62" t="s">
        <v>128</v>
      </c>
      <c r="G32" s="389">
        <v>17.5</v>
      </c>
      <c r="AK32" s="62"/>
    </row>
    <row r="33">
      <c r="A33" s="62"/>
      <c r="B33" s="62"/>
      <c r="C33" s="62"/>
      <c r="D33" s="62"/>
      <c r="E33" s="62"/>
      <c r="F33" s="62" t="s">
        <v>134</v>
      </c>
      <c r="G33" s="389">
        <v>16.0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122</v>
      </c>
      <c r="C6" s="580">
        <f t="shared" ref="C6:C15" si="1">SUM(H6:AK6)</f>
        <v>14.25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11.75</v>
      </c>
      <c r="G6" s="584" t="s">
        <v>269</v>
      </c>
      <c r="H6" s="598"/>
      <c r="I6" s="585">
        <v>1.75</v>
      </c>
      <c r="J6" s="586"/>
      <c r="K6" s="590"/>
      <c r="L6" s="588"/>
      <c r="M6" s="584" t="s">
        <v>269</v>
      </c>
      <c r="N6" s="598"/>
      <c r="O6" s="585">
        <v>2.5</v>
      </c>
      <c r="P6" s="586" t="s">
        <v>263</v>
      </c>
      <c r="Q6" s="590"/>
      <c r="R6" s="588"/>
      <c r="S6" s="586" t="s">
        <v>261</v>
      </c>
      <c r="T6" s="597">
        <v>2.5</v>
      </c>
      <c r="U6" s="585">
        <v>3.75</v>
      </c>
      <c r="V6" s="586"/>
      <c r="W6" s="590"/>
      <c r="X6" s="588"/>
      <c r="Y6" s="586" t="s">
        <v>261</v>
      </c>
      <c r="Z6" s="598"/>
      <c r="AA6" s="591">
        <v>1.75</v>
      </c>
      <c r="AB6" s="589"/>
      <c r="AC6" s="590"/>
      <c r="AD6" s="588"/>
      <c r="AE6" s="586" t="s">
        <v>261</v>
      </c>
      <c r="AF6" s="598"/>
      <c r="AG6" s="585">
        <v>2.0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133</v>
      </c>
      <c r="C7" s="580">
        <f t="shared" si="1"/>
        <v>20.25</v>
      </c>
      <c r="D7" s="594">
        <f t="shared" si="2"/>
        <v>3</v>
      </c>
      <c r="E7" s="595">
        <f t="shared" si="3"/>
        <v>7.5</v>
      </c>
      <c r="F7" s="596">
        <f t="shared" si="4"/>
        <v>12.75</v>
      </c>
      <c r="G7" s="584" t="s">
        <v>265</v>
      </c>
      <c r="H7" s="598"/>
      <c r="I7" s="585">
        <v>1.5</v>
      </c>
      <c r="J7" s="586"/>
      <c r="K7" s="590"/>
      <c r="L7" s="588"/>
      <c r="M7" s="584" t="s">
        <v>261</v>
      </c>
      <c r="N7" s="597">
        <v>2.5</v>
      </c>
      <c r="O7" s="585">
        <v>3.75</v>
      </c>
      <c r="P7" s="589"/>
      <c r="Q7" s="590"/>
      <c r="R7" s="588"/>
      <c r="S7" s="586" t="s">
        <v>261</v>
      </c>
      <c r="T7" s="597">
        <v>2.5</v>
      </c>
      <c r="U7" s="585">
        <v>3.75</v>
      </c>
      <c r="V7" s="586" t="s">
        <v>260</v>
      </c>
      <c r="W7" s="590"/>
      <c r="X7" s="588"/>
      <c r="Y7" s="586" t="s">
        <v>261</v>
      </c>
      <c r="Z7" s="598"/>
      <c r="AA7" s="591">
        <v>1.75</v>
      </c>
      <c r="AB7" s="586"/>
      <c r="AC7" s="585"/>
      <c r="AD7" s="587"/>
      <c r="AE7" s="586" t="s">
        <v>269</v>
      </c>
      <c r="AF7" s="597">
        <v>2.5</v>
      </c>
      <c r="AG7" s="585">
        <v>2.0</v>
      </c>
      <c r="AH7" s="586"/>
      <c r="AI7" s="590"/>
      <c r="AJ7" s="587"/>
      <c r="AK7" s="588"/>
      <c r="AL7" s="593"/>
    </row>
    <row r="8">
      <c r="A8" s="578">
        <v>3.0</v>
      </c>
      <c r="B8" s="579" t="s">
        <v>83</v>
      </c>
      <c r="C8" s="580">
        <f t="shared" si="1"/>
        <v>26.25</v>
      </c>
      <c r="D8" s="594">
        <f t="shared" si="2"/>
        <v>4</v>
      </c>
      <c r="E8" s="595">
        <f t="shared" si="3"/>
        <v>10</v>
      </c>
      <c r="F8" s="596">
        <f t="shared" si="4"/>
        <v>16.25</v>
      </c>
      <c r="G8" s="584" t="s">
        <v>261</v>
      </c>
      <c r="H8" s="585">
        <v>2.5</v>
      </c>
      <c r="I8" s="585">
        <v>3.25</v>
      </c>
      <c r="J8" s="589"/>
      <c r="K8" s="590"/>
      <c r="L8" s="588"/>
      <c r="M8" s="584" t="s">
        <v>261</v>
      </c>
      <c r="N8" s="585">
        <v>2.5</v>
      </c>
      <c r="O8" s="585">
        <v>3.0</v>
      </c>
      <c r="P8" s="589"/>
      <c r="Q8" s="590"/>
      <c r="R8" s="588"/>
      <c r="S8" s="586" t="s">
        <v>261</v>
      </c>
      <c r="T8" s="585">
        <v>2.5</v>
      </c>
      <c r="U8" s="585">
        <v>3.5</v>
      </c>
      <c r="V8" s="586"/>
      <c r="W8" s="590"/>
      <c r="X8" s="587"/>
      <c r="Y8" s="586" t="s">
        <v>265</v>
      </c>
      <c r="Z8" s="585">
        <v>2.5</v>
      </c>
      <c r="AA8" s="585">
        <v>4.5</v>
      </c>
      <c r="AB8" s="589"/>
      <c r="AC8" s="590"/>
      <c r="AD8" s="588"/>
      <c r="AE8" s="586" t="s">
        <v>261</v>
      </c>
      <c r="AF8" s="590"/>
      <c r="AG8" s="585">
        <v>2.0</v>
      </c>
      <c r="AH8" s="589"/>
      <c r="AI8" s="590"/>
      <c r="AJ8" s="588"/>
      <c r="AK8" s="588"/>
      <c r="AL8" s="593"/>
    </row>
    <row r="9">
      <c r="A9" s="578">
        <v>4.0</v>
      </c>
      <c r="B9" s="579" t="s">
        <v>129</v>
      </c>
      <c r="C9" s="580">
        <f t="shared" si="1"/>
        <v>23</v>
      </c>
      <c r="D9" s="594">
        <f t="shared" si="2"/>
        <v>3</v>
      </c>
      <c r="E9" s="595">
        <f t="shared" si="3"/>
        <v>7.5</v>
      </c>
      <c r="F9" s="596">
        <f t="shared" si="4"/>
        <v>15.5</v>
      </c>
      <c r="G9" s="584" t="s">
        <v>271</v>
      </c>
      <c r="H9" s="585">
        <v>2.5</v>
      </c>
      <c r="I9" s="585">
        <v>1.75</v>
      </c>
      <c r="J9" s="586"/>
      <c r="K9" s="590"/>
      <c r="L9" s="588"/>
      <c r="M9" s="584" t="s">
        <v>261</v>
      </c>
      <c r="N9" s="585">
        <v>2.5</v>
      </c>
      <c r="O9" s="585">
        <v>3.75</v>
      </c>
      <c r="P9" s="586"/>
      <c r="Q9" s="590"/>
      <c r="R9" s="588"/>
      <c r="S9" s="586" t="s">
        <v>265</v>
      </c>
      <c r="T9" s="590"/>
      <c r="U9" s="585">
        <v>2.25</v>
      </c>
      <c r="V9" s="586" t="s">
        <v>263</v>
      </c>
      <c r="W9" s="590"/>
      <c r="X9" s="588"/>
      <c r="Y9" s="586" t="s">
        <v>261</v>
      </c>
      <c r="Z9" s="590"/>
      <c r="AA9" s="591">
        <v>3.5</v>
      </c>
      <c r="AB9" s="589"/>
      <c r="AC9" s="590"/>
      <c r="AD9" s="588"/>
      <c r="AE9" s="586" t="s">
        <v>265</v>
      </c>
      <c r="AF9" s="585">
        <v>2.5</v>
      </c>
      <c r="AG9" s="585">
        <v>4.25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115</v>
      </c>
      <c r="C10" s="580">
        <f t="shared" si="1"/>
        <v>19.75</v>
      </c>
      <c r="D10" s="594">
        <f t="shared" si="2"/>
        <v>3</v>
      </c>
      <c r="E10" s="595">
        <f t="shared" si="3"/>
        <v>7.5</v>
      </c>
      <c r="F10" s="596">
        <f t="shared" si="4"/>
        <v>12.25</v>
      </c>
      <c r="G10" s="584" t="s">
        <v>261</v>
      </c>
      <c r="H10" s="585">
        <v>2.5</v>
      </c>
      <c r="I10" s="585">
        <v>2.0</v>
      </c>
      <c r="J10" s="589"/>
      <c r="K10" s="590"/>
      <c r="L10" s="588"/>
      <c r="M10" s="584" t="s">
        <v>261</v>
      </c>
      <c r="N10" s="585">
        <v>2.5</v>
      </c>
      <c r="O10" s="585">
        <v>3.25</v>
      </c>
      <c r="P10" s="586"/>
      <c r="Q10" s="590"/>
      <c r="R10" s="587"/>
      <c r="S10" s="586" t="s">
        <v>271</v>
      </c>
      <c r="T10" s="585">
        <v>2.5</v>
      </c>
      <c r="U10" s="649">
        <v>3.5</v>
      </c>
      <c r="V10" s="586"/>
      <c r="W10" s="590"/>
      <c r="X10" s="588"/>
      <c r="Y10" s="586" t="s">
        <v>261</v>
      </c>
      <c r="Z10" s="590"/>
      <c r="AA10" s="591">
        <v>2.25</v>
      </c>
      <c r="AB10" s="586"/>
      <c r="AC10" s="590"/>
      <c r="AD10" s="587"/>
      <c r="AE10" s="586" t="s">
        <v>261</v>
      </c>
      <c r="AF10" s="590"/>
      <c r="AG10" s="585">
        <v>1.25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112</v>
      </c>
      <c r="C11" s="580">
        <f t="shared" si="1"/>
        <v>20.75</v>
      </c>
      <c r="D11" s="594">
        <f t="shared" si="2"/>
        <v>3</v>
      </c>
      <c r="E11" s="595">
        <f t="shared" si="3"/>
        <v>7.5</v>
      </c>
      <c r="F11" s="596">
        <f t="shared" si="4"/>
        <v>13.25</v>
      </c>
      <c r="G11" s="584" t="s">
        <v>261</v>
      </c>
      <c r="H11" s="585">
        <v>2.5</v>
      </c>
      <c r="I11" s="585">
        <v>2.5</v>
      </c>
      <c r="J11" s="586"/>
      <c r="K11" s="590"/>
      <c r="L11" s="588"/>
      <c r="M11" s="584" t="s">
        <v>265</v>
      </c>
      <c r="N11" s="590"/>
      <c r="O11" s="585">
        <v>2.5</v>
      </c>
      <c r="P11" s="586"/>
      <c r="Q11" s="585"/>
      <c r="R11" s="587"/>
      <c r="S11" s="586" t="s">
        <v>269</v>
      </c>
      <c r="T11" s="590"/>
      <c r="U11" s="585">
        <v>2.25</v>
      </c>
      <c r="V11" s="589"/>
      <c r="W11" s="590"/>
      <c r="X11" s="588"/>
      <c r="Y11" s="586" t="s">
        <v>269</v>
      </c>
      <c r="Z11" s="585">
        <v>2.5</v>
      </c>
      <c r="AA11" s="591">
        <v>4.0</v>
      </c>
      <c r="AB11" s="589"/>
      <c r="AC11" s="590"/>
      <c r="AD11" s="588"/>
      <c r="AE11" s="586" t="s">
        <v>269</v>
      </c>
      <c r="AF11" s="585">
        <v>2.5</v>
      </c>
      <c r="AG11" s="585">
        <v>2.0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124</v>
      </c>
      <c r="C12" s="580">
        <f t="shared" si="1"/>
        <v>15.75</v>
      </c>
      <c r="D12" s="594">
        <f t="shared" si="2"/>
        <v>2</v>
      </c>
      <c r="E12" s="595">
        <f t="shared" si="3"/>
        <v>5</v>
      </c>
      <c r="F12" s="596">
        <f t="shared" si="4"/>
        <v>10.75</v>
      </c>
      <c r="G12" s="584" t="s">
        <v>269</v>
      </c>
      <c r="H12" s="590"/>
      <c r="I12" s="600">
        <v>0.0</v>
      </c>
      <c r="J12" s="586"/>
      <c r="K12" s="590"/>
      <c r="L12" s="588"/>
      <c r="M12" s="584" t="s">
        <v>271</v>
      </c>
      <c r="N12" s="585">
        <v>2.5</v>
      </c>
      <c r="O12" s="585">
        <v>3.5</v>
      </c>
      <c r="P12" s="586" t="s">
        <v>260</v>
      </c>
      <c r="Q12" s="590"/>
      <c r="R12" s="588"/>
      <c r="S12" s="586" t="s">
        <v>261</v>
      </c>
      <c r="T12" s="585">
        <v>2.5</v>
      </c>
      <c r="U12" s="585">
        <v>2.75</v>
      </c>
      <c r="V12" s="586" t="s">
        <v>260</v>
      </c>
      <c r="W12" s="590"/>
      <c r="X12" s="587"/>
      <c r="Y12" s="586" t="s">
        <v>261</v>
      </c>
      <c r="Z12" s="590"/>
      <c r="AA12" s="585">
        <v>2.0</v>
      </c>
      <c r="AB12" s="589"/>
      <c r="AC12" s="590"/>
      <c r="AD12" s="588"/>
      <c r="AE12" s="586" t="s">
        <v>271</v>
      </c>
      <c r="AF12" s="590"/>
      <c r="AG12" s="585">
        <v>2.5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114</v>
      </c>
      <c r="C13" s="580">
        <f t="shared" si="1"/>
        <v>22</v>
      </c>
      <c r="D13" s="594">
        <f t="shared" si="2"/>
        <v>3</v>
      </c>
      <c r="E13" s="595">
        <f t="shared" si="3"/>
        <v>7.5</v>
      </c>
      <c r="F13" s="596">
        <f t="shared" si="4"/>
        <v>14.5</v>
      </c>
      <c r="G13" s="584" t="s">
        <v>261</v>
      </c>
      <c r="H13" s="597">
        <v>2.5</v>
      </c>
      <c r="I13" s="585">
        <v>3.75</v>
      </c>
      <c r="J13" s="586"/>
      <c r="K13" s="585"/>
      <c r="L13" s="588"/>
      <c r="M13" s="584" t="s">
        <v>261</v>
      </c>
      <c r="N13" s="597">
        <v>2.5</v>
      </c>
      <c r="O13" s="585">
        <v>2.5</v>
      </c>
      <c r="P13" s="586" t="s">
        <v>260</v>
      </c>
      <c r="Q13" s="590"/>
      <c r="R13" s="588"/>
      <c r="S13" s="586" t="s">
        <v>269</v>
      </c>
      <c r="T13" s="598"/>
      <c r="U13" s="649">
        <v>1.75</v>
      </c>
      <c r="V13" s="586"/>
      <c r="W13" s="590"/>
      <c r="X13" s="588"/>
      <c r="Y13" s="586" t="s">
        <v>269</v>
      </c>
      <c r="Z13" s="597">
        <v>2.5</v>
      </c>
      <c r="AA13" s="591">
        <v>3.5</v>
      </c>
      <c r="AB13" s="589"/>
      <c r="AC13" s="590"/>
      <c r="AD13" s="588"/>
      <c r="AE13" s="586" t="s">
        <v>261</v>
      </c>
      <c r="AF13" s="598"/>
      <c r="AG13" s="585">
        <v>2.5</v>
      </c>
      <c r="AH13" s="586" t="s">
        <v>11</v>
      </c>
      <c r="AI13" s="590"/>
      <c r="AJ13" s="587">
        <v>0.5</v>
      </c>
      <c r="AK13" s="588"/>
      <c r="AL13" s="593"/>
    </row>
    <row r="14">
      <c r="A14" s="578">
        <v>9.0</v>
      </c>
      <c r="B14" s="579" t="s">
        <v>90</v>
      </c>
      <c r="C14" s="580">
        <f t="shared" si="1"/>
        <v>21.5</v>
      </c>
      <c r="D14" s="594">
        <f t="shared" si="2"/>
        <v>2</v>
      </c>
      <c r="E14" s="595">
        <f t="shared" si="3"/>
        <v>5</v>
      </c>
      <c r="F14" s="596">
        <f t="shared" si="4"/>
        <v>16.5</v>
      </c>
      <c r="G14" s="584" t="s">
        <v>261</v>
      </c>
      <c r="H14" s="585">
        <v>2.5</v>
      </c>
      <c r="I14" s="585">
        <v>3.0</v>
      </c>
      <c r="J14" s="586" t="s">
        <v>11</v>
      </c>
      <c r="K14" s="585"/>
      <c r="L14" s="587">
        <v>0.5</v>
      </c>
      <c r="M14" s="584" t="s">
        <v>269</v>
      </c>
      <c r="N14" s="590"/>
      <c r="O14" s="585">
        <v>2.25</v>
      </c>
      <c r="P14" s="586"/>
      <c r="Q14" s="585"/>
      <c r="R14" s="588"/>
      <c r="S14" s="586" t="s">
        <v>261</v>
      </c>
      <c r="T14" s="585">
        <v>2.5</v>
      </c>
      <c r="U14" s="585">
        <v>4.0</v>
      </c>
      <c r="V14" s="589"/>
      <c r="W14" s="590"/>
      <c r="X14" s="588"/>
      <c r="Y14" s="586" t="s">
        <v>261</v>
      </c>
      <c r="Z14" s="590"/>
      <c r="AA14" s="591">
        <v>3.5</v>
      </c>
      <c r="AB14" s="586" t="s">
        <v>11</v>
      </c>
      <c r="AC14" s="585">
        <v>0.5</v>
      </c>
      <c r="AD14" s="587">
        <v>1.0</v>
      </c>
      <c r="AE14" s="586" t="s">
        <v>261</v>
      </c>
      <c r="AF14" s="590"/>
      <c r="AG14" s="585">
        <v>1.75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121</v>
      </c>
      <c r="C15" s="580">
        <f t="shared" si="1"/>
        <v>25.25</v>
      </c>
      <c r="D15" s="603">
        <f t="shared" si="2"/>
        <v>3</v>
      </c>
      <c r="E15" s="604">
        <f t="shared" si="3"/>
        <v>7.5</v>
      </c>
      <c r="F15" s="605">
        <f t="shared" si="4"/>
        <v>17.75</v>
      </c>
      <c r="G15" s="606" t="s">
        <v>261</v>
      </c>
      <c r="H15" s="607">
        <v>2.5</v>
      </c>
      <c r="I15" s="607">
        <v>4.0</v>
      </c>
      <c r="J15" s="608"/>
      <c r="K15" s="609"/>
      <c r="L15" s="610"/>
      <c r="M15" s="606" t="s">
        <v>261</v>
      </c>
      <c r="N15" s="607">
        <v>2.5</v>
      </c>
      <c r="O15" s="607">
        <v>2.5</v>
      </c>
      <c r="P15" s="611" t="s">
        <v>11</v>
      </c>
      <c r="Q15" s="609"/>
      <c r="R15" s="612">
        <v>0.5</v>
      </c>
      <c r="S15" s="611" t="s">
        <v>261</v>
      </c>
      <c r="T15" s="607">
        <v>2.5</v>
      </c>
      <c r="U15" s="607">
        <v>3.75</v>
      </c>
      <c r="V15" s="611" t="s">
        <v>11</v>
      </c>
      <c r="W15" s="607">
        <v>0.5</v>
      </c>
      <c r="X15" s="612">
        <v>1.0</v>
      </c>
      <c r="Y15" s="611" t="s">
        <v>271</v>
      </c>
      <c r="Z15" s="609"/>
      <c r="AA15" s="634">
        <v>4.25</v>
      </c>
      <c r="AB15" s="611"/>
      <c r="AC15" s="609"/>
      <c r="AD15" s="610"/>
      <c r="AE15" s="611" t="s">
        <v>261</v>
      </c>
      <c r="AF15" s="609"/>
      <c r="AG15" s="607">
        <v>1.25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258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259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Астория</v>
      </c>
      <c r="G24" s="389">
        <v>26.25</v>
      </c>
      <c r="AK24" s="62"/>
    </row>
    <row r="25">
      <c r="A25" s="629"/>
      <c r="B25" s="629"/>
      <c r="C25" s="629"/>
      <c r="D25" s="629"/>
      <c r="F25" s="384" t="s">
        <v>121</v>
      </c>
      <c r="G25" s="389">
        <v>25.25</v>
      </c>
      <c r="AK25" s="62"/>
    </row>
    <row r="26">
      <c r="A26" s="630">
        <v>1.0</v>
      </c>
      <c r="B26" s="631" t="s">
        <v>124</v>
      </c>
      <c r="C26" s="631" t="s">
        <v>292</v>
      </c>
      <c r="D26" s="630"/>
      <c r="E26" s="632"/>
      <c r="F26" s="632" t="s">
        <v>129</v>
      </c>
      <c r="G26" s="389">
        <v>23.0</v>
      </c>
      <c r="AK26" s="62"/>
    </row>
    <row r="27">
      <c r="A27" s="631">
        <v>3.0</v>
      </c>
      <c r="B27" s="631" t="s">
        <v>115</v>
      </c>
      <c r="C27" s="631" t="s">
        <v>16</v>
      </c>
      <c r="D27" s="631">
        <v>-0.5</v>
      </c>
      <c r="E27" s="62"/>
      <c r="F27" s="62" t="s">
        <v>114</v>
      </c>
      <c r="G27" s="389">
        <v>22.0</v>
      </c>
      <c r="AK27" s="62"/>
    </row>
    <row r="28">
      <c r="A28" s="631">
        <v>3.0</v>
      </c>
      <c r="B28" s="631" t="s">
        <v>114</v>
      </c>
      <c r="C28" s="631" t="s">
        <v>16</v>
      </c>
      <c r="D28" s="631">
        <v>-0.5</v>
      </c>
      <c r="E28" s="62"/>
      <c r="F28" s="62" t="s">
        <v>90</v>
      </c>
      <c r="G28" s="389">
        <v>21.5</v>
      </c>
      <c r="AK28" s="62"/>
    </row>
    <row r="29">
      <c r="A29" s="62"/>
      <c r="B29" s="62"/>
      <c r="C29" s="62"/>
      <c r="D29" s="62"/>
      <c r="E29" s="62"/>
      <c r="F29" s="62" t="s">
        <v>112</v>
      </c>
      <c r="G29" s="389">
        <v>20.75</v>
      </c>
      <c r="AK29" s="62"/>
    </row>
    <row r="30">
      <c r="A30" s="62"/>
      <c r="B30" s="62"/>
      <c r="C30" s="62"/>
      <c r="D30" s="62"/>
      <c r="E30" s="62"/>
      <c r="F30" s="62" t="s">
        <v>133</v>
      </c>
      <c r="G30" s="389">
        <v>20.25</v>
      </c>
      <c r="AK30" s="62"/>
    </row>
    <row r="31">
      <c r="A31" s="62"/>
      <c r="B31" s="62"/>
      <c r="C31" s="62"/>
      <c r="D31" s="62"/>
      <c r="E31" s="62"/>
      <c r="F31" s="62" t="s">
        <v>115</v>
      </c>
      <c r="G31" s="389">
        <v>19.75</v>
      </c>
      <c r="AK31" s="62"/>
    </row>
    <row r="32">
      <c r="A32" s="62"/>
      <c r="B32" s="62"/>
      <c r="C32" s="62"/>
      <c r="D32" s="62"/>
      <c r="E32" s="62"/>
      <c r="F32" s="62" t="s">
        <v>124</v>
      </c>
      <c r="G32" s="389">
        <v>15.75</v>
      </c>
      <c r="AK32" s="62"/>
    </row>
    <row r="33">
      <c r="A33" s="62"/>
      <c r="B33" s="62"/>
      <c r="C33" s="62"/>
      <c r="D33" s="62"/>
      <c r="E33" s="62"/>
      <c r="F33" s="62" t="s">
        <v>122</v>
      </c>
      <c r="G33" s="389">
        <v>14.25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85</v>
      </c>
      <c r="C6" s="580">
        <f t="shared" ref="C6:C15" si="1">SUM(H6:AK6)</f>
        <v>14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11.5</v>
      </c>
      <c r="G6" s="584" t="s">
        <v>271</v>
      </c>
      <c r="H6" s="598"/>
      <c r="I6" s="585">
        <v>2.5</v>
      </c>
      <c r="J6" s="586" t="s">
        <v>11</v>
      </c>
      <c r="K6" s="585">
        <v>0.5</v>
      </c>
      <c r="L6" s="587">
        <v>0.5</v>
      </c>
      <c r="M6" s="584" t="s">
        <v>261</v>
      </c>
      <c r="N6" s="597">
        <v>2.5</v>
      </c>
      <c r="O6" s="585">
        <v>1.5</v>
      </c>
      <c r="P6" s="589"/>
      <c r="Q6" s="590"/>
      <c r="R6" s="588"/>
      <c r="S6" s="586" t="s">
        <v>261</v>
      </c>
      <c r="T6" s="598"/>
      <c r="U6" s="585">
        <v>2.0</v>
      </c>
      <c r="V6" s="586"/>
      <c r="W6" s="590"/>
      <c r="X6" s="588"/>
      <c r="Y6" s="586" t="s">
        <v>261</v>
      </c>
      <c r="Z6" s="598"/>
      <c r="AA6" s="591">
        <v>2.5</v>
      </c>
      <c r="AB6" s="589"/>
      <c r="AC6" s="590"/>
      <c r="AD6" s="588"/>
      <c r="AE6" s="586" t="s">
        <v>261</v>
      </c>
      <c r="AF6" s="598"/>
      <c r="AG6" s="585">
        <v>2.0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99</v>
      </c>
      <c r="C7" s="580">
        <f t="shared" si="1"/>
        <v>20.25</v>
      </c>
      <c r="D7" s="594">
        <f t="shared" si="2"/>
        <v>3</v>
      </c>
      <c r="E7" s="595">
        <f t="shared" si="3"/>
        <v>7.5</v>
      </c>
      <c r="F7" s="596">
        <f t="shared" si="4"/>
        <v>12.75</v>
      </c>
      <c r="G7" s="584" t="s">
        <v>269</v>
      </c>
      <c r="H7" s="597">
        <v>2.5</v>
      </c>
      <c r="I7" s="585">
        <v>2.5</v>
      </c>
      <c r="J7" s="586"/>
      <c r="K7" s="590"/>
      <c r="L7" s="588"/>
      <c r="M7" s="584" t="s">
        <v>271</v>
      </c>
      <c r="N7" s="597">
        <v>2.5</v>
      </c>
      <c r="O7" s="585">
        <v>2.25</v>
      </c>
      <c r="P7" s="586" t="s">
        <v>260</v>
      </c>
      <c r="Q7" s="590"/>
      <c r="R7" s="588"/>
      <c r="S7" s="586" t="s">
        <v>271</v>
      </c>
      <c r="T7" s="598"/>
      <c r="U7" s="585">
        <v>2.5</v>
      </c>
      <c r="V7" s="586"/>
      <c r="W7" s="590"/>
      <c r="X7" s="588"/>
      <c r="Y7" s="586" t="s">
        <v>269</v>
      </c>
      <c r="Z7" s="597">
        <v>2.5</v>
      </c>
      <c r="AA7" s="591">
        <v>3.25</v>
      </c>
      <c r="AB7" s="586"/>
      <c r="AC7" s="585"/>
      <c r="AD7" s="587"/>
      <c r="AE7" s="586" t="s">
        <v>261</v>
      </c>
      <c r="AF7" s="598"/>
      <c r="AG7" s="585">
        <v>2.25</v>
      </c>
      <c r="AH7" s="586"/>
      <c r="AI7" s="590"/>
      <c r="AJ7" s="587"/>
      <c r="AK7" s="588"/>
      <c r="AL7" s="593"/>
    </row>
    <row r="8">
      <c r="A8" s="578">
        <v>3.0</v>
      </c>
      <c r="B8" s="579" t="s">
        <v>92</v>
      </c>
      <c r="C8" s="580">
        <f t="shared" si="1"/>
        <v>25.25</v>
      </c>
      <c r="D8" s="594">
        <f t="shared" si="2"/>
        <v>3</v>
      </c>
      <c r="E8" s="595">
        <f t="shared" si="3"/>
        <v>7.5</v>
      </c>
      <c r="F8" s="596">
        <f t="shared" si="4"/>
        <v>17.75</v>
      </c>
      <c r="G8" s="584" t="s">
        <v>261</v>
      </c>
      <c r="H8" s="590"/>
      <c r="I8" s="585">
        <v>3.0</v>
      </c>
      <c r="J8" s="589"/>
      <c r="K8" s="590"/>
      <c r="L8" s="588"/>
      <c r="M8" s="584" t="s">
        <v>261</v>
      </c>
      <c r="N8" s="585">
        <v>2.5</v>
      </c>
      <c r="O8" s="585">
        <v>3.25</v>
      </c>
      <c r="P8" s="589"/>
      <c r="Q8" s="590"/>
      <c r="R8" s="588"/>
      <c r="S8" s="586" t="s">
        <v>269</v>
      </c>
      <c r="T8" s="585">
        <v>2.5</v>
      </c>
      <c r="U8" s="585">
        <v>4.25</v>
      </c>
      <c r="V8" s="586" t="s">
        <v>260</v>
      </c>
      <c r="W8" s="590"/>
      <c r="X8" s="587"/>
      <c r="Y8" s="586" t="s">
        <v>261</v>
      </c>
      <c r="Z8" s="590"/>
      <c r="AA8" s="585">
        <v>3.25</v>
      </c>
      <c r="AB8" s="589"/>
      <c r="AC8" s="590"/>
      <c r="AD8" s="588"/>
      <c r="AE8" s="586" t="s">
        <v>269</v>
      </c>
      <c r="AF8" s="585">
        <v>2.5</v>
      </c>
      <c r="AG8" s="585">
        <v>4.0</v>
      </c>
      <c r="AH8" s="586" t="s">
        <v>260</v>
      </c>
      <c r="AI8" s="590"/>
      <c r="AJ8" s="588"/>
      <c r="AK8" s="588"/>
      <c r="AL8" s="593"/>
    </row>
    <row r="9">
      <c r="A9" s="578">
        <v>4.0</v>
      </c>
      <c r="B9" s="579" t="s">
        <v>95</v>
      </c>
      <c r="C9" s="580">
        <f t="shared" si="1"/>
        <v>15.5</v>
      </c>
      <c r="D9" s="594">
        <f t="shared" si="2"/>
        <v>1</v>
      </c>
      <c r="E9" s="595">
        <f t="shared" si="3"/>
        <v>2.5</v>
      </c>
      <c r="F9" s="596">
        <f t="shared" si="4"/>
        <v>13</v>
      </c>
      <c r="G9" s="584" t="s">
        <v>261</v>
      </c>
      <c r="H9" s="590"/>
      <c r="I9" s="585">
        <v>1.75</v>
      </c>
      <c r="J9" s="586"/>
      <c r="K9" s="590"/>
      <c r="L9" s="588"/>
      <c r="M9" s="584" t="s">
        <v>261</v>
      </c>
      <c r="N9" s="585">
        <v>2.5</v>
      </c>
      <c r="O9" s="585">
        <v>2.75</v>
      </c>
      <c r="P9" s="586"/>
      <c r="Q9" s="590"/>
      <c r="R9" s="588"/>
      <c r="S9" s="586" t="s">
        <v>261</v>
      </c>
      <c r="T9" s="590"/>
      <c r="U9" s="585">
        <v>3.25</v>
      </c>
      <c r="V9" s="586"/>
      <c r="W9" s="590"/>
      <c r="X9" s="588"/>
      <c r="Y9" s="586" t="s">
        <v>261</v>
      </c>
      <c r="Z9" s="590"/>
      <c r="AA9" s="591">
        <v>1.75</v>
      </c>
      <c r="AB9" s="589"/>
      <c r="AC9" s="590"/>
      <c r="AD9" s="588"/>
      <c r="AE9" s="586" t="s">
        <v>271</v>
      </c>
      <c r="AF9" s="590"/>
      <c r="AG9" s="585">
        <v>3.5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130</v>
      </c>
      <c r="C10" s="580">
        <f t="shared" si="1"/>
        <v>22.5</v>
      </c>
      <c r="D10" s="594">
        <f t="shared" si="2"/>
        <v>3</v>
      </c>
      <c r="E10" s="595">
        <f t="shared" si="3"/>
        <v>7.5</v>
      </c>
      <c r="F10" s="596">
        <f t="shared" si="4"/>
        <v>15</v>
      </c>
      <c r="G10" s="584" t="s">
        <v>261</v>
      </c>
      <c r="H10" s="590"/>
      <c r="I10" s="585">
        <v>4.0</v>
      </c>
      <c r="J10" s="589"/>
      <c r="K10" s="590"/>
      <c r="L10" s="588"/>
      <c r="M10" s="584" t="s">
        <v>269</v>
      </c>
      <c r="N10" s="590"/>
      <c r="O10" s="585">
        <v>2.5</v>
      </c>
      <c r="P10" s="586"/>
      <c r="Q10" s="590"/>
      <c r="R10" s="587"/>
      <c r="S10" s="586" t="s">
        <v>265</v>
      </c>
      <c r="T10" s="585">
        <v>2.5</v>
      </c>
      <c r="U10" s="585">
        <v>2.5</v>
      </c>
      <c r="V10" s="586"/>
      <c r="W10" s="590"/>
      <c r="X10" s="588"/>
      <c r="Y10" s="586" t="s">
        <v>269</v>
      </c>
      <c r="Z10" s="585">
        <v>2.5</v>
      </c>
      <c r="AA10" s="591">
        <v>3.5</v>
      </c>
      <c r="AB10" s="586"/>
      <c r="AC10" s="590"/>
      <c r="AD10" s="587"/>
      <c r="AE10" s="586" t="s">
        <v>269</v>
      </c>
      <c r="AF10" s="585">
        <v>2.5</v>
      </c>
      <c r="AG10" s="585">
        <v>2.5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129</v>
      </c>
      <c r="C11" s="580">
        <f t="shared" si="1"/>
        <v>13.5</v>
      </c>
      <c r="D11" s="594">
        <f t="shared" si="2"/>
        <v>0</v>
      </c>
      <c r="E11" s="595">
        <f t="shared" si="3"/>
        <v>0</v>
      </c>
      <c r="F11" s="596">
        <f t="shared" si="4"/>
        <v>13.5</v>
      </c>
      <c r="G11" s="584" t="s">
        <v>261</v>
      </c>
      <c r="H11" s="590"/>
      <c r="I11" s="585">
        <v>3.5</v>
      </c>
      <c r="J11" s="586"/>
      <c r="K11" s="590"/>
      <c r="L11" s="588"/>
      <c r="M11" s="584" t="s">
        <v>265</v>
      </c>
      <c r="N11" s="590"/>
      <c r="O11" s="585">
        <v>2.75</v>
      </c>
      <c r="P11" s="586" t="s">
        <v>263</v>
      </c>
      <c r="Q11" s="585"/>
      <c r="R11" s="587"/>
      <c r="S11" s="586" t="s">
        <v>261</v>
      </c>
      <c r="T11" s="590"/>
      <c r="U11" s="585">
        <v>4.0</v>
      </c>
      <c r="V11" s="586" t="s">
        <v>263</v>
      </c>
      <c r="W11" s="590"/>
      <c r="X11" s="588"/>
      <c r="Y11" s="586" t="s">
        <v>261</v>
      </c>
      <c r="Z11" s="590"/>
      <c r="AA11" s="591">
        <v>2.0</v>
      </c>
      <c r="AB11" s="589"/>
      <c r="AC11" s="590"/>
      <c r="AD11" s="588"/>
      <c r="AE11" s="586" t="s">
        <v>261</v>
      </c>
      <c r="AF11" s="590"/>
      <c r="AG11" s="585">
        <v>1.25</v>
      </c>
      <c r="AH11" s="586" t="s">
        <v>263</v>
      </c>
      <c r="AI11" s="590"/>
      <c r="AJ11" s="588"/>
      <c r="AK11" s="588"/>
      <c r="AL11" s="593"/>
    </row>
    <row r="12">
      <c r="A12" s="578">
        <v>7.0</v>
      </c>
      <c r="B12" s="579" t="s">
        <v>86</v>
      </c>
      <c r="C12" s="580">
        <f t="shared" si="1"/>
        <v>18</v>
      </c>
      <c r="D12" s="594">
        <f t="shared" si="2"/>
        <v>2</v>
      </c>
      <c r="E12" s="595">
        <f t="shared" si="3"/>
        <v>5</v>
      </c>
      <c r="F12" s="596">
        <f t="shared" si="4"/>
        <v>13</v>
      </c>
      <c r="G12" s="584" t="s">
        <v>261</v>
      </c>
      <c r="H12" s="590"/>
      <c r="I12" s="585">
        <v>2.25</v>
      </c>
      <c r="J12" s="586"/>
      <c r="K12" s="590"/>
      <c r="L12" s="588"/>
      <c r="M12" s="584" t="s">
        <v>261</v>
      </c>
      <c r="N12" s="585">
        <v>2.5</v>
      </c>
      <c r="O12" s="585">
        <v>3.5</v>
      </c>
      <c r="P12" s="586" t="s">
        <v>260</v>
      </c>
      <c r="Q12" s="590"/>
      <c r="R12" s="588"/>
      <c r="S12" s="586" t="s">
        <v>261</v>
      </c>
      <c r="T12" s="590"/>
      <c r="U12" s="585">
        <v>2.0</v>
      </c>
      <c r="V12" s="586"/>
      <c r="W12" s="590"/>
      <c r="X12" s="587"/>
      <c r="Y12" s="586" t="s">
        <v>271</v>
      </c>
      <c r="Z12" s="590"/>
      <c r="AA12" s="585">
        <v>2.5</v>
      </c>
      <c r="AB12" s="589"/>
      <c r="AC12" s="590"/>
      <c r="AD12" s="588"/>
      <c r="AE12" s="586" t="s">
        <v>265</v>
      </c>
      <c r="AF12" s="585">
        <v>2.5</v>
      </c>
      <c r="AG12" s="585">
        <v>2.75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127</v>
      </c>
      <c r="C13" s="580">
        <f t="shared" si="1"/>
        <v>14.75</v>
      </c>
      <c r="D13" s="594">
        <f t="shared" si="2"/>
        <v>1</v>
      </c>
      <c r="E13" s="595">
        <f t="shared" si="3"/>
        <v>2.5</v>
      </c>
      <c r="F13" s="596">
        <f t="shared" si="4"/>
        <v>12.25</v>
      </c>
      <c r="G13" s="584" t="s">
        <v>261</v>
      </c>
      <c r="H13" s="598"/>
      <c r="I13" s="585">
        <v>3.75</v>
      </c>
      <c r="J13" s="586"/>
      <c r="K13" s="585"/>
      <c r="L13" s="588"/>
      <c r="M13" s="584" t="s">
        <v>269</v>
      </c>
      <c r="N13" s="598"/>
      <c r="O13" s="585">
        <v>2.75</v>
      </c>
      <c r="P13" s="589"/>
      <c r="Q13" s="590"/>
      <c r="R13" s="588"/>
      <c r="S13" s="586" t="s">
        <v>269</v>
      </c>
      <c r="T13" s="597">
        <v>2.5</v>
      </c>
      <c r="U13" s="585">
        <v>2.25</v>
      </c>
      <c r="V13" s="586"/>
      <c r="W13" s="590"/>
      <c r="X13" s="588"/>
      <c r="Y13" s="586" t="s">
        <v>261</v>
      </c>
      <c r="Z13" s="598"/>
      <c r="AA13" s="591">
        <v>1.5</v>
      </c>
      <c r="AB13" s="589"/>
      <c r="AC13" s="590"/>
      <c r="AD13" s="588"/>
      <c r="AE13" s="586" t="s">
        <v>261</v>
      </c>
      <c r="AF13" s="598"/>
      <c r="AG13" s="585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114</v>
      </c>
      <c r="C14" s="580">
        <f t="shared" si="1"/>
        <v>23</v>
      </c>
      <c r="D14" s="594">
        <f t="shared" si="2"/>
        <v>3</v>
      </c>
      <c r="E14" s="595">
        <f t="shared" si="3"/>
        <v>7.5</v>
      </c>
      <c r="F14" s="596">
        <f t="shared" si="4"/>
        <v>15.5</v>
      </c>
      <c r="G14" s="584" t="s">
        <v>265</v>
      </c>
      <c r="H14" s="585">
        <v>2.5</v>
      </c>
      <c r="I14" s="585">
        <v>4.25</v>
      </c>
      <c r="J14" s="586"/>
      <c r="K14" s="585"/>
      <c r="L14" s="587"/>
      <c r="M14" s="584" t="s">
        <v>261</v>
      </c>
      <c r="N14" s="585">
        <v>2.5</v>
      </c>
      <c r="O14" s="585">
        <v>2.0</v>
      </c>
      <c r="P14" s="586" t="s">
        <v>11</v>
      </c>
      <c r="Q14" s="585"/>
      <c r="R14" s="587">
        <v>0.5</v>
      </c>
      <c r="S14" s="586" t="s">
        <v>261</v>
      </c>
      <c r="T14" s="590"/>
      <c r="U14" s="585">
        <v>2.0</v>
      </c>
      <c r="V14" s="586" t="s">
        <v>263</v>
      </c>
      <c r="W14" s="590"/>
      <c r="X14" s="588"/>
      <c r="Y14" s="586" t="s">
        <v>265</v>
      </c>
      <c r="Z14" s="585">
        <v>2.5</v>
      </c>
      <c r="AA14" s="591">
        <v>3.25</v>
      </c>
      <c r="AB14" s="589"/>
      <c r="AC14" s="590"/>
      <c r="AD14" s="588"/>
      <c r="AE14" s="586" t="s">
        <v>261</v>
      </c>
      <c r="AF14" s="590"/>
      <c r="AG14" s="649">
        <v>3.5</v>
      </c>
      <c r="AH14" s="586" t="s">
        <v>263</v>
      </c>
      <c r="AI14" s="590"/>
      <c r="AJ14" s="588"/>
      <c r="AK14" s="588"/>
      <c r="AL14" s="593"/>
    </row>
    <row r="15">
      <c r="A15" s="601">
        <v>10.0</v>
      </c>
      <c r="B15" s="602" t="s">
        <v>116</v>
      </c>
      <c r="C15" s="580">
        <f t="shared" si="1"/>
        <v>23.75</v>
      </c>
      <c r="D15" s="603">
        <f t="shared" si="2"/>
        <v>2</v>
      </c>
      <c r="E15" s="604">
        <f t="shared" si="3"/>
        <v>5</v>
      </c>
      <c r="F15" s="605">
        <f t="shared" si="4"/>
        <v>18.75</v>
      </c>
      <c r="G15" s="606" t="s">
        <v>269</v>
      </c>
      <c r="H15" s="607">
        <v>2.5</v>
      </c>
      <c r="I15" s="607">
        <v>3.5</v>
      </c>
      <c r="J15" s="608"/>
      <c r="K15" s="609"/>
      <c r="L15" s="610"/>
      <c r="M15" s="606" t="s">
        <v>261</v>
      </c>
      <c r="N15" s="607">
        <v>2.5</v>
      </c>
      <c r="O15" s="607">
        <v>3.0</v>
      </c>
      <c r="P15" s="608"/>
      <c r="Q15" s="609"/>
      <c r="R15" s="610"/>
      <c r="S15" s="611" t="s">
        <v>261</v>
      </c>
      <c r="T15" s="609"/>
      <c r="U15" s="607">
        <v>3.25</v>
      </c>
      <c r="V15" s="611"/>
      <c r="W15" s="609"/>
      <c r="X15" s="610"/>
      <c r="Y15" s="611" t="s">
        <v>261</v>
      </c>
      <c r="Z15" s="609"/>
      <c r="AA15" s="634">
        <v>3.0</v>
      </c>
      <c r="AB15" s="611" t="s">
        <v>11</v>
      </c>
      <c r="AC15" s="607">
        <v>0.5</v>
      </c>
      <c r="AD15" s="612">
        <v>0.5</v>
      </c>
      <c r="AE15" s="611" t="s">
        <v>261</v>
      </c>
      <c r="AF15" s="609"/>
      <c r="AG15" s="607">
        <v>3.5</v>
      </c>
      <c r="AH15" s="611" t="s">
        <v>11</v>
      </c>
      <c r="AI15" s="607">
        <v>0.5</v>
      </c>
      <c r="AJ15" s="612">
        <v>1.0</v>
      </c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267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166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Крестный отец (BLR)</v>
      </c>
      <c r="G24" s="389">
        <v>25.25</v>
      </c>
      <c r="AK24" s="62"/>
    </row>
    <row r="25">
      <c r="A25" s="629"/>
      <c r="B25" s="629"/>
      <c r="C25" s="629"/>
      <c r="D25" s="629"/>
      <c r="F25" s="384" t="s">
        <v>116</v>
      </c>
      <c r="G25" s="389">
        <v>23.75</v>
      </c>
      <c r="AK25" s="62"/>
    </row>
    <row r="26">
      <c r="A26" s="630">
        <v>5.0</v>
      </c>
      <c r="B26" s="631" t="s">
        <v>114</v>
      </c>
      <c r="C26" s="631" t="s">
        <v>16</v>
      </c>
      <c r="D26" s="630">
        <v>-0.5</v>
      </c>
      <c r="E26" s="632"/>
      <c r="F26" s="632" t="s">
        <v>114</v>
      </c>
      <c r="G26" s="389">
        <v>23.0</v>
      </c>
      <c r="AK26" s="62"/>
    </row>
    <row r="27">
      <c r="A27" s="62"/>
      <c r="B27" s="62"/>
      <c r="C27" s="62"/>
      <c r="D27" s="62"/>
      <c r="E27" s="62"/>
      <c r="F27" s="62" t="s">
        <v>130</v>
      </c>
      <c r="G27" s="389">
        <v>22.5</v>
      </c>
      <c r="AK27" s="62"/>
    </row>
    <row r="28">
      <c r="A28" s="62"/>
      <c r="B28" s="62"/>
      <c r="C28" s="62"/>
      <c r="D28" s="62"/>
      <c r="E28" s="62"/>
      <c r="F28" s="62" t="s">
        <v>99</v>
      </c>
      <c r="G28" s="389">
        <v>20.25</v>
      </c>
      <c r="AK28" s="62"/>
    </row>
    <row r="29">
      <c r="A29" s="62"/>
      <c r="B29" s="62"/>
      <c r="C29" s="62"/>
      <c r="D29" s="62"/>
      <c r="E29" s="62"/>
      <c r="F29" s="62" t="s">
        <v>86</v>
      </c>
      <c r="G29" s="389">
        <v>18.0</v>
      </c>
      <c r="AK29" s="62"/>
    </row>
    <row r="30">
      <c r="A30" s="62"/>
      <c r="B30" s="62"/>
      <c r="C30" s="62"/>
      <c r="D30" s="62"/>
      <c r="E30" s="62"/>
      <c r="F30" s="62" t="s">
        <v>95</v>
      </c>
      <c r="G30" s="389">
        <v>15.5</v>
      </c>
      <c r="AK30" s="62"/>
    </row>
    <row r="31">
      <c r="A31" s="62"/>
      <c r="B31" s="62"/>
      <c r="C31" s="62"/>
      <c r="D31" s="62"/>
      <c r="E31" s="62"/>
      <c r="F31" s="62" t="s">
        <v>127</v>
      </c>
      <c r="G31" s="389">
        <v>14.75</v>
      </c>
      <c r="AK31" s="62"/>
    </row>
    <row r="32">
      <c r="A32" s="62"/>
      <c r="B32" s="62"/>
      <c r="C32" s="62"/>
      <c r="D32" s="62"/>
      <c r="E32" s="62"/>
      <c r="F32" s="62" t="s">
        <v>85</v>
      </c>
      <c r="G32" s="389">
        <v>14.0</v>
      </c>
      <c r="AK32" s="62"/>
    </row>
    <row r="33">
      <c r="A33" s="62"/>
      <c r="B33" s="62"/>
      <c r="C33" s="62"/>
      <c r="D33" s="62"/>
      <c r="E33" s="62"/>
      <c r="F33" s="62" t="s">
        <v>129</v>
      </c>
      <c r="G33" s="389">
        <v>13.5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134</v>
      </c>
      <c r="C6" s="580">
        <f t="shared" ref="C6:C15" si="1">SUM(H6:AK6)</f>
        <v>13</v>
      </c>
      <c r="D6" s="581">
        <f t="shared" ref="D6:D15" si="2">E6/2.5</f>
        <v>1</v>
      </c>
      <c r="E6" s="582">
        <f t="shared" ref="E6:E15" si="3">SUM(H6+N6+T6+Z6+AF6+AL6+AR6)</f>
        <v>2.5</v>
      </c>
      <c r="F6" s="583">
        <f t="shared" ref="F6:F15" si="4">C6-E6</f>
        <v>10.5</v>
      </c>
      <c r="G6" s="584" t="s">
        <v>261</v>
      </c>
      <c r="H6" s="598"/>
      <c r="I6" s="585">
        <v>1.5</v>
      </c>
      <c r="J6" s="586"/>
      <c r="K6" s="590"/>
      <c r="L6" s="588"/>
      <c r="M6" s="584" t="s">
        <v>269</v>
      </c>
      <c r="N6" s="597">
        <v>2.5</v>
      </c>
      <c r="O6" s="585">
        <v>2.75</v>
      </c>
      <c r="P6" s="589"/>
      <c r="Q6" s="590"/>
      <c r="R6" s="588"/>
      <c r="S6" s="586" t="s">
        <v>269</v>
      </c>
      <c r="T6" s="598"/>
      <c r="U6" s="585">
        <v>2.0</v>
      </c>
      <c r="V6" s="586"/>
      <c r="W6" s="590"/>
      <c r="X6" s="588"/>
      <c r="Y6" s="586" t="s">
        <v>261</v>
      </c>
      <c r="Z6" s="598"/>
      <c r="AA6" s="591">
        <v>1.75</v>
      </c>
      <c r="AB6" s="589"/>
      <c r="AC6" s="590"/>
      <c r="AD6" s="588"/>
      <c r="AE6" s="586" t="s">
        <v>261</v>
      </c>
      <c r="AF6" s="598"/>
      <c r="AG6" s="585">
        <v>2.5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136</v>
      </c>
      <c r="C7" s="580">
        <f t="shared" si="1"/>
        <v>20.25</v>
      </c>
      <c r="D7" s="594">
        <f t="shared" si="2"/>
        <v>3</v>
      </c>
      <c r="E7" s="595">
        <f t="shared" si="3"/>
        <v>7.5</v>
      </c>
      <c r="F7" s="596">
        <f t="shared" si="4"/>
        <v>12.75</v>
      </c>
      <c r="G7" s="584" t="s">
        <v>269</v>
      </c>
      <c r="H7" s="597">
        <v>2.5</v>
      </c>
      <c r="I7" s="585">
        <v>3.75</v>
      </c>
      <c r="J7" s="586"/>
      <c r="K7" s="590"/>
      <c r="L7" s="588"/>
      <c r="M7" s="584" t="s">
        <v>261</v>
      </c>
      <c r="N7" s="598"/>
      <c r="O7" s="585">
        <v>1.5</v>
      </c>
      <c r="P7" s="589"/>
      <c r="Q7" s="590"/>
      <c r="R7" s="588"/>
      <c r="S7" s="586" t="s">
        <v>271</v>
      </c>
      <c r="T7" s="597">
        <v>2.5</v>
      </c>
      <c r="U7" s="585">
        <v>2.75</v>
      </c>
      <c r="V7" s="586" t="s">
        <v>260</v>
      </c>
      <c r="W7" s="590"/>
      <c r="X7" s="588"/>
      <c r="Y7" s="586" t="s">
        <v>265</v>
      </c>
      <c r="Z7" s="597">
        <v>2.5</v>
      </c>
      <c r="AA7" s="591">
        <v>3.75</v>
      </c>
      <c r="AB7" s="586"/>
      <c r="AC7" s="585"/>
      <c r="AD7" s="587"/>
      <c r="AE7" s="586" t="s">
        <v>261</v>
      </c>
      <c r="AF7" s="598"/>
      <c r="AG7" s="585">
        <v>1.0</v>
      </c>
      <c r="AH7" s="586"/>
      <c r="AI7" s="590"/>
      <c r="AJ7" s="587"/>
      <c r="AK7" s="588"/>
      <c r="AL7" s="593"/>
    </row>
    <row r="8">
      <c r="A8" s="578">
        <v>3.0</v>
      </c>
      <c r="B8" s="579" t="s">
        <v>133</v>
      </c>
      <c r="C8" s="580">
        <f t="shared" si="1"/>
        <v>15.5</v>
      </c>
      <c r="D8" s="594">
        <f t="shared" si="2"/>
        <v>1</v>
      </c>
      <c r="E8" s="595">
        <f t="shared" si="3"/>
        <v>2.5</v>
      </c>
      <c r="F8" s="596">
        <f t="shared" si="4"/>
        <v>13</v>
      </c>
      <c r="G8" s="584" t="s">
        <v>271</v>
      </c>
      <c r="H8" s="590"/>
      <c r="I8" s="585">
        <v>2.5</v>
      </c>
      <c r="J8" s="589"/>
      <c r="K8" s="590"/>
      <c r="L8" s="588"/>
      <c r="M8" s="584" t="s">
        <v>261</v>
      </c>
      <c r="N8" s="590"/>
      <c r="O8" s="585">
        <v>2.5</v>
      </c>
      <c r="P8" s="589"/>
      <c r="Q8" s="590"/>
      <c r="R8" s="588"/>
      <c r="S8" s="586" t="s">
        <v>269</v>
      </c>
      <c r="T8" s="590"/>
      <c r="U8" s="585">
        <v>2.25</v>
      </c>
      <c r="V8" s="586" t="s">
        <v>263</v>
      </c>
      <c r="W8" s="590"/>
      <c r="X8" s="587"/>
      <c r="Y8" s="586" t="s">
        <v>261</v>
      </c>
      <c r="Z8" s="590"/>
      <c r="AA8" s="585">
        <v>2.5</v>
      </c>
      <c r="AB8" s="589"/>
      <c r="AC8" s="590"/>
      <c r="AD8" s="588"/>
      <c r="AE8" s="586" t="s">
        <v>269</v>
      </c>
      <c r="AF8" s="585">
        <v>2.5</v>
      </c>
      <c r="AG8" s="585">
        <v>3.25</v>
      </c>
      <c r="AH8" s="589"/>
      <c r="AI8" s="590"/>
      <c r="AJ8" s="588"/>
      <c r="AK8" s="588"/>
      <c r="AL8" s="593"/>
    </row>
    <row r="9">
      <c r="A9" s="578">
        <v>4.0</v>
      </c>
      <c r="B9" s="579" t="s">
        <v>102</v>
      </c>
      <c r="C9" s="580">
        <f t="shared" si="1"/>
        <v>12.5</v>
      </c>
      <c r="D9" s="594">
        <f t="shared" si="2"/>
        <v>1</v>
      </c>
      <c r="E9" s="595">
        <f t="shared" si="3"/>
        <v>2.5</v>
      </c>
      <c r="F9" s="596">
        <f t="shared" si="4"/>
        <v>10</v>
      </c>
      <c r="G9" s="584" t="s">
        <v>261</v>
      </c>
      <c r="H9" s="590"/>
      <c r="I9" s="585">
        <v>1.0</v>
      </c>
      <c r="J9" s="586"/>
      <c r="K9" s="590"/>
      <c r="L9" s="588"/>
      <c r="M9" s="584" t="s">
        <v>261</v>
      </c>
      <c r="N9" s="590"/>
      <c r="O9" s="585">
        <v>2.25</v>
      </c>
      <c r="P9" s="586"/>
      <c r="Q9" s="590"/>
      <c r="R9" s="588"/>
      <c r="S9" s="586" t="s">
        <v>261</v>
      </c>
      <c r="T9" s="585">
        <v>2.5</v>
      </c>
      <c r="U9" s="585">
        <v>3.25</v>
      </c>
      <c r="V9" s="586"/>
      <c r="W9" s="590"/>
      <c r="X9" s="588"/>
      <c r="Y9" s="586" t="s">
        <v>261</v>
      </c>
      <c r="Z9" s="590"/>
      <c r="AA9" s="591">
        <v>2.0</v>
      </c>
      <c r="AB9" s="589"/>
      <c r="AC9" s="590"/>
      <c r="AD9" s="588"/>
      <c r="AE9" s="586" t="s">
        <v>261</v>
      </c>
      <c r="AF9" s="590"/>
      <c r="AG9" s="585">
        <v>1.5</v>
      </c>
      <c r="AH9" s="589"/>
      <c r="AI9" s="590"/>
      <c r="AJ9" s="588"/>
      <c r="AK9" s="599"/>
      <c r="AL9" s="593"/>
    </row>
    <row r="10">
      <c r="A10" s="578">
        <v>5.0</v>
      </c>
      <c r="B10" s="579" t="s">
        <v>110</v>
      </c>
      <c r="C10" s="580">
        <f t="shared" si="1"/>
        <v>17.75</v>
      </c>
      <c r="D10" s="594">
        <f t="shared" si="2"/>
        <v>2</v>
      </c>
      <c r="E10" s="595">
        <f t="shared" si="3"/>
        <v>5</v>
      </c>
      <c r="F10" s="596">
        <f t="shared" si="4"/>
        <v>12.75</v>
      </c>
      <c r="G10" s="584" t="s">
        <v>261</v>
      </c>
      <c r="H10" s="590"/>
      <c r="I10" s="585">
        <v>3.0</v>
      </c>
      <c r="J10" s="589"/>
      <c r="K10" s="590"/>
      <c r="L10" s="588"/>
      <c r="M10" s="584" t="s">
        <v>271</v>
      </c>
      <c r="N10" s="590"/>
      <c r="O10" s="585">
        <v>2.0</v>
      </c>
      <c r="P10" s="586" t="s">
        <v>11</v>
      </c>
      <c r="Q10" s="590"/>
      <c r="R10" s="587">
        <v>0.5</v>
      </c>
      <c r="S10" s="586" t="s">
        <v>261</v>
      </c>
      <c r="T10" s="585">
        <v>2.5</v>
      </c>
      <c r="U10" s="585">
        <v>1.5</v>
      </c>
      <c r="V10" s="586"/>
      <c r="W10" s="590"/>
      <c r="X10" s="588"/>
      <c r="Y10" s="586" t="s">
        <v>261</v>
      </c>
      <c r="Z10" s="590"/>
      <c r="AA10" s="591">
        <v>2.0</v>
      </c>
      <c r="AB10" s="586"/>
      <c r="AC10" s="590"/>
      <c r="AD10" s="587"/>
      <c r="AE10" s="586" t="s">
        <v>269</v>
      </c>
      <c r="AF10" s="585">
        <v>2.5</v>
      </c>
      <c r="AG10" s="585">
        <v>3.75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92</v>
      </c>
      <c r="C11" s="580">
        <f t="shared" si="1"/>
        <v>14.5</v>
      </c>
      <c r="D11" s="594">
        <f t="shared" si="2"/>
        <v>1</v>
      </c>
      <c r="E11" s="595">
        <f t="shared" si="3"/>
        <v>2.5</v>
      </c>
      <c r="F11" s="596">
        <f t="shared" si="4"/>
        <v>12</v>
      </c>
      <c r="G11" s="584" t="s">
        <v>261</v>
      </c>
      <c r="H11" s="590"/>
      <c r="I11" s="585">
        <v>4.0</v>
      </c>
      <c r="J11" s="586"/>
      <c r="K11" s="590"/>
      <c r="L11" s="588"/>
      <c r="M11" s="584" t="s">
        <v>261</v>
      </c>
      <c r="N11" s="590"/>
      <c r="O11" s="585">
        <v>1.75</v>
      </c>
      <c r="P11" s="586"/>
      <c r="Q11" s="585"/>
      <c r="R11" s="587"/>
      <c r="S11" s="586" t="s">
        <v>265</v>
      </c>
      <c r="T11" s="590"/>
      <c r="U11" s="585">
        <v>1.75</v>
      </c>
      <c r="V11" s="589"/>
      <c r="W11" s="590"/>
      <c r="X11" s="588"/>
      <c r="Y11" s="586" t="s">
        <v>261</v>
      </c>
      <c r="Z11" s="590"/>
      <c r="AA11" s="591">
        <v>2.0</v>
      </c>
      <c r="AB11" s="589"/>
      <c r="AC11" s="590"/>
      <c r="AD11" s="588"/>
      <c r="AE11" s="586" t="s">
        <v>265</v>
      </c>
      <c r="AF11" s="585">
        <v>2.5</v>
      </c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81</v>
      </c>
      <c r="C12" s="580">
        <f t="shared" si="1"/>
        <v>20.5</v>
      </c>
      <c r="D12" s="594">
        <f t="shared" si="2"/>
        <v>2</v>
      </c>
      <c r="E12" s="595">
        <f t="shared" si="3"/>
        <v>5</v>
      </c>
      <c r="F12" s="596">
        <f t="shared" si="4"/>
        <v>15.5</v>
      </c>
      <c r="G12" s="584" t="s">
        <v>261</v>
      </c>
      <c r="H12" s="590"/>
      <c r="I12" s="585">
        <v>2.25</v>
      </c>
      <c r="J12" s="586"/>
      <c r="K12" s="590"/>
      <c r="L12" s="588"/>
      <c r="M12" s="584" t="s">
        <v>269</v>
      </c>
      <c r="N12" s="585">
        <v>2.5</v>
      </c>
      <c r="O12" s="585">
        <v>3.75</v>
      </c>
      <c r="P12" s="589"/>
      <c r="Q12" s="590"/>
      <c r="R12" s="588"/>
      <c r="S12" s="586" t="s">
        <v>261</v>
      </c>
      <c r="T12" s="585">
        <v>2.5</v>
      </c>
      <c r="U12" s="585">
        <v>3.25</v>
      </c>
      <c r="V12" s="586"/>
      <c r="W12" s="590"/>
      <c r="X12" s="587"/>
      <c r="Y12" s="586" t="s">
        <v>271</v>
      </c>
      <c r="Z12" s="590"/>
      <c r="AA12" s="585">
        <v>3.0</v>
      </c>
      <c r="AB12" s="586" t="s">
        <v>11</v>
      </c>
      <c r="AC12" s="585">
        <v>0.5</v>
      </c>
      <c r="AD12" s="587">
        <v>0.5</v>
      </c>
      <c r="AE12" s="586" t="s">
        <v>261</v>
      </c>
      <c r="AF12" s="590"/>
      <c r="AG12" s="585">
        <v>2.25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89</v>
      </c>
      <c r="C13" s="580">
        <f t="shared" si="1"/>
        <v>21.25</v>
      </c>
      <c r="D13" s="594">
        <f t="shared" si="2"/>
        <v>2</v>
      </c>
      <c r="E13" s="595">
        <f t="shared" si="3"/>
        <v>5</v>
      </c>
      <c r="F13" s="596">
        <f t="shared" si="4"/>
        <v>16.25</v>
      </c>
      <c r="G13" s="584" t="s">
        <v>261</v>
      </c>
      <c r="H13" s="598"/>
      <c r="I13" s="585">
        <v>2.75</v>
      </c>
      <c r="J13" s="586" t="s">
        <v>11</v>
      </c>
      <c r="K13" s="585"/>
      <c r="L13" s="587">
        <v>0.5</v>
      </c>
      <c r="M13" s="584" t="s">
        <v>261</v>
      </c>
      <c r="N13" s="598"/>
      <c r="O13" s="585">
        <v>2.75</v>
      </c>
      <c r="P13" s="589"/>
      <c r="Q13" s="590"/>
      <c r="R13" s="588"/>
      <c r="S13" s="586" t="s">
        <v>261</v>
      </c>
      <c r="T13" s="597">
        <v>2.5</v>
      </c>
      <c r="U13" s="585">
        <v>4.0</v>
      </c>
      <c r="V13" s="586" t="s">
        <v>260</v>
      </c>
      <c r="W13" s="590"/>
      <c r="X13" s="588"/>
      <c r="Y13" s="586" t="s">
        <v>269</v>
      </c>
      <c r="Z13" s="597">
        <v>2.5</v>
      </c>
      <c r="AA13" s="591">
        <v>4.5</v>
      </c>
      <c r="AB13" s="589"/>
      <c r="AC13" s="590"/>
      <c r="AD13" s="588"/>
      <c r="AE13" s="586" t="s">
        <v>271</v>
      </c>
      <c r="AF13" s="598"/>
      <c r="AG13" s="585">
        <v>1.75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132</v>
      </c>
      <c r="C14" s="580">
        <f t="shared" si="1"/>
        <v>23.5</v>
      </c>
      <c r="D14" s="594">
        <f t="shared" si="2"/>
        <v>3</v>
      </c>
      <c r="E14" s="595">
        <f t="shared" si="3"/>
        <v>7.5</v>
      </c>
      <c r="F14" s="596">
        <f t="shared" si="4"/>
        <v>16</v>
      </c>
      <c r="G14" s="584" t="s">
        <v>269</v>
      </c>
      <c r="H14" s="585">
        <v>2.5</v>
      </c>
      <c r="I14" s="585">
        <v>3.75</v>
      </c>
      <c r="J14" s="586"/>
      <c r="K14" s="585"/>
      <c r="L14" s="587"/>
      <c r="M14" s="584" t="s">
        <v>265</v>
      </c>
      <c r="N14" s="585">
        <v>2.5</v>
      </c>
      <c r="O14" s="585">
        <v>4.5</v>
      </c>
      <c r="P14" s="586"/>
      <c r="Q14" s="585"/>
      <c r="R14" s="588"/>
      <c r="S14" s="586" t="s">
        <v>261</v>
      </c>
      <c r="T14" s="585">
        <v>2.5</v>
      </c>
      <c r="U14" s="585">
        <v>3.0</v>
      </c>
      <c r="V14" s="586" t="s">
        <v>11</v>
      </c>
      <c r="W14" s="585">
        <v>0.5</v>
      </c>
      <c r="X14" s="587">
        <v>0.5</v>
      </c>
      <c r="Y14" s="586" t="s">
        <v>261</v>
      </c>
      <c r="Z14" s="590"/>
      <c r="AA14" s="591">
        <v>1.5</v>
      </c>
      <c r="AB14" s="589"/>
      <c r="AC14" s="590"/>
      <c r="AD14" s="588"/>
      <c r="AE14" s="586" t="s">
        <v>261</v>
      </c>
      <c r="AF14" s="590"/>
      <c r="AG14" s="649">
        <v>2.25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126</v>
      </c>
      <c r="C15" s="580">
        <f t="shared" si="1"/>
        <v>21.75</v>
      </c>
      <c r="D15" s="603">
        <f t="shared" si="2"/>
        <v>3</v>
      </c>
      <c r="E15" s="604">
        <f t="shared" si="3"/>
        <v>7.5</v>
      </c>
      <c r="F15" s="605">
        <f t="shared" si="4"/>
        <v>14.25</v>
      </c>
      <c r="G15" s="606" t="s">
        <v>265</v>
      </c>
      <c r="H15" s="607">
        <v>2.5</v>
      </c>
      <c r="I15" s="607">
        <v>4.0</v>
      </c>
      <c r="J15" s="608"/>
      <c r="K15" s="609"/>
      <c r="L15" s="610"/>
      <c r="M15" s="606" t="s">
        <v>261</v>
      </c>
      <c r="N15" s="609"/>
      <c r="O15" s="607">
        <v>2.0</v>
      </c>
      <c r="P15" s="608"/>
      <c r="Q15" s="609"/>
      <c r="R15" s="610"/>
      <c r="S15" s="611" t="s">
        <v>261</v>
      </c>
      <c r="T15" s="607">
        <v>2.5</v>
      </c>
      <c r="U15" s="607">
        <v>3.5</v>
      </c>
      <c r="V15" s="611"/>
      <c r="W15" s="609"/>
      <c r="X15" s="610"/>
      <c r="Y15" s="611" t="s">
        <v>269</v>
      </c>
      <c r="Z15" s="607">
        <v>2.5</v>
      </c>
      <c r="AA15" s="634">
        <v>2.5</v>
      </c>
      <c r="AB15" s="608"/>
      <c r="AC15" s="609"/>
      <c r="AD15" s="610"/>
      <c r="AE15" s="611" t="s">
        <v>261</v>
      </c>
      <c r="AF15" s="609"/>
      <c r="AG15" s="607">
        <v>2.25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259</v>
      </c>
      <c r="H18" s="548"/>
      <c r="I18" s="548"/>
      <c r="J18" s="548"/>
      <c r="K18" s="548"/>
      <c r="L18" s="549"/>
      <c r="M18" s="621" t="s">
        <v>259</v>
      </c>
      <c r="N18" s="548"/>
      <c r="O18" s="548"/>
      <c r="P18" s="548"/>
      <c r="Q18" s="548"/>
      <c r="R18" s="549"/>
      <c r="S18" s="621" t="s">
        <v>267</v>
      </c>
      <c r="T18" s="548"/>
      <c r="U18" s="548"/>
      <c r="V18" s="548"/>
      <c r="W18" s="548"/>
      <c r="X18" s="549"/>
      <c r="Y18" s="621" t="s">
        <v>259</v>
      </c>
      <c r="Z18" s="548"/>
      <c r="AA18" s="548"/>
      <c r="AB18" s="548"/>
      <c r="AC18" s="548"/>
      <c r="AD18" s="549"/>
      <c r="AE18" s="621" t="s">
        <v>268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NLIP</v>
      </c>
      <c r="G24" s="389">
        <v>23.5</v>
      </c>
      <c r="AK24" s="62"/>
    </row>
    <row r="25">
      <c r="A25" s="629"/>
      <c r="B25" s="629"/>
      <c r="C25" s="629"/>
      <c r="D25" s="629"/>
      <c r="F25" s="384" t="s">
        <v>126</v>
      </c>
      <c r="G25" s="389">
        <v>21.75</v>
      </c>
      <c r="AK25" s="62"/>
    </row>
    <row r="26">
      <c r="A26" s="630">
        <v>5.0</v>
      </c>
      <c r="B26" s="631" t="s">
        <v>132</v>
      </c>
      <c r="C26" s="631" t="s">
        <v>16</v>
      </c>
      <c r="D26" s="630">
        <v>-0.5</v>
      </c>
      <c r="E26" s="632"/>
      <c r="F26" s="632" t="s">
        <v>89</v>
      </c>
      <c r="G26" s="389">
        <v>21.25</v>
      </c>
      <c r="AK26" s="62"/>
    </row>
    <row r="27">
      <c r="A27" s="62"/>
      <c r="B27" s="62"/>
      <c r="C27" s="62"/>
      <c r="D27" s="62"/>
      <c r="E27" s="62"/>
      <c r="F27" s="62" t="s">
        <v>81</v>
      </c>
      <c r="G27" s="389">
        <v>20.5</v>
      </c>
      <c r="AK27" s="62"/>
    </row>
    <row r="28">
      <c r="A28" s="62"/>
      <c r="B28" s="62"/>
      <c r="C28" s="62"/>
      <c r="D28" s="62"/>
      <c r="E28" s="62"/>
      <c r="F28" s="62" t="s">
        <v>136</v>
      </c>
      <c r="G28" s="389">
        <v>20.25</v>
      </c>
      <c r="AK28" s="62"/>
    </row>
    <row r="29">
      <c r="A29" s="62"/>
      <c r="B29" s="62"/>
      <c r="C29" s="62"/>
      <c r="D29" s="62"/>
      <c r="E29" s="62"/>
      <c r="F29" s="62" t="s">
        <v>110</v>
      </c>
      <c r="G29" s="389">
        <v>17.75</v>
      </c>
      <c r="AK29" s="62"/>
    </row>
    <row r="30">
      <c r="A30" s="62"/>
      <c r="B30" s="62"/>
      <c r="C30" s="62"/>
      <c r="D30" s="62"/>
      <c r="E30" s="62"/>
      <c r="F30" s="62" t="s">
        <v>133</v>
      </c>
      <c r="G30" s="389">
        <v>15.5</v>
      </c>
      <c r="AK30" s="62"/>
    </row>
    <row r="31">
      <c r="A31" s="62"/>
      <c r="B31" s="62"/>
      <c r="C31" s="62"/>
      <c r="D31" s="62"/>
      <c r="E31" s="62"/>
      <c r="F31" s="62" t="s">
        <v>92</v>
      </c>
      <c r="G31" s="389">
        <v>14.5</v>
      </c>
      <c r="AK31" s="62"/>
    </row>
    <row r="32">
      <c r="A32" s="62"/>
      <c r="B32" s="62"/>
      <c r="C32" s="62"/>
      <c r="D32" s="62"/>
      <c r="E32" s="62"/>
      <c r="F32" s="62" t="s">
        <v>134</v>
      </c>
      <c r="G32" s="389">
        <v>13.0</v>
      </c>
      <c r="AK32" s="62"/>
    </row>
    <row r="33">
      <c r="A33" s="62"/>
      <c r="B33" s="62"/>
      <c r="C33" s="62"/>
      <c r="D33" s="62"/>
      <c r="E33" s="62"/>
      <c r="F33" s="62" t="s">
        <v>102</v>
      </c>
      <c r="G33" s="389">
        <v>12.5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414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99</v>
      </c>
      <c r="C6" s="580">
        <f t="shared" ref="C6:C15" si="1">SUM(H6:AK6)</f>
        <v>22.75</v>
      </c>
      <c r="D6" s="581">
        <f t="shared" ref="D6:D15" si="2">E6/2.5</f>
        <v>4</v>
      </c>
      <c r="E6" s="582">
        <f t="shared" ref="E6:E15" si="3">SUM(H6+N6+T6+Z6+AF6+AL6+AR6)</f>
        <v>10</v>
      </c>
      <c r="F6" s="583">
        <f t="shared" ref="F6:F15" si="4">C6-E6</f>
        <v>12.75</v>
      </c>
      <c r="G6" s="584" t="s">
        <v>271</v>
      </c>
      <c r="H6" s="597">
        <v>2.5</v>
      </c>
      <c r="I6" s="585">
        <v>3.0</v>
      </c>
      <c r="J6" s="586"/>
      <c r="K6" s="590"/>
      <c r="L6" s="588"/>
      <c r="M6" s="584" t="s">
        <v>261</v>
      </c>
      <c r="N6" s="598"/>
      <c r="O6" s="585">
        <v>2.0</v>
      </c>
      <c r="P6" s="589"/>
      <c r="Q6" s="590"/>
      <c r="R6" s="588"/>
      <c r="S6" s="586" t="s">
        <v>269</v>
      </c>
      <c r="T6" s="597">
        <v>2.5</v>
      </c>
      <c r="U6" s="585">
        <v>2.5</v>
      </c>
      <c r="V6" s="586"/>
      <c r="W6" s="590"/>
      <c r="X6" s="588"/>
      <c r="Y6" s="586" t="s">
        <v>261</v>
      </c>
      <c r="Z6" s="597">
        <v>2.5</v>
      </c>
      <c r="AA6" s="591">
        <v>2.25</v>
      </c>
      <c r="AB6" s="589"/>
      <c r="AC6" s="590"/>
      <c r="AD6" s="588"/>
      <c r="AE6" s="586" t="s">
        <v>261</v>
      </c>
      <c r="AF6" s="597">
        <v>2.5</v>
      </c>
      <c r="AG6" s="585">
        <v>3.0</v>
      </c>
      <c r="AH6" s="586"/>
      <c r="AI6" s="590"/>
      <c r="AJ6" s="587"/>
      <c r="AK6" s="592"/>
      <c r="AL6" s="593"/>
    </row>
    <row r="7" ht="23.25" customHeight="1">
      <c r="A7" s="578">
        <v>2.0</v>
      </c>
      <c r="B7" s="579" t="s">
        <v>138</v>
      </c>
      <c r="C7" s="580">
        <f t="shared" si="1"/>
        <v>18.5</v>
      </c>
      <c r="D7" s="594">
        <f t="shared" si="2"/>
        <v>2</v>
      </c>
      <c r="E7" s="595">
        <f t="shared" si="3"/>
        <v>5</v>
      </c>
      <c r="F7" s="596">
        <f t="shared" si="4"/>
        <v>13.5</v>
      </c>
      <c r="G7" s="584" t="s">
        <v>269</v>
      </c>
      <c r="H7" s="598"/>
      <c r="I7" s="585">
        <v>2.75</v>
      </c>
      <c r="J7" s="586"/>
      <c r="K7" s="590"/>
      <c r="L7" s="588"/>
      <c r="M7" s="584" t="s">
        <v>271</v>
      </c>
      <c r="N7" s="598"/>
      <c r="O7" s="585">
        <v>2.0</v>
      </c>
      <c r="P7" s="589"/>
      <c r="Q7" s="590"/>
      <c r="R7" s="588"/>
      <c r="S7" s="586" t="s">
        <v>271</v>
      </c>
      <c r="T7" s="598"/>
      <c r="U7" s="585">
        <v>2.0</v>
      </c>
      <c r="V7" s="586"/>
      <c r="W7" s="590"/>
      <c r="X7" s="588"/>
      <c r="Y7" s="586" t="s">
        <v>261</v>
      </c>
      <c r="Z7" s="597">
        <v>2.5</v>
      </c>
      <c r="AA7" s="591">
        <v>3.5</v>
      </c>
      <c r="AB7" s="586"/>
      <c r="AC7" s="585"/>
      <c r="AD7" s="587"/>
      <c r="AE7" s="586" t="s">
        <v>261</v>
      </c>
      <c r="AF7" s="597">
        <v>2.5</v>
      </c>
      <c r="AG7" s="585">
        <v>3.25</v>
      </c>
      <c r="AH7" s="586"/>
      <c r="AI7" s="590"/>
      <c r="AJ7" s="587"/>
      <c r="AK7" s="588"/>
      <c r="AL7" s="593"/>
    </row>
    <row r="8">
      <c r="A8" s="578">
        <v>3.0</v>
      </c>
      <c r="B8" s="579" t="s">
        <v>101</v>
      </c>
      <c r="C8" s="580">
        <f t="shared" si="1"/>
        <v>14.5</v>
      </c>
      <c r="D8" s="594">
        <f t="shared" si="2"/>
        <v>1</v>
      </c>
      <c r="E8" s="595">
        <f t="shared" si="3"/>
        <v>2.5</v>
      </c>
      <c r="F8" s="596">
        <f t="shared" si="4"/>
        <v>12</v>
      </c>
      <c r="G8" s="584" t="s">
        <v>261</v>
      </c>
      <c r="H8" s="585">
        <v>2.5</v>
      </c>
      <c r="I8" s="585">
        <v>2.5</v>
      </c>
      <c r="J8" s="586" t="s">
        <v>11</v>
      </c>
      <c r="K8" s="590"/>
      <c r="L8" s="587">
        <v>0.5</v>
      </c>
      <c r="M8" s="584" t="s">
        <v>261</v>
      </c>
      <c r="N8" s="590"/>
      <c r="O8" s="585">
        <v>2.75</v>
      </c>
      <c r="P8" s="589"/>
      <c r="Q8" s="590"/>
      <c r="R8" s="588"/>
      <c r="S8" s="586" t="s">
        <v>261</v>
      </c>
      <c r="T8" s="590"/>
      <c r="U8" s="649">
        <v>1.5</v>
      </c>
      <c r="V8" s="586"/>
      <c r="W8" s="590"/>
      <c r="X8" s="587"/>
      <c r="Y8" s="586" t="s">
        <v>265</v>
      </c>
      <c r="Z8" s="590"/>
      <c r="AA8" s="585">
        <v>2.5</v>
      </c>
      <c r="AB8" s="589"/>
      <c r="AC8" s="590"/>
      <c r="AD8" s="588"/>
      <c r="AE8" s="586" t="s">
        <v>269</v>
      </c>
      <c r="AF8" s="590"/>
      <c r="AG8" s="585">
        <v>2.25</v>
      </c>
      <c r="AH8" s="589"/>
      <c r="AI8" s="590"/>
      <c r="AJ8" s="588"/>
      <c r="AK8" s="588"/>
      <c r="AL8" s="593"/>
    </row>
    <row r="9">
      <c r="A9" s="578">
        <v>4.0</v>
      </c>
      <c r="B9" s="579" t="s">
        <v>85</v>
      </c>
      <c r="C9" s="580">
        <f t="shared" si="1"/>
        <v>15.75</v>
      </c>
      <c r="D9" s="594">
        <f t="shared" si="2"/>
        <v>1</v>
      </c>
      <c r="E9" s="595">
        <f t="shared" si="3"/>
        <v>2.5</v>
      </c>
      <c r="F9" s="596">
        <f t="shared" si="4"/>
        <v>13.25</v>
      </c>
      <c r="G9" s="584" t="s">
        <v>269</v>
      </c>
      <c r="H9" s="590"/>
      <c r="I9" s="585">
        <v>2.75</v>
      </c>
      <c r="J9" s="586"/>
      <c r="K9" s="590"/>
      <c r="L9" s="588"/>
      <c r="M9" s="584" t="s">
        <v>261</v>
      </c>
      <c r="N9" s="590"/>
      <c r="O9" s="585">
        <v>2.5</v>
      </c>
      <c r="P9" s="586" t="s">
        <v>11</v>
      </c>
      <c r="Q9" s="585">
        <v>0.5</v>
      </c>
      <c r="R9" s="587">
        <v>0.5</v>
      </c>
      <c r="S9" s="586" t="s">
        <v>261</v>
      </c>
      <c r="T9" s="590"/>
      <c r="U9" s="585">
        <v>1.5</v>
      </c>
      <c r="V9" s="586"/>
      <c r="W9" s="590"/>
      <c r="X9" s="588"/>
      <c r="Y9" s="586" t="s">
        <v>261</v>
      </c>
      <c r="Z9" s="585">
        <v>2.5</v>
      </c>
      <c r="AA9" s="591">
        <v>3.25</v>
      </c>
      <c r="AB9" s="589"/>
      <c r="AC9" s="590"/>
      <c r="AD9" s="588"/>
      <c r="AE9" s="586" t="s">
        <v>269</v>
      </c>
      <c r="AF9" s="590"/>
      <c r="AG9" s="585">
        <v>2.25</v>
      </c>
      <c r="AH9" s="589"/>
      <c r="AI9" s="590"/>
      <c r="AJ9" s="588"/>
      <c r="AK9" s="599"/>
      <c r="AL9" s="593"/>
    </row>
    <row r="10">
      <c r="A10" s="578">
        <v>5.0</v>
      </c>
      <c r="B10" s="579" t="s">
        <v>82</v>
      </c>
      <c r="C10" s="580">
        <f t="shared" si="1"/>
        <v>26.5</v>
      </c>
      <c r="D10" s="594">
        <f t="shared" si="2"/>
        <v>4</v>
      </c>
      <c r="E10" s="595">
        <f t="shared" si="3"/>
        <v>10</v>
      </c>
      <c r="F10" s="596">
        <f t="shared" si="4"/>
        <v>16.5</v>
      </c>
      <c r="G10" s="584" t="s">
        <v>261</v>
      </c>
      <c r="H10" s="585">
        <v>2.5</v>
      </c>
      <c r="I10" s="585">
        <v>3.25</v>
      </c>
      <c r="J10" s="589"/>
      <c r="K10" s="590"/>
      <c r="L10" s="588"/>
      <c r="M10" s="584" t="s">
        <v>269</v>
      </c>
      <c r="N10" s="585">
        <v>2.5</v>
      </c>
      <c r="O10" s="585">
        <v>3.25</v>
      </c>
      <c r="P10" s="586"/>
      <c r="Q10" s="590"/>
      <c r="R10" s="587"/>
      <c r="S10" s="586" t="s">
        <v>261</v>
      </c>
      <c r="T10" s="590"/>
      <c r="U10" s="585">
        <v>1.75</v>
      </c>
      <c r="V10" s="586" t="s">
        <v>11</v>
      </c>
      <c r="W10" s="590"/>
      <c r="X10" s="587">
        <v>0.5</v>
      </c>
      <c r="Y10" s="586" t="s">
        <v>261</v>
      </c>
      <c r="Z10" s="585">
        <v>2.5</v>
      </c>
      <c r="AA10" s="591">
        <v>3.5</v>
      </c>
      <c r="AB10" s="586"/>
      <c r="AC10" s="590"/>
      <c r="AD10" s="587"/>
      <c r="AE10" s="586" t="s">
        <v>261</v>
      </c>
      <c r="AF10" s="585">
        <v>2.5</v>
      </c>
      <c r="AG10" s="585">
        <v>4.25</v>
      </c>
      <c r="AH10" s="589"/>
      <c r="AI10" s="590"/>
      <c r="AJ10" s="588"/>
      <c r="AK10" s="588"/>
      <c r="AL10" s="593"/>
    </row>
    <row r="11">
      <c r="A11" s="578">
        <v>6.0</v>
      </c>
      <c r="B11" s="579" t="s">
        <v>127</v>
      </c>
      <c r="C11" s="580">
        <f t="shared" si="1"/>
        <v>22.75</v>
      </c>
      <c r="D11" s="594">
        <f t="shared" si="2"/>
        <v>4</v>
      </c>
      <c r="E11" s="595">
        <f t="shared" si="3"/>
        <v>10</v>
      </c>
      <c r="F11" s="596">
        <f t="shared" si="4"/>
        <v>12.75</v>
      </c>
      <c r="G11" s="584" t="s">
        <v>261</v>
      </c>
      <c r="H11" s="585">
        <v>2.5</v>
      </c>
      <c r="I11" s="585">
        <v>3.5</v>
      </c>
      <c r="J11" s="586"/>
      <c r="K11" s="590"/>
      <c r="L11" s="588"/>
      <c r="M11" s="584" t="s">
        <v>269</v>
      </c>
      <c r="N11" s="585">
        <v>2.5</v>
      </c>
      <c r="O11" s="585">
        <v>2.5</v>
      </c>
      <c r="P11" s="586"/>
      <c r="Q11" s="585"/>
      <c r="R11" s="587"/>
      <c r="S11" s="586" t="s">
        <v>261</v>
      </c>
      <c r="T11" s="590"/>
      <c r="U11" s="585">
        <v>1.75</v>
      </c>
      <c r="V11" s="589"/>
      <c r="W11" s="590"/>
      <c r="X11" s="588"/>
      <c r="Y11" s="586" t="s">
        <v>261</v>
      </c>
      <c r="Z11" s="585">
        <v>2.5</v>
      </c>
      <c r="AA11" s="591">
        <v>2.5</v>
      </c>
      <c r="AB11" s="589"/>
      <c r="AC11" s="590"/>
      <c r="AD11" s="588"/>
      <c r="AE11" s="586" t="s">
        <v>261</v>
      </c>
      <c r="AF11" s="585">
        <v>2.5</v>
      </c>
      <c r="AG11" s="585">
        <v>2.5</v>
      </c>
      <c r="AH11" s="589"/>
      <c r="AI11" s="590"/>
      <c r="AJ11" s="588"/>
      <c r="AK11" s="588"/>
      <c r="AL11" s="593"/>
    </row>
    <row r="12">
      <c r="A12" s="578">
        <v>7.0</v>
      </c>
      <c r="B12" s="579" t="s">
        <v>94</v>
      </c>
      <c r="C12" s="580">
        <f t="shared" si="1"/>
        <v>19.75</v>
      </c>
      <c r="D12" s="594">
        <f t="shared" si="2"/>
        <v>3</v>
      </c>
      <c r="E12" s="595">
        <f t="shared" si="3"/>
        <v>7.5</v>
      </c>
      <c r="F12" s="596">
        <f t="shared" si="4"/>
        <v>12.25</v>
      </c>
      <c r="G12" s="584" t="s">
        <v>261</v>
      </c>
      <c r="H12" s="585">
        <v>2.5</v>
      </c>
      <c r="I12" s="585">
        <v>2.0</v>
      </c>
      <c r="J12" s="586"/>
      <c r="K12" s="590"/>
      <c r="L12" s="588"/>
      <c r="M12" s="584" t="s">
        <v>261</v>
      </c>
      <c r="N12" s="590"/>
      <c r="O12" s="585">
        <v>1.75</v>
      </c>
      <c r="P12" s="589"/>
      <c r="Q12" s="590"/>
      <c r="R12" s="588"/>
      <c r="S12" s="586" t="s">
        <v>269</v>
      </c>
      <c r="T12" s="585">
        <v>2.5</v>
      </c>
      <c r="U12" s="585">
        <v>3.75</v>
      </c>
      <c r="V12" s="586"/>
      <c r="W12" s="590"/>
      <c r="X12" s="587"/>
      <c r="Y12" s="586" t="s">
        <v>261</v>
      </c>
      <c r="Z12" s="585">
        <v>2.5</v>
      </c>
      <c r="AA12" s="585">
        <v>3.0</v>
      </c>
      <c r="AB12" s="589"/>
      <c r="AC12" s="590"/>
      <c r="AD12" s="588"/>
      <c r="AE12" s="586" t="s">
        <v>265</v>
      </c>
      <c r="AF12" s="590"/>
      <c r="AG12" s="585">
        <v>1.75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104</v>
      </c>
      <c r="C13" s="580">
        <f t="shared" si="1"/>
        <v>16.75</v>
      </c>
      <c r="D13" s="594">
        <f t="shared" si="2"/>
        <v>2</v>
      </c>
      <c r="E13" s="595">
        <f t="shared" si="3"/>
        <v>5</v>
      </c>
      <c r="F13" s="596">
        <f t="shared" si="4"/>
        <v>11.75</v>
      </c>
      <c r="G13" s="584" t="s">
        <v>261</v>
      </c>
      <c r="H13" s="597">
        <v>2.5</v>
      </c>
      <c r="I13" s="585">
        <v>3.5</v>
      </c>
      <c r="J13" s="586"/>
      <c r="K13" s="585"/>
      <c r="L13" s="588"/>
      <c r="M13" s="584" t="s">
        <v>261</v>
      </c>
      <c r="N13" s="598"/>
      <c r="O13" s="585">
        <v>2.0</v>
      </c>
      <c r="P13" s="589"/>
      <c r="Q13" s="590"/>
      <c r="R13" s="588"/>
      <c r="S13" s="586" t="s">
        <v>261</v>
      </c>
      <c r="T13" s="598"/>
      <c r="U13" s="585">
        <v>2.0</v>
      </c>
      <c r="V13" s="586"/>
      <c r="W13" s="590"/>
      <c r="X13" s="588"/>
      <c r="Y13" s="586" t="s">
        <v>269</v>
      </c>
      <c r="Z13" s="598"/>
      <c r="AA13" s="591">
        <v>1.5</v>
      </c>
      <c r="AB13" s="589"/>
      <c r="AC13" s="590"/>
      <c r="AD13" s="588"/>
      <c r="AE13" s="586" t="s">
        <v>261</v>
      </c>
      <c r="AF13" s="597">
        <v>2.5</v>
      </c>
      <c r="AG13" s="585">
        <v>2.75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89</v>
      </c>
      <c r="C14" s="580">
        <f t="shared" si="1"/>
        <v>20</v>
      </c>
      <c r="D14" s="594">
        <f t="shared" si="2"/>
        <v>3</v>
      </c>
      <c r="E14" s="595">
        <f t="shared" si="3"/>
        <v>7.5</v>
      </c>
      <c r="F14" s="596">
        <f t="shared" si="4"/>
        <v>12.5</v>
      </c>
      <c r="G14" s="584" t="s">
        <v>261</v>
      </c>
      <c r="H14" s="585">
        <v>2.5</v>
      </c>
      <c r="I14" s="585">
        <v>2.75</v>
      </c>
      <c r="J14" s="586"/>
      <c r="K14" s="585"/>
      <c r="L14" s="587"/>
      <c r="M14" s="584" t="s">
        <v>261</v>
      </c>
      <c r="N14" s="590"/>
      <c r="O14" s="585">
        <v>3.0</v>
      </c>
      <c r="P14" s="586"/>
      <c r="Q14" s="585"/>
      <c r="R14" s="588"/>
      <c r="S14" s="586" t="s">
        <v>261</v>
      </c>
      <c r="T14" s="590"/>
      <c r="U14" s="585">
        <v>3.25</v>
      </c>
      <c r="V14" s="589"/>
      <c r="W14" s="590"/>
      <c r="X14" s="588"/>
      <c r="Y14" s="586" t="s">
        <v>271</v>
      </c>
      <c r="Z14" s="585">
        <v>2.5</v>
      </c>
      <c r="AA14" s="591">
        <v>3.5</v>
      </c>
      <c r="AB14" s="589"/>
      <c r="AC14" s="590"/>
      <c r="AD14" s="588"/>
      <c r="AE14" s="586" t="s">
        <v>261</v>
      </c>
      <c r="AF14" s="585">
        <v>2.5</v>
      </c>
      <c r="AG14" s="600">
        <v>0.0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134</v>
      </c>
      <c r="C15" s="580">
        <f t="shared" si="1"/>
        <v>21.5</v>
      </c>
      <c r="D15" s="603">
        <f t="shared" si="2"/>
        <v>3</v>
      </c>
      <c r="E15" s="604">
        <f t="shared" si="3"/>
        <v>7.5</v>
      </c>
      <c r="F15" s="605">
        <f t="shared" si="4"/>
        <v>14</v>
      </c>
      <c r="G15" s="606" t="s">
        <v>265</v>
      </c>
      <c r="H15" s="609"/>
      <c r="I15" s="607">
        <v>1.75</v>
      </c>
      <c r="J15" s="608"/>
      <c r="K15" s="609"/>
      <c r="L15" s="610"/>
      <c r="M15" s="606" t="s">
        <v>265</v>
      </c>
      <c r="N15" s="607">
        <v>2.5</v>
      </c>
      <c r="O15" s="607">
        <v>4.25</v>
      </c>
      <c r="P15" s="608"/>
      <c r="Q15" s="609"/>
      <c r="R15" s="610"/>
      <c r="S15" s="611" t="s">
        <v>265</v>
      </c>
      <c r="T15" s="607">
        <v>2.5</v>
      </c>
      <c r="U15" s="607">
        <v>3.75</v>
      </c>
      <c r="V15" s="611"/>
      <c r="W15" s="609"/>
      <c r="X15" s="610"/>
      <c r="Y15" s="611" t="s">
        <v>269</v>
      </c>
      <c r="Z15" s="609"/>
      <c r="AA15" s="634">
        <v>1.0</v>
      </c>
      <c r="AB15" s="608"/>
      <c r="AC15" s="609"/>
      <c r="AD15" s="610"/>
      <c r="AE15" s="611" t="s">
        <v>271</v>
      </c>
      <c r="AF15" s="607">
        <v>2.5</v>
      </c>
      <c r="AG15" s="607">
        <v>3.25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264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272</v>
      </c>
      <c r="T18" s="548"/>
      <c r="U18" s="548"/>
      <c r="V18" s="548"/>
      <c r="W18" s="548"/>
      <c r="X18" s="549"/>
      <c r="Y18" s="621" t="s">
        <v>264</v>
      </c>
      <c r="Z18" s="548"/>
      <c r="AA18" s="548"/>
      <c r="AB18" s="548"/>
      <c r="AC18" s="548"/>
      <c r="AD18" s="549"/>
      <c r="AE18" s="621" t="s">
        <v>257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17"/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Артик</v>
      </c>
      <c r="G24" s="389">
        <v>26.5</v>
      </c>
      <c r="AK24" s="62"/>
    </row>
    <row r="25">
      <c r="A25" s="629"/>
      <c r="B25" s="629"/>
      <c r="C25" s="629"/>
      <c r="D25" s="629"/>
      <c r="F25" s="384" t="s">
        <v>99</v>
      </c>
      <c r="G25" s="389">
        <v>22.75</v>
      </c>
      <c r="AK25" s="62"/>
    </row>
    <row r="26">
      <c r="A26" s="630">
        <v>3.0</v>
      </c>
      <c r="B26" s="631" t="s">
        <v>101</v>
      </c>
      <c r="C26" s="631" t="s">
        <v>16</v>
      </c>
      <c r="D26" s="630">
        <v>-0.5</v>
      </c>
      <c r="E26" s="632"/>
      <c r="F26" s="632" t="s">
        <v>127</v>
      </c>
      <c r="G26" s="389">
        <v>22.75</v>
      </c>
      <c r="AK26" s="62"/>
    </row>
    <row r="27">
      <c r="A27" s="631">
        <v>5.0</v>
      </c>
      <c r="B27" s="631" t="s">
        <v>89</v>
      </c>
      <c r="C27" s="631" t="s">
        <v>16</v>
      </c>
      <c r="D27" s="631">
        <v>-1.0</v>
      </c>
      <c r="E27" s="62"/>
      <c r="F27" s="62" t="s">
        <v>134</v>
      </c>
      <c r="G27" s="389">
        <v>21.5</v>
      </c>
      <c r="AK27" s="62"/>
    </row>
    <row r="28">
      <c r="A28" s="631">
        <v>5.0</v>
      </c>
      <c r="B28" s="631" t="s">
        <v>89</v>
      </c>
      <c r="C28" s="631" t="s">
        <v>16</v>
      </c>
      <c r="D28" s="631">
        <v>-0.5</v>
      </c>
      <c r="E28" s="62"/>
      <c r="F28" s="62" t="s">
        <v>89</v>
      </c>
      <c r="G28" s="389">
        <v>20.0</v>
      </c>
      <c r="AK28" s="62"/>
    </row>
    <row r="29">
      <c r="A29" s="631">
        <v>5.0</v>
      </c>
      <c r="B29" s="631" t="s">
        <v>89</v>
      </c>
      <c r="C29" s="631" t="s">
        <v>292</v>
      </c>
      <c r="D29" s="631">
        <v>-1.0</v>
      </c>
      <c r="E29" s="62"/>
      <c r="F29" s="62" t="s">
        <v>94</v>
      </c>
      <c r="G29" s="389">
        <v>19.75</v>
      </c>
      <c r="AK29" s="62"/>
    </row>
    <row r="30">
      <c r="A30" s="62"/>
      <c r="B30" s="62"/>
      <c r="C30" s="62"/>
      <c r="D30" s="62"/>
      <c r="E30" s="62"/>
      <c r="F30" s="62" t="s">
        <v>138</v>
      </c>
      <c r="G30" s="389">
        <v>18.5</v>
      </c>
      <c r="AK30" s="62"/>
    </row>
    <row r="31">
      <c r="A31" s="62"/>
      <c r="B31" s="62"/>
      <c r="C31" s="62"/>
      <c r="D31" s="62"/>
      <c r="E31" s="62"/>
      <c r="F31" s="62" t="s">
        <v>104</v>
      </c>
      <c r="G31" s="389">
        <v>16.75</v>
      </c>
      <c r="AK31" s="62"/>
    </row>
    <row r="32">
      <c r="A32" s="62"/>
      <c r="B32" s="62"/>
      <c r="C32" s="62"/>
      <c r="D32" s="62"/>
      <c r="E32" s="62"/>
      <c r="F32" s="62" t="s">
        <v>85</v>
      </c>
      <c r="G32" s="389">
        <v>15.75</v>
      </c>
      <c r="AK32" s="62"/>
    </row>
    <row r="33">
      <c r="A33" s="62"/>
      <c r="B33" s="62"/>
      <c r="C33" s="62"/>
      <c r="D33" s="62"/>
      <c r="E33" s="62"/>
      <c r="F33" s="62" t="s">
        <v>101</v>
      </c>
      <c r="G33" s="389">
        <v>14.5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75"/>
    <col customWidth="1" min="2" max="2" width="21.5"/>
    <col customWidth="1" min="3" max="3" width="10.25"/>
    <col customWidth="1" min="4" max="4" width="9.63"/>
    <col customWidth="1" min="5" max="6" width="8.88"/>
    <col customWidth="1" min="7" max="7" width="9.63"/>
    <col customWidth="1" min="8" max="12" width="8.88"/>
    <col customWidth="1" min="13" max="13" width="9.88"/>
    <col customWidth="1" min="14" max="18" width="8.88"/>
    <col customWidth="1" min="19" max="19" width="9.88"/>
    <col customWidth="1" min="20" max="24" width="8.88"/>
    <col customWidth="1" min="25" max="25" width="9.75"/>
    <col customWidth="1" min="26" max="37" width="8.88"/>
  </cols>
  <sheetData>
    <row r="1">
      <c r="A1" s="445"/>
      <c r="B1" s="445"/>
      <c r="C1" s="445"/>
      <c r="D1" s="445"/>
      <c r="E1" s="445"/>
      <c r="F1" s="445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562"/>
      <c r="AL1" s="448"/>
    </row>
    <row r="2">
      <c r="A2" s="450" t="s">
        <v>421</v>
      </c>
      <c r="B2" s="445"/>
      <c r="C2" s="445"/>
      <c r="D2" s="445"/>
      <c r="E2" s="445"/>
      <c r="F2" s="445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563"/>
      <c r="AL2" s="448"/>
    </row>
    <row r="3">
      <c r="A3" s="499"/>
      <c r="B3" s="499"/>
      <c r="C3" s="499"/>
      <c r="D3" s="499"/>
      <c r="E3" s="499"/>
      <c r="F3" s="499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500"/>
      <c r="AB3" s="500"/>
      <c r="AC3" s="500"/>
      <c r="AD3" s="500"/>
      <c r="AE3" s="500"/>
      <c r="AF3" s="500"/>
      <c r="AG3" s="500"/>
      <c r="AH3" s="500"/>
      <c r="AI3" s="500"/>
      <c r="AJ3" s="500"/>
      <c r="AK3" s="564"/>
      <c r="AL3" s="448"/>
    </row>
    <row r="4">
      <c r="A4" s="565" t="s">
        <v>1</v>
      </c>
      <c r="B4" s="566" t="s">
        <v>291</v>
      </c>
      <c r="C4" s="567" t="s">
        <v>298</v>
      </c>
      <c r="D4" s="644" t="s">
        <v>12</v>
      </c>
      <c r="E4" s="645" t="s">
        <v>7</v>
      </c>
      <c r="F4" s="646" t="s">
        <v>336</v>
      </c>
      <c r="G4" s="571" t="s">
        <v>250</v>
      </c>
      <c r="H4" s="189"/>
      <c r="I4" s="189"/>
      <c r="J4" s="189"/>
      <c r="K4" s="189"/>
      <c r="L4" s="508"/>
      <c r="M4" s="571" t="s">
        <v>300</v>
      </c>
      <c r="N4" s="189"/>
      <c r="O4" s="189"/>
      <c r="P4" s="189"/>
      <c r="Q4" s="189"/>
      <c r="R4" s="508"/>
      <c r="S4" s="571" t="s">
        <v>301</v>
      </c>
      <c r="T4" s="189"/>
      <c r="U4" s="189"/>
      <c r="V4" s="189"/>
      <c r="W4" s="189"/>
      <c r="X4" s="508"/>
      <c r="Y4" s="571" t="s">
        <v>302</v>
      </c>
      <c r="Z4" s="189"/>
      <c r="AA4" s="189"/>
      <c r="AB4" s="189"/>
      <c r="AC4" s="189"/>
      <c r="AD4" s="508"/>
      <c r="AE4" s="571" t="s">
        <v>303</v>
      </c>
      <c r="AF4" s="189"/>
      <c r="AG4" s="189"/>
      <c r="AH4" s="189"/>
      <c r="AI4" s="189"/>
      <c r="AJ4" s="508"/>
      <c r="AK4" s="572" t="s">
        <v>337</v>
      </c>
      <c r="AL4" s="573"/>
    </row>
    <row r="5">
      <c r="A5" s="386"/>
      <c r="B5" s="508"/>
      <c r="C5" s="508"/>
      <c r="D5" s="386"/>
      <c r="E5" s="574"/>
      <c r="F5" s="189"/>
      <c r="G5" s="575" t="s">
        <v>255</v>
      </c>
      <c r="H5" s="575" t="s">
        <v>7</v>
      </c>
      <c r="I5" s="575" t="s">
        <v>8</v>
      </c>
      <c r="J5" s="575" t="s">
        <v>256</v>
      </c>
      <c r="K5" s="575" t="s">
        <v>9</v>
      </c>
      <c r="L5" s="576" t="s">
        <v>10</v>
      </c>
      <c r="M5" s="575" t="s">
        <v>255</v>
      </c>
      <c r="N5" s="575" t="s">
        <v>7</v>
      </c>
      <c r="O5" s="575" t="s">
        <v>8</v>
      </c>
      <c r="P5" s="575" t="s">
        <v>256</v>
      </c>
      <c r="Q5" s="575" t="s">
        <v>9</v>
      </c>
      <c r="R5" s="576" t="s">
        <v>10</v>
      </c>
      <c r="S5" s="575" t="s">
        <v>255</v>
      </c>
      <c r="T5" s="575" t="s">
        <v>7</v>
      </c>
      <c r="U5" s="575" t="s">
        <v>8</v>
      </c>
      <c r="V5" s="575" t="s">
        <v>256</v>
      </c>
      <c r="W5" s="575" t="s">
        <v>9</v>
      </c>
      <c r="X5" s="576" t="s">
        <v>10</v>
      </c>
      <c r="Y5" s="575" t="s">
        <v>255</v>
      </c>
      <c r="Z5" s="575" t="s">
        <v>7</v>
      </c>
      <c r="AA5" s="575" t="s">
        <v>8</v>
      </c>
      <c r="AB5" s="575" t="s">
        <v>309</v>
      </c>
      <c r="AC5" s="575" t="s">
        <v>9</v>
      </c>
      <c r="AD5" s="576" t="s">
        <v>10</v>
      </c>
      <c r="AE5" s="575" t="s">
        <v>255</v>
      </c>
      <c r="AF5" s="575" t="s">
        <v>7</v>
      </c>
      <c r="AG5" s="575" t="s">
        <v>8</v>
      </c>
      <c r="AH5" s="575" t="s">
        <v>256</v>
      </c>
      <c r="AI5" s="575" t="s">
        <v>9</v>
      </c>
      <c r="AJ5" s="576" t="s">
        <v>10</v>
      </c>
      <c r="AK5" s="189"/>
      <c r="AL5" s="577"/>
    </row>
    <row r="6">
      <c r="A6" s="578">
        <v>1.0</v>
      </c>
      <c r="B6" s="579" t="s">
        <v>134</v>
      </c>
      <c r="C6" s="580">
        <f t="shared" ref="C6:C15" si="1">SUM(H6:AK6)</f>
        <v>19</v>
      </c>
      <c r="D6" s="581">
        <f t="shared" ref="D6:D15" si="2">E6/2.5</f>
        <v>2</v>
      </c>
      <c r="E6" s="582">
        <f t="shared" ref="E6:E15" si="3">SUM(H6+N6+T6+Z6+AF6+AL6+AR6)</f>
        <v>5</v>
      </c>
      <c r="F6" s="583">
        <f t="shared" ref="F6:F15" si="4">C6-E6</f>
        <v>14</v>
      </c>
      <c r="G6" s="584" t="s">
        <v>261</v>
      </c>
      <c r="H6" s="597">
        <v>2.5</v>
      </c>
      <c r="I6" s="585">
        <v>3.25</v>
      </c>
      <c r="J6" s="586"/>
      <c r="K6" s="590"/>
      <c r="L6" s="588"/>
      <c r="M6" s="584" t="s">
        <v>261</v>
      </c>
      <c r="N6" s="598"/>
      <c r="O6" s="585">
        <v>2.75</v>
      </c>
      <c r="P6" s="589"/>
      <c r="Q6" s="590"/>
      <c r="R6" s="588"/>
      <c r="S6" s="586" t="s">
        <v>261</v>
      </c>
      <c r="T6" s="597">
        <v>2.5</v>
      </c>
      <c r="U6" s="585">
        <v>3.5</v>
      </c>
      <c r="V6" s="586"/>
      <c r="W6" s="590"/>
      <c r="X6" s="588"/>
      <c r="Y6" s="586" t="s">
        <v>269</v>
      </c>
      <c r="Z6" s="598"/>
      <c r="AA6" s="591">
        <v>2.5</v>
      </c>
      <c r="AB6" s="589"/>
      <c r="AC6" s="590"/>
      <c r="AD6" s="588"/>
      <c r="AE6" s="586" t="s">
        <v>261</v>
      </c>
      <c r="AF6" s="598"/>
      <c r="AG6" s="585">
        <v>2.0</v>
      </c>
      <c r="AH6" s="586" t="s">
        <v>263</v>
      </c>
      <c r="AI6" s="590"/>
      <c r="AJ6" s="587"/>
      <c r="AK6" s="592"/>
      <c r="AL6" s="593"/>
    </row>
    <row r="7" ht="23.25" customHeight="1">
      <c r="A7" s="578">
        <v>2.0</v>
      </c>
      <c r="B7" s="579" t="s">
        <v>101</v>
      </c>
      <c r="C7" s="580">
        <f t="shared" si="1"/>
        <v>24.25</v>
      </c>
      <c r="D7" s="594">
        <f t="shared" si="2"/>
        <v>4</v>
      </c>
      <c r="E7" s="595">
        <f t="shared" si="3"/>
        <v>10</v>
      </c>
      <c r="F7" s="596">
        <f t="shared" si="4"/>
        <v>14.25</v>
      </c>
      <c r="G7" s="584" t="s">
        <v>261</v>
      </c>
      <c r="H7" s="597">
        <v>2.5</v>
      </c>
      <c r="I7" s="585">
        <v>2.75</v>
      </c>
      <c r="J7" s="586"/>
      <c r="K7" s="590"/>
      <c r="L7" s="588"/>
      <c r="M7" s="584" t="s">
        <v>261</v>
      </c>
      <c r="N7" s="598"/>
      <c r="O7" s="585">
        <v>2.5</v>
      </c>
      <c r="P7" s="586" t="s">
        <v>263</v>
      </c>
      <c r="Q7" s="590"/>
      <c r="R7" s="588"/>
      <c r="S7" s="586" t="s">
        <v>261</v>
      </c>
      <c r="T7" s="597">
        <v>2.5</v>
      </c>
      <c r="U7" s="585">
        <v>3.75</v>
      </c>
      <c r="V7" s="586"/>
      <c r="W7" s="590"/>
      <c r="X7" s="588"/>
      <c r="Y7" s="586" t="s">
        <v>261</v>
      </c>
      <c r="Z7" s="597">
        <v>2.5</v>
      </c>
      <c r="AA7" s="591">
        <v>3.25</v>
      </c>
      <c r="AB7" s="586"/>
      <c r="AC7" s="585"/>
      <c r="AD7" s="587"/>
      <c r="AE7" s="586" t="s">
        <v>269</v>
      </c>
      <c r="AF7" s="597">
        <v>2.5</v>
      </c>
      <c r="AG7" s="585">
        <v>2.0</v>
      </c>
      <c r="AH7" s="586"/>
      <c r="AI7" s="590"/>
      <c r="AJ7" s="587"/>
      <c r="AK7" s="588"/>
      <c r="AL7" s="593"/>
    </row>
    <row r="8">
      <c r="A8" s="578">
        <v>3.0</v>
      </c>
      <c r="B8" s="579" t="s">
        <v>92</v>
      </c>
      <c r="C8" s="580">
        <f t="shared" si="1"/>
        <v>23</v>
      </c>
      <c r="D8" s="594">
        <f t="shared" si="2"/>
        <v>3</v>
      </c>
      <c r="E8" s="595">
        <f t="shared" si="3"/>
        <v>7.5</v>
      </c>
      <c r="F8" s="596">
        <f t="shared" si="4"/>
        <v>15.5</v>
      </c>
      <c r="G8" s="584" t="s">
        <v>261</v>
      </c>
      <c r="H8" s="585">
        <v>2.5</v>
      </c>
      <c r="I8" s="585">
        <v>1.5</v>
      </c>
      <c r="J8" s="589"/>
      <c r="K8" s="590"/>
      <c r="L8" s="588"/>
      <c r="M8" s="584" t="s">
        <v>265</v>
      </c>
      <c r="N8" s="585">
        <v>2.5</v>
      </c>
      <c r="O8" s="585">
        <v>4.0</v>
      </c>
      <c r="P8" s="586" t="s">
        <v>260</v>
      </c>
      <c r="Q8" s="590"/>
      <c r="R8" s="588"/>
      <c r="S8" s="586" t="s">
        <v>265</v>
      </c>
      <c r="T8" s="590"/>
      <c r="U8" s="585">
        <v>2.5</v>
      </c>
      <c r="V8" s="586"/>
      <c r="W8" s="590"/>
      <c r="X8" s="587"/>
      <c r="Y8" s="586" t="s">
        <v>261</v>
      </c>
      <c r="Z8" s="585">
        <v>2.5</v>
      </c>
      <c r="AA8" s="585">
        <v>4.0</v>
      </c>
      <c r="AB8" s="589"/>
      <c r="AC8" s="590"/>
      <c r="AD8" s="588"/>
      <c r="AE8" s="586" t="s">
        <v>261</v>
      </c>
      <c r="AF8" s="590"/>
      <c r="AG8" s="585">
        <v>3.5</v>
      </c>
      <c r="AH8" s="586" t="s">
        <v>263</v>
      </c>
      <c r="AI8" s="590"/>
      <c r="AJ8" s="588"/>
      <c r="AK8" s="588"/>
      <c r="AL8" s="593"/>
    </row>
    <row r="9">
      <c r="A9" s="578">
        <v>4.0</v>
      </c>
      <c r="B9" s="579" t="s">
        <v>117</v>
      </c>
      <c r="C9" s="580">
        <f t="shared" si="1"/>
        <v>16.75</v>
      </c>
      <c r="D9" s="594">
        <f t="shared" si="2"/>
        <v>1</v>
      </c>
      <c r="E9" s="595">
        <f t="shared" si="3"/>
        <v>2.5</v>
      </c>
      <c r="F9" s="596">
        <f t="shared" si="4"/>
        <v>14.25</v>
      </c>
      <c r="G9" s="584" t="s">
        <v>269</v>
      </c>
      <c r="H9" s="590"/>
      <c r="I9" s="585">
        <v>2.5</v>
      </c>
      <c r="J9" s="586"/>
      <c r="K9" s="590"/>
      <c r="L9" s="588"/>
      <c r="M9" s="584" t="s">
        <v>261</v>
      </c>
      <c r="N9" s="590"/>
      <c r="O9" s="585">
        <v>3.25</v>
      </c>
      <c r="P9" s="586"/>
      <c r="Q9" s="590"/>
      <c r="R9" s="588"/>
      <c r="S9" s="586" t="s">
        <v>261</v>
      </c>
      <c r="T9" s="585">
        <v>2.5</v>
      </c>
      <c r="U9" s="585">
        <v>2.75</v>
      </c>
      <c r="V9" s="586" t="s">
        <v>11</v>
      </c>
      <c r="W9" s="590"/>
      <c r="X9" s="587">
        <v>0.5</v>
      </c>
      <c r="Y9" s="586" t="s">
        <v>269</v>
      </c>
      <c r="Z9" s="590"/>
      <c r="AA9" s="591">
        <v>2.25</v>
      </c>
      <c r="AB9" s="589"/>
      <c r="AC9" s="590"/>
      <c r="AD9" s="588"/>
      <c r="AE9" s="586" t="s">
        <v>261</v>
      </c>
      <c r="AF9" s="590"/>
      <c r="AG9" s="585">
        <v>3.0</v>
      </c>
      <c r="AH9" s="589"/>
      <c r="AI9" s="590"/>
      <c r="AJ9" s="588"/>
      <c r="AK9" s="599"/>
      <c r="AL9" s="593"/>
    </row>
    <row r="10">
      <c r="A10" s="578">
        <v>5.0</v>
      </c>
      <c r="B10" s="579" t="s">
        <v>119</v>
      </c>
      <c r="C10" s="580">
        <f t="shared" si="1"/>
        <v>17.75</v>
      </c>
      <c r="D10" s="594">
        <f t="shared" si="2"/>
        <v>2</v>
      </c>
      <c r="E10" s="595">
        <f t="shared" si="3"/>
        <v>5</v>
      </c>
      <c r="F10" s="596">
        <f t="shared" si="4"/>
        <v>12.75</v>
      </c>
      <c r="G10" s="584" t="s">
        <v>265</v>
      </c>
      <c r="H10" s="590"/>
      <c r="I10" s="585">
        <v>2.0</v>
      </c>
      <c r="J10" s="589"/>
      <c r="K10" s="590"/>
      <c r="L10" s="588"/>
      <c r="M10" s="584" t="s">
        <v>271</v>
      </c>
      <c r="N10" s="590"/>
      <c r="O10" s="585">
        <v>2.5</v>
      </c>
      <c r="P10" s="586"/>
      <c r="Q10" s="590"/>
      <c r="R10" s="587"/>
      <c r="S10" s="586" t="s">
        <v>271</v>
      </c>
      <c r="T10" s="585">
        <v>2.5</v>
      </c>
      <c r="U10" s="585">
        <v>2.25</v>
      </c>
      <c r="V10" s="586"/>
      <c r="W10" s="590"/>
      <c r="X10" s="588"/>
      <c r="Y10" s="586" t="s">
        <v>265</v>
      </c>
      <c r="Z10" s="590"/>
      <c r="AA10" s="591">
        <v>1.75</v>
      </c>
      <c r="AB10" s="586"/>
      <c r="AC10" s="590"/>
      <c r="AD10" s="587"/>
      <c r="AE10" s="586" t="s">
        <v>265</v>
      </c>
      <c r="AF10" s="585">
        <v>2.5</v>
      </c>
      <c r="AG10" s="585">
        <v>4.25</v>
      </c>
      <c r="AH10" s="586" t="s">
        <v>260</v>
      </c>
      <c r="AI10" s="590"/>
      <c r="AJ10" s="588"/>
      <c r="AK10" s="588"/>
      <c r="AL10" s="593"/>
    </row>
    <row r="11">
      <c r="A11" s="578">
        <v>6.0</v>
      </c>
      <c r="B11" s="579" t="s">
        <v>96</v>
      </c>
      <c r="C11" s="580">
        <f t="shared" si="1"/>
        <v>19</v>
      </c>
      <c r="D11" s="594">
        <f t="shared" si="2"/>
        <v>3</v>
      </c>
      <c r="E11" s="595">
        <f t="shared" si="3"/>
        <v>7.5</v>
      </c>
      <c r="F11" s="596">
        <f t="shared" si="4"/>
        <v>11.5</v>
      </c>
      <c r="G11" s="584" t="s">
        <v>269</v>
      </c>
      <c r="H11" s="590"/>
      <c r="I11" s="585">
        <v>2.75</v>
      </c>
      <c r="J11" s="586"/>
      <c r="K11" s="590"/>
      <c r="L11" s="588"/>
      <c r="M11" s="584" t="s">
        <v>269</v>
      </c>
      <c r="N11" s="585">
        <v>2.5</v>
      </c>
      <c r="O11" s="585">
        <v>2.5</v>
      </c>
      <c r="P11" s="586"/>
      <c r="Q11" s="585"/>
      <c r="R11" s="587"/>
      <c r="S11" s="586" t="s">
        <v>261</v>
      </c>
      <c r="T11" s="638">
        <v>2.5</v>
      </c>
      <c r="U11" s="649">
        <v>1.25</v>
      </c>
      <c r="V11" s="589"/>
      <c r="W11" s="590"/>
      <c r="X11" s="588"/>
      <c r="Y11" s="586" t="s">
        <v>261</v>
      </c>
      <c r="Z11" s="585">
        <v>2.5</v>
      </c>
      <c r="AA11" s="591">
        <v>2.75</v>
      </c>
      <c r="AB11" s="589"/>
      <c r="AC11" s="590"/>
      <c r="AD11" s="588"/>
      <c r="AE11" s="586" t="s">
        <v>271</v>
      </c>
      <c r="AF11" s="590"/>
      <c r="AG11" s="585">
        <v>1.75</v>
      </c>
      <c r="AH11" s="586" t="s">
        <v>11</v>
      </c>
      <c r="AI11" s="590"/>
      <c r="AJ11" s="587">
        <v>0.5</v>
      </c>
      <c r="AK11" s="588"/>
      <c r="AL11" s="593"/>
    </row>
    <row r="12">
      <c r="A12" s="578">
        <v>7.0</v>
      </c>
      <c r="B12" s="579" t="s">
        <v>86</v>
      </c>
      <c r="C12" s="580">
        <f t="shared" si="1"/>
        <v>18.75</v>
      </c>
      <c r="D12" s="594">
        <f t="shared" si="2"/>
        <v>3</v>
      </c>
      <c r="E12" s="595">
        <f t="shared" si="3"/>
        <v>7.5</v>
      </c>
      <c r="F12" s="596">
        <f t="shared" si="4"/>
        <v>11.25</v>
      </c>
      <c r="G12" s="584" t="s">
        <v>261</v>
      </c>
      <c r="H12" s="585">
        <v>2.5</v>
      </c>
      <c r="I12" s="585">
        <v>3.0</v>
      </c>
      <c r="J12" s="586"/>
      <c r="K12" s="590"/>
      <c r="L12" s="588"/>
      <c r="M12" s="584" t="s">
        <v>261</v>
      </c>
      <c r="N12" s="590"/>
      <c r="O12" s="585">
        <v>1.75</v>
      </c>
      <c r="P12" s="586" t="s">
        <v>263</v>
      </c>
      <c r="Q12" s="590"/>
      <c r="R12" s="588"/>
      <c r="S12" s="586" t="s">
        <v>261</v>
      </c>
      <c r="T12" s="585">
        <v>2.5</v>
      </c>
      <c r="U12" s="585">
        <v>2.0</v>
      </c>
      <c r="V12" s="586"/>
      <c r="W12" s="590"/>
      <c r="X12" s="587"/>
      <c r="Y12" s="586" t="s">
        <v>261</v>
      </c>
      <c r="Z12" s="585">
        <v>2.5</v>
      </c>
      <c r="AA12" s="585">
        <v>2.75</v>
      </c>
      <c r="AB12" s="589"/>
      <c r="AC12" s="590"/>
      <c r="AD12" s="588"/>
      <c r="AE12" s="586" t="s">
        <v>261</v>
      </c>
      <c r="AF12" s="590"/>
      <c r="AG12" s="585">
        <v>1.75</v>
      </c>
      <c r="AH12" s="589"/>
      <c r="AI12" s="590"/>
      <c r="AJ12" s="588"/>
      <c r="AK12" s="588"/>
      <c r="AL12" s="593"/>
    </row>
    <row r="13">
      <c r="A13" s="578">
        <v>8.0</v>
      </c>
      <c r="B13" s="579" t="s">
        <v>130</v>
      </c>
      <c r="C13" s="580">
        <f t="shared" si="1"/>
        <v>19.75</v>
      </c>
      <c r="D13" s="594">
        <f t="shared" si="2"/>
        <v>3</v>
      </c>
      <c r="E13" s="595">
        <f t="shared" si="3"/>
        <v>7.5</v>
      </c>
      <c r="F13" s="596">
        <f t="shared" si="4"/>
        <v>12.25</v>
      </c>
      <c r="G13" s="584" t="s">
        <v>271</v>
      </c>
      <c r="H13" s="597">
        <v>2.5</v>
      </c>
      <c r="I13" s="585">
        <v>2.75</v>
      </c>
      <c r="J13" s="586"/>
      <c r="K13" s="585"/>
      <c r="L13" s="588"/>
      <c r="M13" s="584" t="s">
        <v>261</v>
      </c>
      <c r="N13" s="598"/>
      <c r="O13" s="585">
        <v>2.25</v>
      </c>
      <c r="P13" s="586" t="s">
        <v>11</v>
      </c>
      <c r="Q13" s="590"/>
      <c r="R13" s="587">
        <v>0.5</v>
      </c>
      <c r="S13" s="586" t="s">
        <v>269</v>
      </c>
      <c r="T13" s="598"/>
      <c r="U13" s="585">
        <v>2.25</v>
      </c>
      <c r="V13" s="586"/>
      <c r="W13" s="590"/>
      <c r="X13" s="588"/>
      <c r="Y13" s="586" t="s">
        <v>271</v>
      </c>
      <c r="Z13" s="597">
        <v>2.5</v>
      </c>
      <c r="AA13" s="591">
        <v>2.5</v>
      </c>
      <c r="AB13" s="589"/>
      <c r="AC13" s="590"/>
      <c r="AD13" s="588"/>
      <c r="AE13" s="586" t="s">
        <v>269</v>
      </c>
      <c r="AF13" s="597">
        <v>2.5</v>
      </c>
      <c r="AG13" s="585">
        <v>2.0</v>
      </c>
      <c r="AH13" s="589"/>
      <c r="AI13" s="590"/>
      <c r="AJ13" s="588"/>
      <c r="AK13" s="588"/>
      <c r="AL13" s="593"/>
    </row>
    <row r="14">
      <c r="A14" s="578">
        <v>9.0</v>
      </c>
      <c r="B14" s="579" t="s">
        <v>123</v>
      </c>
      <c r="C14" s="580">
        <f t="shared" si="1"/>
        <v>22.25</v>
      </c>
      <c r="D14" s="594">
        <f t="shared" si="2"/>
        <v>3</v>
      </c>
      <c r="E14" s="595">
        <f t="shared" si="3"/>
        <v>7.5</v>
      </c>
      <c r="F14" s="596">
        <f t="shared" si="4"/>
        <v>14.75</v>
      </c>
      <c r="G14" s="584" t="s">
        <v>261</v>
      </c>
      <c r="H14" s="585">
        <v>2.5</v>
      </c>
      <c r="I14" s="585">
        <v>2.0</v>
      </c>
      <c r="J14" s="586" t="s">
        <v>11</v>
      </c>
      <c r="K14" s="585"/>
      <c r="L14" s="587">
        <v>0.5</v>
      </c>
      <c r="M14" s="584" t="s">
        <v>261</v>
      </c>
      <c r="N14" s="590"/>
      <c r="O14" s="585">
        <v>3.5</v>
      </c>
      <c r="P14" s="586"/>
      <c r="Q14" s="585"/>
      <c r="R14" s="588"/>
      <c r="S14" s="586" t="s">
        <v>261</v>
      </c>
      <c r="T14" s="585">
        <v>2.5</v>
      </c>
      <c r="U14" s="585">
        <v>2.0</v>
      </c>
      <c r="V14" s="589"/>
      <c r="W14" s="590"/>
      <c r="X14" s="588"/>
      <c r="Y14" s="586" t="s">
        <v>261</v>
      </c>
      <c r="Z14" s="585">
        <v>2.5</v>
      </c>
      <c r="AA14" s="591">
        <v>3.25</v>
      </c>
      <c r="AB14" s="586" t="s">
        <v>11</v>
      </c>
      <c r="AC14" s="585">
        <v>0.5</v>
      </c>
      <c r="AD14" s="587">
        <v>1.0</v>
      </c>
      <c r="AE14" s="586" t="s">
        <v>261</v>
      </c>
      <c r="AF14" s="590"/>
      <c r="AG14" s="585">
        <v>2.0</v>
      </c>
      <c r="AH14" s="589"/>
      <c r="AI14" s="590"/>
      <c r="AJ14" s="588"/>
      <c r="AK14" s="588"/>
      <c r="AL14" s="593"/>
    </row>
    <row r="15">
      <c r="A15" s="601">
        <v>10.0</v>
      </c>
      <c r="B15" s="602" t="s">
        <v>112</v>
      </c>
      <c r="C15" s="580">
        <f t="shared" si="1"/>
        <v>22</v>
      </c>
      <c r="D15" s="603">
        <f t="shared" si="2"/>
        <v>3</v>
      </c>
      <c r="E15" s="604">
        <f t="shared" si="3"/>
        <v>7.5</v>
      </c>
      <c r="F15" s="605">
        <f t="shared" si="4"/>
        <v>14.5</v>
      </c>
      <c r="G15" s="606" t="s">
        <v>261</v>
      </c>
      <c r="H15" s="607">
        <v>2.5</v>
      </c>
      <c r="I15" s="607">
        <v>3.75</v>
      </c>
      <c r="J15" s="608"/>
      <c r="K15" s="609"/>
      <c r="L15" s="610"/>
      <c r="M15" s="606" t="s">
        <v>269</v>
      </c>
      <c r="N15" s="607">
        <v>2.5</v>
      </c>
      <c r="O15" s="607">
        <v>3.0</v>
      </c>
      <c r="P15" s="608"/>
      <c r="Q15" s="609"/>
      <c r="R15" s="610"/>
      <c r="S15" s="611" t="s">
        <v>269</v>
      </c>
      <c r="T15" s="609"/>
      <c r="U15" s="607">
        <v>2.0</v>
      </c>
      <c r="V15" s="611"/>
      <c r="W15" s="609"/>
      <c r="X15" s="610"/>
      <c r="Y15" s="611" t="s">
        <v>261</v>
      </c>
      <c r="Z15" s="607">
        <v>2.5</v>
      </c>
      <c r="AA15" s="634">
        <v>2.25</v>
      </c>
      <c r="AB15" s="608"/>
      <c r="AC15" s="609"/>
      <c r="AD15" s="610"/>
      <c r="AE15" s="611" t="s">
        <v>261</v>
      </c>
      <c r="AF15" s="609"/>
      <c r="AG15" s="607">
        <v>3.5</v>
      </c>
      <c r="AH15" s="608"/>
      <c r="AI15" s="609"/>
      <c r="AJ15" s="610"/>
      <c r="AK15" s="610"/>
      <c r="AL15" s="593"/>
    </row>
    <row r="16">
      <c r="A16" s="614" t="s">
        <v>310</v>
      </c>
      <c r="B16" s="615"/>
      <c r="C16" s="615"/>
      <c r="D16" s="615"/>
      <c r="E16" s="615"/>
      <c r="F16" s="615"/>
      <c r="G16" s="616" t="s">
        <v>350</v>
      </c>
      <c r="L16" s="543"/>
      <c r="M16" s="616" t="s">
        <v>350</v>
      </c>
      <c r="R16" s="543"/>
      <c r="S16" s="616" t="s">
        <v>350</v>
      </c>
      <c r="X16" s="543"/>
      <c r="Y16" s="616" t="s">
        <v>350</v>
      </c>
      <c r="AD16" s="543"/>
      <c r="AE16" s="616" t="s">
        <v>350</v>
      </c>
      <c r="AJ16" s="543"/>
      <c r="AK16" s="617"/>
      <c r="AL16" s="577"/>
    </row>
    <row r="17">
      <c r="A17" s="618" t="s">
        <v>269</v>
      </c>
      <c r="B17" s="615"/>
      <c r="C17" s="615"/>
      <c r="D17" s="615"/>
      <c r="E17" s="615"/>
      <c r="F17" s="615"/>
      <c r="G17" s="189"/>
      <c r="H17" s="189"/>
      <c r="I17" s="189"/>
      <c r="J17" s="189"/>
      <c r="K17" s="189"/>
      <c r="L17" s="508"/>
      <c r="M17" s="189"/>
      <c r="N17" s="189"/>
      <c r="O17" s="189"/>
      <c r="P17" s="189"/>
      <c r="Q17" s="189"/>
      <c r="R17" s="508"/>
      <c r="S17" s="189"/>
      <c r="T17" s="189"/>
      <c r="U17" s="189"/>
      <c r="V17" s="189"/>
      <c r="W17" s="189"/>
      <c r="X17" s="508"/>
      <c r="Y17" s="189"/>
      <c r="Z17" s="189"/>
      <c r="AA17" s="189"/>
      <c r="AB17" s="189"/>
      <c r="AC17" s="189"/>
      <c r="AD17" s="508"/>
      <c r="AE17" s="189"/>
      <c r="AF17" s="189"/>
      <c r="AG17" s="189"/>
      <c r="AH17" s="189"/>
      <c r="AI17" s="189"/>
      <c r="AJ17" s="508"/>
      <c r="AK17" s="617"/>
      <c r="AL17" s="577"/>
    </row>
    <row r="18">
      <c r="A18" s="619" t="s">
        <v>271</v>
      </c>
      <c r="B18" s="615"/>
      <c r="C18" s="615"/>
      <c r="D18" s="615"/>
      <c r="E18" s="615"/>
      <c r="F18" s="615"/>
      <c r="G18" s="620" t="s">
        <v>267</v>
      </c>
      <c r="H18" s="548"/>
      <c r="I18" s="548"/>
      <c r="J18" s="548"/>
      <c r="K18" s="548"/>
      <c r="L18" s="549"/>
      <c r="M18" s="621" t="s">
        <v>272</v>
      </c>
      <c r="N18" s="548"/>
      <c r="O18" s="548"/>
      <c r="P18" s="548"/>
      <c r="Q18" s="548"/>
      <c r="R18" s="549"/>
      <c r="S18" s="621" t="s">
        <v>264</v>
      </c>
      <c r="T18" s="548"/>
      <c r="U18" s="548"/>
      <c r="V18" s="548"/>
      <c r="W18" s="548"/>
      <c r="X18" s="549"/>
      <c r="Y18" s="621" t="s">
        <v>264</v>
      </c>
      <c r="Z18" s="548"/>
      <c r="AA18" s="548"/>
      <c r="AB18" s="548"/>
      <c r="AC18" s="548"/>
      <c r="AD18" s="549"/>
      <c r="AE18" s="621" t="s">
        <v>272</v>
      </c>
      <c r="AF18" s="548"/>
      <c r="AG18" s="548"/>
      <c r="AH18" s="548"/>
      <c r="AI18" s="548"/>
      <c r="AJ18" s="549"/>
      <c r="AK18" s="617"/>
      <c r="AL18" s="573"/>
    </row>
    <row r="19">
      <c r="A19" s="622" t="s">
        <v>265</v>
      </c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615"/>
      <c r="AK19" s="652" t="s">
        <v>422</v>
      </c>
      <c r="AL19" s="573"/>
    </row>
    <row r="20">
      <c r="A20" s="623" t="s">
        <v>11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15"/>
      <c r="AB20" s="615"/>
      <c r="AC20" s="615"/>
      <c r="AD20" s="615"/>
      <c r="AE20" s="615"/>
      <c r="AF20" s="615"/>
      <c r="AG20" s="615"/>
      <c r="AH20" s="615"/>
      <c r="AI20" s="615"/>
      <c r="AJ20" s="615"/>
      <c r="AK20" s="624"/>
      <c r="AL20" s="573"/>
    </row>
    <row r="21">
      <c r="A21" s="625" t="s">
        <v>343</v>
      </c>
      <c r="B21" s="626" t="s">
        <v>346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63"/>
      <c r="AL21" s="1"/>
    </row>
    <row r="22">
      <c r="A22" s="625" t="s">
        <v>345</v>
      </c>
      <c r="B22" s="626" t="s">
        <v>344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563"/>
      <c r="AL22" s="1"/>
    </row>
    <row r="23">
      <c r="AK23" s="627"/>
    </row>
    <row r="24">
      <c r="A24" s="628" t="s">
        <v>290</v>
      </c>
      <c r="B24" s="628" t="s">
        <v>145</v>
      </c>
      <c r="C24" s="628" t="s">
        <v>323</v>
      </c>
      <c r="D24" s="628" t="s">
        <v>347</v>
      </c>
      <c r="F24" s="388" t="str">
        <f t="array" ref="F24:G33">SORT(B6:C15,2,False)</f>
        <v>Мишель </v>
      </c>
      <c r="G24" s="389">
        <v>24.25</v>
      </c>
      <c r="AK24" s="62"/>
    </row>
    <row r="25">
      <c r="A25" s="629"/>
      <c r="B25" s="629"/>
      <c r="C25" s="629"/>
      <c r="D25" s="629"/>
      <c r="F25" s="384" t="s">
        <v>92</v>
      </c>
      <c r="G25" s="389">
        <v>23.0</v>
      </c>
      <c r="AK25" s="62"/>
    </row>
    <row r="26">
      <c r="A26" s="632"/>
      <c r="B26" s="62"/>
      <c r="C26" s="62"/>
      <c r="D26" s="632"/>
      <c r="E26" s="632"/>
      <c r="F26" s="632" t="s">
        <v>123</v>
      </c>
      <c r="G26" s="389">
        <v>22.25</v>
      </c>
      <c r="AK26" s="62"/>
    </row>
    <row r="27">
      <c r="A27" s="62"/>
      <c r="B27" s="62"/>
      <c r="C27" s="62"/>
      <c r="D27" s="62"/>
      <c r="E27" s="62"/>
      <c r="F27" s="62" t="s">
        <v>112</v>
      </c>
      <c r="G27" s="389">
        <v>22.0</v>
      </c>
      <c r="AK27" s="62"/>
    </row>
    <row r="28">
      <c r="A28" s="62"/>
      <c r="B28" s="62"/>
      <c r="C28" s="62"/>
      <c r="D28" s="62"/>
      <c r="E28" s="62"/>
      <c r="F28" s="62" t="s">
        <v>130</v>
      </c>
      <c r="G28" s="389">
        <v>19.75</v>
      </c>
      <c r="AK28" s="62"/>
    </row>
    <row r="29">
      <c r="A29" s="62"/>
      <c r="B29" s="62"/>
      <c r="C29" s="62"/>
      <c r="D29" s="62"/>
      <c r="E29" s="62"/>
      <c r="F29" s="62" t="s">
        <v>134</v>
      </c>
      <c r="G29" s="389">
        <v>19.0</v>
      </c>
      <c r="AK29" s="62"/>
    </row>
    <row r="30">
      <c r="A30" s="62"/>
      <c r="B30" s="62"/>
      <c r="C30" s="62"/>
      <c r="D30" s="62"/>
      <c r="E30" s="62"/>
      <c r="F30" s="62" t="s">
        <v>96</v>
      </c>
      <c r="G30" s="389">
        <v>19.0</v>
      </c>
      <c r="AK30" s="62"/>
    </row>
    <row r="31">
      <c r="A31" s="62"/>
      <c r="B31" s="62"/>
      <c r="C31" s="62"/>
      <c r="D31" s="62"/>
      <c r="E31" s="62"/>
      <c r="F31" s="62" t="s">
        <v>86</v>
      </c>
      <c r="G31" s="389">
        <v>18.75</v>
      </c>
      <c r="AK31" s="62"/>
    </row>
    <row r="32">
      <c r="A32" s="62"/>
      <c r="B32" s="62"/>
      <c r="C32" s="62"/>
      <c r="D32" s="62"/>
      <c r="E32" s="62"/>
      <c r="F32" s="62" t="s">
        <v>119</v>
      </c>
      <c r="G32" s="389">
        <v>17.75</v>
      </c>
      <c r="AK32" s="62"/>
    </row>
    <row r="33">
      <c r="A33" s="62"/>
      <c r="B33" s="62"/>
      <c r="C33" s="62"/>
      <c r="D33" s="62"/>
      <c r="E33" s="62"/>
      <c r="F33" s="62" t="s">
        <v>117</v>
      </c>
      <c r="G33" s="389">
        <v>16.75</v>
      </c>
      <c r="AK33" s="62"/>
    </row>
    <row r="34">
      <c r="A34" s="62"/>
      <c r="B34" s="62"/>
      <c r="C34" s="62"/>
      <c r="D34" s="62"/>
      <c r="E34" s="62"/>
      <c r="F34" s="62"/>
      <c r="AK34" s="62"/>
    </row>
    <row r="35">
      <c r="A35" s="62"/>
      <c r="B35" s="62"/>
      <c r="C35" s="62"/>
      <c r="D35" s="62"/>
      <c r="E35" s="62"/>
      <c r="F35" s="62"/>
      <c r="AK35" s="62"/>
    </row>
    <row r="36">
      <c r="A36" s="62"/>
      <c r="B36" s="62"/>
      <c r="C36" s="62"/>
      <c r="D36" s="62"/>
      <c r="E36" s="62"/>
      <c r="F36" s="62"/>
      <c r="AK36" s="62"/>
    </row>
    <row r="37">
      <c r="A37" s="62"/>
      <c r="B37" s="62"/>
      <c r="C37" s="62"/>
      <c r="D37" s="62"/>
      <c r="E37" s="62"/>
      <c r="F37" s="62"/>
      <c r="AK37" s="62"/>
    </row>
    <row r="38">
      <c r="A38" s="62"/>
      <c r="B38" s="62"/>
      <c r="C38" s="62"/>
      <c r="D38" s="62"/>
      <c r="E38" s="62"/>
      <c r="F38" s="62"/>
      <c r="AK38" s="62"/>
    </row>
    <row r="39">
      <c r="A39" s="62"/>
      <c r="B39" s="62"/>
      <c r="C39" s="62"/>
      <c r="D39" s="62"/>
      <c r="E39" s="62"/>
      <c r="F39" s="62"/>
      <c r="AK39" s="62"/>
    </row>
    <row r="40">
      <c r="A40" s="62"/>
      <c r="B40" s="62"/>
      <c r="C40" s="62"/>
      <c r="D40" s="62"/>
      <c r="E40" s="62"/>
      <c r="F40" s="62"/>
      <c r="AK40" s="62"/>
    </row>
    <row r="41">
      <c r="AK41" s="62"/>
    </row>
    <row r="42">
      <c r="AK42" s="62"/>
    </row>
    <row r="43">
      <c r="AK43" s="62"/>
    </row>
    <row r="44">
      <c r="AK44" s="62"/>
    </row>
    <row r="45">
      <c r="AK45" s="62"/>
    </row>
    <row r="46">
      <c r="AK46" s="62"/>
    </row>
    <row r="47">
      <c r="AK47" s="62"/>
    </row>
    <row r="48">
      <c r="AK48" s="62"/>
    </row>
    <row r="49">
      <c r="AK49" s="62"/>
    </row>
    <row r="50">
      <c r="AK50" s="62"/>
    </row>
    <row r="51">
      <c r="AK51" s="62"/>
    </row>
    <row r="52">
      <c r="AK52" s="62"/>
    </row>
    <row r="53">
      <c r="AK53" s="62"/>
    </row>
    <row r="54">
      <c r="AK54" s="62"/>
    </row>
    <row r="55">
      <c r="AK55" s="62"/>
    </row>
    <row r="56">
      <c r="AK56" s="62"/>
    </row>
    <row r="57">
      <c r="AK57" s="62"/>
    </row>
    <row r="58">
      <c r="AK58" s="62"/>
    </row>
    <row r="59">
      <c r="AK59" s="62"/>
    </row>
    <row r="60">
      <c r="AK60" s="62"/>
    </row>
    <row r="61">
      <c r="AK61" s="62"/>
    </row>
    <row r="62">
      <c r="AK62" s="62"/>
    </row>
    <row r="63">
      <c r="AK63" s="62"/>
    </row>
    <row r="64">
      <c r="AK64" s="62"/>
    </row>
    <row r="65">
      <c r="AK65" s="62"/>
    </row>
    <row r="66">
      <c r="AK66" s="62"/>
    </row>
    <row r="67">
      <c r="AK67" s="62"/>
    </row>
    <row r="68">
      <c r="AK68" s="62"/>
    </row>
    <row r="69">
      <c r="AK69" s="62"/>
    </row>
    <row r="70">
      <c r="AK70" s="62"/>
    </row>
    <row r="71">
      <c r="AK71" s="62"/>
    </row>
    <row r="72">
      <c r="AK72" s="62"/>
    </row>
    <row r="73">
      <c r="AK73" s="62"/>
    </row>
    <row r="74">
      <c r="AK74" s="62"/>
    </row>
    <row r="75">
      <c r="AK75" s="62"/>
    </row>
    <row r="76">
      <c r="AK76" s="62"/>
    </row>
    <row r="77">
      <c r="AK77" s="62"/>
    </row>
    <row r="78">
      <c r="AK78" s="62"/>
    </row>
    <row r="79">
      <c r="AK79" s="62"/>
    </row>
    <row r="80">
      <c r="AK80" s="62"/>
    </row>
    <row r="81">
      <c r="AK81" s="62"/>
    </row>
    <row r="82">
      <c r="AK82" s="62"/>
    </row>
    <row r="83">
      <c r="AK83" s="62"/>
    </row>
    <row r="84">
      <c r="AK84" s="62"/>
    </row>
    <row r="85">
      <c r="AK85" s="62"/>
    </row>
    <row r="86">
      <c r="AK86" s="62"/>
    </row>
    <row r="87">
      <c r="AK87" s="62"/>
    </row>
    <row r="88">
      <c r="AK88" s="62"/>
    </row>
    <row r="89">
      <c r="AK89" s="62"/>
    </row>
    <row r="90">
      <c r="AK90" s="62"/>
    </row>
    <row r="91">
      <c r="AK91" s="62"/>
    </row>
    <row r="92">
      <c r="AK92" s="62"/>
    </row>
    <row r="93">
      <c r="AK93" s="62"/>
    </row>
    <row r="94">
      <c r="AK94" s="62"/>
    </row>
    <row r="95">
      <c r="AK95" s="62"/>
    </row>
    <row r="96">
      <c r="AK96" s="62"/>
    </row>
    <row r="97">
      <c r="AK97" s="62"/>
    </row>
    <row r="98">
      <c r="AK98" s="62"/>
    </row>
    <row r="99">
      <c r="AK99" s="62"/>
    </row>
    <row r="100">
      <c r="AK100" s="62"/>
    </row>
    <row r="101">
      <c r="AK101" s="62"/>
    </row>
    <row r="102">
      <c r="AK102" s="62"/>
    </row>
    <row r="103">
      <c r="AK103" s="62"/>
    </row>
    <row r="104">
      <c r="AK104" s="62"/>
    </row>
    <row r="105">
      <c r="AK105" s="62"/>
    </row>
    <row r="106">
      <c r="AK106" s="62"/>
    </row>
    <row r="107">
      <c r="AK107" s="62"/>
    </row>
    <row r="108">
      <c r="AK108" s="62"/>
    </row>
    <row r="109">
      <c r="AK109" s="62"/>
    </row>
    <row r="110">
      <c r="AK110" s="62"/>
    </row>
    <row r="111">
      <c r="AK111" s="62"/>
    </row>
    <row r="112">
      <c r="AK112" s="62"/>
    </row>
    <row r="113">
      <c r="AK113" s="62"/>
    </row>
    <row r="114">
      <c r="AK114" s="62"/>
    </row>
    <row r="115">
      <c r="AK115" s="62"/>
    </row>
    <row r="116">
      <c r="AK116" s="62"/>
    </row>
    <row r="117">
      <c r="AK117" s="62"/>
    </row>
    <row r="118">
      <c r="AK118" s="62"/>
    </row>
    <row r="119">
      <c r="AK119" s="62"/>
    </row>
    <row r="120">
      <c r="AK120" s="62"/>
    </row>
    <row r="121">
      <c r="AK121" s="62"/>
    </row>
    <row r="122">
      <c r="AK122" s="62"/>
    </row>
    <row r="123">
      <c r="AK123" s="62"/>
    </row>
    <row r="124">
      <c r="AK124" s="62"/>
    </row>
    <row r="125">
      <c r="AK125" s="62"/>
    </row>
    <row r="126">
      <c r="AK126" s="62"/>
    </row>
    <row r="127">
      <c r="AK127" s="62"/>
    </row>
    <row r="128">
      <c r="AK128" s="62"/>
    </row>
    <row r="129">
      <c r="AK129" s="62"/>
    </row>
    <row r="130">
      <c r="AK130" s="62"/>
    </row>
    <row r="131">
      <c r="AK131" s="62"/>
    </row>
    <row r="132">
      <c r="AK132" s="62"/>
    </row>
    <row r="133">
      <c r="AK133" s="62"/>
    </row>
    <row r="134">
      <c r="AK134" s="62"/>
    </row>
    <row r="135">
      <c r="AK135" s="62"/>
    </row>
    <row r="136">
      <c r="AK136" s="62"/>
    </row>
    <row r="137">
      <c r="AK137" s="62"/>
    </row>
    <row r="138">
      <c r="AK138" s="62"/>
    </row>
    <row r="139">
      <c r="AK139" s="62"/>
    </row>
    <row r="140">
      <c r="AK140" s="62"/>
    </row>
    <row r="141">
      <c r="AK141" s="62"/>
    </row>
    <row r="142">
      <c r="AK142" s="62"/>
    </row>
    <row r="143">
      <c r="AK143" s="62"/>
    </row>
    <row r="144">
      <c r="AK144" s="62"/>
    </row>
    <row r="145">
      <c r="AK145" s="62"/>
    </row>
    <row r="146">
      <c r="AK146" s="62"/>
    </row>
    <row r="147">
      <c r="AK147" s="62"/>
    </row>
    <row r="148">
      <c r="AK148" s="62"/>
    </row>
    <row r="149">
      <c r="AK149" s="62"/>
    </row>
    <row r="150">
      <c r="AK150" s="62"/>
    </row>
    <row r="151">
      <c r="AK151" s="62"/>
    </row>
    <row r="152">
      <c r="AK152" s="62"/>
    </row>
    <row r="153">
      <c r="AK153" s="62"/>
    </row>
    <row r="154">
      <c r="AK154" s="62"/>
    </row>
    <row r="155">
      <c r="AK155" s="62"/>
    </row>
    <row r="156">
      <c r="AK156" s="62"/>
    </row>
    <row r="157">
      <c r="AK157" s="62"/>
    </row>
    <row r="158">
      <c r="AK158" s="62"/>
    </row>
    <row r="159">
      <c r="AK159" s="62"/>
    </row>
    <row r="160">
      <c r="AK160" s="62"/>
    </row>
    <row r="161">
      <c r="AK161" s="62"/>
    </row>
    <row r="162">
      <c r="AK162" s="62"/>
    </row>
    <row r="163">
      <c r="AK163" s="62"/>
    </row>
    <row r="164">
      <c r="AK164" s="62"/>
    </row>
    <row r="165">
      <c r="AK165" s="62"/>
    </row>
    <row r="166">
      <c r="AK166" s="62"/>
    </row>
    <row r="167">
      <c r="AK167" s="62"/>
    </row>
    <row r="168">
      <c r="AK168" s="62"/>
    </row>
    <row r="169">
      <c r="AK169" s="62"/>
    </row>
    <row r="170">
      <c r="AK170" s="62"/>
    </row>
    <row r="171">
      <c r="AK171" s="62"/>
    </row>
    <row r="172">
      <c r="AK172" s="62"/>
    </row>
    <row r="173">
      <c r="AK173" s="62"/>
    </row>
    <row r="174">
      <c r="AK174" s="62"/>
    </row>
    <row r="175">
      <c r="AK175" s="62"/>
    </row>
    <row r="176">
      <c r="AK176" s="62"/>
    </row>
    <row r="177">
      <c r="AK177" s="62"/>
    </row>
    <row r="178">
      <c r="AK178" s="62"/>
    </row>
    <row r="179">
      <c r="AK179" s="62"/>
    </row>
    <row r="180">
      <c r="AK180" s="62"/>
    </row>
    <row r="181">
      <c r="AK181" s="62"/>
    </row>
    <row r="182">
      <c r="AK182" s="62"/>
    </row>
    <row r="183">
      <c r="AK183" s="62"/>
    </row>
    <row r="184">
      <c r="AK184" s="62"/>
    </row>
    <row r="185">
      <c r="AK185" s="62"/>
    </row>
    <row r="186">
      <c r="AK186" s="62"/>
    </row>
    <row r="187">
      <c r="AK187" s="62"/>
    </row>
    <row r="188">
      <c r="AK188" s="62"/>
    </row>
    <row r="189">
      <c r="AK189" s="62"/>
    </row>
    <row r="190">
      <c r="AK190" s="62"/>
    </row>
    <row r="191">
      <c r="AK191" s="62"/>
    </row>
    <row r="192">
      <c r="AK192" s="62"/>
    </row>
    <row r="193">
      <c r="AK193" s="62"/>
    </row>
    <row r="194">
      <c r="AK194" s="62"/>
    </row>
    <row r="195">
      <c r="AK195" s="62"/>
    </row>
    <row r="196">
      <c r="AK196" s="62"/>
    </row>
    <row r="197">
      <c r="AK197" s="62"/>
    </row>
    <row r="198">
      <c r="AK198" s="62"/>
    </row>
    <row r="199">
      <c r="AK199" s="62"/>
    </row>
    <row r="200">
      <c r="AK200" s="62"/>
    </row>
    <row r="201">
      <c r="AK201" s="62"/>
    </row>
    <row r="202">
      <c r="AK202" s="62"/>
    </row>
    <row r="203">
      <c r="AK203" s="62"/>
    </row>
    <row r="204">
      <c r="AK204" s="62"/>
    </row>
    <row r="205">
      <c r="AK205" s="62"/>
    </row>
    <row r="206">
      <c r="AK206" s="62"/>
    </row>
    <row r="207">
      <c r="AK207" s="62"/>
    </row>
    <row r="208">
      <c r="AK208" s="62"/>
    </row>
    <row r="209">
      <c r="AK209" s="62"/>
    </row>
    <row r="210">
      <c r="AK210" s="62"/>
    </row>
    <row r="211">
      <c r="AK211" s="62"/>
    </row>
    <row r="212">
      <c r="AK212" s="62"/>
    </row>
    <row r="213">
      <c r="AK213" s="62"/>
    </row>
    <row r="214">
      <c r="AK214" s="62"/>
    </row>
    <row r="215">
      <c r="AK215" s="62"/>
    </row>
    <row r="216">
      <c r="AK216" s="62"/>
    </row>
    <row r="217">
      <c r="AK217" s="62"/>
    </row>
    <row r="218">
      <c r="AK218" s="62"/>
    </row>
    <row r="219">
      <c r="AK219" s="62"/>
    </row>
    <row r="220">
      <c r="AK220" s="62"/>
    </row>
    <row r="221">
      <c r="AK221" s="62"/>
    </row>
    <row r="222">
      <c r="AK222" s="62"/>
    </row>
    <row r="223">
      <c r="AK223" s="62"/>
    </row>
    <row r="224">
      <c r="AK224" s="62"/>
    </row>
    <row r="225">
      <c r="AK225" s="62"/>
    </row>
    <row r="226">
      <c r="AK226" s="62"/>
    </row>
    <row r="227">
      <c r="AK227" s="62"/>
    </row>
    <row r="228">
      <c r="AK228" s="62"/>
    </row>
    <row r="229">
      <c r="AK229" s="62"/>
    </row>
    <row r="230">
      <c r="AK230" s="62"/>
    </row>
    <row r="231">
      <c r="AK231" s="62"/>
    </row>
    <row r="232">
      <c r="AK232" s="62"/>
    </row>
    <row r="233">
      <c r="AK233" s="62"/>
    </row>
    <row r="234">
      <c r="AK234" s="62"/>
    </row>
    <row r="235">
      <c r="AK235" s="62"/>
    </row>
    <row r="236">
      <c r="AK236" s="62"/>
    </row>
    <row r="237">
      <c r="AK237" s="62"/>
    </row>
    <row r="238">
      <c r="AK238" s="62"/>
    </row>
    <row r="239">
      <c r="AK239" s="62"/>
    </row>
    <row r="240">
      <c r="AK240" s="62"/>
    </row>
    <row r="241">
      <c r="AK241" s="62"/>
    </row>
    <row r="242">
      <c r="AK242" s="62"/>
    </row>
    <row r="243">
      <c r="AK243" s="62"/>
    </row>
    <row r="244">
      <c r="AK244" s="62"/>
    </row>
    <row r="245">
      <c r="AK245" s="62"/>
    </row>
    <row r="246">
      <c r="AK246" s="62"/>
    </row>
    <row r="247">
      <c r="AK247" s="62"/>
    </row>
    <row r="248">
      <c r="AK248" s="62"/>
    </row>
    <row r="249">
      <c r="AK249" s="62"/>
    </row>
    <row r="250">
      <c r="AK250" s="62"/>
    </row>
    <row r="251">
      <c r="AK251" s="62"/>
    </row>
    <row r="252">
      <c r="AK252" s="62"/>
    </row>
    <row r="253">
      <c r="AK253" s="62"/>
    </row>
    <row r="254">
      <c r="AK254" s="62"/>
    </row>
    <row r="255">
      <c r="AK255" s="62"/>
    </row>
    <row r="256">
      <c r="AK256" s="62"/>
    </row>
    <row r="257">
      <c r="AK257" s="62"/>
    </row>
    <row r="258">
      <c r="AK258" s="62"/>
    </row>
    <row r="259">
      <c r="AK259" s="62"/>
    </row>
    <row r="260">
      <c r="AK260" s="62"/>
    </row>
    <row r="261">
      <c r="AK261" s="62"/>
    </row>
    <row r="262">
      <c r="AK262" s="62"/>
    </row>
    <row r="263">
      <c r="AK263" s="62"/>
    </row>
    <row r="264">
      <c r="AK264" s="62"/>
    </row>
    <row r="265">
      <c r="AK265" s="62"/>
    </row>
    <row r="266">
      <c r="AK266" s="62"/>
    </row>
    <row r="267">
      <c r="AK267" s="62"/>
    </row>
    <row r="268">
      <c r="AK268" s="62"/>
    </row>
    <row r="269">
      <c r="AK269" s="62"/>
    </row>
    <row r="270">
      <c r="AK270" s="62"/>
    </row>
    <row r="271">
      <c r="AK271" s="62"/>
    </row>
    <row r="272">
      <c r="AK272" s="62"/>
    </row>
    <row r="273">
      <c r="AK273" s="62"/>
    </row>
    <row r="274">
      <c r="AK274" s="62"/>
    </row>
    <row r="275">
      <c r="AK275" s="62"/>
    </row>
    <row r="276">
      <c r="AK276" s="62"/>
    </row>
    <row r="277">
      <c r="AK277" s="62"/>
    </row>
    <row r="278">
      <c r="AK278" s="62"/>
    </row>
    <row r="279">
      <c r="AK279" s="62"/>
    </row>
    <row r="280">
      <c r="AK280" s="62"/>
    </row>
    <row r="281">
      <c r="AK281" s="62"/>
    </row>
    <row r="282">
      <c r="AK282" s="62"/>
    </row>
    <row r="283">
      <c r="AK283" s="62"/>
    </row>
    <row r="284">
      <c r="AK284" s="62"/>
    </row>
    <row r="285">
      <c r="AK285" s="62"/>
    </row>
    <row r="286">
      <c r="AK286" s="62"/>
    </row>
    <row r="287">
      <c r="AK287" s="62"/>
    </row>
    <row r="288">
      <c r="AK288" s="62"/>
    </row>
    <row r="289">
      <c r="AK289" s="62"/>
    </row>
    <row r="290">
      <c r="AK290" s="62"/>
    </row>
    <row r="291">
      <c r="AK291" s="62"/>
    </row>
    <row r="292">
      <c r="AK292" s="62"/>
    </row>
    <row r="293">
      <c r="AK293" s="62"/>
    </row>
    <row r="294">
      <c r="AK294" s="62"/>
    </row>
    <row r="295">
      <c r="AK295" s="62"/>
    </row>
    <row r="296">
      <c r="AK296" s="62"/>
    </row>
    <row r="297">
      <c r="AK297" s="62"/>
    </row>
    <row r="298">
      <c r="AK298" s="62"/>
    </row>
    <row r="299">
      <c r="AK299" s="62"/>
    </row>
    <row r="300">
      <c r="AK300" s="62"/>
    </row>
    <row r="301">
      <c r="AK301" s="62"/>
    </row>
    <row r="302">
      <c r="AK302" s="62"/>
    </row>
    <row r="303">
      <c r="AK303" s="62"/>
    </row>
    <row r="304">
      <c r="AK304" s="62"/>
    </row>
    <row r="305">
      <c r="AK305" s="62"/>
    </row>
    <row r="306">
      <c r="AK306" s="62"/>
    </row>
    <row r="307">
      <c r="AK307" s="62"/>
    </row>
    <row r="308">
      <c r="AK308" s="62"/>
    </row>
    <row r="309">
      <c r="AK309" s="62"/>
    </row>
    <row r="310">
      <c r="AK310" s="62"/>
    </row>
    <row r="311">
      <c r="AK311" s="62"/>
    </row>
    <row r="312">
      <c r="AK312" s="62"/>
    </row>
    <row r="313">
      <c r="AK313" s="62"/>
    </row>
    <row r="314">
      <c r="AK314" s="62"/>
    </row>
    <row r="315">
      <c r="AK315" s="62"/>
    </row>
    <row r="316">
      <c r="AK316" s="62"/>
    </row>
    <row r="317">
      <c r="AK317" s="62"/>
    </row>
    <row r="318">
      <c r="AK318" s="62"/>
    </row>
    <row r="319">
      <c r="AK319" s="62"/>
    </row>
    <row r="320">
      <c r="AK320" s="62"/>
    </row>
    <row r="321">
      <c r="AK321" s="62"/>
    </row>
    <row r="322">
      <c r="AK322" s="62"/>
    </row>
    <row r="323">
      <c r="AK323" s="62"/>
    </row>
    <row r="324">
      <c r="AK324" s="62"/>
    </row>
    <row r="325">
      <c r="AK325" s="62"/>
    </row>
    <row r="326">
      <c r="AK326" s="62"/>
    </row>
    <row r="327">
      <c r="AK327" s="62"/>
    </row>
    <row r="328">
      <c r="AK328" s="62"/>
    </row>
    <row r="329">
      <c r="AK329" s="62"/>
    </row>
    <row r="330">
      <c r="AK330" s="62"/>
    </row>
    <row r="331">
      <c r="AK331" s="62"/>
    </row>
    <row r="332">
      <c r="AK332" s="62"/>
    </row>
    <row r="333">
      <c r="AK333" s="62"/>
    </row>
    <row r="334">
      <c r="AK334" s="62"/>
    </row>
    <row r="335">
      <c r="AK335" s="62"/>
    </row>
    <row r="336">
      <c r="AK336" s="62"/>
    </row>
    <row r="337">
      <c r="AK337" s="62"/>
    </row>
    <row r="338">
      <c r="AK338" s="62"/>
    </row>
    <row r="339">
      <c r="AK339" s="62"/>
    </row>
    <row r="340">
      <c r="AK340" s="62"/>
    </row>
    <row r="341">
      <c r="AK341" s="62"/>
    </row>
    <row r="342">
      <c r="AK342" s="62"/>
    </row>
    <row r="343">
      <c r="AK343" s="62"/>
    </row>
    <row r="344">
      <c r="AK344" s="62"/>
    </row>
    <row r="345">
      <c r="AK345" s="62"/>
    </row>
    <row r="346">
      <c r="AK346" s="62"/>
    </row>
    <row r="347">
      <c r="AK347" s="62"/>
    </row>
    <row r="348">
      <c r="AK348" s="62"/>
    </row>
    <row r="349">
      <c r="AK349" s="62"/>
    </row>
    <row r="350">
      <c r="AK350" s="62"/>
    </row>
    <row r="351">
      <c r="AK351" s="62"/>
    </row>
    <row r="352">
      <c r="AK352" s="62"/>
    </row>
    <row r="353">
      <c r="AK353" s="62"/>
    </row>
    <row r="354">
      <c r="AK354" s="62"/>
    </row>
    <row r="355">
      <c r="AK355" s="62"/>
    </row>
    <row r="356">
      <c r="AK356" s="62"/>
    </row>
    <row r="357">
      <c r="AK357" s="62"/>
    </row>
    <row r="358">
      <c r="AK358" s="62"/>
    </row>
    <row r="359">
      <c r="AK359" s="62"/>
    </row>
    <row r="360">
      <c r="AK360" s="62"/>
    </row>
    <row r="361">
      <c r="AK361" s="62"/>
    </row>
    <row r="362">
      <c r="AK362" s="62"/>
    </row>
    <row r="363">
      <c r="AK363" s="62"/>
    </row>
    <row r="364">
      <c r="AK364" s="62"/>
    </row>
    <row r="365">
      <c r="AK365" s="62"/>
    </row>
    <row r="366">
      <c r="AK366" s="62"/>
    </row>
    <row r="367">
      <c r="AK367" s="62"/>
    </row>
    <row r="368">
      <c r="AK368" s="62"/>
    </row>
    <row r="369">
      <c r="AK369" s="62"/>
    </row>
    <row r="370">
      <c r="AK370" s="62"/>
    </row>
    <row r="371">
      <c r="AK371" s="62"/>
    </row>
    <row r="372">
      <c r="AK372" s="62"/>
    </row>
    <row r="373">
      <c r="AK373" s="62"/>
    </row>
    <row r="374">
      <c r="AK374" s="62"/>
    </row>
    <row r="375">
      <c r="AK375" s="62"/>
    </row>
    <row r="376">
      <c r="AK376" s="62"/>
    </row>
    <row r="377">
      <c r="AK377" s="62"/>
    </row>
    <row r="378">
      <c r="AK378" s="62"/>
    </row>
    <row r="379">
      <c r="AK379" s="62"/>
    </row>
    <row r="380">
      <c r="AK380" s="62"/>
    </row>
    <row r="381">
      <c r="AK381" s="62"/>
    </row>
    <row r="382">
      <c r="AK382" s="62"/>
    </row>
    <row r="383">
      <c r="AK383" s="62"/>
    </row>
    <row r="384">
      <c r="AK384" s="62"/>
    </row>
    <row r="385">
      <c r="AK385" s="62"/>
    </row>
    <row r="386">
      <c r="AK386" s="62"/>
    </row>
    <row r="387">
      <c r="AK387" s="62"/>
    </row>
    <row r="388">
      <c r="AK388" s="62"/>
    </row>
    <row r="389">
      <c r="AK389" s="62"/>
    </row>
    <row r="390">
      <c r="AK390" s="62"/>
    </row>
    <row r="391">
      <c r="AK391" s="62"/>
    </row>
    <row r="392">
      <c r="AK392" s="62"/>
    </row>
    <row r="393">
      <c r="AK393" s="62"/>
    </row>
    <row r="394">
      <c r="AK394" s="62"/>
    </row>
    <row r="395">
      <c r="AK395" s="62"/>
    </row>
    <row r="396">
      <c r="AK396" s="62"/>
    </row>
    <row r="397">
      <c r="AK397" s="62"/>
    </row>
    <row r="398">
      <c r="AK398" s="62"/>
    </row>
    <row r="399">
      <c r="AK399" s="62"/>
    </row>
    <row r="400">
      <c r="AK400" s="62"/>
    </row>
    <row r="401">
      <c r="AK401" s="62"/>
    </row>
    <row r="402">
      <c r="AK402" s="62"/>
    </row>
    <row r="403">
      <c r="AK403" s="62"/>
    </row>
    <row r="404">
      <c r="AK404" s="62"/>
    </row>
    <row r="405">
      <c r="AK405" s="62"/>
    </row>
    <row r="406">
      <c r="AK406" s="62"/>
    </row>
    <row r="407">
      <c r="AK407" s="62"/>
    </row>
    <row r="408">
      <c r="AK408" s="62"/>
    </row>
    <row r="409">
      <c r="AK409" s="62"/>
    </row>
    <row r="410">
      <c r="AK410" s="62"/>
    </row>
    <row r="411">
      <c r="AK411" s="62"/>
    </row>
    <row r="412">
      <c r="AK412" s="62"/>
    </row>
    <row r="413">
      <c r="AK413" s="62"/>
    </row>
    <row r="414">
      <c r="AK414" s="62"/>
    </row>
    <row r="415">
      <c r="AK415" s="62"/>
    </row>
    <row r="416">
      <c r="AK416" s="62"/>
    </row>
    <row r="417">
      <c r="AK417" s="62"/>
    </row>
    <row r="418">
      <c r="AK418" s="62"/>
    </row>
    <row r="419">
      <c r="AK419" s="62"/>
    </row>
    <row r="420">
      <c r="AK420" s="62"/>
    </row>
    <row r="421">
      <c r="AK421" s="62"/>
    </row>
    <row r="422">
      <c r="AK422" s="62"/>
    </row>
    <row r="423">
      <c r="AK423" s="62"/>
    </row>
    <row r="424">
      <c r="AK424" s="62"/>
    </row>
    <row r="425">
      <c r="AK425" s="62"/>
    </row>
    <row r="426">
      <c r="AK426" s="62"/>
    </row>
    <row r="427">
      <c r="AK427" s="62"/>
    </row>
    <row r="428">
      <c r="AK428" s="62"/>
    </row>
    <row r="429">
      <c r="AK429" s="62"/>
    </row>
    <row r="430">
      <c r="AK430" s="62"/>
    </row>
    <row r="431">
      <c r="AK431" s="62"/>
    </row>
    <row r="432">
      <c r="AK432" s="62"/>
    </row>
    <row r="433">
      <c r="AK433" s="62"/>
    </row>
    <row r="434">
      <c r="AK434" s="62"/>
    </row>
    <row r="435">
      <c r="AK435" s="62"/>
    </row>
    <row r="436">
      <c r="AK436" s="62"/>
    </row>
    <row r="437">
      <c r="AK437" s="62"/>
    </row>
    <row r="438">
      <c r="AK438" s="62"/>
    </row>
    <row r="439">
      <c r="AK439" s="62"/>
    </row>
    <row r="440">
      <c r="AK440" s="62"/>
    </row>
    <row r="441">
      <c r="AK441" s="62"/>
    </row>
    <row r="442">
      <c r="AK442" s="62"/>
    </row>
    <row r="443">
      <c r="AK443" s="62"/>
    </row>
    <row r="444">
      <c r="AK444" s="62"/>
    </row>
    <row r="445">
      <c r="AK445" s="62"/>
    </row>
    <row r="446">
      <c r="AK446" s="62"/>
    </row>
    <row r="447">
      <c r="AK447" s="62"/>
    </row>
    <row r="448">
      <c r="AK448" s="62"/>
    </row>
    <row r="449">
      <c r="AK449" s="62"/>
    </row>
    <row r="450">
      <c r="AK450" s="62"/>
    </row>
    <row r="451">
      <c r="AK451" s="62"/>
    </row>
    <row r="452">
      <c r="AK452" s="62"/>
    </row>
    <row r="453">
      <c r="AK453" s="62"/>
    </row>
    <row r="454">
      <c r="AK454" s="62"/>
    </row>
    <row r="455">
      <c r="AK455" s="62"/>
    </row>
    <row r="456">
      <c r="AK456" s="62"/>
    </row>
    <row r="457">
      <c r="AK457" s="62"/>
    </row>
    <row r="458">
      <c r="AK458" s="62"/>
    </row>
    <row r="459">
      <c r="AK459" s="62"/>
    </row>
    <row r="460">
      <c r="AK460" s="62"/>
    </row>
    <row r="461">
      <c r="AK461" s="62"/>
    </row>
    <row r="462">
      <c r="AK462" s="62"/>
    </row>
    <row r="463">
      <c r="AK463" s="62"/>
    </row>
    <row r="464">
      <c r="AK464" s="62"/>
    </row>
    <row r="465">
      <c r="AK465" s="62"/>
    </row>
    <row r="466">
      <c r="AK466" s="62"/>
    </row>
    <row r="467">
      <c r="AK467" s="62"/>
    </row>
    <row r="468">
      <c r="AK468" s="62"/>
    </row>
    <row r="469">
      <c r="AK469" s="62"/>
    </row>
    <row r="470">
      <c r="AK470" s="62"/>
    </row>
    <row r="471">
      <c r="AK471" s="62"/>
    </row>
    <row r="472">
      <c r="AK472" s="62"/>
    </row>
    <row r="473">
      <c r="AK473" s="62"/>
    </row>
    <row r="474">
      <c r="AK474" s="62"/>
    </row>
    <row r="475">
      <c r="AK475" s="62"/>
    </row>
    <row r="476">
      <c r="AK476" s="62"/>
    </row>
    <row r="477">
      <c r="AK477" s="62"/>
    </row>
    <row r="478">
      <c r="AK478" s="62"/>
    </row>
    <row r="479">
      <c r="AK479" s="62"/>
    </row>
    <row r="480">
      <c r="AK480" s="62"/>
    </row>
    <row r="481">
      <c r="AK481" s="62"/>
    </row>
    <row r="482">
      <c r="AK482" s="62"/>
    </row>
    <row r="483">
      <c r="AK483" s="62"/>
    </row>
    <row r="484">
      <c r="AK484" s="62"/>
    </row>
    <row r="485">
      <c r="AK485" s="62"/>
    </row>
    <row r="486">
      <c r="AK486" s="62"/>
    </row>
    <row r="487">
      <c r="AK487" s="62"/>
    </row>
    <row r="488">
      <c r="AK488" s="62"/>
    </row>
    <row r="489">
      <c r="AK489" s="62"/>
    </row>
    <row r="490">
      <c r="AK490" s="62"/>
    </row>
    <row r="491">
      <c r="AK491" s="62"/>
    </row>
    <row r="492">
      <c r="AK492" s="62"/>
    </row>
    <row r="493">
      <c r="AK493" s="62"/>
    </row>
    <row r="494">
      <c r="AK494" s="62"/>
    </row>
    <row r="495">
      <c r="AK495" s="62"/>
    </row>
    <row r="496">
      <c r="AK496" s="62"/>
    </row>
    <row r="497">
      <c r="AK497" s="62"/>
    </row>
    <row r="498">
      <c r="AK498" s="62"/>
    </row>
    <row r="499">
      <c r="AK499" s="62"/>
    </row>
    <row r="500">
      <c r="AK500" s="62"/>
    </row>
    <row r="501">
      <c r="AK501" s="62"/>
    </row>
    <row r="502">
      <c r="AK502" s="62"/>
    </row>
    <row r="503">
      <c r="AK503" s="62"/>
    </row>
    <row r="504">
      <c r="AK504" s="62"/>
    </row>
    <row r="505">
      <c r="AK505" s="62"/>
    </row>
    <row r="506">
      <c r="AK506" s="62"/>
    </row>
    <row r="507">
      <c r="AK507" s="62"/>
    </row>
    <row r="508">
      <c r="AK508" s="62"/>
    </row>
    <row r="509">
      <c r="AK509" s="62"/>
    </row>
    <row r="510">
      <c r="AK510" s="62"/>
    </row>
    <row r="511">
      <c r="AK511" s="62"/>
    </row>
    <row r="512">
      <c r="AK512" s="62"/>
    </row>
    <row r="513">
      <c r="AK513" s="62"/>
    </row>
    <row r="514">
      <c r="AK514" s="62"/>
    </row>
    <row r="515">
      <c r="AK515" s="62"/>
    </row>
    <row r="516">
      <c r="AK516" s="62"/>
    </row>
    <row r="517">
      <c r="AK517" s="62"/>
    </row>
    <row r="518">
      <c r="AK518" s="62"/>
    </row>
    <row r="519">
      <c r="AK519" s="62"/>
    </row>
    <row r="520">
      <c r="AK520" s="62"/>
    </row>
    <row r="521">
      <c r="AK521" s="62"/>
    </row>
    <row r="522">
      <c r="AK522" s="62"/>
    </row>
    <row r="523">
      <c r="AK523" s="62"/>
    </row>
    <row r="524">
      <c r="AK524" s="62"/>
    </row>
    <row r="525">
      <c r="AK525" s="62"/>
    </row>
    <row r="526">
      <c r="AK526" s="62"/>
    </row>
    <row r="527">
      <c r="AK527" s="62"/>
    </row>
    <row r="528">
      <c r="AK528" s="62"/>
    </row>
    <row r="529">
      <c r="AK529" s="62"/>
    </row>
    <row r="530">
      <c r="AK530" s="62"/>
    </row>
    <row r="531">
      <c r="AK531" s="62"/>
    </row>
    <row r="532">
      <c r="AK532" s="62"/>
    </row>
    <row r="533">
      <c r="AK533" s="62"/>
    </row>
    <row r="534">
      <c r="AK534" s="62"/>
    </row>
    <row r="535">
      <c r="AK535" s="62"/>
    </row>
    <row r="536">
      <c r="AK536" s="62"/>
    </row>
    <row r="537">
      <c r="AK537" s="62"/>
    </row>
    <row r="538">
      <c r="AK538" s="62"/>
    </row>
    <row r="539">
      <c r="AK539" s="62"/>
    </row>
    <row r="540">
      <c r="AK540" s="62"/>
    </row>
    <row r="541">
      <c r="AK541" s="62"/>
    </row>
    <row r="542">
      <c r="AK542" s="62"/>
    </row>
    <row r="543">
      <c r="AK543" s="62"/>
    </row>
    <row r="544">
      <c r="AK544" s="62"/>
    </row>
    <row r="545">
      <c r="AK545" s="62"/>
    </row>
    <row r="546">
      <c r="AK546" s="62"/>
    </row>
    <row r="547">
      <c r="AK547" s="62"/>
    </row>
    <row r="548">
      <c r="AK548" s="62"/>
    </row>
    <row r="549">
      <c r="AK549" s="62"/>
    </row>
    <row r="550">
      <c r="AK550" s="62"/>
    </row>
    <row r="551">
      <c r="AK551" s="62"/>
    </row>
    <row r="552">
      <c r="AK552" s="62"/>
    </row>
    <row r="553">
      <c r="AK553" s="62"/>
    </row>
    <row r="554">
      <c r="AK554" s="62"/>
    </row>
    <row r="555">
      <c r="AK555" s="62"/>
    </row>
    <row r="556">
      <c r="AK556" s="62"/>
    </row>
    <row r="557">
      <c r="AK557" s="62"/>
    </row>
    <row r="558">
      <c r="AK558" s="62"/>
    </row>
    <row r="559">
      <c r="AK559" s="62"/>
    </row>
    <row r="560">
      <c r="AK560" s="62"/>
    </row>
    <row r="561">
      <c r="AK561" s="62"/>
    </row>
    <row r="562">
      <c r="AK562" s="62"/>
    </row>
    <row r="563">
      <c r="AK563" s="62"/>
    </row>
    <row r="564">
      <c r="AK564" s="62"/>
    </row>
    <row r="565">
      <c r="AK565" s="62"/>
    </row>
    <row r="566">
      <c r="AK566" s="62"/>
    </row>
    <row r="567">
      <c r="AK567" s="62"/>
    </row>
    <row r="568">
      <c r="AK568" s="62"/>
    </row>
    <row r="569">
      <c r="AK569" s="62"/>
    </row>
    <row r="570">
      <c r="AK570" s="62"/>
    </row>
    <row r="571">
      <c r="AK571" s="62"/>
    </row>
    <row r="572">
      <c r="AK572" s="62"/>
    </row>
    <row r="573">
      <c r="AK573" s="62"/>
    </row>
    <row r="574">
      <c r="AK574" s="62"/>
    </row>
    <row r="575">
      <c r="AK575" s="62"/>
    </row>
    <row r="576">
      <c r="AK576" s="62"/>
    </row>
    <row r="577">
      <c r="AK577" s="62"/>
    </row>
    <row r="578">
      <c r="AK578" s="62"/>
    </row>
    <row r="579">
      <c r="AK579" s="62"/>
    </row>
    <row r="580">
      <c r="AK580" s="62"/>
    </row>
    <row r="581">
      <c r="AK581" s="62"/>
    </row>
    <row r="582">
      <c r="AK582" s="62"/>
    </row>
    <row r="583">
      <c r="AK583" s="62"/>
    </row>
    <row r="584">
      <c r="AK584" s="62"/>
    </row>
    <row r="585">
      <c r="AK585" s="62"/>
    </row>
    <row r="586">
      <c r="AK586" s="62"/>
    </row>
    <row r="587">
      <c r="AK587" s="62"/>
    </row>
    <row r="588">
      <c r="AK588" s="62"/>
    </row>
    <row r="589">
      <c r="AK589" s="62"/>
    </row>
    <row r="590">
      <c r="AK590" s="62"/>
    </row>
    <row r="591">
      <c r="AK591" s="62"/>
    </row>
    <row r="592">
      <c r="AK592" s="62"/>
    </row>
    <row r="593">
      <c r="AK593" s="62"/>
    </row>
    <row r="594">
      <c r="AK594" s="62"/>
    </row>
    <row r="595">
      <c r="AK595" s="62"/>
    </row>
    <row r="596">
      <c r="AK596" s="62"/>
    </row>
    <row r="597">
      <c r="AK597" s="62"/>
    </row>
    <row r="598">
      <c r="AK598" s="62"/>
    </row>
    <row r="599">
      <c r="AK599" s="62"/>
    </row>
    <row r="600">
      <c r="AK600" s="62"/>
    </row>
    <row r="601">
      <c r="AK601" s="62"/>
    </row>
    <row r="602">
      <c r="AK602" s="62"/>
    </row>
    <row r="603">
      <c r="AK603" s="62"/>
    </row>
    <row r="604">
      <c r="AK604" s="62"/>
    </row>
    <row r="605">
      <c r="AK605" s="62"/>
    </row>
    <row r="606">
      <c r="AK606" s="62"/>
    </row>
    <row r="607">
      <c r="AK607" s="62"/>
    </row>
    <row r="608">
      <c r="AK608" s="62"/>
    </row>
    <row r="609">
      <c r="AK609" s="62"/>
    </row>
    <row r="610">
      <c r="AK610" s="62"/>
    </row>
    <row r="611">
      <c r="AK611" s="62"/>
    </row>
    <row r="612">
      <c r="AK612" s="62"/>
    </row>
    <row r="613">
      <c r="AK613" s="62"/>
    </row>
    <row r="614">
      <c r="AK614" s="62"/>
    </row>
    <row r="615">
      <c r="AK615" s="62"/>
    </row>
    <row r="616">
      <c r="AK616" s="62"/>
    </row>
    <row r="617">
      <c r="AK617" s="62"/>
    </row>
    <row r="618">
      <c r="AK618" s="62"/>
    </row>
    <row r="619">
      <c r="AK619" s="62"/>
    </row>
    <row r="620">
      <c r="AK620" s="62"/>
    </row>
    <row r="621">
      <c r="AK621" s="62"/>
    </row>
    <row r="622">
      <c r="AK622" s="62"/>
    </row>
    <row r="623">
      <c r="AK623" s="62"/>
    </row>
    <row r="624">
      <c r="AK624" s="62"/>
    </row>
    <row r="625">
      <c r="AK625" s="62"/>
    </row>
    <row r="626">
      <c r="AK626" s="62"/>
    </row>
    <row r="627">
      <c r="AK627" s="62"/>
    </row>
    <row r="628">
      <c r="AK628" s="62"/>
    </row>
    <row r="629">
      <c r="AK629" s="62"/>
    </row>
    <row r="630">
      <c r="AK630" s="62"/>
    </row>
    <row r="631">
      <c r="AK631" s="62"/>
    </row>
    <row r="632">
      <c r="AK632" s="62"/>
    </row>
    <row r="633">
      <c r="AK633" s="62"/>
    </row>
    <row r="634">
      <c r="AK634" s="62"/>
    </row>
    <row r="635">
      <c r="AK635" s="62"/>
    </row>
    <row r="636">
      <c r="AK636" s="62"/>
    </row>
    <row r="637">
      <c r="AK637" s="62"/>
    </row>
    <row r="638">
      <c r="AK638" s="62"/>
    </row>
    <row r="639">
      <c r="AK639" s="62"/>
    </row>
    <row r="640">
      <c r="AK640" s="62"/>
    </row>
    <row r="641">
      <c r="AK641" s="62"/>
    </row>
    <row r="642">
      <c r="AK642" s="62"/>
    </row>
    <row r="643">
      <c r="AK643" s="62"/>
    </row>
    <row r="644">
      <c r="AK644" s="62"/>
    </row>
    <row r="645">
      <c r="AK645" s="62"/>
    </row>
    <row r="646">
      <c r="AK646" s="62"/>
    </row>
    <row r="647">
      <c r="AK647" s="62"/>
    </row>
    <row r="648">
      <c r="AK648" s="62"/>
    </row>
    <row r="649">
      <c r="AK649" s="62"/>
    </row>
    <row r="650">
      <c r="AK650" s="62"/>
    </row>
    <row r="651">
      <c r="AK651" s="62"/>
    </row>
    <row r="652">
      <c r="AK652" s="62"/>
    </row>
    <row r="653">
      <c r="AK653" s="62"/>
    </row>
    <row r="654">
      <c r="AK654" s="62"/>
    </row>
    <row r="655">
      <c r="AK655" s="62"/>
    </row>
    <row r="656">
      <c r="AK656" s="62"/>
    </row>
    <row r="657">
      <c r="AK657" s="62"/>
    </row>
    <row r="658">
      <c r="AK658" s="62"/>
    </row>
    <row r="659">
      <c r="AK659" s="62"/>
    </row>
    <row r="660">
      <c r="AK660" s="62"/>
    </row>
    <row r="661">
      <c r="AK661" s="62"/>
    </row>
    <row r="662">
      <c r="AK662" s="62"/>
    </row>
    <row r="663">
      <c r="AK663" s="62"/>
    </row>
    <row r="664">
      <c r="AK664" s="62"/>
    </row>
    <row r="665">
      <c r="AK665" s="62"/>
    </row>
    <row r="666">
      <c r="AK666" s="62"/>
    </row>
    <row r="667">
      <c r="AK667" s="62"/>
    </row>
    <row r="668">
      <c r="AK668" s="62"/>
    </row>
    <row r="669">
      <c r="AK669" s="62"/>
    </row>
    <row r="670">
      <c r="AK670" s="62"/>
    </row>
    <row r="671">
      <c r="AK671" s="62"/>
    </row>
    <row r="672">
      <c r="AK672" s="62"/>
    </row>
    <row r="673">
      <c r="AK673" s="62"/>
    </row>
    <row r="674">
      <c r="AK674" s="62"/>
    </row>
    <row r="675">
      <c r="AK675" s="62"/>
    </row>
    <row r="676">
      <c r="AK676" s="62"/>
    </row>
    <row r="677">
      <c r="AK677" s="62"/>
    </row>
    <row r="678">
      <c r="AK678" s="62"/>
    </row>
    <row r="679">
      <c r="AK679" s="62"/>
    </row>
    <row r="680">
      <c r="AK680" s="62"/>
    </row>
    <row r="681">
      <c r="AK681" s="62"/>
    </row>
    <row r="682">
      <c r="AK682" s="62"/>
    </row>
    <row r="683">
      <c r="AK683" s="62"/>
    </row>
    <row r="684">
      <c r="AK684" s="62"/>
    </row>
    <row r="685">
      <c r="AK685" s="62"/>
    </row>
    <row r="686">
      <c r="AK686" s="62"/>
    </row>
    <row r="687">
      <c r="AK687" s="62"/>
    </row>
    <row r="688">
      <c r="AK688" s="62"/>
    </row>
    <row r="689">
      <c r="AK689" s="62"/>
    </row>
    <row r="690">
      <c r="AK690" s="62"/>
    </row>
    <row r="691">
      <c r="AK691" s="62"/>
    </row>
    <row r="692">
      <c r="AK692" s="62"/>
    </row>
    <row r="693">
      <c r="AK693" s="62"/>
    </row>
    <row r="694">
      <c r="AK694" s="62"/>
    </row>
    <row r="695">
      <c r="AK695" s="62"/>
    </row>
    <row r="696">
      <c r="AK696" s="62"/>
    </row>
    <row r="697">
      <c r="AK697" s="62"/>
    </row>
    <row r="698">
      <c r="AK698" s="62"/>
    </row>
    <row r="699">
      <c r="AK699" s="62"/>
    </row>
    <row r="700">
      <c r="AK700" s="62"/>
    </row>
    <row r="701">
      <c r="AK701" s="62"/>
    </row>
    <row r="702">
      <c r="AK702" s="62"/>
    </row>
    <row r="703">
      <c r="AK703" s="62"/>
    </row>
    <row r="704">
      <c r="AK704" s="62"/>
    </row>
    <row r="705">
      <c r="AK705" s="62"/>
    </row>
    <row r="706">
      <c r="AK706" s="62"/>
    </row>
    <row r="707">
      <c r="AK707" s="62"/>
    </row>
    <row r="708">
      <c r="AK708" s="62"/>
    </row>
    <row r="709">
      <c r="AK709" s="62"/>
    </row>
    <row r="710">
      <c r="AK710" s="62"/>
    </row>
    <row r="711">
      <c r="AK711" s="62"/>
    </row>
    <row r="712">
      <c r="AK712" s="62"/>
    </row>
    <row r="713">
      <c r="AK713" s="62"/>
    </row>
    <row r="714">
      <c r="AK714" s="62"/>
    </row>
    <row r="715">
      <c r="AK715" s="62"/>
    </row>
    <row r="716">
      <c r="AK716" s="62"/>
    </row>
    <row r="717">
      <c r="AK717" s="62"/>
    </row>
    <row r="718">
      <c r="AK718" s="62"/>
    </row>
    <row r="719">
      <c r="AK719" s="62"/>
    </row>
    <row r="720">
      <c r="AK720" s="62"/>
    </row>
    <row r="721">
      <c r="AK721" s="62"/>
    </row>
    <row r="722">
      <c r="AK722" s="62"/>
    </row>
    <row r="723">
      <c r="AK723" s="62"/>
    </row>
    <row r="724">
      <c r="AK724" s="62"/>
    </row>
    <row r="725">
      <c r="AK725" s="62"/>
    </row>
    <row r="726">
      <c r="AK726" s="62"/>
    </row>
    <row r="727">
      <c r="AK727" s="62"/>
    </row>
    <row r="728">
      <c r="AK728" s="62"/>
    </row>
    <row r="729">
      <c r="AK729" s="62"/>
    </row>
    <row r="730">
      <c r="AK730" s="62"/>
    </row>
    <row r="731">
      <c r="AK731" s="62"/>
    </row>
    <row r="732">
      <c r="AK732" s="62"/>
    </row>
    <row r="733">
      <c r="AK733" s="62"/>
    </row>
    <row r="734">
      <c r="AK734" s="62"/>
    </row>
    <row r="735">
      <c r="AK735" s="62"/>
    </row>
    <row r="736">
      <c r="AK736" s="62"/>
    </row>
    <row r="737">
      <c r="AK737" s="62"/>
    </row>
    <row r="738">
      <c r="AK738" s="62"/>
    </row>
    <row r="739">
      <c r="AK739" s="62"/>
    </row>
    <row r="740">
      <c r="AK740" s="62"/>
    </row>
    <row r="741">
      <c r="AK741" s="62"/>
    </row>
    <row r="742">
      <c r="AK742" s="62"/>
    </row>
    <row r="743">
      <c r="AK743" s="62"/>
    </row>
    <row r="744">
      <c r="AK744" s="62"/>
    </row>
    <row r="745">
      <c r="AK745" s="62"/>
    </row>
    <row r="746">
      <c r="AK746" s="62"/>
    </row>
    <row r="747">
      <c r="AK747" s="62"/>
    </row>
    <row r="748">
      <c r="AK748" s="62"/>
    </row>
    <row r="749">
      <c r="AK749" s="62"/>
    </row>
    <row r="750">
      <c r="AK750" s="62"/>
    </row>
    <row r="751">
      <c r="AK751" s="62"/>
    </row>
    <row r="752">
      <c r="AK752" s="62"/>
    </row>
    <row r="753">
      <c r="AK753" s="62"/>
    </row>
    <row r="754">
      <c r="AK754" s="62"/>
    </row>
    <row r="755">
      <c r="AK755" s="62"/>
    </row>
    <row r="756">
      <c r="AK756" s="62"/>
    </row>
    <row r="757">
      <c r="AK757" s="62"/>
    </row>
    <row r="758">
      <c r="AK758" s="62"/>
    </row>
    <row r="759">
      <c r="AK759" s="62"/>
    </row>
    <row r="760">
      <c r="AK760" s="62"/>
    </row>
    <row r="761">
      <c r="AK761" s="62"/>
    </row>
    <row r="762">
      <c r="AK762" s="62"/>
    </row>
    <row r="763">
      <c r="AK763" s="62"/>
    </row>
    <row r="764">
      <c r="AK764" s="62"/>
    </row>
    <row r="765">
      <c r="AK765" s="62"/>
    </row>
    <row r="766">
      <c r="AK766" s="62"/>
    </row>
    <row r="767">
      <c r="AK767" s="62"/>
    </row>
    <row r="768">
      <c r="AK768" s="62"/>
    </row>
    <row r="769">
      <c r="AK769" s="62"/>
    </row>
    <row r="770">
      <c r="AK770" s="62"/>
    </row>
    <row r="771">
      <c r="AK771" s="62"/>
    </row>
    <row r="772">
      <c r="AK772" s="62"/>
    </row>
    <row r="773">
      <c r="AK773" s="62"/>
    </row>
    <row r="774">
      <c r="AK774" s="62"/>
    </row>
    <row r="775">
      <c r="AK775" s="62"/>
    </row>
    <row r="776">
      <c r="AK776" s="62"/>
    </row>
    <row r="777">
      <c r="AK777" s="62"/>
    </row>
    <row r="778">
      <c r="AK778" s="62"/>
    </row>
    <row r="779">
      <c r="AK779" s="62"/>
    </row>
    <row r="780">
      <c r="AK780" s="62"/>
    </row>
    <row r="781">
      <c r="AK781" s="62"/>
    </row>
    <row r="782">
      <c r="AK782" s="62"/>
    </row>
    <row r="783">
      <c r="AK783" s="62"/>
    </row>
    <row r="784">
      <c r="AK784" s="62"/>
    </row>
    <row r="785">
      <c r="AK785" s="62"/>
    </row>
    <row r="786">
      <c r="AK786" s="62"/>
    </row>
    <row r="787">
      <c r="AK787" s="62"/>
    </row>
    <row r="788">
      <c r="AK788" s="62"/>
    </row>
    <row r="789">
      <c r="AK789" s="62"/>
    </row>
    <row r="790">
      <c r="AK790" s="62"/>
    </row>
    <row r="791">
      <c r="AK791" s="62"/>
    </row>
    <row r="792">
      <c r="AK792" s="62"/>
    </row>
    <row r="793">
      <c r="AK793" s="62"/>
    </row>
    <row r="794">
      <c r="AK794" s="62"/>
    </row>
    <row r="795">
      <c r="AK795" s="62"/>
    </row>
    <row r="796">
      <c r="AK796" s="62"/>
    </row>
    <row r="797">
      <c r="AK797" s="62"/>
    </row>
    <row r="798">
      <c r="AK798" s="62"/>
    </row>
    <row r="799">
      <c r="AK799" s="62"/>
    </row>
    <row r="800">
      <c r="AK800" s="62"/>
    </row>
    <row r="801">
      <c r="AK801" s="62"/>
    </row>
    <row r="802">
      <c r="AK802" s="62"/>
    </row>
    <row r="803">
      <c r="AK803" s="62"/>
    </row>
    <row r="804">
      <c r="AK804" s="62"/>
    </row>
    <row r="805">
      <c r="AK805" s="62"/>
    </row>
    <row r="806">
      <c r="AK806" s="62"/>
    </row>
    <row r="807">
      <c r="AK807" s="62"/>
    </row>
    <row r="808">
      <c r="AK808" s="62"/>
    </row>
    <row r="809">
      <c r="AK809" s="62"/>
    </row>
    <row r="810">
      <c r="AK810" s="62"/>
    </row>
    <row r="811">
      <c r="AK811" s="62"/>
    </row>
    <row r="812">
      <c r="AK812" s="62"/>
    </row>
    <row r="813">
      <c r="AK813" s="62"/>
    </row>
    <row r="814">
      <c r="AK814" s="62"/>
    </row>
    <row r="815">
      <c r="AK815" s="62"/>
    </row>
    <row r="816">
      <c r="AK816" s="62"/>
    </row>
    <row r="817">
      <c r="AK817" s="62"/>
    </row>
    <row r="818">
      <c r="AK818" s="62"/>
    </row>
    <row r="819">
      <c r="AK819" s="62"/>
    </row>
    <row r="820">
      <c r="AK820" s="62"/>
    </row>
    <row r="821">
      <c r="AK821" s="62"/>
    </row>
    <row r="822">
      <c r="AK822" s="62"/>
    </row>
    <row r="823">
      <c r="AK823" s="62"/>
    </row>
    <row r="824">
      <c r="AK824" s="62"/>
    </row>
    <row r="825">
      <c r="AK825" s="62"/>
    </row>
    <row r="826">
      <c r="AK826" s="62"/>
    </row>
    <row r="827">
      <c r="AK827" s="62"/>
    </row>
    <row r="828">
      <c r="AK828" s="62"/>
    </row>
    <row r="829">
      <c r="AK829" s="62"/>
    </row>
    <row r="830">
      <c r="AK830" s="62"/>
    </row>
    <row r="831">
      <c r="AK831" s="62"/>
    </row>
    <row r="832">
      <c r="AK832" s="62"/>
    </row>
    <row r="833">
      <c r="AK833" s="62"/>
    </row>
    <row r="834">
      <c r="AK834" s="62"/>
    </row>
    <row r="835">
      <c r="AK835" s="62"/>
    </row>
    <row r="836">
      <c r="AK836" s="62"/>
    </row>
    <row r="837">
      <c r="AK837" s="62"/>
    </row>
    <row r="838">
      <c r="AK838" s="62"/>
    </row>
    <row r="839">
      <c r="AK839" s="62"/>
    </row>
    <row r="840">
      <c r="AK840" s="62"/>
    </row>
    <row r="841">
      <c r="AK841" s="62"/>
    </row>
    <row r="842">
      <c r="AK842" s="62"/>
    </row>
    <row r="843">
      <c r="AK843" s="62"/>
    </row>
    <row r="844">
      <c r="AK844" s="62"/>
    </row>
    <row r="845">
      <c r="AK845" s="62"/>
    </row>
    <row r="846">
      <c r="AK846" s="62"/>
    </row>
    <row r="847">
      <c r="AK847" s="62"/>
    </row>
    <row r="848">
      <c r="AK848" s="62"/>
    </row>
    <row r="849">
      <c r="AK849" s="62"/>
    </row>
    <row r="850">
      <c r="AK850" s="62"/>
    </row>
    <row r="851">
      <c r="AK851" s="62"/>
    </row>
    <row r="852">
      <c r="AK852" s="62"/>
    </row>
    <row r="853">
      <c r="AK853" s="62"/>
    </row>
    <row r="854">
      <c r="AK854" s="62"/>
    </row>
    <row r="855">
      <c r="AK855" s="62"/>
    </row>
    <row r="856">
      <c r="AK856" s="62"/>
    </row>
    <row r="857">
      <c r="AK857" s="62"/>
    </row>
    <row r="858">
      <c r="AK858" s="62"/>
    </row>
    <row r="859">
      <c r="AK859" s="62"/>
    </row>
    <row r="860">
      <c r="AK860" s="62"/>
    </row>
    <row r="861">
      <c r="AK861" s="62"/>
    </row>
    <row r="862">
      <c r="AK862" s="62"/>
    </row>
    <row r="863">
      <c r="AK863" s="62"/>
    </row>
    <row r="864">
      <c r="AK864" s="62"/>
    </row>
    <row r="865">
      <c r="AK865" s="62"/>
    </row>
    <row r="866">
      <c r="AK866" s="62"/>
    </row>
    <row r="867">
      <c r="AK867" s="62"/>
    </row>
    <row r="868">
      <c r="AK868" s="62"/>
    </row>
    <row r="869">
      <c r="AK869" s="62"/>
    </row>
    <row r="870">
      <c r="AK870" s="62"/>
    </row>
    <row r="871">
      <c r="AK871" s="62"/>
    </row>
    <row r="872">
      <c r="AK872" s="62"/>
    </row>
    <row r="873">
      <c r="AK873" s="62"/>
    </row>
    <row r="874">
      <c r="AK874" s="62"/>
    </row>
    <row r="875">
      <c r="AK875" s="62"/>
    </row>
    <row r="876">
      <c r="AK876" s="62"/>
    </row>
    <row r="877">
      <c r="AK877" s="62"/>
    </row>
    <row r="878">
      <c r="AK878" s="62"/>
    </row>
    <row r="879">
      <c r="AK879" s="62"/>
    </row>
    <row r="880">
      <c r="AK880" s="62"/>
    </row>
    <row r="881">
      <c r="AK881" s="62"/>
    </row>
    <row r="882">
      <c r="AK882" s="62"/>
    </row>
    <row r="883">
      <c r="AK883" s="62"/>
    </row>
    <row r="884">
      <c r="AK884" s="62"/>
    </row>
    <row r="885">
      <c r="AK885" s="62"/>
    </row>
    <row r="886">
      <c r="AK886" s="62"/>
    </row>
    <row r="887">
      <c r="AK887" s="62"/>
    </row>
    <row r="888">
      <c r="AK888" s="62"/>
    </row>
    <row r="889">
      <c r="AK889" s="62"/>
    </row>
    <row r="890">
      <c r="AK890" s="62"/>
    </row>
    <row r="891">
      <c r="AK891" s="62"/>
    </row>
    <row r="892">
      <c r="AK892" s="62"/>
    </row>
    <row r="893">
      <c r="AK893" s="62"/>
    </row>
    <row r="894">
      <c r="AK894" s="62"/>
    </row>
    <row r="895">
      <c r="AK895" s="62"/>
    </row>
    <row r="896">
      <c r="AK896" s="62"/>
    </row>
    <row r="897">
      <c r="AK897" s="62"/>
    </row>
    <row r="898">
      <c r="AK898" s="62"/>
    </row>
    <row r="899">
      <c r="AK899" s="62"/>
    </row>
    <row r="900">
      <c r="AK900" s="62"/>
    </row>
    <row r="901">
      <c r="AK901" s="62"/>
    </row>
    <row r="902">
      <c r="AK902" s="62"/>
    </row>
    <row r="903">
      <c r="AK903" s="62"/>
    </row>
    <row r="904">
      <c r="AK904" s="62"/>
    </row>
    <row r="905">
      <c r="AK905" s="62"/>
    </row>
    <row r="906">
      <c r="AK906" s="62"/>
    </row>
    <row r="907">
      <c r="AK907" s="62"/>
    </row>
    <row r="908">
      <c r="AK908" s="62"/>
    </row>
    <row r="909">
      <c r="AK909" s="62"/>
    </row>
    <row r="910">
      <c r="AK910" s="62"/>
    </row>
    <row r="911">
      <c r="AK911" s="62"/>
    </row>
    <row r="912">
      <c r="AK912" s="62"/>
    </row>
    <row r="913">
      <c r="AK913" s="62"/>
    </row>
    <row r="914">
      <c r="AK914" s="62"/>
    </row>
    <row r="915">
      <c r="AK915" s="62"/>
    </row>
    <row r="916">
      <c r="AK916" s="62"/>
    </row>
    <row r="917">
      <c r="AK917" s="62"/>
    </row>
    <row r="918">
      <c r="AK918" s="62"/>
    </row>
    <row r="919">
      <c r="AK919" s="62"/>
    </row>
    <row r="920">
      <c r="AK920" s="62"/>
    </row>
    <row r="921">
      <c r="AK921" s="62"/>
    </row>
    <row r="922">
      <c r="AK922" s="62"/>
    </row>
    <row r="923">
      <c r="AK923" s="62"/>
    </row>
    <row r="924">
      <c r="AK924" s="62"/>
    </row>
    <row r="925">
      <c r="AK925" s="62"/>
    </row>
    <row r="926">
      <c r="AK926" s="62"/>
    </row>
    <row r="927">
      <c r="AK927" s="62"/>
    </row>
    <row r="928">
      <c r="AK928" s="62"/>
    </row>
    <row r="929">
      <c r="AK929" s="62"/>
    </row>
    <row r="930">
      <c r="AK930" s="62"/>
    </row>
    <row r="931">
      <c r="AK931" s="62"/>
    </row>
    <row r="932">
      <c r="AK932" s="62"/>
    </row>
    <row r="933">
      <c r="AK933" s="62"/>
    </row>
    <row r="934">
      <c r="AK934" s="62"/>
    </row>
    <row r="935">
      <c r="AK935" s="62"/>
    </row>
    <row r="936">
      <c r="AK936" s="62"/>
    </row>
    <row r="937">
      <c r="AK937" s="62"/>
    </row>
    <row r="938">
      <c r="AK938" s="62"/>
    </row>
    <row r="939">
      <c r="AK939" s="62"/>
    </row>
    <row r="940">
      <c r="AK940" s="62"/>
    </row>
    <row r="941">
      <c r="AK941" s="62"/>
    </row>
    <row r="942">
      <c r="AK942" s="62"/>
    </row>
    <row r="943">
      <c r="AK943" s="62"/>
    </row>
    <row r="944">
      <c r="AK944" s="62"/>
    </row>
    <row r="945">
      <c r="AK945" s="62"/>
    </row>
    <row r="946">
      <c r="AK946" s="62"/>
    </row>
    <row r="947">
      <c r="AK947" s="62"/>
    </row>
    <row r="948">
      <c r="AK948" s="62"/>
    </row>
    <row r="949">
      <c r="AK949" s="62"/>
    </row>
    <row r="950">
      <c r="AK950" s="62"/>
    </row>
    <row r="951">
      <c r="AK951" s="62"/>
    </row>
    <row r="952">
      <c r="AK952" s="62"/>
    </row>
    <row r="953">
      <c r="AK953" s="62"/>
    </row>
    <row r="954">
      <c r="AK954" s="62"/>
    </row>
    <row r="955">
      <c r="AK955" s="62"/>
    </row>
    <row r="956">
      <c r="AK956" s="62"/>
    </row>
    <row r="957">
      <c r="AK957" s="62"/>
    </row>
    <row r="958">
      <c r="AK958" s="62"/>
    </row>
    <row r="959">
      <c r="AK959" s="62"/>
    </row>
    <row r="960">
      <c r="AK960" s="62"/>
    </row>
    <row r="961">
      <c r="AK961" s="62"/>
    </row>
    <row r="962">
      <c r="AK962" s="62"/>
    </row>
    <row r="963">
      <c r="AK963" s="62"/>
    </row>
    <row r="964">
      <c r="AK964" s="62"/>
    </row>
    <row r="965">
      <c r="AK965" s="62"/>
    </row>
    <row r="966">
      <c r="AK966" s="62"/>
    </row>
    <row r="967">
      <c r="AK967" s="62"/>
    </row>
    <row r="968">
      <c r="AK968" s="62"/>
    </row>
    <row r="969">
      <c r="AK969" s="62"/>
    </row>
    <row r="970">
      <c r="AK970" s="62"/>
    </row>
    <row r="971">
      <c r="AK971" s="62"/>
    </row>
    <row r="972">
      <c r="AK972" s="62"/>
    </row>
    <row r="973">
      <c r="AK973" s="62"/>
    </row>
    <row r="974">
      <c r="AK974" s="62"/>
    </row>
    <row r="975">
      <c r="AK975" s="62"/>
    </row>
    <row r="976">
      <c r="AK976" s="62"/>
    </row>
    <row r="977">
      <c r="AK977" s="62"/>
    </row>
    <row r="978">
      <c r="AK978" s="62"/>
    </row>
    <row r="979">
      <c r="AK979" s="62"/>
    </row>
    <row r="980">
      <c r="AK980" s="62"/>
    </row>
    <row r="981">
      <c r="AK981" s="62"/>
    </row>
    <row r="982">
      <c r="AK982" s="62"/>
    </row>
    <row r="983">
      <c r="AK983" s="62"/>
    </row>
    <row r="984">
      <c r="AK984" s="62"/>
    </row>
    <row r="985">
      <c r="AK985" s="62"/>
    </row>
    <row r="986">
      <c r="AK986" s="62"/>
    </row>
    <row r="987">
      <c r="AK987" s="62"/>
    </row>
    <row r="988">
      <c r="AK988" s="62"/>
    </row>
    <row r="989">
      <c r="AK989" s="62"/>
    </row>
    <row r="990">
      <c r="AK990" s="62"/>
    </row>
    <row r="991">
      <c r="AK991" s="62"/>
    </row>
    <row r="992">
      <c r="AK992" s="62"/>
    </row>
    <row r="993">
      <c r="AK993" s="62"/>
    </row>
    <row r="994">
      <c r="AK994" s="62"/>
    </row>
    <row r="995">
      <c r="AK995" s="62"/>
    </row>
    <row r="996">
      <c r="AK996" s="62"/>
    </row>
    <row r="997">
      <c r="AK997" s="62"/>
    </row>
    <row r="998">
      <c r="AK998" s="62"/>
    </row>
    <row r="999">
      <c r="AK999" s="62"/>
    </row>
    <row r="1000">
      <c r="AK1000" s="62"/>
    </row>
    <row r="1001">
      <c r="AK1001" s="62"/>
    </row>
    <row r="1002">
      <c r="AK1002" s="62"/>
    </row>
    <row r="1003">
      <c r="AK1003" s="62"/>
    </row>
  </sheetData>
  <mergeCells count="26">
    <mergeCell ref="M4:R4"/>
    <mergeCell ref="S4:X4"/>
    <mergeCell ref="Y4:AD4"/>
    <mergeCell ref="AE4:AJ4"/>
    <mergeCell ref="AK4:AK5"/>
    <mergeCell ref="A4:A5"/>
    <mergeCell ref="B4:B5"/>
    <mergeCell ref="C4:C5"/>
    <mergeCell ref="D4:D5"/>
    <mergeCell ref="E4:E5"/>
    <mergeCell ref="F4:F5"/>
    <mergeCell ref="G4:L4"/>
    <mergeCell ref="S18:X18"/>
    <mergeCell ref="Y18:AD18"/>
    <mergeCell ref="A24:A25"/>
    <mergeCell ref="B24:B25"/>
    <mergeCell ref="C24:C25"/>
    <mergeCell ref="D24:D25"/>
    <mergeCell ref="G16:L17"/>
    <mergeCell ref="M16:R17"/>
    <mergeCell ref="S16:X17"/>
    <mergeCell ref="Y16:AD17"/>
    <mergeCell ref="AE16:AJ17"/>
    <mergeCell ref="G18:L18"/>
    <mergeCell ref="M18:R18"/>
    <mergeCell ref="AE18:AJ18"/>
  </mergeCells>
  <dataValidations>
    <dataValidation type="list" allowBlank="1" showErrorMessage="1" sqref="B6:B15">
      <formula1>'Турнирная таблица по Алфавиту'!$C$7:$C$70</formula1>
    </dataValidation>
    <dataValidation type="list" allowBlank="1" showErrorMessage="1" sqref="C26:C40">
      <formula1>"Удаление,Желтая карточка,Красная карточка,ППК,Опоздание,Дисциплинарный"</formula1>
    </dataValidation>
    <dataValidation type="list" allowBlank="1" showErrorMessage="1" sqref="G18 M18 S18 Y18 AE18">
      <formula1>"Сухая победа города,Победа города на круг при шестерых,Победа города на круг при пятерых,Победа города в угадайке при четверых,Победа города в угадайке,Победа города (ППК),Победа мафии 2в2,Победа мафии 1в1,Победа мафии 1в1 (ППК),Победа мафии 2в2,Победа ма"&amp;"фии 2в2 (ППК),Победа мафии 3в3,Победа мафии 3в3 (ППК),Победа мафии (ППК)"</formula1>
    </dataValidation>
    <dataValidation type="list" allowBlank="1" showErrorMessage="1" sqref="B21:B22">
      <formula1>"Yesterday,Shaok,Ася,Бамблби,Жнец,Пила,Mary Poppins,BonAqua,Грибочки,Самаритянка,-"</formula1>
    </dataValidation>
    <dataValidation type="list" allowBlank="1" showErrorMessage="1" sqref="H6:H15 N6:N15 T6:T15 Z6:Z15 AF6:AF15">
      <formula1>"2,50"</formula1>
    </dataValidation>
    <dataValidation type="list" allowBlank="1" showErrorMessage="1" sqref="J6:J15 P6:P15 V6:V15 AB6:AB15 AH6:AH15">
      <formula1>"У/Победа,У/Проигрыш,ПУ"</formula1>
    </dataValidation>
    <dataValidation type="list" allowBlank="1" showErrorMessage="1" sqref="B26:B40">
      <formula1>$B$6:$B$15</formula1>
    </dataValidation>
    <dataValidation type="list" allowBlank="1" showErrorMessage="1" sqref="G6:G15 M6:M15 S6:S15 Y6:Y15 AE6:AE15">
      <formula1>"Мирный,Шериф,Мафия,Дон"</formula1>
    </dataValidation>
  </dataValidations>
  <drawing r:id="rId1"/>
</worksheet>
</file>