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Финал" sheetId="1" r:id="rId4"/>
    <sheet state="hidden" name="2 Полуфинал" sheetId="2" r:id="rId5"/>
    <sheet state="hidden" name="1 Полуфинал" sheetId="3" r:id="rId6"/>
    <sheet state="visible" name="1 Серия" sheetId="4" r:id="rId7"/>
    <sheet state="visible" name="2 Серия" sheetId="5" r:id="rId8"/>
    <sheet state="visible" name="3 Серия" sheetId="6" r:id="rId9"/>
    <sheet state="visible" name="4 Серия" sheetId="7" r:id="rId10"/>
    <sheet state="visible" name="5 Серия" sheetId="8" r:id="rId11"/>
    <sheet state="visible" name="6 Серия" sheetId="9" r:id="rId12"/>
    <sheet state="visible" name="7 Серия" sheetId="10" r:id="rId13"/>
    <sheet state="visible" name="8 Серия" sheetId="11" r:id="rId14"/>
    <sheet state="visible" name="9 Серия" sheetId="12" r:id="rId15"/>
    <sheet state="visible" name="10 Серия" sheetId="13" r:id="rId16"/>
    <sheet state="visible" name="11 Серия" sheetId="14" r:id="rId17"/>
    <sheet state="visible" name="12 Серия" sheetId="15" r:id="rId18"/>
    <sheet state="visible" name="13 Серия" sheetId="16" r:id="rId19"/>
    <sheet state="visible" name="14 Серия" sheetId="17" r:id="rId20"/>
    <sheet state="visible" name="15 Серия" sheetId="18" r:id="rId21"/>
    <sheet state="visible" name="16 Серия" sheetId="19" r:id="rId22"/>
    <sheet state="hidden" name="Полуфинал раб" sheetId="20" r:id="rId23"/>
    <sheet state="hidden" name="Лист3" sheetId="21" r:id="rId24"/>
    <sheet state="hidden" name="Статистика Полуфиналы Финал" sheetId="22" r:id="rId25"/>
    <sheet state="visible" name="Статистика игроков" sheetId="23" r:id="rId26"/>
    <sheet state="visible" name="Общая" sheetId="24" r:id="rId27"/>
    <sheet state="visible" name="Все игры" sheetId="25" r:id="rId28"/>
    <sheet state="visible" name="Список участников" sheetId="26" r:id="rId29"/>
    <sheet state="visible" name="Состав Полуфиналов" sheetId="27" r:id="rId30"/>
  </sheets>
  <definedNames/>
  <calcPr/>
</workbook>
</file>

<file path=xl/sharedStrings.xml><?xml version="1.0" encoding="utf-8"?>
<sst xmlns="http://schemas.openxmlformats.org/spreadsheetml/2006/main" count="2854" uniqueCount="205">
  <si>
    <t>Результаты Турнира "5 Элемент", 1 раунд. Финал (20-21.07.2024)</t>
  </si>
  <si>
    <t>Место</t>
  </si>
  <si>
    <t>Игровой ник</t>
  </si>
  <si>
    <t>Сумма баллов</t>
  </si>
  <si>
    <t>Количество побед</t>
  </si>
  <si>
    <t>Баллы за победу</t>
  </si>
  <si>
    <t>Доп. Баллы (с ЛХ и Ci)</t>
  </si>
  <si>
    <t>Игра 1</t>
  </si>
  <si>
    <t>Игра 2</t>
  </si>
  <si>
    <t>Игра 3</t>
  </si>
  <si>
    <t>Игра 4</t>
  </si>
  <si>
    <t>Игра 5</t>
  </si>
  <si>
    <t>Игра 6</t>
  </si>
  <si>
    <t>Игра 7</t>
  </si>
  <si>
    <t>Игра 8</t>
  </si>
  <si>
    <t>Игра 9</t>
  </si>
  <si>
    <t>Игра 10</t>
  </si>
  <si>
    <t>Игра 11</t>
  </si>
  <si>
    <t>Игра 12</t>
  </si>
  <si>
    <t>Игра 13</t>
  </si>
  <si>
    <t>Игра 14</t>
  </si>
  <si>
    <t>Дисциплинарный штраф</t>
  </si>
  <si>
    <t>Роль</t>
  </si>
  <si>
    <t>Баллы от ведущих</t>
  </si>
  <si>
    <t>Инфо</t>
  </si>
  <si>
    <t>ЛХ</t>
  </si>
  <si>
    <t>Ci</t>
  </si>
  <si>
    <t>Штраф</t>
  </si>
  <si>
    <t>Мафия</t>
  </si>
  <si>
    <t>Шериф</t>
  </si>
  <si>
    <t>Дон</t>
  </si>
  <si>
    <t>ПУ</t>
  </si>
  <si>
    <t>У/Победа - победа игрока в угадайке</t>
  </si>
  <si>
    <t>У/Проигрыш - проигрыш игрока в угадайке</t>
  </si>
  <si>
    <t>Игра</t>
  </si>
  <si>
    <t>Игровой Ник</t>
  </si>
  <si>
    <t>Вид штрафа</t>
  </si>
  <si>
    <t>Штрафной балл</t>
  </si>
  <si>
    <t>Результаты Турнира "5 Элемент", 1 раунд. Второй Полуфинал (07.07.2024)</t>
  </si>
  <si>
    <t>Результаты Турнира "5 Элемент", 1 раунд. Первый Полуфинал (06.07.2024)</t>
  </si>
  <si>
    <t>Ы</t>
  </si>
  <si>
    <t>Результаты отборочных серий Турнира "5 Элемент", 2 раунд. Серия №1</t>
  </si>
  <si>
    <t>Доп</t>
  </si>
  <si>
    <t>Хрум</t>
  </si>
  <si>
    <t>Мирный</t>
  </si>
  <si>
    <t>Тихий Закат</t>
  </si>
  <si>
    <t>Хамилка</t>
  </si>
  <si>
    <t>SR</t>
  </si>
  <si>
    <t>Никнейм</t>
  </si>
  <si>
    <t>Coach</t>
  </si>
  <si>
    <t>Админ</t>
  </si>
  <si>
    <t>Мона</t>
  </si>
  <si>
    <t>Андерсен</t>
  </si>
  <si>
    <t>Ketamin</t>
  </si>
  <si>
    <t xml:space="preserve">Продолжительность игры: </t>
  </si>
  <si>
    <t>Продолжительность игры: 60</t>
  </si>
  <si>
    <t>Продолжительность игры: 55</t>
  </si>
  <si>
    <t>Продолжительность игры: 56</t>
  </si>
  <si>
    <t>Победа города в угадайке</t>
  </si>
  <si>
    <t>Победа мафии 2в2</t>
  </si>
  <si>
    <t>Победа города на круг при пятерых</t>
  </si>
  <si>
    <t>Победа мафии 1в1</t>
  </si>
  <si>
    <t>Сухая победа города</t>
  </si>
  <si>
    <t>Победа мафии 3в3</t>
  </si>
  <si>
    <t>Желтая карточка</t>
  </si>
  <si>
    <t>Результаты отборочных серий Турнира "5 Элемент", 2 раунд. Серия №2</t>
  </si>
  <si>
    <t>Левша</t>
  </si>
  <si>
    <t>Love</t>
  </si>
  <si>
    <t>Хантер</t>
  </si>
  <si>
    <t>Лунатик</t>
  </si>
  <si>
    <t>Bogrolla</t>
  </si>
  <si>
    <t>Дракарис</t>
  </si>
  <si>
    <t>Удаление</t>
  </si>
  <si>
    <t>Результаты отборочных серий Турнира "5 Элемент", 2 раунд. Серия №3</t>
  </si>
  <si>
    <t>Оскар</t>
  </si>
  <si>
    <t>Сахарочек</t>
  </si>
  <si>
    <t>Still Rise</t>
  </si>
  <si>
    <t>Домовенок</t>
  </si>
  <si>
    <t>Результаты отборочных серий Турнира "5 Элемент", 2 раунд. Серия №4</t>
  </si>
  <si>
    <t>Суета</t>
  </si>
  <si>
    <t>Cristo</t>
  </si>
  <si>
    <t>Рыжая</t>
  </si>
  <si>
    <t>Король Лев</t>
  </si>
  <si>
    <t>Лео</t>
  </si>
  <si>
    <t>Правда</t>
  </si>
  <si>
    <t>Cherry Pick</t>
  </si>
  <si>
    <t>Sirena</t>
  </si>
  <si>
    <t>Curly</t>
  </si>
  <si>
    <t>Дантес</t>
  </si>
  <si>
    <t>Результаты отборочных серий Турнира "5 Элемент", 2 раунд. Серия №5</t>
  </si>
  <si>
    <t>Бестия</t>
  </si>
  <si>
    <t>Infinity</t>
  </si>
  <si>
    <t>Bublik</t>
  </si>
  <si>
    <t>Писатель</t>
  </si>
  <si>
    <t>СЧ</t>
  </si>
  <si>
    <t>Schokk</t>
  </si>
  <si>
    <t>Результаты отборочных серий Турнира "5 Элемент", 2 раунд. Серия №6</t>
  </si>
  <si>
    <t>Физик</t>
  </si>
  <si>
    <t>Jazz</t>
  </si>
  <si>
    <t>Хлоя</t>
  </si>
  <si>
    <t>Castor Troy</t>
  </si>
  <si>
    <t>Продюсер</t>
  </si>
  <si>
    <t>Результаты отборочных серий Турнира "5 Элемент", 2 раунд. Серия №7</t>
  </si>
  <si>
    <t>Результаты отборочных серий Турнира "5 Элемент", 2 раунд. Серия №8</t>
  </si>
  <si>
    <t>Результаты отборочных серий Турнира "5 Элемент", 2 раунд. Серия №9</t>
  </si>
  <si>
    <t>Результаты отборочных серий Турнира "5 Элемент", 2 раунд. Серия №10</t>
  </si>
  <si>
    <t>Результаты отборочных серий Турнира "5 Элемент", 2 раунд. Серия №11</t>
  </si>
  <si>
    <t>Результаты отборочных серий Турнира "5 Элемент", 2 раунд. Серия №12</t>
  </si>
  <si>
    <t>Результаты отборочных серий Турнира "5 Элемент", 2 раунд. Серия №13</t>
  </si>
  <si>
    <t>Результаты отборочных серий Турнира "5 Элемент", 2 раунд. Серия №14</t>
  </si>
  <si>
    <t>Результаты отборочных серий Турнира "5 Элемент", 2 раунд. Серия №15</t>
  </si>
  <si>
    <t>Результаты отборочных серий Турнира "5 Элемент", 2 раунд. Серия №16</t>
  </si>
  <si>
    <t>Состав полуфиналов Турнира "5 Элемент", 1 раунд</t>
  </si>
  <si>
    <t>Игрок</t>
  </si>
  <si>
    <t>Серия</t>
  </si>
  <si>
    <t>Игроки, занявшие 2 место в своих сериях</t>
  </si>
  <si>
    <t>1 серия</t>
  </si>
  <si>
    <t>2 серия</t>
  </si>
  <si>
    <t>3 серия</t>
  </si>
  <si>
    <t>4 серия</t>
  </si>
  <si>
    <t>5 серия</t>
  </si>
  <si>
    <t>6 серия</t>
  </si>
  <si>
    <t>7 серия</t>
  </si>
  <si>
    <t>8 серия</t>
  </si>
  <si>
    <t>9 серия</t>
  </si>
  <si>
    <t>10 серия</t>
  </si>
  <si>
    <t>11 серия</t>
  </si>
  <si>
    <t>12 серия</t>
  </si>
  <si>
    <t>13 серия</t>
  </si>
  <si>
    <t>14 серия</t>
  </si>
  <si>
    <t>15 серия</t>
  </si>
  <si>
    <t>16 серия</t>
  </si>
  <si>
    <t>2 места за серию</t>
  </si>
  <si>
    <t>Количество игр</t>
  </si>
  <si>
    <t>WINRATE ( % побед)</t>
  </si>
  <si>
    <t>Допы (без Ci и ЛХ)</t>
  </si>
  <si>
    <t>Средний доп (без Ci и ЛХ)</t>
  </si>
  <si>
    <t>1 ПОЛУФИНАЛ</t>
  </si>
  <si>
    <t>Кол-во игр</t>
  </si>
  <si>
    <t>ЛХ полный</t>
  </si>
  <si>
    <t>ЛХ двойка</t>
  </si>
  <si>
    <t>Killrate</t>
  </si>
  <si>
    <t>Победил в угадайке</t>
  </si>
  <si>
    <t>Проиграл в угадайке</t>
  </si>
  <si>
    <t>Все красные (М+Ш) игр</t>
  </si>
  <si>
    <t>Все черные (Д+М) игр</t>
  </si>
  <si>
    <t>Мафия Побед</t>
  </si>
  <si>
    <t>Мафия Проигрышей</t>
  </si>
  <si>
    <t>Шериф Побед</t>
  </si>
  <si>
    <t>Шериф Проигрышей</t>
  </si>
  <si>
    <t>Дон Побед</t>
  </si>
  <si>
    <t>Дон Проигрышей</t>
  </si>
  <si>
    <t>Мирный Побед</t>
  </si>
  <si>
    <t>Мирный Проигрышей</t>
  </si>
  <si>
    <t>WINRATE общий</t>
  </si>
  <si>
    <t>Все красные (М+Ш) % побед</t>
  </si>
  <si>
    <t>Все черные (Д+М) % побед</t>
  </si>
  <si>
    <t>Мафия: % Побед</t>
  </si>
  <si>
    <t>Шериф: % Побед</t>
  </si>
  <si>
    <t>Дон: % Побед</t>
  </si>
  <si>
    <t>Мирный: % Побед</t>
  </si>
  <si>
    <t>Всего: допы</t>
  </si>
  <si>
    <t>Мафия: допы</t>
  </si>
  <si>
    <t>Шериф: допы</t>
  </si>
  <si>
    <t>Дон: допы</t>
  </si>
  <si>
    <t>Мирный: допы</t>
  </si>
  <si>
    <t>Общий: ср.доп</t>
  </si>
  <si>
    <t>Мафия: ср. доп</t>
  </si>
  <si>
    <t>Шериф: ср.доп</t>
  </si>
  <si>
    <t>Дон: ср.доп</t>
  </si>
  <si>
    <t>Мирный: ср.доп</t>
  </si>
  <si>
    <t>2 ПОЛУФИНАЛ</t>
  </si>
  <si>
    <t>ФИНАЛ</t>
  </si>
  <si>
    <t>Всего сыграно игр</t>
  </si>
  <si>
    <t>1 игра</t>
  </si>
  <si>
    <t>Победа красные</t>
  </si>
  <si>
    <t>Победа черные</t>
  </si>
  <si>
    <t>2 игра</t>
  </si>
  <si>
    <t>3 игра</t>
  </si>
  <si>
    <t>4 игра</t>
  </si>
  <si>
    <t>5 игра</t>
  </si>
  <si>
    <t>6 игра</t>
  </si>
  <si>
    <t>7 игра</t>
  </si>
  <si>
    <t>ОБЩЕЕ КОЛИЧЕСТВО ИГР</t>
  </si>
  <si>
    <t>1 Игра</t>
  </si>
  <si>
    <t>Победы красные</t>
  </si>
  <si>
    <t>Победы черные</t>
  </si>
  <si>
    <t>Победа города на круг при шестерых</t>
  </si>
  <si>
    <t>Всего игр</t>
  </si>
  <si>
    <t>Победа города в угадайке при четверых</t>
  </si>
  <si>
    <t>Победа мафии 3х3</t>
  </si>
  <si>
    <t>Победа города (ППК)</t>
  </si>
  <si>
    <t>Победа мафии 2х2</t>
  </si>
  <si>
    <t>Победа мафии 1х1</t>
  </si>
  <si>
    <t>Победа города сухая</t>
  </si>
  <si>
    <t>Победа мафии 1в1 (ППК)</t>
  </si>
  <si>
    <t>Победа города в угадайка</t>
  </si>
  <si>
    <t>Победа города на круг при девятерых</t>
  </si>
  <si>
    <t>Победа мафии 2в2 (ППК)</t>
  </si>
  <si>
    <t>Победа мафии 3в3 (ППК)</t>
  </si>
  <si>
    <t>Победа мафии (ППК)</t>
  </si>
  <si>
    <t>Имя игрока</t>
  </si>
  <si>
    <t>Количество серий</t>
  </si>
  <si>
    <t>Состав полуфиналов Турнира "5 Элемент", 2 раунд</t>
  </si>
  <si>
    <t>Игроки, занявшие в своих сериях 2 место и далее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</si>
</sst>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  <scheme val="minor"/>
    </font>
    <font>
      <color theme="1"/>
      <name val="Arial"/>
    </font>
    <font>
      <b/>
      <sz val="21.0"/>
      <color rgb="FF1F1F1F"/>
      <name val="Times New Roman"/>
    </font>
    <font>
      <b/>
      <sz val="12.0"/>
      <color rgb="FFFFFFFF"/>
      <name val="&quot;Times New Roman&quot;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/>
    <font>
      <sz val="12.0"/>
      <color rgb="FFFFFFFF"/>
      <name val="&quot;Times New Roman&quot;"/>
    </font>
    <font>
      <b/>
      <sz val="16.0"/>
      <color theme="1"/>
      <name val="&quot;Times New Roman&quot;"/>
    </font>
    <font>
      <sz val="14.0"/>
      <color theme="1"/>
      <name val="&quot;Times New Roman&quot;"/>
    </font>
    <font>
      <b/>
      <sz val="11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sz val="9.0"/>
      <color theme="1"/>
      <name val="&quot;Times New Roman&quot;"/>
    </font>
    <font>
      <b/>
      <sz val="11.0"/>
      <color theme="1"/>
      <name val="&quot;Times New Roman&quot;"/>
    </font>
    <font>
      <sz val="9.0"/>
      <color rgb="FFFFFFFF"/>
      <name val="&quot;Times New Roman&quot;"/>
    </font>
    <font>
      <sz val="13.0"/>
      <color theme="1"/>
      <name val="&quot;Times New Roman&quot;"/>
    </font>
    <font>
      <color theme="1"/>
      <name val="Arial"/>
      <scheme val="minor"/>
    </font>
    <font>
      <sz val="10.0"/>
      <color rgb="FFFFFFFF"/>
      <name val="&quot;Times New Roman&quot;"/>
    </font>
    <font>
      <sz val="10.0"/>
      <color theme="1"/>
      <name val="&quot;Times New Roman&quot;"/>
    </font>
    <font>
      <sz val="11.0"/>
      <color theme="1"/>
      <name val="&quot;Times New Roman&quot;"/>
    </font>
    <font>
      <sz val="11.0"/>
      <color rgb="FF000000"/>
      <name val="Arial"/>
    </font>
    <font>
      <b/>
      <sz val="21.0"/>
      <color rgb="FF1F1F1F"/>
      <name val="&quot;Times New Roman&quot;"/>
    </font>
    <font>
      <b/>
      <sz val="13.0"/>
      <color theme="1"/>
      <name val="&quot;Times New Roman&quot;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</font>
    <font>
      <sz val="10.0"/>
      <color theme="1"/>
      <name val="Arial"/>
      <scheme val="minor"/>
    </font>
    <font>
      <sz val="9.0"/>
      <color rgb="FF000000"/>
      <name val="&quot;Google Sans Mono&quot;"/>
    </font>
    <font>
      <b/>
      <sz val="27.0"/>
      <color theme="1"/>
      <name val="&quot;Times New Roman&quot;"/>
    </font>
    <font>
      <b/>
      <sz val="19.0"/>
      <color theme="1"/>
      <name val="&quot;Times New Roman&quot;"/>
    </font>
    <font>
      <b/>
      <sz val="22.0"/>
      <color theme="1"/>
      <name val="&quot;Times New Roman&quot;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rgb="FFFFFFFF"/>
      <name val="Calibri"/>
    </font>
    <font>
      <b/>
      <color theme="1"/>
      <name val="Arial"/>
    </font>
    <font>
      <b/>
      <color rgb="FFFFFFFF"/>
      <name val="Arial"/>
    </font>
    <font>
      <sz val="9.0"/>
      <color theme="1"/>
      <name val="Arial"/>
    </font>
    <font>
      <b/>
      <sz val="10.0"/>
      <color theme="1"/>
      <name val="&quot;Times New Roman&quot;"/>
    </font>
    <font>
      <sz val="9.0"/>
      <color rgb="FF1F1F1F"/>
      <name val="&quot;Google Sans&quot;"/>
    </font>
    <font>
      <b/>
      <sz val="13.0"/>
      <color theme="0"/>
      <name val="&quot;Times New Roman&quot;"/>
    </font>
    <font>
      <b/>
      <sz val="13.0"/>
      <color rgb="FFFFFFFF"/>
      <name val="&quot;Times New Roman&quot;"/>
    </font>
  </fonts>
  <fills count="2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51C75"/>
        <bgColor rgb="FF351C75"/>
      </patternFill>
    </fill>
    <fill>
      <patternFill patternType="solid">
        <fgColor rgb="FFF1C232"/>
        <bgColor rgb="FFF1C232"/>
      </patternFill>
    </fill>
    <fill>
      <patternFill patternType="solid">
        <fgColor rgb="FF999999"/>
        <bgColor rgb="FF999999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EEF9F4"/>
        <bgColor rgb="FFEEF9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8B3DDC"/>
        <bgColor rgb="FF8B3DDC"/>
      </patternFill>
    </fill>
    <fill>
      <patternFill patternType="solid">
        <fgColor rgb="FFADB9CA"/>
        <bgColor rgb="FFADB9CA"/>
      </patternFill>
    </fill>
    <fill>
      <patternFill patternType="solid">
        <fgColor rgb="FFEA4335"/>
        <bgColor rgb="FFEA4335"/>
      </patternFill>
    </fill>
    <fill>
      <patternFill patternType="solid">
        <fgColor rgb="FFCCCCCC"/>
        <bgColor rgb="FFCCCCCC"/>
      </patternFill>
    </fill>
  </fills>
  <borders count="55">
    <border/>
    <border>
      <right style="thin">
        <color rgb="FFEFEFEF"/>
      </right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medium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medium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EFEFEF"/>
      </right>
      <bottom style="medium">
        <color rgb="FFEFEFEF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10" fillId="3" fontId="3" numFmtId="0" xfId="0" applyAlignment="1" applyBorder="1" applyFill="1" applyFont="1">
      <alignment horizontal="center" shrinkToFit="0" vertical="bottom" wrapText="1"/>
    </xf>
    <xf borderId="11" fillId="4" fontId="4" numFmtId="0" xfId="0" applyAlignment="1" applyBorder="1" applyFill="1" applyFont="1">
      <alignment horizontal="center" shrinkToFit="0" vertical="bottom" wrapText="1"/>
    </xf>
    <xf borderId="12" fillId="3" fontId="3" numFmtId="0" xfId="0" applyAlignment="1" applyBorder="1" applyFont="1">
      <alignment horizontal="center" shrinkToFit="0" vertical="bottom" wrapText="1"/>
    </xf>
    <xf borderId="13" fillId="3" fontId="3" numFmtId="0" xfId="0" applyAlignment="1" applyBorder="1" applyFont="1">
      <alignment horizontal="center" shrinkToFit="0" vertical="bottom" wrapText="1"/>
    </xf>
    <xf borderId="0" fillId="3" fontId="3" numFmtId="0" xfId="0" applyAlignment="1" applyFont="1">
      <alignment horizontal="center" shrinkToFit="0" vertical="bottom" wrapText="1"/>
    </xf>
    <xf borderId="14" fillId="5" fontId="5" numFmtId="0" xfId="0" applyAlignment="1" applyBorder="1" applyFill="1" applyFont="1">
      <alignment horizontal="center" shrinkToFit="0" vertical="bottom" wrapText="1"/>
    </xf>
    <xf borderId="15" fillId="0" fontId="6" numFmtId="0" xfId="0" applyBorder="1" applyFont="1"/>
    <xf borderId="16" fillId="0" fontId="6" numFmtId="0" xfId="0" applyBorder="1" applyFont="1"/>
    <xf borderId="15" fillId="5" fontId="5" numFmtId="0" xfId="0" applyAlignment="1" applyBorder="1" applyFont="1">
      <alignment horizontal="center" shrinkToFit="0" vertical="bottom" wrapText="1"/>
    </xf>
    <xf borderId="15" fillId="5" fontId="5" numFmtId="0" xfId="0" applyAlignment="1" applyBorder="1" applyFont="1">
      <alignment horizontal="center" readingOrder="0" shrinkToFit="0" vertical="bottom" wrapText="1"/>
    </xf>
    <xf borderId="0" fillId="3" fontId="7" numFmtId="0" xfId="0" applyAlignment="1" applyFont="1">
      <alignment horizontal="center" readingOrder="0" shrinkToFit="0" vertical="bottom" wrapText="1"/>
    </xf>
    <xf borderId="6" fillId="2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20" fillId="0" fontId="6" numFmtId="0" xfId="0" applyBorder="1" applyFont="1"/>
    <xf borderId="21" fillId="0" fontId="6" numFmtId="0" xfId="0" applyBorder="1" applyFont="1"/>
    <xf borderId="22" fillId="0" fontId="9" numFmtId="0" xfId="0" applyAlignment="1" applyBorder="1" applyFont="1">
      <alignment horizontal="center" shrinkToFit="0" vertical="bottom" wrapText="1"/>
    </xf>
    <xf borderId="23" fillId="0" fontId="9" numFmtId="0" xfId="0" applyAlignment="1" applyBorder="1" applyFont="1">
      <alignment horizontal="center" shrinkToFit="0" vertical="bottom" wrapText="1"/>
    </xf>
    <xf borderId="24" fillId="0" fontId="9" numFmtId="0" xfId="0" applyAlignment="1" applyBorder="1" applyFont="1">
      <alignment horizontal="center" shrinkToFit="0" vertical="bottom" wrapText="1"/>
    </xf>
    <xf borderId="23" fillId="0" fontId="9" numFmtId="0" xfId="0" applyAlignment="1" applyBorder="1" applyFont="1">
      <alignment horizontal="center" readingOrder="0" shrinkToFit="0" vertical="bottom" wrapText="1"/>
    </xf>
    <xf borderId="6" fillId="2" fontId="9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shrinkToFit="0" vertical="bottom" wrapText="1"/>
    </xf>
    <xf borderId="25" fillId="0" fontId="10" numFmtId="0" xfId="0" applyAlignment="1" applyBorder="1" applyFont="1">
      <alignment horizontal="center" vertical="bottom"/>
    </xf>
    <xf borderId="23" fillId="0" fontId="10" numFmtId="4" xfId="0" applyAlignment="1" applyBorder="1" applyFont="1" applyNumberFormat="1">
      <alignment horizontal="center" readingOrder="0" vertical="bottom"/>
    </xf>
    <xf borderId="24" fillId="0" fontId="10" numFmtId="4" xfId="0" applyAlignment="1" applyBorder="1" applyFont="1" applyNumberFormat="1">
      <alignment horizontal="center" vertical="bottom"/>
    </xf>
    <xf borderId="26" fillId="0" fontId="11" numFmtId="3" xfId="0" applyAlignment="1" applyBorder="1" applyFont="1" applyNumberFormat="1">
      <alignment horizontal="center" vertical="bottom"/>
    </xf>
    <xf borderId="10" fillId="0" fontId="11" numFmtId="4" xfId="0" applyAlignment="1" applyBorder="1" applyFont="1" applyNumberFormat="1">
      <alignment horizontal="center" vertical="bottom"/>
    </xf>
    <xf borderId="12" fillId="0" fontId="11" numFmtId="4" xfId="0" applyAlignment="1" applyBorder="1" applyFont="1" applyNumberFormat="1">
      <alignment horizontal="center" vertical="bottom"/>
    </xf>
    <xf borderId="0" fillId="0" fontId="12" numFmtId="0" xfId="0" applyAlignment="1" applyFont="1">
      <alignment horizontal="center" readingOrder="0" vertical="bottom"/>
    </xf>
    <xf borderId="0" fillId="0" fontId="13" numFmtId="4" xfId="0" applyAlignment="1" applyFont="1" applyNumberForma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0" fontId="13" numFmtId="4" xfId="0" applyAlignment="1" applyFont="1" applyNumberFormat="1">
      <alignment vertical="bottom"/>
    </xf>
    <xf borderId="12" fillId="0" fontId="13" numFmtId="4" xfId="0" applyAlignment="1" applyBorder="1" applyFont="1" applyNumberFormat="1">
      <alignment readingOrder="0" vertical="bottom"/>
    </xf>
    <xf borderId="0" fillId="0" fontId="12" numFmtId="0" xfId="0" applyAlignment="1" applyFont="1">
      <alignment vertical="bottom"/>
    </xf>
    <xf borderId="12" fillId="0" fontId="13" numFmtId="4" xfId="0" applyAlignment="1" applyBorder="1" applyFont="1" applyNumberFormat="1">
      <alignment vertical="bottom"/>
    </xf>
    <xf borderId="0" fillId="0" fontId="13" numFmtId="4" xfId="0" applyAlignment="1" applyFont="1" applyNumberFormat="1">
      <alignment readingOrder="0" vertical="bottom"/>
    </xf>
    <xf borderId="27" fillId="0" fontId="11" numFmtId="4" xfId="0" applyAlignment="1" applyBorder="1" applyFont="1" applyNumberFormat="1">
      <alignment horizontal="center" vertical="bottom"/>
    </xf>
    <xf borderId="6" fillId="2" fontId="13" numFmtId="4" xfId="0" applyAlignment="1" applyBorder="1" applyFont="1" applyNumberFormat="1">
      <alignment vertical="bottom"/>
    </xf>
    <xf borderId="28" fillId="0" fontId="10" numFmtId="4" xfId="0" applyAlignment="1" applyBorder="1" applyFont="1" applyNumberFormat="1">
      <alignment horizontal="center" readingOrder="0" vertical="bottom"/>
    </xf>
    <xf borderId="29" fillId="0" fontId="11" numFmtId="3" xfId="0" applyAlignment="1" applyBorder="1" applyFont="1" applyNumberFormat="1">
      <alignment horizontal="center" vertical="bottom"/>
    </xf>
    <xf borderId="0" fillId="0" fontId="13" numFmtId="4" xfId="0" applyAlignment="1" applyFont="1" applyNumberFormat="1">
      <alignment horizontal="right" vertical="bottom"/>
    </xf>
    <xf borderId="21" fillId="0" fontId="12" numFmtId="0" xfId="0" applyAlignment="1" applyBorder="1" applyFont="1">
      <alignment readingOrder="0" vertical="bottom"/>
    </xf>
    <xf borderId="12" fillId="0" fontId="11" numFmtId="4" xfId="0" applyAlignment="1" applyBorder="1" applyFont="1" applyNumberFormat="1">
      <alignment horizontal="center" readingOrder="0" vertical="bottom"/>
    </xf>
    <xf borderId="6" fillId="2" fontId="13" numFmtId="4" xfId="0" applyAlignment="1" applyBorder="1" applyFont="1" applyNumberFormat="1">
      <alignment horizontal="right" vertical="bottom"/>
    </xf>
    <xf borderId="12" fillId="0" fontId="13" numFmtId="4" xfId="0" applyAlignment="1" applyBorder="1" applyFont="1" applyNumberFormat="1">
      <alignment horizontal="right" vertical="bottom"/>
    </xf>
    <xf borderId="12" fillId="0" fontId="13" numFmtId="4" xfId="0" applyAlignment="1" applyBorder="1" applyFont="1" applyNumberFormat="1">
      <alignment horizontal="right" readingOrder="0" vertical="bottom"/>
    </xf>
    <xf borderId="18" fillId="0" fontId="10" numFmtId="0" xfId="0" applyAlignment="1" applyBorder="1" applyFont="1">
      <alignment horizontal="center" vertical="bottom"/>
    </xf>
    <xf borderId="19" fillId="0" fontId="10" numFmtId="4" xfId="0" applyAlignment="1" applyBorder="1" applyFont="1" applyNumberFormat="1">
      <alignment horizontal="center" vertical="bottom"/>
    </xf>
    <xf borderId="30" fillId="0" fontId="11" numFmtId="3" xfId="0" applyAlignment="1" applyBorder="1" applyFont="1" applyNumberFormat="1">
      <alignment horizontal="center" vertical="bottom"/>
    </xf>
    <xf borderId="17" fillId="0" fontId="11" numFmtId="4" xfId="0" applyAlignment="1" applyBorder="1" applyFont="1" applyNumberFormat="1">
      <alignment horizontal="center" vertical="bottom"/>
    </xf>
    <xf borderId="19" fillId="0" fontId="11" numFmtId="4" xfId="0" applyAlignment="1" applyBorder="1" applyFont="1" applyNumberFormat="1">
      <alignment horizontal="center" vertical="bottom"/>
    </xf>
    <xf borderId="21" fillId="0" fontId="12" numFmtId="0" xfId="0" applyAlignment="1" applyBorder="1" applyFont="1">
      <alignment horizontal="center" readingOrder="0" vertical="bottom"/>
    </xf>
    <xf borderId="21" fillId="0" fontId="13" numFmtId="4" xfId="0" applyAlignment="1" applyBorder="1" applyFont="1" applyNumberFormat="1">
      <alignment horizontal="right" readingOrder="0" vertical="bottom"/>
    </xf>
    <xf borderId="21" fillId="0" fontId="12" numFmtId="0" xfId="0" applyAlignment="1" applyBorder="1" applyFont="1">
      <alignment vertical="bottom"/>
    </xf>
    <xf borderId="21" fillId="0" fontId="13" numFmtId="4" xfId="0" applyAlignment="1" applyBorder="1" applyFont="1" applyNumberFormat="1">
      <alignment readingOrder="0" vertical="bottom"/>
    </xf>
    <xf borderId="19" fillId="0" fontId="13" numFmtId="4" xfId="0" applyAlignment="1" applyBorder="1" applyFont="1" applyNumberFormat="1">
      <alignment vertical="bottom"/>
    </xf>
    <xf borderId="21" fillId="0" fontId="13" numFmtId="4" xfId="0" applyAlignment="1" applyBorder="1" applyFont="1" applyNumberFormat="1">
      <alignment horizontal="right" vertical="bottom"/>
    </xf>
    <xf borderId="21" fillId="0" fontId="13" numFmtId="4" xfId="0" applyAlignment="1" applyBorder="1" applyFont="1" applyNumberFormat="1">
      <alignment vertical="bottom"/>
    </xf>
    <xf borderId="17" fillId="6" fontId="14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vertical="bottom"/>
    </xf>
    <xf borderId="31" fillId="7" fontId="15" numFmtId="46" xfId="0" applyAlignment="1" applyBorder="1" applyFill="1" applyFont="1" applyNumberFormat="1">
      <alignment horizontal="center" readingOrder="0" shrinkToFit="0" vertical="bottom" wrapText="1"/>
    </xf>
    <xf borderId="12" fillId="0" fontId="6" numFmtId="0" xfId="0" applyBorder="1" applyFont="1"/>
    <xf borderId="0" fillId="7" fontId="15" numFmtId="46" xfId="0" applyAlignment="1" applyFont="1" applyNumberFormat="1">
      <alignment horizontal="center" readingOrder="0" shrinkToFit="0" vertical="bottom" wrapText="1"/>
    </xf>
    <xf borderId="6" fillId="2" fontId="15" numFmtId="0" xfId="0" applyAlignment="1" applyBorder="1" applyFont="1">
      <alignment horizontal="center" readingOrder="0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17" fillId="8" fontId="16" numFmtId="0" xfId="0" applyAlignment="1" applyBorder="1" applyFill="1" applyFont="1">
      <alignment horizontal="center" vertical="bottom"/>
    </xf>
    <xf borderId="4" fillId="2" fontId="1" numFmtId="0" xfId="0" applyAlignment="1" applyBorder="1" applyFont="1">
      <alignment vertical="bottom"/>
    </xf>
    <xf borderId="32" fillId="0" fontId="6" numFmtId="0" xfId="0" applyBorder="1" applyFont="1"/>
    <xf borderId="17" fillId="9" fontId="14" numFmtId="4" xfId="0" applyAlignment="1" applyBorder="1" applyFill="1" applyFont="1" applyNumberFormat="1">
      <alignment horizontal="center" vertical="bottom"/>
    </xf>
    <xf borderId="33" fillId="0" fontId="17" numFmtId="0" xfId="0" applyAlignment="1" applyBorder="1" applyFont="1">
      <alignment horizontal="center" readingOrder="0" vertical="bottom"/>
    </xf>
    <xf borderId="34" fillId="0" fontId="6" numFmtId="0" xfId="0" applyBorder="1" applyFont="1"/>
    <xf borderId="23" fillId="0" fontId="6" numFmtId="0" xfId="0" applyBorder="1" applyFont="1"/>
    <xf borderId="34" fillId="0" fontId="17" numFmtId="0" xfId="0" applyAlignment="1" applyBorder="1" applyFont="1">
      <alignment horizontal="center" readingOrder="0" vertical="bottom"/>
    </xf>
    <xf borderId="6" fillId="2" fontId="18" numFmtId="0" xfId="0" applyBorder="1" applyFont="1"/>
    <xf borderId="17" fillId="3" fontId="19" numFmtId="4" xfId="0" applyAlignment="1" applyBorder="1" applyFont="1" applyNumberFormat="1">
      <alignment horizontal="center" vertical="bottom"/>
    </xf>
    <xf borderId="17" fillId="10" fontId="20" numFmtId="4" xfId="0" applyAlignment="1" applyBorder="1" applyFill="1" applyFont="1" applyNumberFormat="1">
      <alignment horizontal="center" vertical="bottom"/>
    </xf>
    <xf borderId="4" fillId="2" fontId="21" numFmtId="4" xfId="0" applyAlignment="1" applyBorder="1" applyFont="1" applyNumberFormat="1">
      <alignment shrinkToFit="0" vertical="bottom" wrapText="0"/>
    </xf>
    <xf borderId="35" fillId="2" fontId="18" numFmtId="0" xfId="0" applyBorder="1" applyFont="1"/>
    <xf borderId="9" fillId="2" fontId="18" numFmtId="0" xfId="0" applyBorder="1" applyFont="1"/>
    <xf borderId="36" fillId="2" fontId="18" numFmtId="0" xfId="0" applyBorder="1" applyFont="1"/>
    <xf borderId="37" fillId="6" fontId="5" numFmtId="0" xfId="0" applyAlignment="1" applyBorder="1" applyFont="1">
      <alignment horizontal="center" shrinkToFit="0" vertical="bottom" wrapText="1"/>
    </xf>
    <xf borderId="22" fillId="0" fontId="6" numFmtId="0" xfId="0" applyBorder="1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38" fillId="0" fontId="11" numFmtId="3" xfId="0" applyAlignment="1" applyBorder="1" applyFont="1" applyNumberFormat="1">
      <alignment horizontal="center" vertical="bottom"/>
    </xf>
    <xf borderId="39" fillId="0" fontId="11" numFmtId="4" xfId="0" applyAlignment="1" applyBorder="1" applyFont="1" applyNumberFormat="1">
      <alignment horizontal="center" vertical="bottom"/>
    </xf>
    <xf borderId="10" fillId="0" fontId="11" numFmtId="3" xfId="0" applyAlignment="1" applyBorder="1" applyFont="1" applyNumberFormat="1">
      <alignment horizontal="center" vertical="bottom"/>
    </xf>
    <xf borderId="0" fillId="0" fontId="11" numFmtId="4" xfId="0" applyAlignment="1" applyFont="1" applyNumberFormat="1">
      <alignment horizontal="center" vertical="bottom"/>
    </xf>
    <xf borderId="40" fillId="0" fontId="10" numFmtId="4" xfId="0" applyAlignment="1" applyBorder="1" applyFont="1" applyNumberFormat="1">
      <alignment horizontal="center" readingOrder="0" vertical="bottom"/>
    </xf>
    <xf borderId="17" fillId="0" fontId="11" numFmtId="3" xfId="0" applyAlignment="1" applyBorder="1" applyFont="1" applyNumberFormat="1">
      <alignment horizontal="center" vertical="bottom"/>
    </xf>
    <xf borderId="21" fillId="0" fontId="11" numFmtId="4" xfId="0" applyAlignment="1" applyBorder="1" applyFont="1" applyNumberFormat="1">
      <alignment horizontal="center" vertical="bottom"/>
    </xf>
    <xf borderId="19" fillId="0" fontId="13" numFmtId="4" xfId="0" applyAlignment="1" applyBorder="1" applyFont="1" applyNumberFormat="1">
      <alignment readingOrder="0" vertical="bottom"/>
    </xf>
    <xf borderId="19" fillId="0" fontId="11" numFmtId="4" xfId="0" applyAlignment="1" applyBorder="1" applyFont="1" applyNumberFormat="1">
      <alignment horizontal="center" readingOrder="0" vertical="bottom"/>
    </xf>
    <xf borderId="31" fillId="0" fontId="15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right" vertical="bottom"/>
    </xf>
    <xf borderId="26" fillId="0" fontId="11" numFmtId="4" xfId="0" applyAlignment="1" applyBorder="1" applyFont="1" applyNumberFormat="1">
      <alignment horizontal="center" vertical="bottom"/>
    </xf>
    <xf borderId="27" fillId="0" fontId="11" numFmtId="4" xfId="0" applyAlignment="1" applyBorder="1" applyFont="1" applyNumberFormat="1">
      <alignment horizontal="center" readingOrder="0" vertical="bottom"/>
    </xf>
    <xf borderId="29" fillId="0" fontId="11" numFmtId="4" xfId="0" applyAlignment="1" applyBorder="1" applyFont="1" applyNumberFormat="1">
      <alignment horizontal="center" vertical="bottom"/>
    </xf>
    <xf borderId="30" fillId="0" fontId="11" numFmtId="4" xfId="0" applyAlignment="1" applyBorder="1" applyFont="1" applyNumberFormat="1">
      <alignment horizontal="center" vertical="bottom"/>
    </xf>
    <xf borderId="19" fillId="0" fontId="13" numFmtId="4" xfId="0" applyAlignment="1" applyBorder="1" applyFont="1" applyNumberFormat="1">
      <alignment horizontal="right" vertical="bottom"/>
    </xf>
    <xf borderId="0" fillId="0" fontId="15" numFmtId="46" xfId="0" applyAlignment="1" applyFont="1" applyNumberFormat="1">
      <alignment horizontal="center" readingOrder="0" shrinkToFit="0" vertical="bottom" wrapText="1"/>
    </xf>
    <xf borderId="1" fillId="2" fontId="1" numFmtId="0" xfId="0" applyAlignment="1" applyBorder="1" applyFont="1">
      <alignment readingOrder="0" vertical="bottom"/>
    </xf>
    <xf borderId="24" fillId="0" fontId="10" numFmtId="4" xfId="0" applyAlignment="1" applyBorder="1" applyFont="1" applyNumberFormat="1">
      <alignment horizontal="center" readingOrder="0" vertical="bottom"/>
    </xf>
    <xf borderId="13" fillId="0" fontId="11" numFmtId="4" xfId="0" applyAlignment="1" applyBorder="1" applyFont="1" applyNumberFormat="1">
      <alignment horizontal="center" vertical="bottom"/>
    </xf>
    <xf borderId="0" fillId="6" fontId="22" numFmtId="4" xfId="0" applyAlignment="1" applyFont="1" applyNumberFormat="1">
      <alignment horizontal="right" readingOrder="0" vertical="bottom"/>
    </xf>
    <xf borderId="41" fillId="0" fontId="10" numFmtId="4" xfId="0" applyAlignment="1" applyBorder="1" applyFont="1" applyNumberFormat="1">
      <alignment horizontal="center" readingOrder="0" vertical="bottom"/>
    </xf>
    <xf borderId="42" fillId="0" fontId="10" numFmtId="4" xfId="0" applyAlignment="1" applyBorder="1" applyFont="1" applyNumberFormat="1">
      <alignment horizontal="center" readingOrder="0" vertical="bottom"/>
    </xf>
    <xf borderId="23" fillId="0" fontId="11" numFmtId="4" xfId="0" applyAlignment="1" applyBorder="1" applyFont="1" applyNumberFormat="1">
      <alignment horizontal="center" vertical="bottom"/>
    </xf>
    <xf borderId="31" fillId="7" fontId="15" numFmtId="0" xfId="0" applyAlignment="1" applyBorder="1" applyFont="1">
      <alignment horizontal="center" readingOrder="0" shrinkToFit="0" vertical="bottom" wrapText="1"/>
    </xf>
    <xf borderId="0" fillId="7" fontId="15" numFmtId="0" xfId="0" applyAlignment="1" applyFont="1">
      <alignment horizontal="center" readingOrder="0" shrinkToFit="0" vertical="bottom" wrapText="1"/>
    </xf>
    <xf borderId="43" fillId="6" fontId="5" numFmtId="0" xfId="0" applyAlignment="1" applyBorder="1" applyFont="1">
      <alignment horizontal="center" shrinkToFit="0" vertical="bottom" wrapText="1"/>
    </xf>
    <xf borderId="44" fillId="2" fontId="1" numFmtId="0" xfId="0" applyAlignment="1" applyBorder="1" applyFont="1">
      <alignment vertical="bottom"/>
    </xf>
    <xf borderId="0" fillId="0" fontId="18" numFmtId="0" xfId="0" applyAlignment="1" applyFont="1">
      <alignment readingOrder="0"/>
    </xf>
    <xf borderId="0" fillId="0" fontId="18" numFmtId="0" xfId="0" applyFont="1"/>
    <xf borderId="45" fillId="0" fontId="11" numFmtId="4" xfId="0" applyAlignment="1" applyBorder="1" applyFont="1" applyNumberFormat="1">
      <alignment horizontal="center" vertical="bottom"/>
    </xf>
    <xf borderId="31" fillId="0" fontId="12" numFmtId="0" xfId="0" applyAlignment="1" applyBorder="1" applyFont="1">
      <alignment horizontal="center" readingOrder="0" vertical="bottom"/>
    </xf>
    <xf borderId="20" fillId="0" fontId="11" numFmtId="4" xfId="0" applyAlignment="1" applyBorder="1" applyFont="1" applyNumberFormat="1">
      <alignment horizontal="center" vertical="bottom"/>
    </xf>
    <xf borderId="32" fillId="0" fontId="12" numFmtId="0" xfId="0" applyAlignment="1" applyBorder="1" applyFont="1">
      <alignment horizontal="center" readingOrder="0" vertical="bottom"/>
    </xf>
    <xf borderId="34" fillId="0" fontId="17" numFmtId="0" xfId="0" applyAlignment="1" applyBorder="1" applyFont="1">
      <alignment horizontal="center" vertical="bottom"/>
    </xf>
    <xf borderId="0" fillId="6" fontId="13" numFmtId="4" xfId="0" applyAlignment="1" applyFont="1" applyNumberFormat="1">
      <alignment horizontal="right" readingOrder="0" vertical="bottom"/>
    </xf>
    <xf borderId="0" fillId="0" fontId="12" numFmtId="0" xfId="0" applyAlignment="1" applyFont="1">
      <alignment horizontal="center" vertical="bottom"/>
    </xf>
    <xf borderId="31" fillId="0" fontId="12" numFmtId="0" xfId="0" applyAlignment="1" applyBorder="1" applyFont="1">
      <alignment horizontal="center" vertical="bottom"/>
    </xf>
    <xf borderId="32" fillId="0" fontId="12" numFmtId="0" xfId="0" applyAlignment="1" applyBorder="1" applyFont="1">
      <alignment horizontal="center" vertical="bottom"/>
    </xf>
    <xf borderId="21" fillId="0" fontId="12" numFmtId="0" xfId="0" applyAlignment="1" applyBorder="1" applyFont="1">
      <alignment horizontal="center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horizontal="center" readingOrder="0" shrinkToFit="0" vertical="bottom" wrapText="1"/>
    </xf>
    <xf borderId="0" fillId="2" fontId="23" numFmtId="0" xfId="0" applyAlignment="1" applyFont="1">
      <alignment readingOrder="0" shrinkToFit="0" vertical="bottom" wrapText="0"/>
    </xf>
    <xf borderId="21" fillId="0" fontId="1" numFmtId="0" xfId="0" applyAlignment="1" applyBorder="1" applyFont="1">
      <alignment vertical="bottom"/>
    </xf>
    <xf borderId="46" fillId="11" fontId="24" numFmtId="0" xfId="0" applyAlignment="1" applyBorder="1" applyFill="1" applyFont="1">
      <alignment horizontal="center" shrinkToFit="0" vertical="bottom" wrapText="1"/>
    </xf>
    <xf borderId="46" fillId="12" fontId="24" numFmtId="0" xfId="0" applyAlignment="1" applyBorder="1" applyFill="1" applyFont="1">
      <alignment horizontal="center" readingOrder="0" shrinkToFit="0" vertical="bottom" wrapText="1"/>
    </xf>
    <xf borderId="0" fillId="0" fontId="25" numFmtId="0" xfId="0" applyFont="1"/>
    <xf borderId="47" fillId="13" fontId="26" numFmtId="0" xfId="0" applyAlignment="1" applyBorder="1" applyFill="1" applyFont="1">
      <alignment readingOrder="0"/>
    </xf>
    <xf borderId="15" fillId="13" fontId="27" numFmtId="0" xfId="0" applyAlignment="1" applyBorder="1" applyFont="1">
      <alignment readingOrder="0"/>
    </xf>
    <xf borderId="16" fillId="13" fontId="27" numFmtId="0" xfId="0" applyAlignment="1" applyBorder="1" applyFont="1">
      <alignment readingOrder="0"/>
    </xf>
    <xf borderId="31" fillId="7" fontId="18" numFmtId="0" xfId="0" applyAlignment="1" applyBorder="1" applyFont="1">
      <alignment readingOrder="0"/>
    </xf>
    <xf borderId="0" fillId="7" fontId="28" numFmtId="4" xfId="0" applyFont="1" applyNumberFormat="1"/>
    <xf borderId="0" fillId="7" fontId="26" numFmtId="4" xfId="0" applyFont="1" applyNumberFormat="1"/>
    <xf borderId="13" fillId="7" fontId="29" numFmtId="0" xfId="0" applyAlignment="1" applyBorder="1" applyFont="1">
      <alignment readingOrder="0"/>
    </xf>
    <xf borderId="46" fillId="12" fontId="24" numFmtId="0" xfId="0" applyAlignment="1" applyBorder="1" applyFont="1">
      <alignment horizontal="center" shrinkToFit="0" vertical="bottom" wrapText="1"/>
    </xf>
    <xf borderId="31" fillId="14" fontId="18" numFmtId="0" xfId="0" applyAlignment="1" applyBorder="1" applyFill="1" applyFont="1">
      <alignment readingOrder="0"/>
    </xf>
    <xf borderId="0" fillId="14" fontId="28" numFmtId="4" xfId="0" applyFont="1" applyNumberFormat="1"/>
    <xf borderId="0" fillId="14" fontId="26" numFmtId="4" xfId="0" applyFont="1" applyNumberFormat="1"/>
    <xf borderId="13" fillId="14" fontId="29" numFmtId="0" xfId="0" applyAlignment="1" applyBorder="1" applyFont="1">
      <alignment readingOrder="0"/>
    </xf>
    <xf borderId="29" fillId="15" fontId="18" numFmtId="0" xfId="0" applyAlignment="1" applyBorder="1" applyFill="1" applyFont="1">
      <alignment readingOrder="0"/>
    </xf>
    <xf borderId="0" fillId="0" fontId="26" numFmtId="4" xfId="0" applyFont="1" applyNumberFormat="1"/>
    <xf borderId="12" fillId="0" fontId="18" numFmtId="3" xfId="0" applyBorder="1" applyFont="1" applyNumberFormat="1"/>
    <xf borderId="0" fillId="0" fontId="26" numFmtId="0" xfId="0" applyFont="1"/>
    <xf borderId="12" fillId="0" fontId="18" numFmtId="0" xfId="0" applyBorder="1" applyFont="1"/>
    <xf borderId="48" fillId="15" fontId="18" numFmtId="0" xfId="0" applyAlignment="1" applyBorder="1" applyFont="1">
      <alignment readingOrder="0"/>
    </xf>
    <xf borderId="34" fillId="0" fontId="26" numFmtId="0" xfId="0" applyBorder="1" applyFont="1"/>
    <xf borderId="34" fillId="0" fontId="26" numFmtId="4" xfId="0" applyBorder="1" applyFont="1" applyNumberFormat="1"/>
    <xf borderId="24" fillId="0" fontId="18" numFmtId="3" xfId="0" applyBorder="1" applyFont="1" applyNumberFormat="1"/>
    <xf borderId="29" fillId="0" fontId="18" numFmtId="0" xfId="0" applyAlignment="1" applyBorder="1" applyFont="1">
      <alignment readingOrder="0"/>
    </xf>
    <xf borderId="31" fillId="15" fontId="18" numFmtId="0" xfId="0" applyAlignment="1" applyBorder="1" applyFont="1">
      <alignment readingOrder="0"/>
    </xf>
    <xf borderId="0" fillId="7" fontId="28" numFmtId="4" xfId="0" applyAlignment="1" applyFont="1" applyNumberFormat="1">
      <alignment vertical="bottom"/>
    </xf>
    <xf borderId="13" fillId="7" fontId="12" numFmtId="3" xfId="0" applyAlignment="1" applyBorder="1" applyFont="1" applyNumberFormat="1">
      <alignment horizontal="right" vertical="bottom"/>
    </xf>
    <xf borderId="30" fillId="0" fontId="18" numFmtId="0" xfId="0" applyAlignment="1" applyBorder="1" applyFont="1">
      <alignment readingOrder="0"/>
    </xf>
    <xf borderId="21" fillId="0" fontId="26" numFmtId="0" xfId="0" applyBorder="1" applyFont="1"/>
    <xf borderId="21" fillId="0" fontId="26" numFmtId="4" xfId="0" applyBorder="1" applyFont="1" applyNumberFormat="1"/>
    <xf borderId="19" fillId="0" fontId="18" numFmtId="3" xfId="0" applyBorder="1" applyFont="1" applyNumberFormat="1"/>
    <xf borderId="0" fillId="14" fontId="28" numFmtId="4" xfId="0" applyAlignment="1" applyFont="1" applyNumberFormat="1">
      <alignment vertical="bottom"/>
    </xf>
    <xf borderId="13" fillId="14" fontId="12" numFmtId="0" xfId="0" applyAlignment="1" applyBorder="1" applyFont="1">
      <alignment vertical="bottom"/>
    </xf>
    <xf borderId="33" fillId="15" fontId="18" numFmtId="0" xfId="0" applyAlignment="1" applyBorder="1" applyFont="1">
      <alignment readingOrder="0"/>
    </xf>
    <xf borderId="34" fillId="14" fontId="28" numFmtId="4" xfId="0" applyBorder="1" applyFont="1" applyNumberFormat="1"/>
    <xf borderId="34" fillId="14" fontId="26" numFmtId="4" xfId="0" applyBorder="1" applyFont="1" applyNumberFormat="1"/>
    <xf borderId="23" fillId="14" fontId="29" numFmtId="0" xfId="0" applyAlignment="1" applyBorder="1" applyFont="1">
      <alignment readingOrder="0"/>
    </xf>
    <xf borderId="0" fillId="0" fontId="18" numFmtId="2" xfId="0" applyAlignment="1" applyFont="1" applyNumberFormat="1">
      <alignment readingOrder="0"/>
    </xf>
    <xf borderId="0" fillId="16" fontId="26" numFmtId="0" xfId="0" applyAlignment="1" applyFill="1" applyFont="1">
      <alignment readingOrder="0"/>
    </xf>
    <xf borderId="0" fillId="16" fontId="26" numFmtId="0" xfId="0" applyFont="1"/>
    <xf borderId="0" fillId="0" fontId="26" numFmtId="0" xfId="0" applyAlignment="1" applyFont="1">
      <alignment readingOrder="0"/>
    </xf>
    <xf borderId="27" fillId="12" fontId="26" numFmtId="0" xfId="0" applyAlignment="1" applyBorder="1" applyFont="1">
      <alignment horizontal="center" shrinkToFit="0" vertical="bottom" wrapText="1"/>
    </xf>
    <xf borderId="27" fillId="11" fontId="26" numFmtId="0" xfId="0" applyAlignment="1" applyBorder="1" applyFont="1">
      <alignment horizontal="center" shrinkToFit="0" vertical="bottom" wrapText="1"/>
    </xf>
    <xf borderId="0" fillId="11" fontId="26" numFmtId="0" xfId="0" applyAlignment="1" applyFont="1">
      <alignment horizontal="center" shrinkToFit="0" vertical="bottom" wrapText="1"/>
    </xf>
    <xf borderId="0" fillId="0" fontId="26" numFmtId="0" xfId="0" applyAlignment="1" applyFont="1">
      <alignment horizontal="center" shrinkToFit="0" vertical="bottom" wrapText="1"/>
    </xf>
    <xf borderId="49" fillId="12" fontId="26" numFmtId="0" xfId="0" applyAlignment="1" applyBorder="1" applyFont="1">
      <alignment horizontal="center" shrinkToFit="0" vertical="bottom" wrapText="1"/>
    </xf>
    <xf borderId="50" fillId="11" fontId="26" numFmtId="0" xfId="0" applyAlignment="1" applyBorder="1" applyFont="1">
      <alignment horizontal="center" shrinkToFit="0" vertical="bottom" wrapText="1"/>
    </xf>
    <xf borderId="51" fillId="11" fontId="26" numFmtId="0" xfId="0" applyAlignment="1" applyBorder="1" applyFont="1">
      <alignment horizontal="center" readingOrder="0" shrinkToFit="0" vertical="bottom" wrapText="1"/>
    </xf>
    <xf borderId="0" fillId="11" fontId="26" numFmtId="0" xfId="0" applyAlignment="1" applyFont="1">
      <alignment horizontal="center" readingOrder="0" shrinkToFit="0" vertical="bottom" wrapText="1"/>
    </xf>
    <xf borderId="0" fillId="0" fontId="18" numFmtId="4" xfId="0" applyFont="1" applyNumberFormat="1"/>
    <xf borderId="0" fillId="7" fontId="30" numFmtId="4" xfId="0" applyFont="1" applyNumberFormat="1"/>
    <xf borderId="31" fillId="0" fontId="18" numFmtId="4" xfId="0" applyBorder="1" applyFont="1" applyNumberFormat="1"/>
    <xf borderId="13" fillId="0" fontId="18" numFmtId="3" xfId="0" applyAlignment="1" applyBorder="1" applyFont="1" applyNumberFormat="1">
      <alignment readingOrder="0"/>
    </xf>
    <xf borderId="0" fillId="0" fontId="18" numFmtId="4" xfId="0" applyAlignment="1" applyFont="1" applyNumberFormat="1">
      <alignment readingOrder="0"/>
    </xf>
    <xf borderId="31" fillId="0" fontId="18" numFmtId="0" xfId="0" applyBorder="1" applyFont="1"/>
    <xf borderId="13" fillId="0" fontId="18" numFmtId="0" xfId="0" applyAlignment="1" applyBorder="1" applyFont="1">
      <alignment readingOrder="0"/>
    </xf>
    <xf borderId="51" fillId="0" fontId="18" numFmtId="0" xfId="0" applyBorder="1" applyFont="1"/>
    <xf borderId="33" fillId="0" fontId="18" numFmtId="0" xfId="0" applyBorder="1" applyFont="1"/>
    <xf borderId="23" fillId="0" fontId="18" numFmtId="3" xfId="0" applyAlignment="1" applyBorder="1" applyFont="1" applyNumberFormat="1">
      <alignment readingOrder="0"/>
    </xf>
    <xf borderId="33" fillId="0" fontId="18" numFmtId="4" xfId="0" applyBorder="1" applyFont="1" applyNumberFormat="1"/>
    <xf borderId="34" fillId="0" fontId="18" numFmtId="4" xfId="0" applyBorder="1" applyFont="1" applyNumberFormat="1"/>
    <xf borderId="23" fillId="0" fontId="18" numFmtId="0" xfId="0" applyAlignment="1" applyBorder="1" applyFont="1">
      <alignment readingOrder="0"/>
    </xf>
    <xf borderId="39" fillId="17" fontId="1" numFmtId="0" xfId="0" applyAlignment="1" applyBorder="1" applyFill="1" applyFont="1">
      <alignment vertical="bottom"/>
    </xf>
    <xf borderId="0" fillId="18" fontId="1" numFmtId="0" xfId="0" applyAlignment="1" applyFill="1" applyFont="1">
      <alignment vertical="bottom"/>
    </xf>
    <xf borderId="0" fillId="18" fontId="31" numFmtId="0" xfId="0" applyAlignment="1" applyFont="1">
      <alignment horizontal="center" vertical="bottom"/>
    </xf>
    <xf borderId="0" fillId="19" fontId="31" numFmtId="0" xfId="0" applyAlignment="1" applyFill="1" applyFont="1">
      <alignment horizontal="center" vertical="bottom"/>
    </xf>
    <xf borderId="0" fillId="20" fontId="32" numFmtId="0" xfId="0" applyAlignment="1" applyFill="1" applyFont="1">
      <alignment horizontal="center" shrinkToFit="0" vertical="bottom" wrapText="1"/>
    </xf>
    <xf borderId="0" fillId="21" fontId="33" numFmtId="0" xfId="0" applyAlignment="1" applyFill="1" applyFont="1">
      <alignment horizontal="center" vertical="bottom"/>
    </xf>
    <xf borderId="0" fillId="17" fontId="1" numFmtId="0" xfId="0" applyAlignment="1" applyFont="1">
      <alignment vertical="bottom"/>
    </xf>
    <xf borderId="52" fillId="22" fontId="34" numFmtId="0" xfId="0" applyAlignment="1" applyBorder="1" applyFill="1" applyFont="1">
      <alignment readingOrder="0" shrinkToFit="0" vertical="bottom" wrapText="1"/>
    </xf>
    <xf borderId="52" fillId="23" fontId="35" numFmtId="0" xfId="0" applyAlignment="1" applyBorder="1" applyFill="1" applyFont="1">
      <alignment shrinkToFit="0" vertical="bottom" wrapText="1"/>
    </xf>
    <xf borderId="53" fillId="24" fontId="35" numFmtId="0" xfId="0" applyAlignment="1" applyBorder="1" applyFill="1" applyFont="1">
      <alignment horizontal="center" readingOrder="0" shrinkToFit="0" vertical="bottom" wrapText="1"/>
    </xf>
    <xf borderId="53" fillId="10" fontId="10" numFmtId="0" xfId="0" applyAlignment="1" applyBorder="1" applyFont="1">
      <alignment horizontal="center" shrinkToFit="0" vertical="bottom" wrapText="1"/>
    </xf>
    <xf borderId="53" fillId="10" fontId="10" numFmtId="0" xfId="0" applyAlignment="1" applyBorder="1" applyFont="1">
      <alignment shrinkToFit="0" vertical="bottom" wrapText="1"/>
    </xf>
    <xf borderId="51" fillId="10" fontId="10" numFmtId="0" xfId="0" applyAlignment="1" applyBorder="1" applyFont="1">
      <alignment shrinkToFit="0" vertical="bottom" wrapText="1"/>
    </xf>
    <xf borderId="53" fillId="6" fontId="35" numFmtId="0" xfId="0" applyAlignment="1" applyBorder="1" applyFont="1">
      <alignment horizontal="center" shrinkToFit="0" vertical="bottom" wrapText="1"/>
    </xf>
    <xf borderId="53" fillId="3" fontId="36" numFmtId="0" xfId="0" applyAlignment="1" applyBorder="1" applyFont="1">
      <alignment horizontal="center" shrinkToFit="0" vertical="bottom" wrapText="1"/>
    </xf>
    <xf borderId="53" fillId="8" fontId="36" numFmtId="0" xfId="0" applyAlignment="1" applyBorder="1" applyFont="1">
      <alignment horizontal="center" shrinkToFit="0" vertical="bottom" wrapText="1"/>
    </xf>
    <xf borderId="53" fillId="9" fontId="35" numFmtId="0" xfId="0" applyAlignment="1" applyBorder="1" applyFont="1">
      <alignment horizontal="center" shrinkToFit="0" vertical="bottom" wrapText="1"/>
    </xf>
    <xf borderId="53" fillId="25" fontId="35" numFmtId="0" xfId="0" applyAlignment="1" applyBorder="1" applyFill="1" applyFont="1">
      <alignment horizontal="center" shrinkToFit="0" vertical="bottom" wrapText="1"/>
    </xf>
    <xf borderId="53" fillId="0" fontId="35" numFmtId="0" xfId="0" applyAlignment="1" applyBorder="1" applyFont="1">
      <alignment horizontal="center" shrinkToFit="0" vertical="bottom" wrapText="1"/>
    </xf>
    <xf borderId="53" fillId="8" fontId="36" numFmtId="2" xfId="0" applyAlignment="1" applyBorder="1" applyFont="1" applyNumberFormat="1">
      <alignment horizontal="center" shrinkToFit="0" vertical="bottom" wrapText="1"/>
    </xf>
    <xf borderId="53" fillId="9" fontId="35" numFmtId="4" xfId="0" applyAlignment="1" applyBorder="1" applyFont="1" applyNumberFormat="1">
      <alignment horizontal="center" shrinkToFit="0" vertical="bottom" wrapText="1"/>
    </xf>
    <xf borderId="53" fillId="3" fontId="36" numFmtId="2" xfId="0" applyAlignment="1" applyBorder="1" applyFont="1" applyNumberFormat="1">
      <alignment horizontal="center" shrinkToFit="0" vertical="bottom" wrapText="1"/>
    </xf>
    <xf borderId="53" fillId="25" fontId="35" numFmtId="2" xfId="0" applyAlignment="1" applyBorder="1" applyFont="1" applyNumberFormat="1">
      <alignment horizontal="center" shrinkToFit="0" vertical="bottom" wrapText="1"/>
    </xf>
    <xf borderId="28" fillId="25" fontId="35" numFmtId="2" xfId="0" applyAlignment="1" applyBorder="1" applyFont="1" applyNumberFormat="1">
      <alignment horizontal="center" shrinkToFit="0" vertical="bottom" wrapText="1"/>
    </xf>
    <xf borderId="0" fillId="0" fontId="37" numFmtId="2" xfId="0" applyAlignment="1" applyFont="1" applyNumberFormat="1">
      <alignment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horizontal="right" vertical="bottom"/>
    </xf>
    <xf borderId="0" fillId="0" fontId="13" numFmtId="9" xfId="0" applyAlignment="1" applyFont="1" applyNumberFormat="1">
      <alignment horizontal="right" vertical="bottom"/>
    </xf>
    <xf borderId="0" fillId="7" fontId="30" numFmtId="0" xfId="0" applyFont="1"/>
    <xf borderId="0" fillId="0" fontId="18" numFmtId="9" xfId="0" applyFont="1" applyNumberFormat="1"/>
    <xf borderId="0" fillId="0" fontId="18" numFmtId="2" xfId="0" applyFont="1" applyNumberFormat="1"/>
    <xf borderId="52" fillId="22" fontId="34" numFmtId="0" xfId="0" applyAlignment="1" applyBorder="1" applyFont="1">
      <alignment shrinkToFit="0" vertical="bottom" wrapText="1"/>
    </xf>
    <xf borderId="54" fillId="23" fontId="35" numFmtId="0" xfId="0" applyAlignment="1" applyBorder="1" applyFont="1">
      <alignment shrinkToFit="0" vertical="bottom" wrapText="1"/>
    </xf>
    <xf borderId="0" fillId="0" fontId="12" numFmtId="4" xfId="0" applyAlignment="1" applyFont="1" applyNumberFormat="1">
      <alignment horizontal="left" readingOrder="0" vertical="bottom"/>
    </xf>
    <xf borderId="0" fillId="0" fontId="18" numFmtId="4" xfId="0" applyAlignment="1" applyFont="1" applyNumberFormat="1">
      <alignment horizontal="left" readingOrder="0"/>
    </xf>
    <xf borderId="0" fillId="0" fontId="18" numFmtId="0" xfId="0" applyAlignment="1" applyFont="1">
      <alignment horizontal="left"/>
    </xf>
    <xf borderId="0" fillId="13" fontId="37" numFmtId="0" xfId="0" applyAlignment="1" applyFont="1">
      <alignment vertical="bottom"/>
    </xf>
    <xf borderId="54" fillId="14" fontId="37" numFmtId="0" xfId="0" applyAlignment="1" applyBorder="1" applyFont="1">
      <alignment readingOrder="0" vertical="bottom"/>
    </xf>
    <xf borderId="51" fillId="14" fontId="37" numFmtId="0" xfId="0" applyAlignment="1" applyBorder="1" applyFont="1">
      <alignment vertical="bottom"/>
    </xf>
    <xf borderId="0" fillId="6" fontId="37" numFmtId="0" xfId="0" applyAlignment="1" applyFont="1">
      <alignment vertical="bottom"/>
    </xf>
    <xf borderId="31" fillId="0" fontId="37" numFmtId="0" xfId="0" applyAlignment="1" applyBorder="1" applyFont="1">
      <alignment readingOrder="0" vertical="bottom"/>
    </xf>
    <xf borderId="13" fillId="6" fontId="37" numFmtId="9" xfId="0" applyAlignment="1" applyBorder="1" applyFont="1" applyNumberFormat="1">
      <alignment vertical="bottom"/>
    </xf>
    <xf borderId="0" fillId="3" fontId="38" numFmtId="0" xfId="0" applyAlignment="1" applyFont="1">
      <alignment vertical="bottom"/>
    </xf>
    <xf borderId="33" fillId="0" fontId="37" numFmtId="0" xfId="0" applyAlignment="1" applyBorder="1" applyFont="1">
      <alignment readingOrder="0" vertical="bottom"/>
    </xf>
    <xf borderId="23" fillId="3" fontId="38" numFmtId="9" xfId="0" applyAlignment="1" applyBorder="1" applyFont="1" applyNumberFormat="1">
      <alignment vertical="bottom"/>
    </xf>
    <xf borderId="38" fillId="12" fontId="39" numFmtId="0" xfId="0" applyAlignment="1" applyBorder="1" applyFont="1">
      <alignment vertical="bottom"/>
    </xf>
    <xf borderId="15" fillId="11" fontId="40" numFmtId="0" xfId="0" applyAlignment="1" applyBorder="1" applyFont="1">
      <alignment horizontal="center" shrinkToFit="0" vertical="bottom" wrapText="1"/>
    </xf>
    <xf borderId="0" fillId="7" fontId="41" numFmtId="0" xfId="0" applyAlignment="1" applyFont="1">
      <alignment readingOrder="0"/>
    </xf>
    <xf borderId="23" fillId="0" fontId="20" numFmtId="0" xfId="0" applyAlignment="1" applyBorder="1" applyFont="1">
      <alignment horizontal="center" shrinkToFit="0" vertical="bottom" wrapText="1"/>
    </xf>
    <xf borderId="34" fillId="0" fontId="20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52" fillId="23" fontId="36" numFmtId="0" xfId="0" applyAlignment="1" applyBorder="1" applyFont="1">
      <alignment shrinkToFit="0" vertical="bottom" wrapText="1"/>
    </xf>
    <xf borderId="53" fillId="26" fontId="35" numFmtId="0" xfId="0" applyAlignment="1" applyBorder="1" applyFill="1" applyFont="1">
      <alignment horizontal="center" readingOrder="0" shrinkToFit="0" vertical="bottom" wrapText="1"/>
    </xf>
    <xf borderId="53" fillId="26" fontId="35" numFmtId="1" xfId="0" applyAlignment="1" applyBorder="1" applyFont="1" applyNumberFormat="1">
      <alignment horizontal="center" readingOrder="0" shrinkToFit="0" vertical="bottom" wrapText="1"/>
    </xf>
    <xf borderId="0" fillId="0" fontId="18" numFmtId="1" xfId="0" applyFont="1" applyNumberFormat="1"/>
    <xf borderId="0" fillId="7" fontId="18" numFmtId="4" xfId="0" applyFont="1" applyNumberFormat="1"/>
    <xf borderId="0" fillId="7" fontId="18" numFmtId="0" xfId="0" applyFont="1"/>
    <xf borderId="0" fillId="7" fontId="18" numFmtId="1" xfId="0" applyFont="1" applyNumberFormat="1"/>
    <xf borderId="4" fillId="2" fontId="23" numFmtId="0" xfId="0" applyAlignment="1" applyBorder="1" applyFont="1">
      <alignment readingOrder="0" shrinkToFit="0" vertical="bottom" wrapText="0"/>
    </xf>
    <xf borderId="35" fillId="2" fontId="1" numFmtId="0" xfId="0" applyAlignment="1" applyBorder="1" applyFont="1">
      <alignment vertical="bottom"/>
    </xf>
    <xf borderId="46" fillId="3" fontId="42" numFmtId="0" xfId="0" applyAlignment="1" applyBorder="1" applyFont="1">
      <alignment horizontal="center" shrinkToFit="0" vertical="bottom" wrapText="1"/>
    </xf>
    <xf borderId="46" fillId="23" fontId="24" numFmtId="0" xfId="0" applyAlignment="1" applyBorder="1" applyFont="1">
      <alignment horizontal="center" readingOrder="0" shrinkToFit="0" vertical="bottom" wrapText="1"/>
    </xf>
    <xf borderId="4" fillId="2" fontId="25" numFmtId="0" xfId="0" applyBorder="1" applyFont="1"/>
    <xf borderId="6" fillId="2" fontId="25" numFmtId="0" xfId="0" applyBorder="1" applyFont="1"/>
    <xf borderId="47" fillId="7" fontId="26" numFmtId="0" xfId="0" applyAlignment="1" applyBorder="1" applyFont="1">
      <alignment horizontal="center" readingOrder="0"/>
    </xf>
    <xf borderId="4" fillId="2" fontId="18" numFmtId="0" xfId="0" applyBorder="1" applyFont="1"/>
    <xf borderId="5" fillId="2" fontId="25" numFmtId="0" xfId="0" applyBorder="1" applyFont="1"/>
    <xf borderId="46" fillId="3" fontId="43" numFmtId="0" xfId="0" applyAlignment="1" applyBorder="1" applyFont="1">
      <alignment horizontal="center" shrinkToFit="0" vertical="bottom" wrapText="1"/>
    </xf>
    <xf borderId="46" fillId="23" fontId="24" numFmtId="0" xfId="0" applyAlignment="1" applyBorder="1" applyFont="1">
      <alignment horizontal="center" shrinkToFit="0" vertical="bottom" wrapText="1"/>
    </xf>
    <xf borderId="5" fillId="2" fontId="18" numFmtId="0" xfId="0" applyBorder="1" applyFont="1"/>
    <xf borderId="0" fillId="14" fontId="28" numFmtId="0" xfId="0" applyFont="1"/>
    <xf borderId="0" fillId="0" fontId="26" numFmtId="2" xfId="0" applyFont="1" applyNumberFormat="1"/>
    <xf borderId="24" fillId="0" fontId="18" numFmtId="0" xfId="0" applyBorder="1" applyFont="1"/>
    <xf borderId="0" fillId="0" fontId="29" numFmtId="0" xfId="0" applyFont="1"/>
    <xf borderId="19" fillId="0" fontId="18" numFmtId="0" xfId="0" applyBorder="1" applyFont="1"/>
    <xf borderId="13" fillId="14" fontId="12" numFmtId="3" xfId="0" applyAlignment="1" applyBorder="1" applyFont="1" applyNumberFormat="1">
      <alignment vertical="bottom"/>
    </xf>
    <xf borderId="2" fillId="2" fontId="18" numFmtId="0" xfId="0" applyBorder="1" applyFont="1"/>
    <xf borderId="13" fillId="7" fontId="29" numFmtId="3" xfId="0" applyAlignment="1" applyBorder="1" applyFont="1" applyNumberFormat="1">
      <alignment readingOrder="0"/>
    </xf>
    <xf borderId="1" fillId="2" fontId="18" numFmtId="0" xfId="0" applyBorder="1" applyFont="1"/>
    <xf borderId="4" fillId="2" fontId="18" numFmtId="2" xfId="0" applyAlignment="1" applyBorder="1" applyFont="1" applyNumberFormat="1">
      <alignment readingOrder="0"/>
    </xf>
    <xf borderId="3" fillId="2" fontId="18" numFmtId="0" xfId="0" applyBorder="1" applyFont="1"/>
    <xf borderId="4" fillId="0" fontId="18" numFmtId="0" xfId="0" applyBorder="1" applyFont="1"/>
    <xf borderId="35" fillId="0" fontId="1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Процент побед во всех играх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2"/>
              </a:solidFill>
            </c:spPr>
          </c:dPt>
          <c:dPt>
            <c:idx val="1"/>
            <c:spPr>
              <a:solidFill>
                <a:srgbClr val="0000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'Все игры'!$I$2:$I$3</c:f>
            </c:strRef>
          </c:cat>
          <c:val>
            <c:numRef>
              <c:f>'Все игры'!$K$2:$K$3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104775</xdr:rowOff>
    </xdr:from>
    <xdr:ext cx="3533775" cy="21907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8" width="10.13"/>
    <col customWidth="1" min="59" max="60" width="6.38"/>
    <col customWidth="1" min="61" max="64" width="10.13"/>
    <col customWidth="1" min="65" max="66" width="6.38"/>
    <col customWidth="1" min="67" max="70" width="10.13"/>
    <col customWidth="1" min="71" max="72" width="6.38"/>
    <col customWidth="1" min="73" max="76" width="10.13"/>
    <col customWidth="1" min="77" max="78" width="6.38"/>
    <col customWidth="1" min="79" max="82" width="10.13"/>
    <col customWidth="1" min="83" max="84" width="6.38"/>
    <col customWidth="1" min="85" max="88" width="10.13"/>
    <col customWidth="1" min="89" max="90" width="6.38"/>
    <col customWidth="1" min="91" max="91" width="19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  <c r="BP1" s="3"/>
      <c r="BQ1" s="2"/>
      <c r="BR1" s="2"/>
      <c r="BS1" s="2"/>
      <c r="BT1" s="2"/>
      <c r="BU1" s="2"/>
      <c r="BV1" s="2"/>
      <c r="BW1" s="2"/>
      <c r="BX1" s="2"/>
      <c r="BY1" s="2"/>
      <c r="BZ1" s="2"/>
      <c r="CA1" s="3"/>
      <c r="CB1" s="3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4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</row>
    <row r="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8"/>
      <c r="BP2" s="8"/>
      <c r="BQ2" s="7"/>
      <c r="BR2" s="7"/>
      <c r="BS2" s="7"/>
      <c r="BT2" s="7"/>
      <c r="BU2" s="7"/>
      <c r="BV2" s="7"/>
      <c r="BW2" s="7"/>
      <c r="BX2" s="7"/>
      <c r="BY2" s="7"/>
      <c r="BZ2" s="7"/>
      <c r="CA2" s="8"/>
      <c r="CB2" s="8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9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2"/>
      <c r="BP3" s="12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2"/>
      <c r="CB3" s="12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1"/>
      <c r="CN3" s="9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3" t="s">
        <v>15</v>
      </c>
      <c r="BD4" s="20"/>
      <c r="BE4" s="20"/>
      <c r="BF4" s="20"/>
      <c r="BG4" s="20"/>
      <c r="BH4" s="21"/>
      <c r="BI4" s="23" t="s">
        <v>16</v>
      </c>
      <c r="BJ4" s="20"/>
      <c r="BK4" s="20"/>
      <c r="BL4" s="20"/>
      <c r="BM4" s="20"/>
      <c r="BN4" s="21"/>
      <c r="BO4" s="23" t="s">
        <v>17</v>
      </c>
      <c r="BP4" s="20"/>
      <c r="BQ4" s="20"/>
      <c r="BR4" s="20"/>
      <c r="BS4" s="20"/>
      <c r="BT4" s="21"/>
      <c r="BU4" s="23" t="s">
        <v>18</v>
      </c>
      <c r="BV4" s="20"/>
      <c r="BW4" s="20"/>
      <c r="BX4" s="20"/>
      <c r="BY4" s="20"/>
      <c r="BZ4" s="21"/>
      <c r="CA4" s="23" t="s">
        <v>19</v>
      </c>
      <c r="CB4" s="20"/>
      <c r="CC4" s="20"/>
      <c r="CD4" s="20"/>
      <c r="CE4" s="20"/>
      <c r="CF4" s="21"/>
      <c r="CG4" s="23" t="s">
        <v>20</v>
      </c>
      <c r="CH4" s="20"/>
      <c r="CI4" s="20"/>
      <c r="CJ4" s="20"/>
      <c r="CK4" s="20"/>
      <c r="CL4" s="21"/>
      <c r="CM4" s="24" t="s">
        <v>21</v>
      </c>
      <c r="CN4" s="25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3" t="s">
        <v>22</v>
      </c>
      <c r="BD5" s="33" t="s">
        <v>5</v>
      </c>
      <c r="BE5" s="33" t="s">
        <v>23</v>
      </c>
      <c r="BF5" s="35" t="s">
        <v>24</v>
      </c>
      <c r="BG5" s="33" t="s">
        <v>25</v>
      </c>
      <c r="BH5" s="34" t="s">
        <v>26</v>
      </c>
      <c r="BI5" s="33" t="s">
        <v>22</v>
      </c>
      <c r="BJ5" s="33" t="s">
        <v>5</v>
      </c>
      <c r="BK5" s="33" t="s">
        <v>23</v>
      </c>
      <c r="BL5" s="33" t="s">
        <v>24</v>
      </c>
      <c r="BM5" s="33" t="s">
        <v>25</v>
      </c>
      <c r="BN5" s="34" t="s">
        <v>26</v>
      </c>
      <c r="BO5" s="33" t="s">
        <v>22</v>
      </c>
      <c r="BP5" s="33" t="s">
        <v>5</v>
      </c>
      <c r="BQ5" s="33" t="s">
        <v>23</v>
      </c>
      <c r="BR5" s="35" t="s">
        <v>24</v>
      </c>
      <c r="BS5" s="33" t="s">
        <v>25</v>
      </c>
      <c r="BT5" s="34" t="s">
        <v>26</v>
      </c>
      <c r="BU5" s="33" t="s">
        <v>22</v>
      </c>
      <c r="BV5" s="33" t="s">
        <v>5</v>
      </c>
      <c r="BW5" s="33" t="s">
        <v>23</v>
      </c>
      <c r="BX5" s="33" t="s">
        <v>24</v>
      </c>
      <c r="BY5" s="33" t="s">
        <v>25</v>
      </c>
      <c r="BZ5" s="34" t="s">
        <v>26</v>
      </c>
      <c r="CA5" s="33" t="s">
        <v>22</v>
      </c>
      <c r="CB5" s="33" t="s">
        <v>5</v>
      </c>
      <c r="CC5" s="33" t="s">
        <v>23</v>
      </c>
      <c r="CD5" s="35" t="s">
        <v>24</v>
      </c>
      <c r="CE5" s="33" t="s">
        <v>25</v>
      </c>
      <c r="CF5" s="34" t="s">
        <v>26</v>
      </c>
      <c r="CG5" s="33" t="s">
        <v>22</v>
      </c>
      <c r="CH5" s="33" t="s">
        <v>5</v>
      </c>
      <c r="CI5" s="33" t="s">
        <v>23</v>
      </c>
      <c r="CJ5" s="33" t="s">
        <v>24</v>
      </c>
      <c r="CK5" s="33" t="s">
        <v>25</v>
      </c>
      <c r="CL5" s="34" t="s">
        <v>26</v>
      </c>
      <c r="CM5" s="31"/>
      <c r="CN5" s="36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</row>
    <row r="6" ht="18.75" customHeight="1">
      <c r="A6" s="38">
        <v>1.0</v>
      </c>
      <c r="B6" s="39"/>
      <c r="C6" s="40"/>
      <c r="D6" s="41"/>
      <c r="E6" s="42"/>
      <c r="F6" s="43"/>
      <c r="G6" s="44"/>
      <c r="H6" s="45"/>
      <c r="I6" s="45"/>
      <c r="J6" s="46"/>
      <c r="K6" s="47"/>
      <c r="L6" s="48"/>
      <c r="M6" s="44"/>
      <c r="N6" s="45"/>
      <c r="O6" s="45"/>
      <c r="P6" s="49"/>
      <c r="Q6" s="47"/>
      <c r="R6" s="50"/>
      <c r="S6" s="46"/>
      <c r="T6" s="45"/>
      <c r="U6" s="45"/>
      <c r="V6" s="49"/>
      <c r="W6" s="47"/>
      <c r="X6" s="50"/>
      <c r="Y6" s="46"/>
      <c r="Z6" s="45"/>
      <c r="AA6" s="45"/>
      <c r="AB6" s="46"/>
      <c r="AC6" s="51"/>
      <c r="AD6" s="48"/>
      <c r="AE6" s="46"/>
      <c r="AF6" s="45"/>
      <c r="AG6" s="45"/>
      <c r="AH6" s="46"/>
      <c r="AI6" s="47"/>
      <c r="AJ6" s="50"/>
      <c r="AK6" s="46"/>
      <c r="AL6" s="45"/>
      <c r="AM6" s="45"/>
      <c r="AN6" s="49"/>
      <c r="AO6" s="47"/>
      <c r="AP6" s="50"/>
      <c r="AQ6" s="46"/>
      <c r="AR6" s="45"/>
      <c r="AS6" s="45"/>
      <c r="AT6" s="49"/>
      <c r="AU6" s="47"/>
      <c r="AV6" s="50"/>
      <c r="AW6" s="46"/>
      <c r="AX6" s="45"/>
      <c r="AY6" s="45"/>
      <c r="AZ6" s="49"/>
      <c r="BA6" s="47"/>
      <c r="BB6" s="50"/>
      <c r="BC6" s="46"/>
      <c r="BD6" s="45"/>
      <c r="BE6" s="45"/>
      <c r="BF6" s="49"/>
      <c r="BG6" s="47"/>
      <c r="BH6" s="50"/>
      <c r="BI6" s="46"/>
      <c r="BJ6" s="45"/>
      <c r="BK6" s="45"/>
      <c r="BL6" s="49"/>
      <c r="BM6" s="47"/>
      <c r="BN6" s="50"/>
      <c r="BO6" s="46"/>
      <c r="BP6" s="45"/>
      <c r="BQ6" s="45"/>
      <c r="BR6" s="49"/>
      <c r="BS6" s="47"/>
      <c r="BT6" s="50"/>
      <c r="BU6" s="46"/>
      <c r="BV6" s="45"/>
      <c r="BW6" s="45"/>
      <c r="BX6" s="49"/>
      <c r="BY6" s="47"/>
      <c r="BZ6" s="50"/>
      <c r="CA6" s="46"/>
      <c r="CB6" s="45"/>
      <c r="CC6" s="45"/>
      <c r="CD6" s="49"/>
      <c r="CE6" s="47"/>
      <c r="CF6" s="50"/>
      <c r="CG6" s="46"/>
      <c r="CH6" s="45"/>
      <c r="CI6" s="45"/>
      <c r="CJ6" s="46"/>
      <c r="CK6" s="47"/>
      <c r="CL6" s="48"/>
      <c r="CM6" s="52"/>
      <c r="CN6" s="53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</row>
    <row r="7" ht="18.75" customHeight="1">
      <c r="A7" s="38">
        <v>2.0</v>
      </c>
      <c r="B7" s="54"/>
      <c r="C7" s="40"/>
      <c r="D7" s="55"/>
      <c r="E7" s="42"/>
      <c r="F7" s="43"/>
      <c r="G7" s="44"/>
      <c r="H7" s="45"/>
      <c r="I7" s="45"/>
      <c r="J7" s="46"/>
      <c r="K7" s="47"/>
      <c r="L7" s="50"/>
      <c r="M7" s="44"/>
      <c r="N7" s="45"/>
      <c r="O7" s="45"/>
      <c r="P7" s="49"/>
      <c r="Q7" s="47"/>
      <c r="R7" s="50"/>
      <c r="S7" s="46"/>
      <c r="T7" s="45"/>
      <c r="U7" s="45"/>
      <c r="V7" s="46"/>
      <c r="W7" s="47"/>
      <c r="X7" s="50"/>
      <c r="Y7" s="46"/>
      <c r="Z7" s="45"/>
      <c r="AA7" s="45"/>
      <c r="AB7" s="46"/>
      <c r="AC7" s="47"/>
      <c r="AD7" s="50"/>
      <c r="AE7" s="46"/>
      <c r="AF7" s="45"/>
      <c r="AG7" s="45"/>
      <c r="AH7" s="49"/>
      <c r="AI7" s="47"/>
      <c r="AJ7" s="50"/>
      <c r="AK7" s="46"/>
      <c r="AL7" s="45"/>
      <c r="AM7" s="45"/>
      <c r="AN7" s="49"/>
      <c r="AO7" s="47"/>
      <c r="AP7" s="50"/>
      <c r="AQ7" s="46"/>
      <c r="AR7" s="56"/>
      <c r="AS7" s="45"/>
      <c r="AT7" s="49"/>
      <c r="AU7" s="47"/>
      <c r="AV7" s="50"/>
      <c r="AW7" s="46"/>
      <c r="AX7" s="45"/>
      <c r="AY7" s="45"/>
      <c r="AZ7" s="46"/>
      <c r="BA7" s="47"/>
      <c r="BB7" s="50"/>
      <c r="BC7" s="46"/>
      <c r="BD7" s="56"/>
      <c r="BE7" s="45"/>
      <c r="BF7" s="49"/>
      <c r="BG7" s="47"/>
      <c r="BH7" s="50"/>
      <c r="BI7" s="46"/>
      <c r="BJ7" s="45"/>
      <c r="BK7" s="45"/>
      <c r="BL7" s="49"/>
      <c r="BM7" s="47"/>
      <c r="BN7" s="50"/>
      <c r="BO7" s="46"/>
      <c r="BP7" s="45"/>
      <c r="BQ7" s="45"/>
      <c r="BR7" s="49"/>
      <c r="BS7" s="47"/>
      <c r="BT7" s="50"/>
      <c r="BU7" s="46"/>
      <c r="BV7" s="45"/>
      <c r="BW7" s="45"/>
      <c r="BX7" s="46"/>
      <c r="BY7" s="51"/>
      <c r="BZ7" s="50"/>
      <c r="CA7" s="57"/>
      <c r="CB7" s="45"/>
      <c r="CC7" s="45"/>
      <c r="CD7" s="49"/>
      <c r="CE7" s="47"/>
      <c r="CF7" s="50"/>
      <c r="CG7" s="46"/>
      <c r="CH7" s="56"/>
      <c r="CI7" s="45"/>
      <c r="CJ7" s="49"/>
      <c r="CK7" s="47"/>
      <c r="CL7" s="50"/>
      <c r="CM7" s="58"/>
      <c r="CN7" s="59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</row>
    <row r="8" ht="18.75" customHeight="1">
      <c r="A8" s="38">
        <v>3.0</v>
      </c>
      <c r="B8" s="54"/>
      <c r="C8" s="40"/>
      <c r="D8" s="55"/>
      <c r="E8" s="42"/>
      <c r="F8" s="43"/>
      <c r="G8" s="44"/>
      <c r="H8" s="45"/>
      <c r="I8" s="45"/>
      <c r="J8" s="46"/>
      <c r="K8" s="51"/>
      <c r="L8" s="48"/>
      <c r="M8" s="44"/>
      <c r="N8" s="45"/>
      <c r="O8" s="45"/>
      <c r="P8" s="49"/>
      <c r="Q8" s="47"/>
      <c r="R8" s="50"/>
      <c r="S8" s="46"/>
      <c r="T8" s="45"/>
      <c r="U8" s="45"/>
      <c r="V8" s="46"/>
      <c r="W8" s="47"/>
      <c r="X8" s="50"/>
      <c r="Y8" s="46"/>
      <c r="Z8" s="45"/>
      <c r="AA8" s="45"/>
      <c r="AB8" s="46"/>
      <c r="AC8" s="47"/>
      <c r="AD8" s="50"/>
      <c r="AE8" s="46"/>
      <c r="AF8" s="45"/>
      <c r="AG8" s="45"/>
      <c r="AH8" s="46"/>
      <c r="AI8" s="51"/>
      <c r="AJ8" s="48"/>
      <c r="AK8" s="46"/>
      <c r="AL8" s="45"/>
      <c r="AM8" s="45"/>
      <c r="AN8" s="49"/>
      <c r="AO8" s="47"/>
      <c r="AP8" s="50"/>
      <c r="AQ8" s="46"/>
      <c r="AR8" s="45"/>
      <c r="AS8" s="45"/>
      <c r="AT8" s="46"/>
      <c r="AU8" s="47"/>
      <c r="AV8" s="48"/>
      <c r="AW8" s="46"/>
      <c r="AX8" s="56"/>
      <c r="AY8" s="45"/>
      <c r="AZ8" s="46"/>
      <c r="BA8" s="47"/>
      <c r="BB8" s="50"/>
      <c r="BC8" s="46"/>
      <c r="BD8" s="45"/>
      <c r="BE8" s="45"/>
      <c r="BF8" s="49"/>
      <c r="BG8" s="47"/>
      <c r="BH8" s="50"/>
      <c r="BI8" s="46"/>
      <c r="BJ8" s="45"/>
      <c r="BK8" s="45"/>
      <c r="BL8" s="46"/>
      <c r="BM8" s="51"/>
      <c r="BN8" s="48"/>
      <c r="BO8" s="46"/>
      <c r="BP8" s="45"/>
      <c r="BQ8" s="45"/>
      <c r="BR8" s="49"/>
      <c r="BS8" s="47"/>
      <c r="BT8" s="50"/>
      <c r="BU8" s="46"/>
      <c r="BV8" s="45"/>
      <c r="BW8" s="45"/>
      <c r="BX8" s="46"/>
      <c r="BY8" s="47"/>
      <c r="BZ8" s="48"/>
      <c r="CA8" s="46"/>
      <c r="CB8" s="56"/>
      <c r="CC8" s="45"/>
      <c r="CD8" s="46"/>
      <c r="CE8" s="51"/>
      <c r="CF8" s="50"/>
      <c r="CG8" s="46"/>
      <c r="CH8" s="45"/>
      <c r="CI8" s="45"/>
      <c r="CJ8" s="46"/>
      <c r="CK8" s="47"/>
      <c r="CL8" s="48"/>
      <c r="CM8" s="58"/>
      <c r="CN8" s="53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</row>
    <row r="9" ht="18.75" customHeight="1">
      <c r="A9" s="38">
        <v>4.0</v>
      </c>
      <c r="B9" s="54"/>
      <c r="C9" s="40"/>
      <c r="D9" s="55"/>
      <c r="E9" s="42"/>
      <c r="F9" s="43"/>
      <c r="G9" s="44"/>
      <c r="H9" s="45"/>
      <c r="I9" s="45"/>
      <c r="J9" s="49"/>
      <c r="K9" s="47"/>
      <c r="L9" s="50"/>
      <c r="M9" s="44"/>
      <c r="N9" s="45"/>
      <c r="O9" s="45"/>
      <c r="P9" s="49"/>
      <c r="Q9" s="47"/>
      <c r="R9" s="50"/>
      <c r="S9" s="46"/>
      <c r="T9" s="56"/>
      <c r="U9" s="45"/>
      <c r="V9" s="49"/>
      <c r="W9" s="47"/>
      <c r="X9" s="50"/>
      <c r="Y9" s="46"/>
      <c r="Z9" s="45"/>
      <c r="AA9" s="45"/>
      <c r="AB9" s="46"/>
      <c r="AC9" s="47"/>
      <c r="AD9" s="50"/>
      <c r="AE9" s="46"/>
      <c r="AF9" s="45"/>
      <c r="AG9" s="45"/>
      <c r="AH9" s="49"/>
      <c r="AI9" s="47"/>
      <c r="AJ9" s="50"/>
      <c r="AK9" s="46"/>
      <c r="AL9" s="45"/>
      <c r="AM9" s="45"/>
      <c r="AN9" s="46"/>
      <c r="AO9" s="47"/>
      <c r="AP9" s="48"/>
      <c r="AQ9" s="46"/>
      <c r="AR9" s="45"/>
      <c r="AS9" s="45"/>
      <c r="AT9" s="49"/>
      <c r="AU9" s="47"/>
      <c r="AV9" s="50"/>
      <c r="AW9" s="46"/>
      <c r="AX9" s="45"/>
      <c r="AY9" s="45"/>
      <c r="AZ9" s="49"/>
      <c r="BA9" s="47"/>
      <c r="BB9" s="50"/>
      <c r="BC9" s="46"/>
      <c r="BD9" s="45"/>
      <c r="BE9" s="45"/>
      <c r="BF9" s="49"/>
      <c r="BG9" s="47"/>
      <c r="BH9" s="50"/>
      <c r="BI9" s="46"/>
      <c r="BJ9" s="45"/>
      <c r="BK9" s="45"/>
      <c r="BL9" s="49"/>
      <c r="BM9" s="47"/>
      <c r="BN9" s="50"/>
      <c r="BO9" s="46"/>
      <c r="BP9" s="56"/>
      <c r="BQ9" s="45"/>
      <c r="BR9" s="46"/>
      <c r="BS9" s="47"/>
      <c r="BT9" s="48"/>
      <c r="BU9" s="46"/>
      <c r="BV9" s="45"/>
      <c r="BW9" s="45"/>
      <c r="BX9" s="49"/>
      <c r="BY9" s="47"/>
      <c r="BZ9" s="50"/>
      <c r="CA9" s="57"/>
      <c r="CB9" s="56"/>
      <c r="CC9" s="45"/>
      <c r="CD9" s="46"/>
      <c r="CE9" s="47"/>
      <c r="CF9" s="48"/>
      <c r="CG9" s="46"/>
      <c r="CH9" s="45"/>
      <c r="CI9" s="45"/>
      <c r="CJ9" s="49"/>
      <c r="CK9" s="47"/>
      <c r="CL9" s="50"/>
      <c r="CM9" s="58"/>
      <c r="CN9" s="53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</row>
    <row r="10" ht="18.75" customHeight="1">
      <c r="A10" s="38">
        <v>5.0</v>
      </c>
      <c r="B10" s="54"/>
      <c r="C10" s="40"/>
      <c r="D10" s="55"/>
      <c r="E10" s="42"/>
      <c r="F10" s="43"/>
      <c r="G10" s="44"/>
      <c r="H10" s="45"/>
      <c r="I10" s="45"/>
      <c r="J10" s="46"/>
      <c r="K10" s="47"/>
      <c r="L10" s="60"/>
      <c r="M10" s="44"/>
      <c r="N10" s="45"/>
      <c r="O10" s="45"/>
      <c r="P10" s="49"/>
      <c r="Q10" s="47"/>
      <c r="R10" s="50"/>
      <c r="S10" s="46"/>
      <c r="T10" s="45"/>
      <c r="U10" s="45"/>
      <c r="V10" s="49"/>
      <c r="W10" s="47"/>
      <c r="X10" s="50"/>
      <c r="Y10" s="46"/>
      <c r="Z10" s="45"/>
      <c r="AA10" s="45"/>
      <c r="AB10" s="46"/>
      <c r="AC10" s="47"/>
      <c r="AD10" s="50"/>
      <c r="AE10" s="46"/>
      <c r="AF10" s="56"/>
      <c r="AG10" s="45"/>
      <c r="AH10" s="49"/>
      <c r="AI10" s="47"/>
      <c r="AJ10" s="50"/>
      <c r="AK10" s="46"/>
      <c r="AL10" s="45"/>
      <c r="AM10" s="45"/>
      <c r="AN10" s="46"/>
      <c r="AO10" s="47"/>
      <c r="AP10" s="50"/>
      <c r="AQ10" s="46"/>
      <c r="AR10" s="45"/>
      <c r="AS10" s="45"/>
      <c r="AT10" s="49"/>
      <c r="AU10" s="47"/>
      <c r="AV10" s="50"/>
      <c r="AW10" s="46"/>
      <c r="AX10" s="56"/>
      <c r="AY10" s="45"/>
      <c r="AZ10" s="49"/>
      <c r="BA10" s="47"/>
      <c r="BB10" s="50"/>
      <c r="BC10" s="46"/>
      <c r="BD10" s="45"/>
      <c r="BE10" s="45"/>
      <c r="BF10" s="49"/>
      <c r="BG10" s="47"/>
      <c r="BH10" s="50"/>
      <c r="BI10" s="46"/>
      <c r="BJ10" s="56"/>
      <c r="BK10" s="45"/>
      <c r="BL10" s="46"/>
      <c r="BM10" s="47"/>
      <c r="BN10" s="50"/>
      <c r="BO10" s="46"/>
      <c r="BP10" s="56"/>
      <c r="BQ10" s="45"/>
      <c r="BR10" s="49"/>
      <c r="BS10" s="47"/>
      <c r="BT10" s="50"/>
      <c r="BU10" s="46"/>
      <c r="BV10" s="45"/>
      <c r="BW10" s="45"/>
      <c r="BX10" s="49"/>
      <c r="BY10" s="47"/>
      <c r="BZ10" s="50"/>
      <c r="CA10" s="57"/>
      <c r="CB10" s="56"/>
      <c r="CC10" s="45"/>
      <c r="CD10" s="49"/>
      <c r="CE10" s="47"/>
      <c r="CF10" s="50"/>
      <c r="CG10" s="46"/>
      <c r="CH10" s="45"/>
      <c r="CI10" s="45"/>
      <c r="CJ10" s="46"/>
      <c r="CK10" s="51"/>
      <c r="CL10" s="50"/>
      <c r="CM10" s="43"/>
      <c r="CN10" s="53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</row>
    <row r="11" ht="18.75" customHeight="1">
      <c r="A11" s="38">
        <v>6.0</v>
      </c>
      <c r="B11" s="39"/>
      <c r="C11" s="40"/>
      <c r="D11" s="55"/>
      <c r="E11" s="42"/>
      <c r="F11" s="43"/>
      <c r="G11" s="44"/>
      <c r="H11" s="45"/>
      <c r="I11" s="45"/>
      <c r="J11" s="49"/>
      <c r="K11" s="47"/>
      <c r="L11" s="50"/>
      <c r="M11" s="44"/>
      <c r="N11" s="45"/>
      <c r="O11" s="45"/>
      <c r="P11" s="49"/>
      <c r="Q11" s="47"/>
      <c r="R11" s="60"/>
      <c r="S11" s="46"/>
      <c r="T11" s="45"/>
      <c r="U11" s="45"/>
      <c r="V11" s="46"/>
      <c r="W11" s="47"/>
      <c r="X11" s="50"/>
      <c r="Y11" s="46"/>
      <c r="Z11" s="45"/>
      <c r="AA11" s="45"/>
      <c r="AB11" s="49"/>
      <c r="AC11" s="47"/>
      <c r="AD11" s="50"/>
      <c r="AE11" s="46"/>
      <c r="AF11" s="45"/>
      <c r="AG11" s="45"/>
      <c r="AH11" s="49"/>
      <c r="AI11" s="47"/>
      <c r="AJ11" s="50"/>
      <c r="AK11" s="46"/>
      <c r="AL11" s="45"/>
      <c r="AM11" s="45"/>
      <c r="AN11" s="49"/>
      <c r="AO11" s="47"/>
      <c r="AP11" s="50"/>
      <c r="AQ11" s="46"/>
      <c r="AR11" s="45"/>
      <c r="AS11" s="45"/>
      <c r="AT11" s="46"/>
      <c r="AU11" s="47"/>
      <c r="AV11" s="48"/>
      <c r="AW11" s="46"/>
      <c r="AX11" s="45"/>
      <c r="AY11" s="45"/>
      <c r="AZ11" s="46"/>
      <c r="BA11" s="47"/>
      <c r="BB11" s="50"/>
      <c r="BC11" s="46"/>
      <c r="BD11" s="45"/>
      <c r="BE11" s="45"/>
      <c r="BF11" s="46"/>
      <c r="BG11" s="51"/>
      <c r="BH11" s="50"/>
      <c r="BI11" s="46"/>
      <c r="BJ11" s="45"/>
      <c r="BK11" s="45"/>
      <c r="BL11" s="46"/>
      <c r="BM11" s="51"/>
      <c r="BN11" s="50"/>
      <c r="BO11" s="46"/>
      <c r="BP11" s="45"/>
      <c r="BQ11" s="45"/>
      <c r="BR11" s="46"/>
      <c r="BS11" s="47"/>
      <c r="BT11" s="48"/>
      <c r="BU11" s="46"/>
      <c r="BV11" s="45"/>
      <c r="BW11" s="45"/>
      <c r="BX11" s="46"/>
      <c r="BY11" s="47"/>
      <c r="BZ11" s="50"/>
      <c r="CA11" s="46"/>
      <c r="CB11" s="45"/>
      <c r="CC11" s="45"/>
      <c r="CD11" s="46"/>
      <c r="CE11" s="47"/>
      <c r="CF11" s="50"/>
      <c r="CG11" s="46"/>
      <c r="CH11" s="45"/>
      <c r="CI11" s="45"/>
      <c r="CJ11" s="46"/>
      <c r="CK11" s="47"/>
      <c r="CL11" s="50"/>
      <c r="CM11" s="43"/>
      <c r="CN11" s="53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</row>
    <row r="12" ht="18.75" customHeight="1">
      <c r="A12" s="38">
        <v>7.0</v>
      </c>
      <c r="B12" s="54"/>
      <c r="C12" s="40"/>
      <c r="D12" s="55"/>
      <c r="E12" s="42"/>
      <c r="F12" s="43"/>
      <c r="G12" s="44"/>
      <c r="H12" s="45"/>
      <c r="I12" s="45"/>
      <c r="J12" s="49"/>
      <c r="K12" s="47"/>
      <c r="L12" s="50"/>
      <c r="M12" s="44"/>
      <c r="N12" s="45"/>
      <c r="O12" s="45"/>
      <c r="P12" s="49"/>
      <c r="Q12" s="47"/>
      <c r="R12" s="50"/>
      <c r="S12" s="46"/>
      <c r="T12" s="45"/>
      <c r="U12" s="45"/>
      <c r="V12" s="46"/>
      <c r="W12" s="51"/>
      <c r="X12" s="61"/>
      <c r="Y12" s="46"/>
      <c r="Z12" s="45"/>
      <c r="AA12" s="45"/>
      <c r="AB12" s="49"/>
      <c r="AC12" s="47"/>
      <c r="AD12" s="50"/>
      <c r="AE12" s="46"/>
      <c r="AF12" s="45"/>
      <c r="AG12" s="45"/>
      <c r="AH12" s="49"/>
      <c r="AI12" s="47"/>
      <c r="AJ12" s="50"/>
      <c r="AK12" s="46"/>
      <c r="AL12" s="56"/>
      <c r="AM12" s="45"/>
      <c r="AN12" s="49"/>
      <c r="AO12" s="47"/>
      <c r="AP12" s="50"/>
      <c r="AQ12" s="46"/>
      <c r="AR12" s="45"/>
      <c r="AS12" s="45"/>
      <c r="AT12" s="49"/>
      <c r="AU12" s="47"/>
      <c r="AV12" s="50"/>
      <c r="AW12" s="46"/>
      <c r="AX12" s="45"/>
      <c r="AY12" s="45"/>
      <c r="AZ12" s="46"/>
      <c r="BA12" s="51"/>
      <c r="BB12" s="61"/>
      <c r="BC12" s="46"/>
      <c r="BD12" s="45"/>
      <c r="BE12" s="45"/>
      <c r="BF12" s="49"/>
      <c r="BG12" s="47"/>
      <c r="BH12" s="50"/>
      <c r="BI12" s="46"/>
      <c r="BJ12" s="45"/>
      <c r="BK12" s="45"/>
      <c r="BL12" s="46"/>
      <c r="BM12" s="47"/>
      <c r="BN12" s="50"/>
      <c r="BO12" s="46"/>
      <c r="BP12" s="45"/>
      <c r="BQ12" s="45"/>
      <c r="BR12" s="49"/>
      <c r="BS12" s="47"/>
      <c r="BT12" s="50"/>
      <c r="BU12" s="46"/>
      <c r="BV12" s="45"/>
      <c r="BW12" s="45"/>
      <c r="BX12" s="49"/>
      <c r="BY12" s="47"/>
      <c r="BZ12" s="50"/>
      <c r="CA12" s="57"/>
      <c r="CB12" s="56"/>
      <c r="CC12" s="45"/>
      <c r="CD12" s="49"/>
      <c r="CE12" s="47"/>
      <c r="CF12" s="50"/>
      <c r="CG12" s="46"/>
      <c r="CH12" s="45"/>
      <c r="CI12" s="45"/>
      <c r="CJ12" s="49"/>
      <c r="CK12" s="47"/>
      <c r="CL12" s="50"/>
      <c r="CM12" s="43"/>
      <c r="CN12" s="53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</row>
    <row r="13" ht="18.75" customHeight="1">
      <c r="A13" s="38">
        <v>8.0</v>
      </c>
      <c r="B13" s="54"/>
      <c r="C13" s="40"/>
      <c r="D13" s="55"/>
      <c r="E13" s="42"/>
      <c r="F13" s="43"/>
      <c r="G13" s="44"/>
      <c r="H13" s="45"/>
      <c r="I13" s="45"/>
      <c r="J13" s="46"/>
      <c r="K13" s="47"/>
      <c r="L13" s="50"/>
      <c r="M13" s="44"/>
      <c r="N13" s="45"/>
      <c r="O13" s="45"/>
      <c r="P13" s="49"/>
      <c r="Q13" s="47"/>
      <c r="R13" s="50"/>
      <c r="S13" s="46"/>
      <c r="T13" s="45"/>
      <c r="U13" s="45"/>
      <c r="V13" s="49"/>
      <c r="W13" s="47"/>
      <c r="X13" s="50"/>
      <c r="Y13" s="46"/>
      <c r="Z13" s="56"/>
      <c r="AA13" s="45"/>
      <c r="AB13" s="49"/>
      <c r="AC13" s="56"/>
      <c r="AD13" s="60"/>
      <c r="AE13" s="46"/>
      <c r="AF13" s="45"/>
      <c r="AG13" s="45"/>
      <c r="AH13" s="49"/>
      <c r="AI13" s="47"/>
      <c r="AJ13" s="60"/>
      <c r="AK13" s="46"/>
      <c r="AL13" s="45"/>
      <c r="AM13" s="45"/>
      <c r="AN13" s="49"/>
      <c r="AO13" s="56"/>
      <c r="AP13" s="60"/>
      <c r="AQ13" s="46"/>
      <c r="AR13" s="45"/>
      <c r="AS13" s="45"/>
      <c r="AT13" s="49"/>
      <c r="AU13" s="47"/>
      <c r="AV13" s="60"/>
      <c r="AW13" s="46"/>
      <c r="AX13" s="45"/>
      <c r="AY13" s="45"/>
      <c r="AZ13" s="46"/>
      <c r="BA13" s="47"/>
      <c r="BB13" s="50"/>
      <c r="BC13" s="46"/>
      <c r="BD13" s="56"/>
      <c r="BE13" s="45"/>
      <c r="BF13" s="49"/>
      <c r="BG13" s="56"/>
      <c r="BH13" s="60"/>
      <c r="BI13" s="46"/>
      <c r="BJ13" s="45"/>
      <c r="BK13" s="45"/>
      <c r="BL13" s="49"/>
      <c r="BM13" s="47"/>
      <c r="BN13" s="60"/>
      <c r="BO13" s="46"/>
      <c r="BP13" s="45"/>
      <c r="BQ13" s="45"/>
      <c r="BR13" s="49"/>
      <c r="BS13" s="56"/>
      <c r="BT13" s="60"/>
      <c r="BU13" s="46"/>
      <c r="BV13" s="45"/>
      <c r="BW13" s="45"/>
      <c r="BX13" s="49"/>
      <c r="BY13" s="47"/>
      <c r="BZ13" s="60"/>
      <c r="CA13" s="46"/>
      <c r="CB13" s="45"/>
      <c r="CC13" s="45"/>
      <c r="CD13" s="49"/>
      <c r="CE13" s="56"/>
      <c r="CF13" s="60"/>
      <c r="CG13" s="46"/>
      <c r="CH13" s="45"/>
      <c r="CI13" s="45"/>
      <c r="CJ13" s="49"/>
      <c r="CK13" s="47"/>
      <c r="CL13" s="60"/>
      <c r="CM13" s="43"/>
      <c r="CN13" s="53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</row>
    <row r="14" ht="18.75" customHeight="1">
      <c r="A14" s="38">
        <v>9.0</v>
      </c>
      <c r="B14" s="54"/>
      <c r="C14" s="40"/>
      <c r="D14" s="55"/>
      <c r="E14" s="42"/>
      <c r="F14" s="43"/>
      <c r="G14" s="44"/>
      <c r="H14" s="45"/>
      <c r="I14" s="45"/>
      <c r="J14" s="49"/>
      <c r="K14" s="47"/>
      <c r="L14" s="50"/>
      <c r="M14" s="44"/>
      <c r="N14" s="45"/>
      <c r="O14" s="45"/>
      <c r="P14" s="46"/>
      <c r="Q14" s="47"/>
      <c r="R14" s="48"/>
      <c r="S14" s="46"/>
      <c r="T14" s="45"/>
      <c r="U14" s="45"/>
      <c r="V14" s="49"/>
      <c r="W14" s="47"/>
      <c r="X14" s="50"/>
      <c r="Y14" s="46"/>
      <c r="Z14" s="45"/>
      <c r="AA14" s="45"/>
      <c r="AB14" s="49"/>
      <c r="AC14" s="47"/>
      <c r="AD14" s="50"/>
      <c r="AE14" s="46"/>
      <c r="AF14" s="45"/>
      <c r="AG14" s="45"/>
      <c r="AH14" s="49"/>
      <c r="AI14" s="47"/>
      <c r="AJ14" s="50"/>
      <c r="AK14" s="46"/>
      <c r="AL14" s="45"/>
      <c r="AM14" s="45"/>
      <c r="AN14" s="49"/>
      <c r="AO14" s="47"/>
      <c r="AP14" s="50"/>
      <c r="AQ14" s="46"/>
      <c r="AR14" s="45"/>
      <c r="AS14" s="45"/>
      <c r="AT14" s="49"/>
      <c r="AU14" s="47"/>
      <c r="AV14" s="50"/>
      <c r="AW14" s="46"/>
      <c r="AX14" s="45"/>
      <c r="AY14" s="45"/>
      <c r="AZ14" s="49"/>
      <c r="BA14" s="47"/>
      <c r="BB14" s="50"/>
      <c r="BC14" s="46"/>
      <c r="BD14" s="45"/>
      <c r="BE14" s="45"/>
      <c r="BF14" s="49"/>
      <c r="BG14" s="47"/>
      <c r="BH14" s="50"/>
      <c r="BI14" s="46"/>
      <c r="BJ14" s="45"/>
      <c r="BK14" s="45"/>
      <c r="BL14" s="49"/>
      <c r="BM14" s="47"/>
      <c r="BN14" s="50"/>
      <c r="BO14" s="46"/>
      <c r="BP14" s="45"/>
      <c r="BQ14" s="45"/>
      <c r="BR14" s="49"/>
      <c r="BS14" s="47"/>
      <c r="BT14" s="50"/>
      <c r="BU14" s="46"/>
      <c r="BV14" s="45"/>
      <c r="BW14" s="45"/>
      <c r="BX14" s="49"/>
      <c r="BY14" s="47"/>
      <c r="BZ14" s="50"/>
      <c r="CA14" s="57"/>
      <c r="CB14" s="45"/>
      <c r="CC14" s="45"/>
      <c r="CD14" s="49"/>
      <c r="CE14" s="47"/>
      <c r="CF14" s="50"/>
      <c r="CG14" s="46"/>
      <c r="CH14" s="45"/>
      <c r="CI14" s="45"/>
      <c r="CJ14" s="49"/>
      <c r="CK14" s="47"/>
      <c r="CL14" s="50"/>
      <c r="CM14" s="43"/>
      <c r="CN14" s="53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</row>
    <row r="15" ht="18.75" customHeight="1">
      <c r="A15" s="62">
        <v>10.0</v>
      </c>
      <c r="B15" s="54"/>
      <c r="C15" s="63"/>
      <c r="D15" s="64"/>
      <c r="E15" s="65"/>
      <c r="F15" s="66"/>
      <c r="G15" s="67"/>
      <c r="H15" s="68"/>
      <c r="I15" s="68"/>
      <c r="J15" s="69"/>
      <c r="K15" s="70"/>
      <c r="L15" s="71"/>
      <c r="M15" s="67"/>
      <c r="N15" s="72"/>
      <c r="O15" s="68"/>
      <c r="P15" s="69"/>
      <c r="Q15" s="73"/>
      <c r="R15" s="71"/>
      <c r="S15" s="57"/>
      <c r="T15" s="68"/>
      <c r="U15" s="68"/>
      <c r="V15" s="69"/>
      <c r="W15" s="73"/>
      <c r="X15" s="71"/>
      <c r="Y15" s="57"/>
      <c r="Z15" s="68"/>
      <c r="AA15" s="68"/>
      <c r="AB15" s="69"/>
      <c r="AC15" s="73"/>
      <c r="AD15" s="71"/>
      <c r="AE15" s="57"/>
      <c r="AF15" s="72"/>
      <c r="AG15" s="68"/>
      <c r="AH15" s="57"/>
      <c r="AI15" s="73"/>
      <c r="AJ15" s="71"/>
      <c r="AK15" s="57"/>
      <c r="AL15" s="72"/>
      <c r="AM15" s="68"/>
      <c r="AN15" s="69"/>
      <c r="AO15" s="73"/>
      <c r="AP15" s="71"/>
      <c r="AQ15" s="57"/>
      <c r="AR15" s="68"/>
      <c r="AS15" s="68"/>
      <c r="AT15" s="69"/>
      <c r="AU15" s="73"/>
      <c r="AV15" s="71"/>
      <c r="AW15" s="57"/>
      <c r="AX15" s="68"/>
      <c r="AY15" s="68"/>
      <c r="AZ15" s="69"/>
      <c r="BA15" s="73"/>
      <c r="BB15" s="71"/>
      <c r="BC15" s="57"/>
      <c r="BD15" s="68"/>
      <c r="BE15" s="68"/>
      <c r="BF15" s="57"/>
      <c r="BG15" s="73"/>
      <c r="BH15" s="71"/>
      <c r="BI15" s="57"/>
      <c r="BJ15" s="72"/>
      <c r="BK15" s="68"/>
      <c r="BL15" s="69"/>
      <c r="BM15" s="73"/>
      <c r="BN15" s="71"/>
      <c r="BO15" s="57"/>
      <c r="BP15" s="72"/>
      <c r="BQ15" s="68"/>
      <c r="BR15" s="69"/>
      <c r="BS15" s="73"/>
      <c r="BT15" s="71"/>
      <c r="BU15" s="57"/>
      <c r="BV15" s="68"/>
      <c r="BW15" s="68"/>
      <c r="BX15" s="69"/>
      <c r="BY15" s="73"/>
      <c r="BZ15" s="71"/>
      <c r="CA15" s="57"/>
      <c r="CB15" s="72"/>
      <c r="CC15" s="68"/>
      <c r="CD15" s="69"/>
      <c r="CE15" s="73"/>
      <c r="CF15" s="71"/>
      <c r="CG15" s="57"/>
      <c r="CH15" s="68"/>
      <c r="CI15" s="68"/>
      <c r="CJ15" s="69"/>
      <c r="CK15" s="73"/>
      <c r="CL15" s="71"/>
      <c r="CM15" s="66"/>
      <c r="CN15" s="53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</row>
    <row r="16">
      <c r="A16" s="74" t="s">
        <v>27</v>
      </c>
      <c r="B16" s="75"/>
      <c r="C16" s="2"/>
      <c r="D16" s="2"/>
      <c r="E16" s="2"/>
      <c r="F16" s="4"/>
      <c r="G16" s="76"/>
      <c r="L16" s="77"/>
      <c r="M16" s="78"/>
      <c r="R16" s="77"/>
      <c r="S16" s="78"/>
      <c r="X16" s="77"/>
      <c r="Y16" s="78"/>
      <c r="AD16" s="77"/>
      <c r="AE16" s="78"/>
      <c r="AJ16" s="77"/>
      <c r="AK16" s="78"/>
      <c r="AP16" s="77"/>
      <c r="AQ16" s="78"/>
      <c r="AV16" s="77"/>
      <c r="AW16" s="78"/>
      <c r="BB16" s="77"/>
      <c r="BC16" s="78"/>
      <c r="BH16" s="77"/>
      <c r="BI16" s="78"/>
      <c r="BN16" s="77"/>
      <c r="BO16" s="78"/>
      <c r="BT16" s="77"/>
      <c r="BU16" s="78"/>
      <c r="BZ16" s="77"/>
      <c r="CA16" s="78"/>
      <c r="CF16" s="77"/>
      <c r="CG16" s="78"/>
      <c r="CL16" s="77"/>
      <c r="CM16" s="9"/>
      <c r="CN16" s="79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/>
      <c r="DA16" s="80"/>
      <c r="DB16" s="80"/>
      <c r="DC16" s="80"/>
      <c r="DD16" s="80"/>
      <c r="DE16" s="80"/>
      <c r="DF16" s="80"/>
      <c r="DG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31"/>
      <c r="BD17" s="31"/>
      <c r="BE17" s="31"/>
      <c r="BF17" s="31"/>
      <c r="BG17" s="31"/>
      <c r="BH17" s="29"/>
      <c r="BI17" s="31"/>
      <c r="BJ17" s="31"/>
      <c r="BK17" s="31"/>
      <c r="BL17" s="31"/>
      <c r="BM17" s="31"/>
      <c r="BN17" s="29"/>
      <c r="BO17" s="31"/>
      <c r="BP17" s="31"/>
      <c r="BQ17" s="31"/>
      <c r="BR17" s="31"/>
      <c r="BS17" s="31"/>
      <c r="BT17" s="29"/>
      <c r="BU17" s="31"/>
      <c r="BV17" s="31"/>
      <c r="BW17" s="31"/>
      <c r="BX17" s="31"/>
      <c r="BY17" s="31"/>
      <c r="BZ17" s="29"/>
      <c r="CA17" s="31"/>
      <c r="CB17" s="31"/>
      <c r="CC17" s="31"/>
      <c r="CD17" s="31"/>
      <c r="CE17" s="31"/>
      <c r="CF17" s="29"/>
      <c r="CG17" s="31"/>
      <c r="CH17" s="31"/>
      <c r="CI17" s="31"/>
      <c r="CJ17" s="31"/>
      <c r="CK17" s="31"/>
      <c r="CL17" s="29"/>
      <c r="CM17" s="9"/>
      <c r="CN17" s="79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88"/>
      <c r="N18" s="86"/>
      <c r="O18" s="86"/>
      <c r="P18" s="86"/>
      <c r="Q18" s="86"/>
      <c r="R18" s="87"/>
      <c r="S18" s="88"/>
      <c r="T18" s="86"/>
      <c r="U18" s="86"/>
      <c r="V18" s="86"/>
      <c r="W18" s="86"/>
      <c r="X18" s="87"/>
      <c r="Y18" s="88"/>
      <c r="Z18" s="86"/>
      <c r="AA18" s="86"/>
      <c r="AB18" s="86"/>
      <c r="AC18" s="86"/>
      <c r="AD18" s="87"/>
      <c r="AE18" s="88"/>
      <c r="AF18" s="86"/>
      <c r="AG18" s="86"/>
      <c r="AH18" s="86"/>
      <c r="AI18" s="86"/>
      <c r="AJ18" s="87"/>
      <c r="AK18" s="88"/>
      <c r="AL18" s="86"/>
      <c r="AM18" s="86"/>
      <c r="AN18" s="86"/>
      <c r="AO18" s="86"/>
      <c r="AP18" s="87"/>
      <c r="AQ18" s="88"/>
      <c r="AR18" s="86"/>
      <c r="AS18" s="86"/>
      <c r="AT18" s="86"/>
      <c r="AU18" s="86"/>
      <c r="AV18" s="87"/>
      <c r="AW18" s="88"/>
      <c r="AX18" s="86"/>
      <c r="AY18" s="86"/>
      <c r="AZ18" s="86"/>
      <c r="BA18" s="86"/>
      <c r="BB18" s="87"/>
      <c r="BC18" s="88"/>
      <c r="BD18" s="86"/>
      <c r="BE18" s="86"/>
      <c r="BF18" s="86"/>
      <c r="BG18" s="86"/>
      <c r="BH18" s="87"/>
      <c r="BI18" s="88"/>
      <c r="BJ18" s="86"/>
      <c r="BK18" s="86"/>
      <c r="BL18" s="86"/>
      <c r="BM18" s="86"/>
      <c r="BN18" s="87"/>
      <c r="BO18" s="88"/>
      <c r="BP18" s="86"/>
      <c r="BQ18" s="86"/>
      <c r="BR18" s="86"/>
      <c r="BS18" s="86"/>
      <c r="BT18" s="87"/>
      <c r="BU18" s="88"/>
      <c r="BV18" s="86"/>
      <c r="BW18" s="86"/>
      <c r="BX18" s="86"/>
      <c r="BY18" s="86"/>
      <c r="BZ18" s="87"/>
      <c r="CA18" s="88"/>
      <c r="CB18" s="86"/>
      <c r="CC18" s="86"/>
      <c r="CD18" s="86"/>
      <c r="CE18" s="86"/>
      <c r="CF18" s="87"/>
      <c r="CG18" s="88"/>
      <c r="CH18" s="86"/>
      <c r="CI18" s="86"/>
      <c r="CJ18" s="86"/>
      <c r="CK18" s="86"/>
      <c r="CL18" s="87"/>
      <c r="CM18" s="9"/>
      <c r="CN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9"/>
      <c r="CN19" s="9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9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9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9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5"/>
    </row>
    <row r="24">
      <c r="A24" s="96" t="s">
        <v>34</v>
      </c>
      <c r="B24" s="96" t="s">
        <v>35</v>
      </c>
      <c r="C24" s="96" t="s">
        <v>36</v>
      </c>
      <c r="D24" s="96" t="s">
        <v>37</v>
      </c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99"/>
      <c r="B29" s="99"/>
      <c r="C29" s="99"/>
    </row>
    <row r="30">
      <c r="A30" s="99"/>
      <c r="B30" s="99"/>
      <c r="C30" s="99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53">
    <mergeCell ref="BC4:BH4"/>
    <mergeCell ref="BI4:BN4"/>
    <mergeCell ref="BO4:BT4"/>
    <mergeCell ref="BU4:BZ4"/>
    <mergeCell ref="CA4:CF4"/>
    <mergeCell ref="CG4:CL4"/>
    <mergeCell ref="CM4:CM5"/>
    <mergeCell ref="M4:R4"/>
    <mergeCell ref="S4:X4"/>
    <mergeCell ref="Y4:AD4"/>
    <mergeCell ref="AE4:AJ4"/>
    <mergeCell ref="AK4:AP4"/>
    <mergeCell ref="AQ4:AV4"/>
    <mergeCell ref="AW4:BB4"/>
    <mergeCell ref="AW16:BB17"/>
    <mergeCell ref="BC16:BH17"/>
    <mergeCell ref="BI16:BN17"/>
    <mergeCell ref="BO16:BT17"/>
    <mergeCell ref="BU16:BZ17"/>
    <mergeCell ref="CA16:CF17"/>
    <mergeCell ref="CG16:CL17"/>
    <mergeCell ref="G16:L17"/>
    <mergeCell ref="M16:R17"/>
    <mergeCell ref="S16:X17"/>
    <mergeCell ref="Y16:AD17"/>
    <mergeCell ref="AE16:AJ17"/>
    <mergeCell ref="AK16:AP17"/>
    <mergeCell ref="AQ16:AV17"/>
    <mergeCell ref="AW18:BB18"/>
    <mergeCell ref="BC18:BH18"/>
    <mergeCell ref="BI18:BN18"/>
    <mergeCell ref="BO18:BT18"/>
    <mergeCell ref="BU18:BZ18"/>
    <mergeCell ref="CA18:CF18"/>
    <mergeCell ref="CG18:CL18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 BC18 BI18 BO18 BU18 CA18 C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 AX6:AX15 BD6:BD15 BJ6:BJ15 BP6:BP15 BV6:BV15 CB6:CB15 CH6:CH15">
      <formula1>"2,50"</formula1>
    </dataValidation>
    <dataValidation type="list" allowBlank="1" showErrorMessage="1" sqref="J6:J15 P6:P15 V6:V15 AB6:AB15 AH6:AH15 AN6:AN15 AT6:AT15 AZ6:AZ15 BF6:BF15 BL6:BL15 BR6:BR15 BX6:BX15 CD6:CD15 CJ6:CJ15">
      <formula1>"У/Победа,У/Проигрыш,ПУ"</formula1>
    </dataValidation>
    <dataValidation type="list" allowBlank="1" showErrorMessage="1" sqref="G6:G15 M6:M15 S6:S15 Y6:Y15 AE6:AE15 AK6:AK15 AQ6:AQ15 AW6:AW15 BC6:BC15 BI6:BI15 BO6:BO15 BU6:BU15 CA6:CA15 CG6:CG15">
      <formula1>"Мирный,Шериф,Мафия,Дон"</formula1>
    </dataValidation>
    <dataValidation type="list" allowBlank="1" showErrorMessage="1" sqref="B26:B40">
      <formula1>'Финал'!$B$6:$B$15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5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4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>
      <c r="A2" s="6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9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1"/>
      <c r="BD3" s="9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4" t="s">
        <v>21</v>
      </c>
      <c r="BD4" s="25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1"/>
      <c r="BD5" s="36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</row>
    <row r="6" ht="18.75" customHeight="1">
      <c r="A6" s="38">
        <v>1.0</v>
      </c>
      <c r="B6" s="39"/>
      <c r="C6" s="40">
        <f t="shared" ref="C6:C15" si="1">SUM(H6:BC6)</f>
        <v>0</v>
      </c>
      <c r="D6" s="100">
        <f t="shared" ref="D6:D15" si="2">E6/2.5</f>
        <v>0</v>
      </c>
      <c r="E6" s="101">
        <f t="shared" ref="E6:E15" si="3">SUM(H6+N6+T6+Z6+AF6+AL6+AR6+AX6)</f>
        <v>0</v>
      </c>
      <c r="F6" s="42">
        <f t="shared" ref="F6:F15" si="4">C6-E6-BC6</f>
        <v>0</v>
      </c>
      <c r="G6" s="44"/>
      <c r="H6" s="45"/>
      <c r="I6" s="45"/>
      <c r="J6" s="46"/>
      <c r="K6" s="47"/>
      <c r="L6" s="50"/>
      <c r="M6" s="44"/>
      <c r="N6" s="45"/>
      <c r="O6" s="45"/>
      <c r="P6" s="49"/>
      <c r="Q6" s="47"/>
      <c r="R6" s="50"/>
      <c r="S6" s="46"/>
      <c r="T6" s="45"/>
      <c r="U6" s="45"/>
      <c r="V6" s="46"/>
      <c r="W6" s="47"/>
      <c r="X6" s="50"/>
      <c r="Y6" s="46"/>
      <c r="Z6" s="45"/>
      <c r="AA6" s="45"/>
      <c r="AB6" s="49"/>
      <c r="AC6" s="47"/>
      <c r="AD6" s="50"/>
      <c r="AE6" s="46"/>
      <c r="AF6" s="45"/>
      <c r="AG6" s="45"/>
      <c r="AH6" s="49"/>
      <c r="AI6" s="47"/>
      <c r="AJ6" s="50"/>
      <c r="AK6" s="46"/>
      <c r="AL6" s="45"/>
      <c r="AM6" s="45"/>
      <c r="AN6" s="49"/>
      <c r="AO6" s="47"/>
      <c r="AP6" s="50"/>
      <c r="AQ6" s="46"/>
      <c r="AR6" s="45"/>
      <c r="AS6" s="45"/>
      <c r="AT6" s="46"/>
      <c r="AU6" s="47"/>
      <c r="AV6" s="50"/>
      <c r="AW6" s="46"/>
      <c r="AX6" s="56"/>
      <c r="AY6" s="45"/>
      <c r="AZ6" s="49"/>
      <c r="BA6" s="47"/>
      <c r="BB6" s="50"/>
      <c r="BC6" s="52"/>
      <c r="BD6" s="53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</row>
    <row r="7" ht="18.75" customHeight="1">
      <c r="A7" s="38">
        <v>2.0</v>
      </c>
      <c r="B7" s="54"/>
      <c r="C7" s="40">
        <f t="shared" si="1"/>
        <v>0</v>
      </c>
      <c r="D7" s="102">
        <f t="shared" si="2"/>
        <v>0</v>
      </c>
      <c r="E7" s="103">
        <f t="shared" si="3"/>
        <v>0</v>
      </c>
      <c r="F7" s="42">
        <f t="shared" si="4"/>
        <v>0</v>
      </c>
      <c r="G7" s="44"/>
      <c r="H7" s="45"/>
      <c r="I7" s="45"/>
      <c r="J7" s="46"/>
      <c r="K7" s="47"/>
      <c r="L7" s="48"/>
      <c r="M7" s="44"/>
      <c r="N7" s="45"/>
      <c r="O7" s="45"/>
      <c r="P7" s="46"/>
      <c r="Q7" s="47"/>
      <c r="R7" s="48"/>
      <c r="S7" s="46"/>
      <c r="T7" s="45"/>
      <c r="U7" s="45"/>
      <c r="V7" s="49"/>
      <c r="W7" s="47"/>
      <c r="X7" s="50"/>
      <c r="Y7" s="46"/>
      <c r="Z7" s="45"/>
      <c r="AA7" s="45"/>
      <c r="AB7" s="49"/>
      <c r="AC7" s="47"/>
      <c r="AD7" s="50"/>
      <c r="AE7" s="46"/>
      <c r="AF7" s="45"/>
      <c r="AG7" s="45"/>
      <c r="AH7" s="46"/>
      <c r="AI7" s="47"/>
      <c r="AJ7" s="50"/>
      <c r="AK7" s="46"/>
      <c r="AL7" s="45"/>
      <c r="AM7" s="45"/>
      <c r="AN7" s="49"/>
      <c r="AO7" s="47"/>
      <c r="AP7" s="50"/>
      <c r="AQ7" s="46"/>
      <c r="AR7" s="45"/>
      <c r="AS7" s="45"/>
      <c r="AT7" s="49"/>
      <c r="AU7" s="47"/>
      <c r="AV7" s="50"/>
      <c r="AW7" s="46"/>
      <c r="AX7" s="45"/>
      <c r="AY7" s="45"/>
      <c r="AZ7" s="49"/>
      <c r="BA7" s="47"/>
      <c r="BB7" s="50"/>
      <c r="BC7" s="43"/>
      <c r="BD7" s="59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</row>
    <row r="8" ht="18.75" customHeight="1">
      <c r="A8" s="38">
        <v>3.0</v>
      </c>
      <c r="B8" s="54"/>
      <c r="C8" s="40">
        <f t="shared" si="1"/>
        <v>0</v>
      </c>
      <c r="D8" s="102">
        <f t="shared" si="2"/>
        <v>0</v>
      </c>
      <c r="E8" s="103">
        <f t="shared" si="3"/>
        <v>0</v>
      </c>
      <c r="F8" s="42">
        <f t="shared" si="4"/>
        <v>0</v>
      </c>
      <c r="G8" s="44"/>
      <c r="H8" s="45"/>
      <c r="I8" s="45"/>
      <c r="J8" s="46"/>
      <c r="K8" s="51"/>
      <c r="L8" s="48"/>
      <c r="M8" s="44"/>
      <c r="N8" s="45"/>
      <c r="O8" s="45"/>
      <c r="P8" s="46"/>
      <c r="Q8" s="47"/>
      <c r="R8" s="50"/>
      <c r="S8" s="46"/>
      <c r="T8" s="45"/>
      <c r="U8" s="45"/>
      <c r="V8" s="46"/>
      <c r="W8" s="47"/>
      <c r="X8" s="50"/>
      <c r="Y8" s="46"/>
      <c r="Z8" s="45"/>
      <c r="AA8" s="45"/>
      <c r="AB8" s="46"/>
      <c r="AC8" s="47"/>
      <c r="AD8" s="50"/>
      <c r="AE8" s="46"/>
      <c r="AF8" s="45"/>
      <c r="AG8" s="45"/>
      <c r="AH8" s="46"/>
      <c r="AI8" s="51"/>
      <c r="AJ8" s="48"/>
      <c r="AK8" s="46"/>
      <c r="AL8" s="56"/>
      <c r="AM8" s="45"/>
      <c r="AN8" s="49"/>
      <c r="AO8" s="47"/>
      <c r="AP8" s="50"/>
      <c r="AQ8" s="46"/>
      <c r="AR8" s="45"/>
      <c r="AS8" s="45"/>
      <c r="AT8" s="46"/>
      <c r="AU8" s="47"/>
      <c r="AV8" s="48"/>
      <c r="AW8" s="46"/>
      <c r="AX8" s="45"/>
      <c r="AY8" s="45"/>
      <c r="AZ8" s="46"/>
      <c r="BA8" s="51"/>
      <c r="BB8" s="48"/>
      <c r="BC8" s="43"/>
      <c r="BD8" s="53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</row>
    <row r="9" ht="18.75" customHeight="1">
      <c r="A9" s="38">
        <v>4.0</v>
      </c>
      <c r="B9" s="54"/>
      <c r="C9" s="40">
        <f t="shared" si="1"/>
        <v>0</v>
      </c>
      <c r="D9" s="102">
        <f t="shared" si="2"/>
        <v>0</v>
      </c>
      <c r="E9" s="103">
        <f t="shared" si="3"/>
        <v>0</v>
      </c>
      <c r="F9" s="42">
        <f t="shared" si="4"/>
        <v>0</v>
      </c>
      <c r="G9" s="44"/>
      <c r="H9" s="45"/>
      <c r="I9" s="45"/>
      <c r="J9" s="49"/>
      <c r="K9" s="47"/>
      <c r="L9" s="50"/>
      <c r="M9" s="44"/>
      <c r="N9" s="45"/>
      <c r="O9" s="45"/>
      <c r="P9" s="49"/>
      <c r="Q9" s="47"/>
      <c r="R9" s="50"/>
      <c r="S9" s="46"/>
      <c r="T9" s="45"/>
      <c r="U9" s="45"/>
      <c r="V9" s="49"/>
      <c r="W9" s="47"/>
      <c r="X9" s="50"/>
      <c r="Y9" s="46"/>
      <c r="Z9" s="45"/>
      <c r="AA9" s="45"/>
      <c r="AB9" s="49"/>
      <c r="AC9" s="47"/>
      <c r="AD9" s="50"/>
      <c r="AE9" s="46"/>
      <c r="AF9" s="45"/>
      <c r="AG9" s="45"/>
      <c r="AH9" s="49"/>
      <c r="AI9" s="47"/>
      <c r="AJ9" s="50"/>
      <c r="AK9" s="46"/>
      <c r="AL9" s="45"/>
      <c r="AM9" s="45"/>
      <c r="AN9" s="46"/>
      <c r="AO9" s="47"/>
      <c r="AP9" s="48"/>
      <c r="AQ9" s="46"/>
      <c r="AR9" s="45"/>
      <c r="AS9" s="45"/>
      <c r="AT9" s="49"/>
      <c r="AU9" s="47"/>
      <c r="AV9" s="50"/>
      <c r="AW9" s="46"/>
      <c r="AX9" s="56"/>
      <c r="AY9" s="45"/>
      <c r="AZ9" s="46"/>
      <c r="BA9" s="47"/>
      <c r="BB9" s="50"/>
      <c r="BC9" s="58"/>
      <c r="BD9" s="53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</row>
    <row r="10" ht="18.75" customHeight="1">
      <c r="A10" s="38">
        <v>5.0</v>
      </c>
      <c r="B10" s="54"/>
      <c r="C10" s="40">
        <f t="shared" si="1"/>
        <v>0</v>
      </c>
      <c r="D10" s="102">
        <f t="shared" si="2"/>
        <v>0</v>
      </c>
      <c r="E10" s="103">
        <f t="shared" si="3"/>
        <v>0</v>
      </c>
      <c r="F10" s="42">
        <f t="shared" si="4"/>
        <v>0</v>
      </c>
      <c r="G10" s="44"/>
      <c r="H10" s="45"/>
      <c r="I10" s="45"/>
      <c r="J10" s="46"/>
      <c r="K10" s="47"/>
      <c r="L10" s="60"/>
      <c r="M10" s="44"/>
      <c r="N10" s="45"/>
      <c r="O10" s="45"/>
      <c r="P10" s="46"/>
      <c r="Q10" s="47"/>
      <c r="R10" s="50"/>
      <c r="S10" s="46"/>
      <c r="T10" s="45"/>
      <c r="U10" s="45"/>
      <c r="V10" s="46"/>
      <c r="W10" s="47"/>
      <c r="X10" s="48"/>
      <c r="Y10" s="46"/>
      <c r="Z10" s="45"/>
      <c r="AA10" s="45"/>
      <c r="AB10" s="49"/>
      <c r="AC10" s="47"/>
      <c r="AD10" s="50"/>
      <c r="AE10" s="46"/>
      <c r="AF10" s="56"/>
      <c r="AG10" s="45"/>
      <c r="AH10" s="46"/>
      <c r="AI10" s="47"/>
      <c r="AJ10" s="50"/>
      <c r="AK10" s="46"/>
      <c r="AL10" s="56"/>
      <c r="AM10" s="45"/>
      <c r="AN10" s="46"/>
      <c r="AO10" s="51"/>
      <c r="AP10" s="48"/>
      <c r="AQ10" s="46"/>
      <c r="AR10" s="56"/>
      <c r="AS10" s="45"/>
      <c r="AT10" s="46"/>
      <c r="AU10" s="51"/>
      <c r="AV10" s="50"/>
      <c r="AW10" s="46"/>
      <c r="AX10" s="45"/>
      <c r="AY10" s="45"/>
      <c r="AZ10" s="49"/>
      <c r="BA10" s="51"/>
      <c r="BB10" s="50"/>
      <c r="BC10" s="58"/>
      <c r="BD10" s="53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</row>
    <row r="11" ht="18.75" customHeight="1">
      <c r="A11" s="38">
        <v>6.0</v>
      </c>
      <c r="B11" s="54"/>
      <c r="C11" s="40">
        <f t="shared" si="1"/>
        <v>0</v>
      </c>
      <c r="D11" s="102">
        <f t="shared" si="2"/>
        <v>0</v>
      </c>
      <c r="E11" s="103">
        <f t="shared" si="3"/>
        <v>0</v>
      </c>
      <c r="F11" s="42">
        <f t="shared" si="4"/>
        <v>0</v>
      </c>
      <c r="G11" s="44"/>
      <c r="H11" s="45"/>
      <c r="I11" s="45"/>
      <c r="J11" s="49"/>
      <c r="K11" s="47"/>
      <c r="L11" s="50"/>
      <c r="M11" s="44"/>
      <c r="N11" s="45"/>
      <c r="O11" s="45"/>
      <c r="P11" s="46"/>
      <c r="Q11" s="47"/>
      <c r="R11" s="50"/>
      <c r="S11" s="46"/>
      <c r="T11" s="45"/>
      <c r="U11" s="45"/>
      <c r="V11" s="46"/>
      <c r="W11" s="51"/>
      <c r="X11" s="61"/>
      <c r="Y11" s="46"/>
      <c r="Z11" s="45"/>
      <c r="AA11" s="45"/>
      <c r="AB11" s="49"/>
      <c r="AC11" s="47"/>
      <c r="AD11" s="50"/>
      <c r="AE11" s="46"/>
      <c r="AF11" s="56"/>
      <c r="AG11" s="45"/>
      <c r="AH11" s="49"/>
      <c r="AI11" s="47"/>
      <c r="AJ11" s="50"/>
      <c r="AK11" s="46"/>
      <c r="AL11" s="56"/>
      <c r="AM11" s="45"/>
      <c r="AN11" s="49"/>
      <c r="AO11" s="47"/>
      <c r="AP11" s="50"/>
      <c r="AQ11" s="46"/>
      <c r="AR11" s="45"/>
      <c r="AS11" s="45"/>
      <c r="AT11" s="46"/>
      <c r="AU11" s="51"/>
      <c r="AV11" s="48"/>
      <c r="AW11" s="46"/>
      <c r="AX11" s="45"/>
      <c r="AY11" s="45"/>
      <c r="AZ11" s="46"/>
      <c r="BA11" s="47"/>
      <c r="BB11" s="50"/>
      <c r="BC11" s="58"/>
      <c r="BD11" s="53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</row>
    <row r="12" ht="18.75" customHeight="1">
      <c r="A12" s="38">
        <v>7.0</v>
      </c>
      <c r="B12" s="54"/>
      <c r="C12" s="40">
        <f t="shared" si="1"/>
        <v>0</v>
      </c>
      <c r="D12" s="102">
        <f t="shared" si="2"/>
        <v>0</v>
      </c>
      <c r="E12" s="103">
        <f t="shared" si="3"/>
        <v>0</v>
      </c>
      <c r="F12" s="42">
        <f t="shared" si="4"/>
        <v>0</v>
      </c>
      <c r="G12" s="44"/>
      <c r="H12" s="45"/>
      <c r="I12" s="45"/>
      <c r="J12" s="46"/>
      <c r="K12" s="47"/>
      <c r="L12" s="50"/>
      <c r="M12" s="44"/>
      <c r="N12" s="56"/>
      <c r="O12" s="45"/>
      <c r="P12" s="49"/>
      <c r="Q12" s="47"/>
      <c r="R12" s="50"/>
      <c r="S12" s="46"/>
      <c r="T12" s="45"/>
      <c r="U12" s="45"/>
      <c r="V12" s="49"/>
      <c r="W12" s="47"/>
      <c r="X12" s="50"/>
      <c r="Y12" s="46"/>
      <c r="Z12" s="56"/>
      <c r="AA12" s="45"/>
      <c r="AB12" s="46"/>
      <c r="AC12" s="56"/>
      <c r="AD12" s="60"/>
      <c r="AE12" s="46"/>
      <c r="AF12" s="45"/>
      <c r="AG12" s="45"/>
      <c r="AH12" s="49"/>
      <c r="AI12" s="47"/>
      <c r="AJ12" s="60"/>
      <c r="AK12" s="46"/>
      <c r="AL12" s="45"/>
      <c r="AM12" s="45"/>
      <c r="AN12" s="49"/>
      <c r="AO12" s="56"/>
      <c r="AP12" s="60"/>
      <c r="AQ12" s="46"/>
      <c r="AR12" s="45"/>
      <c r="AS12" s="45"/>
      <c r="AT12" s="49"/>
      <c r="AU12" s="47"/>
      <c r="AV12" s="60"/>
      <c r="AW12" s="46"/>
      <c r="AX12" s="45"/>
      <c r="AY12" s="45"/>
      <c r="AZ12" s="49"/>
      <c r="BA12" s="47"/>
      <c r="BB12" s="60"/>
      <c r="BC12" s="43"/>
      <c r="BD12" s="53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</row>
    <row r="13" ht="18.75" customHeight="1">
      <c r="A13" s="38">
        <v>8.0</v>
      </c>
      <c r="B13" s="54"/>
      <c r="C13" s="40">
        <f t="shared" si="1"/>
        <v>0</v>
      </c>
      <c r="D13" s="102">
        <f t="shared" si="2"/>
        <v>0</v>
      </c>
      <c r="E13" s="103">
        <f t="shared" si="3"/>
        <v>0</v>
      </c>
      <c r="F13" s="42">
        <f t="shared" si="4"/>
        <v>0</v>
      </c>
      <c r="G13" s="44"/>
      <c r="H13" s="45"/>
      <c r="I13" s="45"/>
      <c r="J13" s="49"/>
      <c r="K13" s="47"/>
      <c r="L13" s="50"/>
      <c r="M13" s="44"/>
      <c r="N13" s="45"/>
      <c r="O13" s="45"/>
      <c r="P13" s="46"/>
      <c r="Q13" s="51"/>
      <c r="R13" s="61"/>
      <c r="S13" s="46"/>
      <c r="T13" s="45"/>
      <c r="U13" s="45"/>
      <c r="V13" s="46"/>
      <c r="W13" s="51"/>
      <c r="X13" s="50"/>
      <c r="Y13" s="46"/>
      <c r="Z13" s="45"/>
      <c r="AA13" s="45"/>
      <c r="AB13" s="46"/>
      <c r="AC13" s="47"/>
      <c r="AD13" s="50"/>
      <c r="AE13" s="46"/>
      <c r="AF13" s="45"/>
      <c r="AG13" s="45"/>
      <c r="AH13" s="46"/>
      <c r="AI13" s="47"/>
      <c r="AJ13" s="50"/>
      <c r="AK13" s="46"/>
      <c r="AL13" s="45"/>
      <c r="AM13" s="45"/>
      <c r="AN13" s="49"/>
      <c r="AO13" s="47"/>
      <c r="AP13" s="50"/>
      <c r="AQ13" s="46"/>
      <c r="AR13" s="45"/>
      <c r="AS13" s="45"/>
      <c r="AT13" s="49"/>
      <c r="AU13" s="47"/>
      <c r="AV13" s="50"/>
      <c r="AW13" s="46"/>
      <c r="AX13" s="45"/>
      <c r="AY13" s="45"/>
      <c r="AZ13" s="49"/>
      <c r="BA13" s="47"/>
      <c r="BB13" s="50"/>
      <c r="BC13" s="43"/>
      <c r="BD13" s="53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</row>
    <row r="14" ht="18.75" customHeight="1">
      <c r="A14" s="38">
        <v>9.0</v>
      </c>
      <c r="B14" s="54"/>
      <c r="C14" s="40">
        <f t="shared" si="1"/>
        <v>0</v>
      </c>
      <c r="D14" s="102">
        <f t="shared" si="2"/>
        <v>0</v>
      </c>
      <c r="E14" s="103">
        <f t="shared" si="3"/>
        <v>0</v>
      </c>
      <c r="F14" s="42">
        <f t="shared" si="4"/>
        <v>0</v>
      </c>
      <c r="G14" s="44"/>
      <c r="H14" s="45"/>
      <c r="I14" s="45"/>
      <c r="J14" s="49"/>
      <c r="K14" s="51"/>
      <c r="L14" s="50"/>
      <c r="M14" s="44"/>
      <c r="N14" s="45"/>
      <c r="O14" s="45"/>
      <c r="P14" s="49"/>
      <c r="Q14" s="47"/>
      <c r="R14" s="50"/>
      <c r="S14" s="46"/>
      <c r="T14" s="45"/>
      <c r="U14" s="45"/>
      <c r="V14" s="49"/>
      <c r="W14" s="47"/>
      <c r="X14" s="50"/>
      <c r="Y14" s="46"/>
      <c r="Z14" s="45"/>
      <c r="AA14" s="45"/>
      <c r="AB14" s="46"/>
      <c r="AC14" s="47"/>
      <c r="AD14" s="50"/>
      <c r="AE14" s="46"/>
      <c r="AF14" s="56"/>
      <c r="AG14" s="45"/>
      <c r="AH14" s="46"/>
      <c r="AI14" s="47"/>
      <c r="AJ14" s="48"/>
      <c r="AK14" s="46"/>
      <c r="AL14" s="56"/>
      <c r="AM14" s="45"/>
      <c r="AN14" s="49"/>
      <c r="AO14" s="47"/>
      <c r="AP14" s="50"/>
      <c r="AQ14" s="46"/>
      <c r="AR14" s="45"/>
      <c r="AS14" s="45"/>
      <c r="AT14" s="49"/>
      <c r="AU14" s="47"/>
      <c r="AV14" s="50"/>
      <c r="AW14" s="46"/>
      <c r="AX14" s="45"/>
      <c r="AY14" s="45"/>
      <c r="AZ14" s="49"/>
      <c r="BA14" s="47"/>
      <c r="BB14" s="50"/>
      <c r="BC14" s="43"/>
      <c r="BD14" s="53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</row>
    <row r="15" ht="18.75" customHeight="1">
      <c r="A15" s="62">
        <v>10.0</v>
      </c>
      <c r="B15" s="104"/>
      <c r="C15" s="63">
        <f t="shared" si="1"/>
        <v>0</v>
      </c>
      <c r="D15" s="105">
        <f t="shared" si="2"/>
        <v>0</v>
      </c>
      <c r="E15" s="106">
        <f t="shared" si="3"/>
        <v>0</v>
      </c>
      <c r="F15" s="65">
        <f t="shared" si="4"/>
        <v>0</v>
      </c>
      <c r="G15" s="67"/>
      <c r="H15" s="68"/>
      <c r="I15" s="68"/>
      <c r="J15" s="69"/>
      <c r="K15" s="73"/>
      <c r="L15" s="71"/>
      <c r="M15" s="67"/>
      <c r="N15" s="68"/>
      <c r="O15" s="68"/>
      <c r="P15" s="69"/>
      <c r="Q15" s="73"/>
      <c r="R15" s="71"/>
      <c r="S15" s="57"/>
      <c r="T15" s="68"/>
      <c r="U15" s="68"/>
      <c r="V15" s="69"/>
      <c r="W15" s="73"/>
      <c r="X15" s="71"/>
      <c r="Y15" s="57"/>
      <c r="Z15" s="68"/>
      <c r="AA15" s="68"/>
      <c r="AB15" s="57"/>
      <c r="AC15" s="73"/>
      <c r="AD15" s="107"/>
      <c r="AE15" s="57"/>
      <c r="AF15" s="68"/>
      <c r="AG15" s="68"/>
      <c r="AH15" s="69"/>
      <c r="AI15" s="73"/>
      <c r="AJ15" s="71"/>
      <c r="AK15" s="57"/>
      <c r="AL15" s="72"/>
      <c r="AM15" s="68"/>
      <c r="AN15" s="69"/>
      <c r="AO15" s="73"/>
      <c r="AP15" s="71"/>
      <c r="AQ15" s="57"/>
      <c r="AR15" s="68"/>
      <c r="AS15" s="68"/>
      <c r="AT15" s="57"/>
      <c r="AU15" s="73"/>
      <c r="AV15" s="71"/>
      <c r="AW15" s="57"/>
      <c r="AX15" s="68"/>
      <c r="AY15" s="68"/>
      <c r="AZ15" s="57"/>
      <c r="BA15" s="73"/>
      <c r="BB15" s="71"/>
      <c r="BC15" s="108"/>
      <c r="BD15" s="53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</row>
    <row r="16">
      <c r="A16" s="74" t="s">
        <v>27</v>
      </c>
      <c r="B16" s="75"/>
      <c r="C16" s="2"/>
      <c r="D16" s="2"/>
      <c r="E16" s="2"/>
      <c r="F16" s="4"/>
      <c r="G16" s="109"/>
      <c r="L16" s="77"/>
      <c r="M16" s="80"/>
      <c r="R16" s="77"/>
      <c r="S16" s="80"/>
      <c r="X16" s="77"/>
      <c r="Y16" s="80"/>
      <c r="AD16" s="77"/>
      <c r="AE16" s="80"/>
      <c r="AJ16" s="77"/>
      <c r="AK16" s="80"/>
      <c r="AP16" s="77"/>
      <c r="AQ16" s="80"/>
      <c r="AV16" s="77"/>
      <c r="AW16" s="80"/>
      <c r="BB16" s="77"/>
      <c r="BC16" s="9"/>
      <c r="BD16" s="79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9"/>
      <c r="BD17" s="79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88"/>
      <c r="N18" s="86"/>
      <c r="O18" s="86"/>
      <c r="P18" s="86"/>
      <c r="Q18" s="86"/>
      <c r="R18" s="87"/>
      <c r="S18" s="88"/>
      <c r="T18" s="86"/>
      <c r="U18" s="86"/>
      <c r="V18" s="86"/>
      <c r="W18" s="86"/>
      <c r="X18" s="87"/>
      <c r="Y18" s="88"/>
      <c r="Z18" s="86"/>
      <c r="AA18" s="86"/>
      <c r="AB18" s="86"/>
      <c r="AC18" s="86"/>
      <c r="AD18" s="87"/>
      <c r="AE18" s="88"/>
      <c r="AF18" s="86"/>
      <c r="AG18" s="86"/>
      <c r="AH18" s="86"/>
      <c r="AI18" s="86"/>
      <c r="AJ18" s="87"/>
      <c r="AK18" s="88"/>
      <c r="AL18" s="86"/>
      <c r="AM18" s="86"/>
      <c r="AN18" s="86"/>
      <c r="AO18" s="86"/>
      <c r="AP18" s="87"/>
      <c r="AQ18" s="88"/>
      <c r="AR18" s="86"/>
      <c r="AS18" s="86"/>
      <c r="AT18" s="86"/>
      <c r="AU18" s="86"/>
      <c r="AV18" s="87"/>
      <c r="AW18" s="88"/>
      <c r="AX18" s="86"/>
      <c r="AY18" s="86"/>
      <c r="AZ18" s="86"/>
      <c r="BA18" s="86"/>
      <c r="BB18" s="87"/>
      <c r="BC18" s="9"/>
      <c r="BD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9"/>
      <c r="BD19" s="9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9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9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9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5"/>
    </row>
    <row r="24">
      <c r="A24" s="96" t="s">
        <v>34</v>
      </c>
      <c r="B24" s="96" t="s">
        <v>35</v>
      </c>
      <c r="C24" s="96" t="s">
        <v>36</v>
      </c>
      <c r="D24" s="96" t="s">
        <v>37</v>
      </c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110"/>
      <c r="B27" s="5"/>
      <c r="C27" s="5"/>
    </row>
    <row r="28">
      <c r="A28" s="110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5">
    <mergeCell ref="M4:R4"/>
    <mergeCell ref="S4:X4"/>
    <mergeCell ref="Y4:AD4"/>
    <mergeCell ref="AE4:AJ4"/>
    <mergeCell ref="AK4:AP4"/>
    <mergeCell ref="AQ4:AV4"/>
    <mergeCell ref="AW4:BB4"/>
    <mergeCell ref="BC4:BC5"/>
    <mergeCell ref="M16:R17"/>
    <mergeCell ref="S16:X17"/>
    <mergeCell ref="Y16:AD17"/>
    <mergeCell ref="AE16:AJ17"/>
    <mergeCell ref="AK16:AP17"/>
    <mergeCell ref="AQ16:AV17"/>
    <mergeCell ref="AW16:BB17"/>
    <mergeCell ref="AQ18:AV18"/>
    <mergeCell ref="AW18:BB18"/>
    <mergeCell ref="G16:L17"/>
    <mergeCell ref="G18:L18"/>
    <mergeCell ref="M18:R18"/>
    <mergeCell ref="S18:X18"/>
    <mergeCell ref="Y18:AD18"/>
    <mergeCell ref="AE18:AJ18"/>
    <mergeCell ref="AK18:AP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'2 Полуфинал'!$B$6:$B$15</formula1>
    </dataValidation>
    <dataValidation type="list" allowBlank="1" showErrorMessage="1" sqref="H6:H15 N6:N15 T6:T15 Z6:Z15 AF6:AF15 AL6:AL15 AR6:AR15 AX6:AX15">
      <formula1>"2,50"</formula1>
    </dataValidation>
    <dataValidation type="list" allowBlank="1" showErrorMessage="1" sqref="J6:J15 P6:P15 V6:V15 AB6:AB15 AH6:AH15 AN6:AN15 AT6:AT15 AZ6:AZ15">
      <formula1>"У/Победа,У/Проигрыш,ПУ"</formula1>
    </dataValidation>
    <dataValidation type="list" allowBlank="1" showErrorMessage="1" sqref="G6:G15 M6:M15 S6:S15 Y6:Y15 AE6:AE15 AK6:AK15 AQ6:AQ15 AW6:AW15">
      <formula1>"Мирный,Шериф,Мафия,Дон"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5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4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>
      <c r="A2" s="6" t="s">
        <v>39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9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1"/>
      <c r="BD3" s="9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4" t="s">
        <v>21</v>
      </c>
      <c r="BD4" s="25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1"/>
      <c r="BD5" s="36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</row>
    <row r="6" ht="18.75" customHeight="1">
      <c r="A6" s="38">
        <v>1.0</v>
      </c>
      <c r="B6" s="39"/>
      <c r="C6" s="40">
        <f t="shared" ref="C6:C15" si="1">SUM(H6:BC6)</f>
        <v>0</v>
      </c>
      <c r="D6" s="100">
        <f t="shared" ref="D6:D15" si="2">E6/2.5</f>
        <v>0</v>
      </c>
      <c r="E6" s="111">
        <f t="shared" ref="E6:E15" si="3">SUM(H6+N6+T6+Z6+AF6+AL6+AR6+AX6)</f>
        <v>0</v>
      </c>
      <c r="F6" s="42">
        <f t="shared" ref="F6:F15" si="4">C6-E6-BC6</f>
        <v>0</v>
      </c>
      <c r="G6" s="44"/>
      <c r="H6" s="45"/>
      <c r="I6" s="45"/>
      <c r="J6" s="46"/>
      <c r="K6" s="51"/>
      <c r="L6" s="48"/>
      <c r="M6" s="44"/>
      <c r="N6" s="45"/>
      <c r="O6" s="45"/>
      <c r="P6" s="49"/>
      <c r="Q6" s="47"/>
      <c r="R6" s="50"/>
      <c r="S6" s="46"/>
      <c r="T6" s="45"/>
      <c r="U6" s="45"/>
      <c r="V6" s="46"/>
      <c r="W6" s="47"/>
      <c r="X6" s="50"/>
      <c r="Y6" s="46"/>
      <c r="Z6" s="45"/>
      <c r="AA6" s="45"/>
      <c r="AB6" s="46"/>
      <c r="AC6" s="47"/>
      <c r="AD6" s="50"/>
      <c r="AE6" s="46"/>
      <c r="AF6" s="56"/>
      <c r="AG6" s="45"/>
      <c r="AH6" s="46"/>
      <c r="AI6" s="47"/>
      <c r="AJ6" s="48"/>
      <c r="AK6" s="46"/>
      <c r="AL6" s="56"/>
      <c r="AM6" s="45"/>
      <c r="AN6" s="49"/>
      <c r="AO6" s="47"/>
      <c r="AP6" s="50"/>
      <c r="AQ6" s="46"/>
      <c r="AR6" s="45"/>
      <c r="AS6" s="45"/>
      <c r="AT6" s="49"/>
      <c r="AU6" s="47"/>
      <c r="AV6" s="50"/>
      <c r="AW6" s="46"/>
      <c r="AX6" s="45"/>
      <c r="AY6" s="45"/>
      <c r="AZ6" s="49"/>
      <c r="BA6" s="47"/>
      <c r="BB6" s="50"/>
      <c r="BC6" s="112"/>
      <c r="BD6" s="53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</row>
    <row r="7" ht="18.75" customHeight="1">
      <c r="A7" s="38">
        <v>2.0</v>
      </c>
      <c r="B7" s="54"/>
      <c r="C7" s="40">
        <f t="shared" si="1"/>
        <v>0</v>
      </c>
      <c r="D7" s="102">
        <f t="shared" si="2"/>
        <v>0</v>
      </c>
      <c r="E7" s="113">
        <f t="shared" si="3"/>
        <v>0</v>
      </c>
      <c r="F7" s="42">
        <f t="shared" si="4"/>
        <v>0</v>
      </c>
      <c r="G7" s="44"/>
      <c r="H7" s="45"/>
      <c r="I7" s="45"/>
      <c r="J7" s="46"/>
      <c r="K7" s="47"/>
      <c r="L7" s="60"/>
      <c r="M7" s="44"/>
      <c r="N7" s="45"/>
      <c r="O7" s="45"/>
      <c r="P7" s="49"/>
      <c r="Q7" s="47"/>
      <c r="R7" s="50"/>
      <c r="S7" s="46"/>
      <c r="T7" s="45"/>
      <c r="U7" s="45"/>
      <c r="V7" s="49"/>
      <c r="W7" s="47"/>
      <c r="X7" s="50"/>
      <c r="Y7" s="46"/>
      <c r="Z7" s="56"/>
      <c r="AA7" s="45"/>
      <c r="AB7" s="49"/>
      <c r="AC7" s="47"/>
      <c r="AD7" s="50"/>
      <c r="AE7" s="46"/>
      <c r="AF7" s="45"/>
      <c r="AG7" s="45"/>
      <c r="AH7" s="46"/>
      <c r="AI7" s="47"/>
      <c r="AJ7" s="50"/>
      <c r="AK7" s="46"/>
      <c r="AL7" s="45"/>
      <c r="AM7" s="45"/>
      <c r="AN7" s="49"/>
      <c r="AO7" s="47"/>
      <c r="AP7" s="50"/>
      <c r="AQ7" s="46"/>
      <c r="AR7" s="45"/>
      <c r="AS7" s="45"/>
      <c r="AT7" s="49"/>
      <c r="AU7" s="47"/>
      <c r="AV7" s="50"/>
      <c r="AW7" s="46"/>
      <c r="AX7" s="45"/>
      <c r="AY7" s="45"/>
      <c r="AZ7" s="49"/>
      <c r="BA7" s="47"/>
      <c r="BB7" s="50"/>
      <c r="BC7" s="43"/>
      <c r="BD7" s="59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</row>
    <row r="8" ht="18.75" customHeight="1">
      <c r="A8" s="38">
        <v>3.0</v>
      </c>
      <c r="B8" s="54"/>
      <c r="C8" s="40">
        <f t="shared" si="1"/>
        <v>0</v>
      </c>
      <c r="D8" s="102">
        <f t="shared" si="2"/>
        <v>0</v>
      </c>
      <c r="E8" s="113">
        <f t="shared" si="3"/>
        <v>0</v>
      </c>
      <c r="F8" s="42">
        <f t="shared" si="4"/>
        <v>0</v>
      </c>
      <c r="G8" s="44"/>
      <c r="H8" s="45"/>
      <c r="I8" s="45"/>
      <c r="J8" s="49"/>
      <c r="K8" s="47"/>
      <c r="L8" s="50"/>
      <c r="M8" s="44"/>
      <c r="N8" s="45"/>
      <c r="O8" s="45"/>
      <c r="P8" s="49"/>
      <c r="Q8" s="47"/>
      <c r="R8" s="60"/>
      <c r="S8" s="46"/>
      <c r="T8" s="45"/>
      <c r="U8" s="45"/>
      <c r="V8" s="46"/>
      <c r="W8" s="47"/>
      <c r="X8" s="50"/>
      <c r="Y8" s="46"/>
      <c r="Z8" s="45"/>
      <c r="AA8" s="45"/>
      <c r="AB8" s="46"/>
      <c r="AC8" s="51"/>
      <c r="AD8" s="48"/>
      <c r="AE8" s="46"/>
      <c r="AF8" s="45"/>
      <c r="AG8" s="45"/>
      <c r="AH8" s="46"/>
      <c r="AI8" s="51"/>
      <c r="AJ8" s="48"/>
      <c r="AK8" s="46"/>
      <c r="AL8" s="45"/>
      <c r="AM8" s="45"/>
      <c r="AN8" s="46"/>
      <c r="AO8" s="47"/>
      <c r="AP8" s="50"/>
      <c r="AQ8" s="46"/>
      <c r="AR8" s="45"/>
      <c r="AS8" s="45"/>
      <c r="AT8" s="49"/>
      <c r="AU8" s="47"/>
      <c r="AV8" s="50"/>
      <c r="AW8" s="46"/>
      <c r="AX8" s="45"/>
      <c r="AY8" s="45"/>
      <c r="AZ8" s="49"/>
      <c r="BA8" s="47"/>
      <c r="BB8" s="50"/>
      <c r="BC8" s="43"/>
      <c r="BD8" s="53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</row>
    <row r="9" ht="18.75" customHeight="1">
      <c r="A9" s="38">
        <v>4.0</v>
      </c>
      <c r="B9" s="54"/>
      <c r="C9" s="40">
        <f t="shared" si="1"/>
        <v>0</v>
      </c>
      <c r="D9" s="102">
        <f t="shared" si="2"/>
        <v>0</v>
      </c>
      <c r="E9" s="113">
        <f t="shared" si="3"/>
        <v>0</v>
      </c>
      <c r="F9" s="42">
        <f t="shared" si="4"/>
        <v>0</v>
      </c>
      <c r="G9" s="44"/>
      <c r="H9" s="45"/>
      <c r="I9" s="45"/>
      <c r="J9" s="49"/>
      <c r="K9" s="47"/>
      <c r="L9" s="50"/>
      <c r="M9" s="44"/>
      <c r="N9" s="45"/>
      <c r="O9" s="45"/>
      <c r="P9" s="49"/>
      <c r="Q9" s="47"/>
      <c r="R9" s="50"/>
      <c r="S9" s="46"/>
      <c r="T9" s="45"/>
      <c r="U9" s="45"/>
      <c r="V9" s="49"/>
      <c r="W9" s="47"/>
      <c r="X9" s="50"/>
      <c r="Y9" s="46"/>
      <c r="Z9" s="45"/>
      <c r="AA9" s="45"/>
      <c r="AB9" s="49"/>
      <c r="AC9" s="47"/>
      <c r="AD9" s="50"/>
      <c r="AE9" s="46"/>
      <c r="AF9" s="45"/>
      <c r="AG9" s="45"/>
      <c r="AH9" s="49"/>
      <c r="AI9" s="47"/>
      <c r="AJ9" s="50"/>
      <c r="AK9" s="46"/>
      <c r="AL9" s="56"/>
      <c r="AM9" s="45"/>
      <c r="AN9" s="46"/>
      <c r="AO9" s="47"/>
      <c r="AP9" s="48"/>
      <c r="AQ9" s="46"/>
      <c r="AR9" s="56"/>
      <c r="AS9" s="45"/>
      <c r="AT9" s="49"/>
      <c r="AU9" s="47"/>
      <c r="AV9" s="50"/>
      <c r="AW9" s="46"/>
      <c r="AX9" s="56"/>
      <c r="AY9" s="45"/>
      <c r="AZ9" s="49"/>
      <c r="BA9" s="47"/>
      <c r="BB9" s="50"/>
      <c r="BC9" s="58"/>
      <c r="BD9" s="53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</row>
    <row r="10" ht="18.75" customHeight="1">
      <c r="A10" s="38">
        <v>5.0</v>
      </c>
      <c r="B10" s="54"/>
      <c r="C10" s="40">
        <f t="shared" si="1"/>
        <v>0</v>
      </c>
      <c r="D10" s="102">
        <f t="shared" si="2"/>
        <v>0</v>
      </c>
      <c r="E10" s="113">
        <f t="shared" si="3"/>
        <v>0</v>
      </c>
      <c r="F10" s="42">
        <f t="shared" si="4"/>
        <v>0</v>
      </c>
      <c r="G10" s="44"/>
      <c r="H10" s="45"/>
      <c r="I10" s="45"/>
      <c r="J10" s="49"/>
      <c r="K10" s="47"/>
      <c r="L10" s="50"/>
      <c r="M10" s="44"/>
      <c r="N10" s="45"/>
      <c r="O10" s="45"/>
      <c r="P10" s="46"/>
      <c r="Q10" s="47"/>
      <c r="R10" s="48"/>
      <c r="S10" s="46"/>
      <c r="T10" s="45"/>
      <c r="U10" s="45"/>
      <c r="V10" s="46"/>
      <c r="W10" s="47"/>
      <c r="X10" s="48"/>
      <c r="Y10" s="46"/>
      <c r="Z10" s="45"/>
      <c r="AA10" s="45"/>
      <c r="AB10" s="46"/>
      <c r="AC10" s="47"/>
      <c r="AD10" s="50"/>
      <c r="AE10" s="46"/>
      <c r="AF10" s="45"/>
      <c r="AG10" s="45"/>
      <c r="AH10" s="46"/>
      <c r="AI10" s="47"/>
      <c r="AJ10" s="50"/>
      <c r="AK10" s="46"/>
      <c r="AL10" s="45"/>
      <c r="AM10" s="45"/>
      <c r="AN10" s="49"/>
      <c r="AO10" s="47"/>
      <c r="AP10" s="50"/>
      <c r="AQ10" s="46"/>
      <c r="AR10" s="45"/>
      <c r="AS10" s="45"/>
      <c r="AT10" s="49"/>
      <c r="AU10" s="47"/>
      <c r="AV10" s="50"/>
      <c r="AW10" s="46"/>
      <c r="AX10" s="45"/>
      <c r="AY10" s="45"/>
      <c r="AZ10" s="46"/>
      <c r="BA10" s="47"/>
      <c r="BB10" s="48"/>
      <c r="BC10" s="58"/>
      <c r="BD10" s="53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</row>
    <row r="11" ht="18.75" customHeight="1">
      <c r="A11" s="38">
        <v>6.0</v>
      </c>
      <c r="B11" s="54"/>
      <c r="C11" s="40">
        <f t="shared" si="1"/>
        <v>0</v>
      </c>
      <c r="D11" s="102">
        <f t="shared" si="2"/>
        <v>0</v>
      </c>
      <c r="E11" s="113">
        <f t="shared" si="3"/>
        <v>0</v>
      </c>
      <c r="F11" s="42">
        <f t="shared" si="4"/>
        <v>0</v>
      </c>
      <c r="G11" s="44"/>
      <c r="H11" s="45"/>
      <c r="I11" s="45"/>
      <c r="J11" s="49"/>
      <c r="K11" s="47"/>
      <c r="L11" s="50"/>
      <c r="M11" s="44"/>
      <c r="N11" s="56"/>
      <c r="O11" s="45"/>
      <c r="P11" s="49"/>
      <c r="Q11" s="47"/>
      <c r="R11" s="50"/>
      <c r="S11" s="46"/>
      <c r="T11" s="45"/>
      <c r="U11" s="45"/>
      <c r="V11" s="46"/>
      <c r="W11" s="51"/>
      <c r="X11" s="61"/>
      <c r="Y11" s="46"/>
      <c r="Z11" s="45"/>
      <c r="AA11" s="45"/>
      <c r="AB11" s="49"/>
      <c r="AC11" s="47"/>
      <c r="AD11" s="50"/>
      <c r="AE11" s="46"/>
      <c r="AF11" s="56"/>
      <c r="AG11" s="45"/>
      <c r="AH11" s="49"/>
      <c r="AI11" s="47"/>
      <c r="AJ11" s="50"/>
      <c r="AK11" s="46"/>
      <c r="AL11" s="45"/>
      <c r="AM11" s="45"/>
      <c r="AN11" s="49"/>
      <c r="AO11" s="47"/>
      <c r="AP11" s="50"/>
      <c r="AQ11" s="46"/>
      <c r="AR11" s="45"/>
      <c r="AS11" s="45"/>
      <c r="AT11" s="46"/>
      <c r="AU11" s="47"/>
      <c r="AV11" s="50"/>
      <c r="AW11" s="46"/>
      <c r="AX11" s="45"/>
      <c r="AY11" s="45"/>
      <c r="AZ11" s="49"/>
      <c r="BA11" s="47"/>
      <c r="BB11" s="50"/>
      <c r="BC11" s="58"/>
      <c r="BD11" s="53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</row>
    <row r="12" ht="18.75" customHeight="1">
      <c r="A12" s="38">
        <v>7.0</v>
      </c>
      <c r="B12" s="54"/>
      <c r="C12" s="40">
        <f t="shared" si="1"/>
        <v>0</v>
      </c>
      <c r="D12" s="102">
        <f t="shared" si="2"/>
        <v>0</v>
      </c>
      <c r="E12" s="113">
        <f t="shared" si="3"/>
        <v>0</v>
      </c>
      <c r="F12" s="42">
        <f t="shared" si="4"/>
        <v>0</v>
      </c>
      <c r="G12" s="44"/>
      <c r="H12" s="45"/>
      <c r="I12" s="45"/>
      <c r="J12" s="49"/>
      <c r="K12" s="47"/>
      <c r="L12" s="50"/>
      <c r="M12" s="44"/>
      <c r="N12" s="45"/>
      <c r="O12" s="45"/>
      <c r="P12" s="49"/>
      <c r="Q12" s="47"/>
      <c r="R12" s="50"/>
      <c r="S12" s="46"/>
      <c r="T12" s="45"/>
      <c r="U12" s="45"/>
      <c r="V12" s="49"/>
      <c r="W12" s="47"/>
      <c r="X12" s="50"/>
      <c r="Y12" s="46"/>
      <c r="Z12" s="45"/>
      <c r="AA12" s="45"/>
      <c r="AB12" s="49"/>
      <c r="AC12" s="47"/>
      <c r="AD12" s="50"/>
      <c r="AE12" s="46"/>
      <c r="AF12" s="45"/>
      <c r="AG12" s="45"/>
      <c r="AH12" s="46"/>
      <c r="AI12" s="47"/>
      <c r="AJ12" s="50"/>
      <c r="AK12" s="46"/>
      <c r="AL12" s="56"/>
      <c r="AM12" s="45"/>
      <c r="AN12" s="49"/>
      <c r="AO12" s="47"/>
      <c r="AP12" s="50"/>
      <c r="AQ12" s="46"/>
      <c r="AR12" s="45"/>
      <c r="AS12" s="45"/>
      <c r="AT12" s="46"/>
      <c r="AU12" s="47"/>
      <c r="AV12" s="50"/>
      <c r="AW12" s="46"/>
      <c r="AX12" s="45"/>
      <c r="AY12" s="45"/>
      <c r="AZ12" s="49"/>
      <c r="BA12" s="47"/>
      <c r="BB12" s="50"/>
      <c r="BC12" s="43"/>
      <c r="BD12" s="53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</row>
    <row r="13" ht="18.75" customHeight="1">
      <c r="A13" s="38">
        <v>8.0</v>
      </c>
      <c r="B13" s="54"/>
      <c r="C13" s="40">
        <f t="shared" si="1"/>
        <v>0</v>
      </c>
      <c r="D13" s="102">
        <f t="shared" si="2"/>
        <v>0</v>
      </c>
      <c r="E13" s="113">
        <f t="shared" si="3"/>
        <v>0</v>
      </c>
      <c r="F13" s="42">
        <f t="shared" si="4"/>
        <v>0</v>
      </c>
      <c r="G13" s="44"/>
      <c r="H13" s="45"/>
      <c r="I13" s="45"/>
      <c r="J13" s="46"/>
      <c r="K13" s="47"/>
      <c r="L13" s="50"/>
      <c r="M13" s="44"/>
      <c r="N13" s="45"/>
      <c r="O13" s="45"/>
      <c r="P13" s="46"/>
      <c r="Q13" s="51"/>
      <c r="R13" s="48"/>
      <c r="S13" s="46"/>
      <c r="T13" s="45"/>
      <c r="U13" s="45"/>
      <c r="V13" s="46"/>
      <c r="W13" s="47"/>
      <c r="X13" s="50"/>
      <c r="Y13" s="46"/>
      <c r="Z13" s="56"/>
      <c r="AA13" s="45"/>
      <c r="AB13" s="49"/>
      <c r="AC13" s="47"/>
      <c r="AD13" s="50"/>
      <c r="AE13" s="46"/>
      <c r="AF13" s="45"/>
      <c r="AG13" s="45"/>
      <c r="AH13" s="49"/>
      <c r="AI13" s="47"/>
      <c r="AJ13" s="50"/>
      <c r="AK13" s="46"/>
      <c r="AL13" s="56"/>
      <c r="AM13" s="45"/>
      <c r="AN13" s="49"/>
      <c r="AO13" s="47"/>
      <c r="AP13" s="50"/>
      <c r="AQ13" s="46"/>
      <c r="AR13" s="56"/>
      <c r="AS13" s="45"/>
      <c r="AT13" s="49"/>
      <c r="AU13" s="47"/>
      <c r="AV13" s="50"/>
      <c r="AW13" s="46"/>
      <c r="AX13" s="56"/>
      <c r="AY13" s="45"/>
      <c r="AZ13" s="49"/>
      <c r="BA13" s="47"/>
      <c r="BB13" s="50"/>
      <c r="BC13" s="43"/>
      <c r="BD13" s="53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</row>
    <row r="14" ht="18.75" customHeight="1">
      <c r="A14" s="38">
        <v>9.0</v>
      </c>
      <c r="B14" s="54"/>
      <c r="C14" s="40">
        <f t="shared" si="1"/>
        <v>0</v>
      </c>
      <c r="D14" s="102">
        <f t="shared" si="2"/>
        <v>0</v>
      </c>
      <c r="E14" s="113">
        <f t="shared" si="3"/>
        <v>0</v>
      </c>
      <c r="F14" s="42">
        <f t="shared" si="4"/>
        <v>0</v>
      </c>
      <c r="G14" s="44"/>
      <c r="H14" s="45"/>
      <c r="I14" s="45"/>
      <c r="J14" s="46"/>
      <c r="K14" s="51"/>
      <c r="L14" s="48"/>
      <c r="M14" s="44"/>
      <c r="N14" s="45"/>
      <c r="O14" s="45"/>
      <c r="P14" s="49"/>
      <c r="Q14" s="47"/>
      <c r="R14" s="50"/>
      <c r="S14" s="46"/>
      <c r="T14" s="56"/>
      <c r="U14" s="45"/>
      <c r="V14" s="46"/>
      <c r="W14" s="47"/>
      <c r="X14" s="50"/>
      <c r="Y14" s="46"/>
      <c r="Z14" s="45"/>
      <c r="AA14" s="45"/>
      <c r="AB14" s="49"/>
      <c r="AC14" s="47"/>
      <c r="AD14" s="50"/>
      <c r="AE14" s="46"/>
      <c r="AF14" s="45"/>
      <c r="AG14" s="45"/>
      <c r="AH14" s="46"/>
      <c r="AI14" s="51"/>
      <c r="AJ14" s="48"/>
      <c r="AK14" s="46"/>
      <c r="AL14" s="56"/>
      <c r="AM14" s="45"/>
      <c r="AN14" s="46"/>
      <c r="AO14" s="47"/>
      <c r="AP14" s="48"/>
      <c r="AQ14" s="46"/>
      <c r="AR14" s="45"/>
      <c r="AS14" s="45"/>
      <c r="AT14" s="46"/>
      <c r="AU14" s="47"/>
      <c r="AV14" s="48"/>
      <c r="AW14" s="46"/>
      <c r="AX14" s="45"/>
      <c r="AY14" s="45"/>
      <c r="AZ14" s="46"/>
      <c r="BA14" s="47"/>
      <c r="BB14" s="48"/>
      <c r="BC14" s="43"/>
      <c r="BD14" s="53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</row>
    <row r="15" ht="18.75" customHeight="1">
      <c r="A15" s="62">
        <v>10.0</v>
      </c>
      <c r="B15" s="104"/>
      <c r="C15" s="63">
        <f t="shared" si="1"/>
        <v>0</v>
      </c>
      <c r="D15" s="105">
        <f t="shared" si="2"/>
        <v>0</v>
      </c>
      <c r="E15" s="114">
        <f t="shared" si="3"/>
        <v>0</v>
      </c>
      <c r="F15" s="65">
        <f t="shared" si="4"/>
        <v>0</v>
      </c>
      <c r="G15" s="67"/>
      <c r="H15" s="68"/>
      <c r="I15" s="68"/>
      <c r="J15" s="57"/>
      <c r="K15" s="73"/>
      <c r="L15" s="71"/>
      <c r="M15" s="67"/>
      <c r="N15" s="72"/>
      <c r="O15" s="68"/>
      <c r="P15" s="69"/>
      <c r="Q15" s="73"/>
      <c r="R15" s="71"/>
      <c r="S15" s="57"/>
      <c r="T15" s="68"/>
      <c r="U15" s="68"/>
      <c r="V15" s="69"/>
      <c r="W15" s="73"/>
      <c r="X15" s="71"/>
      <c r="Y15" s="57"/>
      <c r="Z15" s="72"/>
      <c r="AA15" s="68"/>
      <c r="AB15" s="57"/>
      <c r="AC15" s="72"/>
      <c r="AD15" s="115"/>
      <c r="AE15" s="57"/>
      <c r="AF15" s="68"/>
      <c r="AG15" s="68"/>
      <c r="AH15" s="69"/>
      <c r="AI15" s="73"/>
      <c r="AJ15" s="115"/>
      <c r="AK15" s="57"/>
      <c r="AL15" s="68"/>
      <c r="AM15" s="68"/>
      <c r="AN15" s="69"/>
      <c r="AO15" s="72"/>
      <c r="AP15" s="115"/>
      <c r="AQ15" s="57"/>
      <c r="AR15" s="68"/>
      <c r="AS15" s="68"/>
      <c r="AT15" s="57"/>
      <c r="AU15" s="73"/>
      <c r="AV15" s="115"/>
      <c r="AW15" s="57"/>
      <c r="AX15" s="68"/>
      <c r="AY15" s="68"/>
      <c r="AZ15" s="69"/>
      <c r="BA15" s="73"/>
      <c r="BB15" s="115"/>
      <c r="BC15" s="66"/>
      <c r="BD15" s="53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</row>
    <row r="16">
      <c r="A16" s="74" t="s">
        <v>27</v>
      </c>
      <c r="B16" s="75"/>
      <c r="C16" s="2"/>
      <c r="D16" s="2"/>
      <c r="E16" s="2"/>
      <c r="F16" s="4"/>
      <c r="G16" s="109"/>
      <c r="L16" s="77"/>
      <c r="M16" s="116"/>
      <c r="R16" s="77"/>
      <c r="S16" s="80"/>
      <c r="X16" s="77"/>
      <c r="Y16" s="80"/>
      <c r="AD16" s="77"/>
      <c r="AE16" s="80"/>
      <c r="AJ16" s="77"/>
      <c r="AK16" s="80"/>
      <c r="AP16" s="77"/>
      <c r="AQ16" s="80"/>
      <c r="AV16" s="77"/>
      <c r="AW16" s="80"/>
      <c r="BB16" s="77"/>
      <c r="BC16" s="9"/>
      <c r="BD16" s="79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9"/>
      <c r="BD17" s="79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88"/>
      <c r="N18" s="86"/>
      <c r="O18" s="86"/>
      <c r="P18" s="86"/>
      <c r="Q18" s="86"/>
      <c r="R18" s="87"/>
      <c r="S18" s="88"/>
      <c r="T18" s="86"/>
      <c r="U18" s="86"/>
      <c r="V18" s="86"/>
      <c r="W18" s="86"/>
      <c r="X18" s="87"/>
      <c r="Y18" s="88"/>
      <c r="Z18" s="86"/>
      <c r="AA18" s="86"/>
      <c r="AB18" s="86"/>
      <c r="AC18" s="86"/>
      <c r="AD18" s="87"/>
      <c r="AE18" s="88"/>
      <c r="AF18" s="86"/>
      <c r="AG18" s="86"/>
      <c r="AH18" s="86"/>
      <c r="AI18" s="86"/>
      <c r="AJ18" s="87"/>
      <c r="AK18" s="88"/>
      <c r="AL18" s="86"/>
      <c r="AM18" s="86"/>
      <c r="AN18" s="86"/>
      <c r="AO18" s="86"/>
      <c r="AP18" s="87"/>
      <c r="AQ18" s="88"/>
      <c r="AR18" s="86"/>
      <c r="AS18" s="86"/>
      <c r="AT18" s="86"/>
      <c r="AU18" s="86"/>
      <c r="AV18" s="87"/>
      <c r="AW18" s="88"/>
      <c r="AX18" s="86"/>
      <c r="AY18" s="86"/>
      <c r="AZ18" s="86"/>
      <c r="BA18" s="86"/>
      <c r="BB18" s="87"/>
      <c r="BC18" s="9"/>
      <c r="BD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9"/>
      <c r="BD19" s="9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9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9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9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5"/>
    </row>
    <row r="24">
      <c r="A24" s="96" t="s">
        <v>34</v>
      </c>
      <c r="B24" s="96" t="s">
        <v>35</v>
      </c>
      <c r="C24" s="96" t="s">
        <v>36</v>
      </c>
      <c r="D24" s="96" t="s">
        <v>37</v>
      </c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99"/>
      <c r="B29" s="99"/>
      <c r="C29" s="99"/>
    </row>
    <row r="30">
      <c r="A30" s="99"/>
      <c r="B30" s="99"/>
      <c r="C30" s="99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5">
    <mergeCell ref="M4:R4"/>
    <mergeCell ref="S4:X4"/>
    <mergeCell ref="Y4:AD4"/>
    <mergeCell ref="AE4:AJ4"/>
    <mergeCell ref="AK4:AP4"/>
    <mergeCell ref="AQ4:AV4"/>
    <mergeCell ref="AW4:BB4"/>
    <mergeCell ref="BC4:BC5"/>
    <mergeCell ref="M16:R17"/>
    <mergeCell ref="S16:X17"/>
    <mergeCell ref="Y16:AD17"/>
    <mergeCell ref="AE16:AJ17"/>
    <mergeCell ref="AK16:AP17"/>
    <mergeCell ref="AQ16:AV17"/>
    <mergeCell ref="AW16:BB17"/>
    <mergeCell ref="AQ18:AV18"/>
    <mergeCell ref="AW18:BB18"/>
    <mergeCell ref="G16:L17"/>
    <mergeCell ref="G18:L18"/>
    <mergeCell ref="M18:R18"/>
    <mergeCell ref="S18:X18"/>
    <mergeCell ref="Y18:AD18"/>
    <mergeCell ref="AE18:AJ18"/>
    <mergeCell ref="AK18:AP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 AX6:AX15">
      <formula1>"2,50"</formula1>
    </dataValidation>
    <dataValidation type="list" allowBlank="1" showErrorMessage="1" sqref="J6:J15 P6:P15 V6:V15 AB6:AB15 AH6:AH15 AN6:AN15 AT6:AT15 AZ6:AZ15">
      <formula1>"У/Победа,У/Проигрыш,ПУ"</formula1>
    </dataValidation>
    <dataValidation type="list" allowBlank="1" showErrorMessage="1" sqref="G6:G15 M6:M15 S6:S15 Y6:Y15 AE6:AE15 AK6:AK15 AQ6:AQ15 AW6:AW15">
      <formula1>"Мирный,Шериф,Мафия,Дон"</formula1>
    </dataValidation>
    <dataValidation type="list" allowBlank="1" showErrorMessage="1" sqref="B26:B40">
      <formula1>'1 Полуфинал'!$B$6:$B$15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6" max="6" width="11.63"/>
    <col customWidth="1" min="49" max="49" width="13.5"/>
  </cols>
  <sheetData>
    <row r="1">
      <c r="A1" s="117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41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43</v>
      </c>
      <c r="C6" s="40">
        <f t="shared" ref="C6:C15" si="1">SUM(H6:AW6)</f>
        <v>25</v>
      </c>
      <c r="D6" s="100">
        <f t="shared" ref="D6:D15" si="2">E6/2.5</f>
        <v>2</v>
      </c>
      <c r="E6" s="101">
        <f t="shared" ref="E6:E15" si="3">SUM(H6+N6+T6+Z6+AF6+AL6+AR6)</f>
        <v>5</v>
      </c>
      <c r="F6" s="119">
        <f t="shared" ref="F6:F15" si="4">C6-E6-AW6</f>
        <v>20</v>
      </c>
      <c r="G6" s="44" t="s">
        <v>30</v>
      </c>
      <c r="H6" s="45"/>
      <c r="I6" s="45">
        <v>3.0</v>
      </c>
      <c r="J6" s="49"/>
      <c r="K6" s="47"/>
      <c r="L6" s="50"/>
      <c r="M6" s="44" t="s">
        <v>44</v>
      </c>
      <c r="N6" s="56"/>
      <c r="O6" s="45">
        <v>2.0</v>
      </c>
      <c r="P6" s="49"/>
      <c r="Q6" s="47"/>
      <c r="R6" s="50"/>
      <c r="S6" s="46" t="s">
        <v>29</v>
      </c>
      <c r="T6" s="45">
        <v>2.5</v>
      </c>
      <c r="U6" s="45">
        <v>3.25</v>
      </c>
      <c r="V6" s="49"/>
      <c r="W6" s="47"/>
      <c r="X6" s="50"/>
      <c r="Y6" s="46" t="s">
        <v>44</v>
      </c>
      <c r="Z6" s="56"/>
      <c r="AA6" s="45">
        <v>3.25</v>
      </c>
      <c r="AB6" s="49"/>
      <c r="AC6" s="47"/>
      <c r="AD6" s="50"/>
      <c r="AE6" s="46" t="s">
        <v>44</v>
      </c>
      <c r="AF6" s="45">
        <v>2.5</v>
      </c>
      <c r="AG6" s="120">
        <v>2.5</v>
      </c>
      <c r="AH6" s="49"/>
      <c r="AI6" s="47"/>
      <c r="AJ6" s="50"/>
      <c r="AK6" s="46" t="s">
        <v>44</v>
      </c>
      <c r="AL6" s="56"/>
      <c r="AM6" s="45">
        <v>3.25</v>
      </c>
      <c r="AN6" s="46" t="s">
        <v>31</v>
      </c>
      <c r="AO6" s="51">
        <v>0.5</v>
      </c>
      <c r="AP6" s="48">
        <v>0.5</v>
      </c>
      <c r="AQ6" s="46" t="s">
        <v>44</v>
      </c>
      <c r="AR6" s="56"/>
      <c r="AS6" s="45">
        <v>1.75</v>
      </c>
      <c r="AT6" s="49"/>
      <c r="AU6" s="47"/>
      <c r="AV6" s="50"/>
      <c r="AW6" s="11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45</v>
      </c>
      <c r="C7" s="40">
        <f t="shared" si="1"/>
        <v>35.75</v>
      </c>
      <c r="D7" s="102">
        <f t="shared" si="2"/>
        <v>5</v>
      </c>
      <c r="E7" s="103">
        <f t="shared" si="3"/>
        <v>12.5</v>
      </c>
      <c r="F7" s="119">
        <f t="shared" si="4"/>
        <v>23.25</v>
      </c>
      <c r="G7" s="44" t="s">
        <v>44</v>
      </c>
      <c r="H7" s="45">
        <v>2.5</v>
      </c>
      <c r="I7" s="45">
        <v>3.0</v>
      </c>
      <c r="J7" s="46" t="s">
        <v>31</v>
      </c>
      <c r="K7" s="51">
        <v>0.5</v>
      </c>
      <c r="L7" s="48">
        <v>0.5</v>
      </c>
      <c r="M7" s="44" t="s">
        <v>28</v>
      </c>
      <c r="N7" s="45">
        <v>2.5</v>
      </c>
      <c r="O7" s="45">
        <v>3.75</v>
      </c>
      <c r="P7" s="49"/>
      <c r="Q7" s="47"/>
      <c r="R7" s="50"/>
      <c r="S7" s="46" t="s">
        <v>44</v>
      </c>
      <c r="T7" s="45">
        <v>2.5</v>
      </c>
      <c r="U7" s="45">
        <v>3.0</v>
      </c>
      <c r="V7" s="49"/>
      <c r="W7" s="47"/>
      <c r="X7" s="50"/>
      <c r="Y7" s="46" t="s">
        <v>30</v>
      </c>
      <c r="Z7" s="45">
        <v>2.5</v>
      </c>
      <c r="AA7" s="45">
        <v>3.75</v>
      </c>
      <c r="AB7" s="49"/>
      <c r="AC7" s="56"/>
      <c r="AD7" s="60"/>
      <c r="AE7" s="46" t="s">
        <v>29</v>
      </c>
      <c r="AF7" s="45">
        <v>2.5</v>
      </c>
      <c r="AG7" s="45">
        <v>4.25</v>
      </c>
      <c r="AH7" s="49"/>
      <c r="AI7" s="47"/>
      <c r="AJ7" s="60"/>
      <c r="AK7" s="46" t="s">
        <v>44</v>
      </c>
      <c r="AL7" s="56"/>
      <c r="AM7" s="45">
        <v>3.0</v>
      </c>
      <c r="AN7" s="49"/>
      <c r="AO7" s="56"/>
      <c r="AP7" s="60"/>
      <c r="AQ7" s="46" t="s">
        <v>44</v>
      </c>
      <c r="AR7" s="56"/>
      <c r="AS7" s="45">
        <v>1.5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46</v>
      </c>
      <c r="C8" s="40">
        <f t="shared" si="1"/>
        <v>33</v>
      </c>
      <c r="D8" s="102">
        <f t="shared" si="2"/>
        <v>5</v>
      </c>
      <c r="E8" s="103">
        <f t="shared" si="3"/>
        <v>12.5</v>
      </c>
      <c r="F8" s="119">
        <f t="shared" si="4"/>
        <v>20.5</v>
      </c>
      <c r="G8" s="44" t="s">
        <v>44</v>
      </c>
      <c r="H8" s="45">
        <v>2.5</v>
      </c>
      <c r="I8" s="45">
        <v>3.75</v>
      </c>
      <c r="J8" s="49"/>
      <c r="K8" s="47"/>
      <c r="L8" s="50"/>
      <c r="M8" s="44" t="s">
        <v>28</v>
      </c>
      <c r="N8" s="45">
        <v>2.5</v>
      </c>
      <c r="O8" s="45">
        <v>3.25</v>
      </c>
      <c r="P8" s="49"/>
      <c r="Q8" s="47"/>
      <c r="R8" s="50"/>
      <c r="S8" s="46" t="s">
        <v>44</v>
      </c>
      <c r="T8" s="45">
        <v>2.5</v>
      </c>
      <c r="U8" s="45">
        <v>2.5</v>
      </c>
      <c r="V8" s="49"/>
      <c r="W8" s="47"/>
      <c r="X8" s="60"/>
      <c r="Y8" s="46" t="s">
        <v>28</v>
      </c>
      <c r="Z8" s="45">
        <v>2.5</v>
      </c>
      <c r="AA8" s="45">
        <v>3.0</v>
      </c>
      <c r="AB8" s="49"/>
      <c r="AC8" s="47"/>
      <c r="AD8" s="50"/>
      <c r="AE8" s="46" t="s">
        <v>44</v>
      </c>
      <c r="AF8" s="45">
        <v>2.5</v>
      </c>
      <c r="AG8" s="45">
        <v>2.75</v>
      </c>
      <c r="AH8" s="49"/>
      <c r="AI8" s="47"/>
      <c r="AJ8" s="50"/>
      <c r="AK8" s="46" t="s">
        <v>44</v>
      </c>
      <c r="AL8" s="56"/>
      <c r="AM8" s="45">
        <v>2.0</v>
      </c>
      <c r="AN8" s="49"/>
      <c r="AO8" s="47"/>
      <c r="AP8" s="50"/>
      <c r="AQ8" s="46" t="s">
        <v>44</v>
      </c>
      <c r="AR8" s="56"/>
      <c r="AS8" s="45">
        <v>2.75</v>
      </c>
      <c r="AT8" s="46" t="s">
        <v>31</v>
      </c>
      <c r="AU8" s="51"/>
      <c r="AV8" s="48">
        <v>0.5</v>
      </c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47</v>
      </c>
      <c r="C9" s="40">
        <f t="shared" si="1"/>
        <v>20</v>
      </c>
      <c r="D9" s="102">
        <f t="shared" si="2"/>
        <v>2</v>
      </c>
      <c r="E9" s="103">
        <f t="shared" si="3"/>
        <v>5</v>
      </c>
      <c r="F9" s="119">
        <f t="shared" si="4"/>
        <v>15</v>
      </c>
      <c r="G9" s="44" t="s">
        <v>44</v>
      </c>
      <c r="H9" s="45">
        <v>2.5</v>
      </c>
      <c r="I9" s="45">
        <v>2.5</v>
      </c>
      <c r="J9" s="49"/>
      <c r="K9" s="47"/>
      <c r="L9" s="50"/>
      <c r="M9" s="44" t="s">
        <v>29</v>
      </c>
      <c r="N9" s="56"/>
      <c r="O9" s="45">
        <v>2.25</v>
      </c>
      <c r="P9" s="49"/>
      <c r="Q9" s="47"/>
      <c r="R9" s="50"/>
      <c r="S9" s="46" t="s">
        <v>28</v>
      </c>
      <c r="T9" s="56"/>
      <c r="U9" s="45">
        <v>2.5</v>
      </c>
      <c r="V9" s="49"/>
      <c r="W9" s="47"/>
      <c r="X9" s="50"/>
      <c r="Y9" s="46" t="s">
        <v>44</v>
      </c>
      <c r="Z9" s="56"/>
      <c r="AA9" s="45">
        <v>1.25</v>
      </c>
      <c r="AB9" s="49"/>
      <c r="AC9" s="47"/>
      <c r="AD9" s="50"/>
      <c r="AE9" s="46" t="s">
        <v>30</v>
      </c>
      <c r="AF9" s="56"/>
      <c r="AG9" s="45">
        <v>1.75</v>
      </c>
      <c r="AH9" s="49"/>
      <c r="AI9" s="47"/>
      <c r="AJ9" s="50"/>
      <c r="AK9" s="46" t="s">
        <v>44</v>
      </c>
      <c r="AL9" s="56"/>
      <c r="AM9" s="45">
        <v>1.75</v>
      </c>
      <c r="AN9" s="49"/>
      <c r="AO9" s="47"/>
      <c r="AP9" s="50"/>
      <c r="AQ9" s="46" t="s">
        <v>28</v>
      </c>
      <c r="AR9" s="45">
        <v>2.5</v>
      </c>
      <c r="AS9" s="45">
        <v>3.0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48</v>
      </c>
      <c r="C10" s="40">
        <f t="shared" si="1"/>
        <v>14.5</v>
      </c>
      <c r="D10" s="102">
        <f t="shared" si="2"/>
        <v>0</v>
      </c>
      <c r="E10" s="103">
        <f t="shared" si="3"/>
        <v>0</v>
      </c>
      <c r="F10" s="119">
        <f t="shared" si="4"/>
        <v>14.5</v>
      </c>
      <c r="G10" s="44" t="s">
        <v>28</v>
      </c>
      <c r="H10" s="56"/>
      <c r="I10" s="45">
        <v>1.75</v>
      </c>
      <c r="J10" s="49"/>
      <c r="K10" s="47"/>
      <c r="L10" s="50"/>
      <c r="M10" s="44" t="s">
        <v>44</v>
      </c>
      <c r="N10" s="56"/>
      <c r="O10" s="45">
        <v>2.5</v>
      </c>
      <c r="P10" s="49"/>
      <c r="Q10" s="47"/>
      <c r="R10" s="60"/>
      <c r="S10" s="46" t="s">
        <v>30</v>
      </c>
      <c r="T10" s="56"/>
      <c r="U10" s="45">
        <v>1.0</v>
      </c>
      <c r="V10" s="49"/>
      <c r="W10" s="47"/>
      <c r="X10" s="50"/>
      <c r="Y10" s="46" t="s">
        <v>44</v>
      </c>
      <c r="Z10" s="56"/>
      <c r="AA10" s="45">
        <v>2.25</v>
      </c>
      <c r="AB10" s="49"/>
      <c r="AC10" s="47"/>
      <c r="AD10" s="50"/>
      <c r="AE10" s="46" t="s">
        <v>28</v>
      </c>
      <c r="AF10" s="56"/>
      <c r="AG10" s="45">
        <v>2.0</v>
      </c>
      <c r="AH10" s="49"/>
      <c r="AI10" s="47"/>
      <c r="AJ10" s="50"/>
      <c r="AK10" s="46" t="s">
        <v>29</v>
      </c>
      <c r="AL10" s="56"/>
      <c r="AM10" s="45">
        <v>2.25</v>
      </c>
      <c r="AN10" s="49"/>
      <c r="AO10" s="47"/>
      <c r="AP10" s="50"/>
      <c r="AQ10" s="46" t="s">
        <v>44</v>
      </c>
      <c r="AR10" s="56"/>
      <c r="AS10" s="45">
        <v>2.75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49</v>
      </c>
      <c r="C11" s="40">
        <f t="shared" si="1"/>
        <v>42.25</v>
      </c>
      <c r="D11" s="102">
        <f t="shared" si="2"/>
        <v>7</v>
      </c>
      <c r="E11" s="103">
        <f t="shared" si="3"/>
        <v>17.5</v>
      </c>
      <c r="F11" s="119">
        <f t="shared" si="4"/>
        <v>24.75</v>
      </c>
      <c r="G11" s="44" t="s">
        <v>44</v>
      </c>
      <c r="H11" s="45">
        <v>2.5</v>
      </c>
      <c r="I11" s="45">
        <v>4.0</v>
      </c>
      <c r="J11" s="46"/>
      <c r="K11" s="47"/>
      <c r="L11" s="50"/>
      <c r="M11" s="44" t="s">
        <v>30</v>
      </c>
      <c r="N11" s="45">
        <v>2.5</v>
      </c>
      <c r="O11" s="45">
        <v>3.25</v>
      </c>
      <c r="P11" s="49"/>
      <c r="Q11" s="47"/>
      <c r="R11" s="50"/>
      <c r="S11" s="46" t="s">
        <v>44</v>
      </c>
      <c r="T11" s="45">
        <v>2.5</v>
      </c>
      <c r="U11" s="45">
        <v>3.75</v>
      </c>
      <c r="V11" s="49"/>
      <c r="W11" s="47"/>
      <c r="X11" s="50"/>
      <c r="Y11" s="46" t="s">
        <v>28</v>
      </c>
      <c r="Z11" s="45">
        <v>2.5</v>
      </c>
      <c r="AA11" s="45">
        <v>3.5</v>
      </c>
      <c r="AB11" s="49"/>
      <c r="AC11" s="47"/>
      <c r="AD11" s="50"/>
      <c r="AE11" s="46" t="s">
        <v>44</v>
      </c>
      <c r="AF11" s="45">
        <v>2.5</v>
      </c>
      <c r="AG11" s="45">
        <v>2.75</v>
      </c>
      <c r="AH11" s="49"/>
      <c r="AI11" s="47"/>
      <c r="AJ11" s="50"/>
      <c r="AK11" s="46" t="s">
        <v>30</v>
      </c>
      <c r="AL11" s="45">
        <v>2.5</v>
      </c>
      <c r="AM11" s="45">
        <v>3.5</v>
      </c>
      <c r="AN11" s="49"/>
      <c r="AO11" s="47"/>
      <c r="AP11" s="50"/>
      <c r="AQ11" s="46" t="s">
        <v>30</v>
      </c>
      <c r="AR11" s="45">
        <v>2.5</v>
      </c>
      <c r="AS11" s="45">
        <v>4.0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50</v>
      </c>
      <c r="C12" s="40">
        <f t="shared" si="1"/>
        <v>26.5</v>
      </c>
      <c r="D12" s="102">
        <f t="shared" si="2"/>
        <v>4</v>
      </c>
      <c r="E12" s="103">
        <f t="shared" si="3"/>
        <v>10</v>
      </c>
      <c r="F12" s="119">
        <f t="shared" si="4"/>
        <v>16.5</v>
      </c>
      <c r="G12" s="44" t="s">
        <v>44</v>
      </c>
      <c r="H12" s="45">
        <v>2.5</v>
      </c>
      <c r="I12" s="45">
        <v>2.0</v>
      </c>
      <c r="J12" s="46"/>
      <c r="K12" s="51"/>
      <c r="L12" s="48"/>
      <c r="M12" s="44" t="s">
        <v>44</v>
      </c>
      <c r="N12" s="56"/>
      <c r="O12" s="45">
        <v>1.75</v>
      </c>
      <c r="P12" s="49"/>
      <c r="Q12" s="47"/>
      <c r="R12" s="50"/>
      <c r="S12" s="46" t="s">
        <v>44</v>
      </c>
      <c r="T12" s="45">
        <v>2.5</v>
      </c>
      <c r="U12" s="45">
        <v>2.5</v>
      </c>
      <c r="V12" s="49"/>
      <c r="W12" s="47"/>
      <c r="X12" s="50"/>
      <c r="Y12" s="46" t="s">
        <v>29</v>
      </c>
      <c r="Z12" s="56"/>
      <c r="AA12" s="45">
        <v>1.75</v>
      </c>
      <c r="AB12" s="49"/>
      <c r="AC12" s="47"/>
      <c r="AD12" s="50"/>
      <c r="AE12" s="46" t="s">
        <v>44</v>
      </c>
      <c r="AF12" s="45">
        <v>2.5</v>
      </c>
      <c r="AG12" s="45">
        <v>3.5</v>
      </c>
      <c r="AH12" s="49"/>
      <c r="AI12" s="47"/>
      <c r="AJ12" s="50"/>
      <c r="AK12" s="46" t="s">
        <v>28</v>
      </c>
      <c r="AL12" s="45">
        <v>2.5</v>
      </c>
      <c r="AM12" s="45">
        <v>3.0</v>
      </c>
      <c r="AN12" s="49"/>
      <c r="AO12" s="47"/>
      <c r="AP12" s="50"/>
      <c r="AQ12" s="46" t="s">
        <v>44</v>
      </c>
      <c r="AR12" s="56"/>
      <c r="AS12" s="45">
        <v>2.0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51</v>
      </c>
      <c r="C13" s="40">
        <f t="shared" si="1"/>
        <v>13.25</v>
      </c>
      <c r="D13" s="102">
        <f t="shared" si="2"/>
        <v>0</v>
      </c>
      <c r="E13" s="103">
        <f t="shared" si="3"/>
        <v>0</v>
      </c>
      <c r="F13" s="119">
        <f t="shared" si="4"/>
        <v>13.25</v>
      </c>
      <c r="G13" s="44" t="s">
        <v>28</v>
      </c>
      <c r="H13" s="56"/>
      <c r="I13" s="45">
        <v>2.25</v>
      </c>
      <c r="J13" s="49"/>
      <c r="K13" s="51"/>
      <c r="L13" s="50"/>
      <c r="M13" s="44" t="s">
        <v>44</v>
      </c>
      <c r="N13" s="56"/>
      <c r="O13" s="45">
        <v>2.0</v>
      </c>
      <c r="P13" s="46" t="s">
        <v>31</v>
      </c>
      <c r="Q13" s="47"/>
      <c r="R13" s="48">
        <v>0.5</v>
      </c>
      <c r="S13" s="46" t="s">
        <v>28</v>
      </c>
      <c r="T13" s="56"/>
      <c r="U13" s="45">
        <v>1.5</v>
      </c>
      <c r="V13" s="49"/>
      <c r="W13" s="47"/>
      <c r="X13" s="50"/>
      <c r="Y13" s="46" t="s">
        <v>44</v>
      </c>
      <c r="Z13" s="56"/>
      <c r="AA13" s="45">
        <v>2.5</v>
      </c>
      <c r="AB13" s="49"/>
      <c r="AC13" s="47"/>
      <c r="AD13" s="50"/>
      <c r="AE13" s="46" t="s">
        <v>28</v>
      </c>
      <c r="AF13" s="56"/>
      <c r="AG13" s="45">
        <v>1.5</v>
      </c>
      <c r="AH13" s="49"/>
      <c r="AI13" s="47"/>
      <c r="AJ13" s="50"/>
      <c r="AK13" s="46" t="s">
        <v>44</v>
      </c>
      <c r="AL13" s="56"/>
      <c r="AM13" s="45">
        <v>1.5</v>
      </c>
      <c r="AN13" s="49"/>
      <c r="AO13" s="47"/>
      <c r="AP13" s="50"/>
      <c r="AQ13" s="46" t="s">
        <v>29</v>
      </c>
      <c r="AR13" s="56"/>
      <c r="AS13" s="45">
        <v>1.5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52</v>
      </c>
      <c r="C14" s="40">
        <f t="shared" si="1"/>
        <v>29</v>
      </c>
      <c r="D14" s="102">
        <f t="shared" si="2"/>
        <v>4</v>
      </c>
      <c r="E14" s="103">
        <f t="shared" si="3"/>
        <v>10</v>
      </c>
      <c r="F14" s="119">
        <f t="shared" si="4"/>
        <v>19</v>
      </c>
      <c r="G14" s="44" t="s">
        <v>29</v>
      </c>
      <c r="H14" s="45">
        <v>2.5</v>
      </c>
      <c r="I14" s="45">
        <v>2.0</v>
      </c>
      <c r="J14" s="46"/>
      <c r="K14" s="47"/>
      <c r="L14" s="60"/>
      <c r="M14" s="44" t="s">
        <v>44</v>
      </c>
      <c r="N14" s="56"/>
      <c r="O14" s="45">
        <v>1.5</v>
      </c>
      <c r="P14" s="49"/>
      <c r="Q14" s="47"/>
      <c r="R14" s="50"/>
      <c r="S14" s="46" t="s">
        <v>44</v>
      </c>
      <c r="T14" s="45">
        <v>2.5</v>
      </c>
      <c r="U14" s="45">
        <v>2.5</v>
      </c>
      <c r="V14" s="49"/>
      <c r="W14" s="47"/>
      <c r="X14" s="50"/>
      <c r="Y14" s="46" t="s">
        <v>44</v>
      </c>
      <c r="Z14" s="56"/>
      <c r="AA14" s="45">
        <v>2.0</v>
      </c>
      <c r="AB14" s="46" t="s">
        <v>31</v>
      </c>
      <c r="AC14" s="47"/>
      <c r="AD14" s="48">
        <v>0.5</v>
      </c>
      <c r="AE14" s="46" t="s">
        <v>44</v>
      </c>
      <c r="AF14" s="45">
        <v>2.5</v>
      </c>
      <c r="AG14" s="45">
        <v>3.25</v>
      </c>
      <c r="AH14" s="49"/>
      <c r="AI14" s="47"/>
      <c r="AJ14" s="50"/>
      <c r="AK14" s="46" t="s">
        <v>28</v>
      </c>
      <c r="AL14" s="45">
        <v>2.5</v>
      </c>
      <c r="AM14" s="45">
        <v>4.0</v>
      </c>
      <c r="AN14" s="49"/>
      <c r="AO14" s="47"/>
      <c r="AP14" s="50"/>
      <c r="AQ14" s="46" t="s">
        <v>44</v>
      </c>
      <c r="AR14" s="56"/>
      <c r="AS14" s="45">
        <v>3.25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53</v>
      </c>
      <c r="C15" s="40">
        <f t="shared" si="1"/>
        <v>29.75</v>
      </c>
      <c r="D15" s="105">
        <f t="shared" si="2"/>
        <v>4</v>
      </c>
      <c r="E15" s="106">
        <f t="shared" si="3"/>
        <v>10</v>
      </c>
      <c r="F15" s="123">
        <f t="shared" si="4"/>
        <v>19.75</v>
      </c>
      <c r="G15" s="67" t="s">
        <v>44</v>
      </c>
      <c r="H15" s="68">
        <v>2.5</v>
      </c>
      <c r="I15" s="68">
        <v>2.25</v>
      </c>
      <c r="J15" s="69"/>
      <c r="K15" s="73"/>
      <c r="L15" s="71"/>
      <c r="M15" s="67" t="s">
        <v>44</v>
      </c>
      <c r="N15" s="72"/>
      <c r="O15" s="68">
        <v>2.5</v>
      </c>
      <c r="P15" s="69"/>
      <c r="Q15" s="73"/>
      <c r="R15" s="71"/>
      <c r="S15" s="57" t="s">
        <v>44</v>
      </c>
      <c r="T15" s="68">
        <v>2.5</v>
      </c>
      <c r="U15" s="68">
        <v>4.0</v>
      </c>
      <c r="V15" s="69"/>
      <c r="W15" s="73"/>
      <c r="X15" s="71"/>
      <c r="Y15" s="57" t="s">
        <v>44</v>
      </c>
      <c r="Z15" s="72"/>
      <c r="AA15" s="68">
        <v>2.75</v>
      </c>
      <c r="AB15" s="69"/>
      <c r="AC15" s="73"/>
      <c r="AD15" s="71"/>
      <c r="AE15" s="57" t="s">
        <v>44</v>
      </c>
      <c r="AF15" s="68">
        <v>2.5</v>
      </c>
      <c r="AG15" s="68">
        <v>3.25</v>
      </c>
      <c r="AH15" s="69"/>
      <c r="AI15" s="73"/>
      <c r="AJ15" s="71"/>
      <c r="AK15" s="57" t="s">
        <v>44</v>
      </c>
      <c r="AL15" s="72"/>
      <c r="AM15" s="68">
        <v>2.0</v>
      </c>
      <c r="AN15" s="69"/>
      <c r="AO15" s="73"/>
      <c r="AP15" s="71"/>
      <c r="AQ15" s="57" t="s">
        <v>28</v>
      </c>
      <c r="AR15" s="68">
        <v>2.5</v>
      </c>
      <c r="AS15" s="68">
        <v>3.0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 t="s">
        <v>54</v>
      </c>
      <c r="L16" s="77"/>
      <c r="M16" s="125" t="s">
        <v>54</v>
      </c>
      <c r="R16" s="77"/>
      <c r="S16" s="125" t="s">
        <v>55</v>
      </c>
      <c r="X16" s="77"/>
      <c r="Y16" s="125" t="s">
        <v>56</v>
      </c>
      <c r="AD16" s="77"/>
      <c r="AE16" s="125" t="s">
        <v>57</v>
      </c>
      <c r="AJ16" s="77"/>
      <c r="AK16" s="125" t="s">
        <v>54</v>
      </c>
      <c r="AP16" s="77"/>
      <c r="AQ16" s="125" t="s">
        <v>54</v>
      </c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58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60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62</v>
      </c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63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5.0</v>
      </c>
      <c r="B26" s="99" t="s">
        <v>43</v>
      </c>
      <c r="C26" s="99" t="s">
        <v>64</v>
      </c>
      <c r="D26" s="128">
        <v>-0.5</v>
      </c>
      <c r="E26" s="129"/>
      <c r="F26" s="129"/>
    </row>
    <row r="27">
      <c r="A27" s="98"/>
      <c r="B27" s="99"/>
      <c r="C27" s="99"/>
      <c r="D27" s="129"/>
      <c r="E27" s="129"/>
      <c r="F27" s="129"/>
    </row>
    <row r="28">
      <c r="A28" s="98"/>
      <c r="B28" s="99"/>
      <c r="C28" s="99"/>
      <c r="D28" s="129"/>
      <c r="E28" s="129"/>
      <c r="F28" s="129"/>
    </row>
    <row r="29">
      <c r="A29" s="5"/>
      <c r="B29" s="5"/>
      <c r="C29" s="5"/>
      <c r="D29" s="129"/>
      <c r="E29" s="129"/>
      <c r="F29" s="129"/>
    </row>
    <row r="30">
      <c r="A30" s="5"/>
      <c r="B30" s="5"/>
      <c r="C30" s="5"/>
      <c r="D30" s="129"/>
      <c r="E30" s="129"/>
      <c r="F30" s="129"/>
    </row>
    <row r="31">
      <c r="A31" s="5"/>
      <c r="B31" s="5"/>
      <c r="C31" s="5"/>
      <c r="D31" s="129"/>
      <c r="E31" s="129"/>
      <c r="F31" s="129"/>
    </row>
    <row r="32">
      <c r="A32" s="5"/>
      <c r="B32" s="5"/>
      <c r="C32" s="5"/>
      <c r="D32" s="129"/>
      <c r="E32" s="129"/>
      <c r="F32" s="129"/>
    </row>
    <row r="33">
      <c r="A33" s="5"/>
      <c r="B33" s="5"/>
      <c r="C33" s="5"/>
      <c r="D33" s="129"/>
      <c r="E33" s="129"/>
      <c r="F33" s="129"/>
    </row>
    <row r="34">
      <c r="A34" s="5"/>
      <c r="B34" s="5"/>
      <c r="C34" s="5"/>
      <c r="D34" s="129"/>
      <c r="E34" s="129"/>
      <c r="F34" s="129"/>
    </row>
    <row r="35">
      <c r="A35" s="5"/>
      <c r="B35" s="5"/>
      <c r="C35" s="5"/>
      <c r="D35" s="129"/>
      <c r="E35" s="129"/>
      <c r="F35" s="129"/>
    </row>
    <row r="36">
      <c r="A36" s="5"/>
      <c r="B36" s="5"/>
      <c r="C36" s="5"/>
      <c r="D36" s="129"/>
      <c r="E36" s="129"/>
      <c r="F36" s="129"/>
    </row>
    <row r="37">
      <c r="A37" s="5"/>
      <c r="B37" s="5"/>
      <c r="C37" s="5"/>
      <c r="D37" s="129"/>
      <c r="E37" s="129"/>
      <c r="F37" s="129"/>
    </row>
    <row r="38">
      <c r="A38" s="5"/>
      <c r="B38" s="5"/>
      <c r="C38" s="5"/>
      <c r="D38" s="129"/>
      <c r="E38" s="129"/>
      <c r="F38" s="129"/>
    </row>
    <row r="39">
      <c r="A39" s="5"/>
      <c r="B39" s="5"/>
      <c r="C39" s="5"/>
      <c r="D39" s="129"/>
      <c r="E39" s="129"/>
      <c r="F39" s="129"/>
    </row>
    <row r="40">
      <c r="A40" s="5"/>
      <c r="B40" s="5"/>
      <c r="C40" s="5"/>
      <c r="D40" s="129"/>
      <c r="E40" s="129"/>
      <c r="F40" s="129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65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45</v>
      </c>
      <c r="C6" s="40">
        <f t="shared" ref="C6:C15" si="1">SUM(H6:AW6)</f>
        <v>33.75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23.75</v>
      </c>
      <c r="G6" s="131" t="s">
        <v>44</v>
      </c>
      <c r="H6" s="45"/>
      <c r="I6" s="45">
        <v>2.5</v>
      </c>
      <c r="J6" s="49"/>
      <c r="K6" s="47"/>
      <c r="L6" s="50"/>
      <c r="M6" s="44" t="s">
        <v>28</v>
      </c>
      <c r="N6" s="45">
        <v>2.5</v>
      </c>
      <c r="O6" s="45">
        <v>3.5</v>
      </c>
      <c r="P6" s="49"/>
      <c r="Q6" s="47"/>
      <c r="R6" s="50"/>
      <c r="S6" s="46" t="s">
        <v>44</v>
      </c>
      <c r="T6" s="45">
        <v>2.5</v>
      </c>
      <c r="U6" s="45">
        <v>2.75</v>
      </c>
      <c r="V6" s="46" t="s">
        <v>31</v>
      </c>
      <c r="W6" s="47"/>
      <c r="X6" s="48">
        <v>0.5</v>
      </c>
      <c r="Y6" s="46" t="s">
        <v>44</v>
      </c>
      <c r="Z6" s="56"/>
      <c r="AA6" s="45">
        <v>3.5</v>
      </c>
      <c r="AB6" s="49"/>
      <c r="AC6" s="47"/>
      <c r="AD6" s="50"/>
      <c r="AE6" s="46" t="s">
        <v>44</v>
      </c>
      <c r="AF6" s="56"/>
      <c r="AG6" s="45">
        <v>3.25</v>
      </c>
      <c r="AH6" s="49"/>
      <c r="AI6" s="47"/>
      <c r="AJ6" s="50"/>
      <c r="AK6" s="46" t="s">
        <v>30</v>
      </c>
      <c r="AL6" s="45">
        <v>2.5</v>
      </c>
      <c r="AM6" s="45">
        <v>3.5</v>
      </c>
      <c r="AN6" s="49"/>
      <c r="AO6" s="47"/>
      <c r="AP6" s="50"/>
      <c r="AQ6" s="46" t="s">
        <v>30</v>
      </c>
      <c r="AR6" s="45">
        <v>2.5</v>
      </c>
      <c r="AS6" s="45">
        <v>4.25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50</v>
      </c>
      <c r="C7" s="40">
        <f t="shared" si="1"/>
        <v>27</v>
      </c>
      <c r="D7" s="102">
        <f t="shared" si="2"/>
        <v>3</v>
      </c>
      <c r="E7" s="119">
        <f t="shared" si="3"/>
        <v>7.5</v>
      </c>
      <c r="F7" s="43">
        <f t="shared" si="4"/>
        <v>19.5</v>
      </c>
      <c r="G7" s="131" t="s">
        <v>44</v>
      </c>
      <c r="H7" s="45"/>
      <c r="I7" s="45">
        <v>2.0</v>
      </c>
      <c r="J7" s="46"/>
      <c r="K7" s="47"/>
      <c r="L7" s="50"/>
      <c r="M7" s="44" t="s">
        <v>30</v>
      </c>
      <c r="N7" s="45">
        <v>2.5</v>
      </c>
      <c r="O7" s="45">
        <v>3.0</v>
      </c>
      <c r="P7" s="49"/>
      <c r="Q7" s="47"/>
      <c r="R7" s="50"/>
      <c r="S7" s="46" t="s">
        <v>44</v>
      </c>
      <c r="T7" s="45">
        <v>2.5</v>
      </c>
      <c r="U7" s="45">
        <v>3.0</v>
      </c>
      <c r="V7" s="49"/>
      <c r="W7" s="47"/>
      <c r="X7" s="50"/>
      <c r="Y7" s="46" t="s">
        <v>44</v>
      </c>
      <c r="Z7" s="56"/>
      <c r="AA7" s="45">
        <v>3.0</v>
      </c>
      <c r="AB7" s="49"/>
      <c r="AC7" s="56"/>
      <c r="AD7" s="60"/>
      <c r="AE7" s="46" t="s">
        <v>28</v>
      </c>
      <c r="AF7" s="45">
        <v>2.5</v>
      </c>
      <c r="AG7" s="45">
        <v>3.5</v>
      </c>
      <c r="AH7" s="49"/>
      <c r="AI7" s="47"/>
      <c r="AJ7" s="60"/>
      <c r="AK7" s="46" t="s">
        <v>44</v>
      </c>
      <c r="AL7" s="56"/>
      <c r="AM7" s="45">
        <v>2.5</v>
      </c>
      <c r="AN7" s="46" t="s">
        <v>31</v>
      </c>
      <c r="AO7" s="56"/>
      <c r="AP7" s="61">
        <v>0.5</v>
      </c>
      <c r="AQ7" s="46" t="s">
        <v>44</v>
      </c>
      <c r="AR7" s="56"/>
      <c r="AS7" s="45">
        <v>2.0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43</v>
      </c>
      <c r="C8" s="40">
        <f t="shared" si="1"/>
        <v>21.5</v>
      </c>
      <c r="D8" s="102">
        <f t="shared" si="2"/>
        <v>2</v>
      </c>
      <c r="E8" s="119">
        <f t="shared" si="3"/>
        <v>5</v>
      </c>
      <c r="F8" s="43">
        <f t="shared" si="4"/>
        <v>16.5</v>
      </c>
      <c r="G8" s="131" t="s">
        <v>28</v>
      </c>
      <c r="H8" s="45">
        <v>2.5</v>
      </c>
      <c r="I8" s="45">
        <v>4.0</v>
      </c>
      <c r="J8" s="49"/>
      <c r="K8" s="47"/>
      <c r="L8" s="50"/>
      <c r="M8" s="44" t="s">
        <v>29</v>
      </c>
      <c r="N8" s="56"/>
      <c r="O8" s="45">
        <v>2.25</v>
      </c>
      <c r="P8" s="46" t="s">
        <v>31</v>
      </c>
      <c r="Q8" s="47"/>
      <c r="R8" s="48">
        <v>0.5</v>
      </c>
      <c r="S8" s="46" t="s">
        <v>28</v>
      </c>
      <c r="T8" s="56"/>
      <c r="U8" s="45">
        <v>1.75</v>
      </c>
      <c r="V8" s="49"/>
      <c r="W8" s="47"/>
      <c r="X8" s="60"/>
      <c r="Y8" s="46" t="s">
        <v>44</v>
      </c>
      <c r="Z8" s="56"/>
      <c r="AA8" s="45">
        <v>1.0</v>
      </c>
      <c r="AB8" s="49"/>
      <c r="AC8" s="47"/>
      <c r="AD8" s="50"/>
      <c r="AE8" s="46" t="s">
        <v>44</v>
      </c>
      <c r="AF8" s="56"/>
      <c r="AG8" s="45">
        <v>1.75</v>
      </c>
      <c r="AH8" s="49"/>
      <c r="AI8" s="47"/>
      <c r="AJ8" s="50"/>
      <c r="AK8" s="46" t="s">
        <v>44</v>
      </c>
      <c r="AL8" s="56"/>
      <c r="AM8" s="45">
        <v>2.0</v>
      </c>
      <c r="AN8" s="49"/>
      <c r="AO8" s="47"/>
      <c r="AP8" s="50"/>
      <c r="AQ8" s="46" t="s">
        <v>28</v>
      </c>
      <c r="AR8" s="45">
        <v>2.5</v>
      </c>
      <c r="AS8" s="45">
        <v>3.25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66</v>
      </c>
      <c r="C9" s="40">
        <f t="shared" si="1"/>
        <v>30.75</v>
      </c>
      <c r="D9" s="102">
        <f t="shared" si="2"/>
        <v>3</v>
      </c>
      <c r="E9" s="119">
        <f t="shared" si="3"/>
        <v>7.5</v>
      </c>
      <c r="F9" s="43">
        <f t="shared" si="4"/>
        <v>23.25</v>
      </c>
      <c r="G9" s="131" t="s">
        <v>44</v>
      </c>
      <c r="H9" s="45"/>
      <c r="I9" s="45">
        <v>2.0</v>
      </c>
      <c r="J9" s="46" t="s">
        <v>31</v>
      </c>
      <c r="K9" s="47"/>
      <c r="L9" s="48">
        <v>0.5</v>
      </c>
      <c r="M9" s="44" t="s">
        <v>44</v>
      </c>
      <c r="N9" s="56"/>
      <c r="O9" s="45">
        <v>2.5</v>
      </c>
      <c r="P9" s="49"/>
      <c r="Q9" s="47"/>
      <c r="R9" s="50"/>
      <c r="S9" s="46" t="s">
        <v>44</v>
      </c>
      <c r="T9" s="45">
        <v>2.5</v>
      </c>
      <c r="U9" s="45">
        <v>3.75</v>
      </c>
      <c r="V9" s="49"/>
      <c r="W9" s="47"/>
      <c r="X9" s="50"/>
      <c r="Y9" s="46" t="s">
        <v>44</v>
      </c>
      <c r="Z9" s="56"/>
      <c r="AA9" s="45">
        <v>3.75</v>
      </c>
      <c r="AB9" s="49"/>
      <c r="AC9" s="47"/>
      <c r="AD9" s="50"/>
      <c r="AE9" s="46" t="s">
        <v>28</v>
      </c>
      <c r="AF9" s="45">
        <v>2.5</v>
      </c>
      <c r="AG9" s="45">
        <v>3.75</v>
      </c>
      <c r="AH9" s="49"/>
      <c r="AI9" s="47"/>
      <c r="AJ9" s="50"/>
      <c r="AK9" s="46" t="s">
        <v>44</v>
      </c>
      <c r="AL9" s="56"/>
      <c r="AM9" s="45">
        <v>3.25</v>
      </c>
      <c r="AN9" s="49"/>
      <c r="AO9" s="47"/>
      <c r="AP9" s="50"/>
      <c r="AQ9" s="46" t="s">
        <v>28</v>
      </c>
      <c r="AR9" s="45">
        <v>2.5</v>
      </c>
      <c r="AS9" s="45">
        <v>3.75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48</v>
      </c>
      <c r="C10" s="40">
        <f t="shared" si="1"/>
        <v>21.5</v>
      </c>
      <c r="D10" s="102">
        <f t="shared" si="2"/>
        <v>2</v>
      </c>
      <c r="E10" s="119">
        <f t="shared" si="3"/>
        <v>5</v>
      </c>
      <c r="F10" s="43">
        <f t="shared" si="4"/>
        <v>16.5</v>
      </c>
      <c r="G10" s="131" t="s">
        <v>44</v>
      </c>
      <c r="H10" s="56"/>
      <c r="I10" s="45">
        <v>2.0</v>
      </c>
      <c r="J10" s="49"/>
      <c r="K10" s="47"/>
      <c r="L10" s="50"/>
      <c r="M10" s="44" t="s">
        <v>44</v>
      </c>
      <c r="N10" s="56"/>
      <c r="O10" s="45">
        <v>2.25</v>
      </c>
      <c r="P10" s="49"/>
      <c r="Q10" s="47"/>
      <c r="R10" s="60"/>
      <c r="S10" s="46" t="s">
        <v>44</v>
      </c>
      <c r="T10" s="45">
        <v>2.5</v>
      </c>
      <c r="U10" s="45">
        <v>2.75</v>
      </c>
      <c r="V10" s="49"/>
      <c r="W10" s="47"/>
      <c r="X10" s="50"/>
      <c r="Y10" s="46" t="s">
        <v>28</v>
      </c>
      <c r="Z10" s="45">
        <v>2.5</v>
      </c>
      <c r="AA10" s="45">
        <v>3.75</v>
      </c>
      <c r="AB10" s="49"/>
      <c r="AC10" s="47"/>
      <c r="AD10" s="50"/>
      <c r="AE10" s="46" t="s">
        <v>44</v>
      </c>
      <c r="AF10" s="56"/>
      <c r="AG10" s="45">
        <v>2.5</v>
      </c>
      <c r="AH10" s="49"/>
      <c r="AI10" s="47"/>
      <c r="AJ10" s="50"/>
      <c r="AK10" s="46" t="s">
        <v>44</v>
      </c>
      <c r="AL10" s="56"/>
      <c r="AM10" s="45">
        <v>1.5</v>
      </c>
      <c r="AN10" s="49"/>
      <c r="AO10" s="47"/>
      <c r="AP10" s="50"/>
      <c r="AQ10" s="46" t="s">
        <v>44</v>
      </c>
      <c r="AR10" s="56"/>
      <c r="AS10" s="45">
        <v>1.75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67</v>
      </c>
      <c r="C11" s="40">
        <f t="shared" si="1"/>
        <v>16</v>
      </c>
      <c r="D11" s="102">
        <f t="shared" si="2"/>
        <v>1</v>
      </c>
      <c r="E11" s="119">
        <f t="shared" si="3"/>
        <v>2.5</v>
      </c>
      <c r="F11" s="43">
        <f t="shared" si="4"/>
        <v>13.5</v>
      </c>
      <c r="G11" s="131" t="s">
        <v>29</v>
      </c>
      <c r="H11" s="45"/>
      <c r="I11" s="45">
        <v>1.75</v>
      </c>
      <c r="J11" s="46"/>
      <c r="K11" s="47"/>
      <c r="L11" s="50"/>
      <c r="M11" s="44" t="s">
        <v>28</v>
      </c>
      <c r="N11" s="45">
        <v>2.5</v>
      </c>
      <c r="O11" s="45">
        <v>3.75</v>
      </c>
      <c r="P11" s="49"/>
      <c r="Q11" s="47"/>
      <c r="R11" s="50"/>
      <c r="S11" s="46" t="s">
        <v>28</v>
      </c>
      <c r="T11" s="56"/>
      <c r="U11" s="45">
        <v>2.25</v>
      </c>
      <c r="V11" s="49"/>
      <c r="W11" s="47"/>
      <c r="X11" s="50"/>
      <c r="Y11" s="46" t="s">
        <v>44</v>
      </c>
      <c r="Z11" s="56"/>
      <c r="AA11" s="45">
        <v>1.25</v>
      </c>
      <c r="AB11" s="49"/>
      <c r="AC11" s="47"/>
      <c r="AD11" s="50"/>
      <c r="AE11" s="46" t="s">
        <v>29</v>
      </c>
      <c r="AF11" s="56"/>
      <c r="AG11" s="45">
        <v>2.0</v>
      </c>
      <c r="AH11" s="49"/>
      <c r="AI11" s="47"/>
      <c r="AJ11" s="50"/>
      <c r="AK11" s="46" t="s">
        <v>29</v>
      </c>
      <c r="AL11" s="56"/>
      <c r="AM11" s="45">
        <v>0.5</v>
      </c>
      <c r="AN11" s="49"/>
      <c r="AO11" s="47"/>
      <c r="AP11" s="50"/>
      <c r="AQ11" s="46" t="s">
        <v>44</v>
      </c>
      <c r="AR11" s="56"/>
      <c r="AS11" s="45">
        <v>2.0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68</v>
      </c>
      <c r="C12" s="40">
        <f t="shared" si="1"/>
        <v>26.75</v>
      </c>
      <c r="D12" s="102">
        <f t="shared" si="2"/>
        <v>4</v>
      </c>
      <c r="E12" s="119">
        <f t="shared" si="3"/>
        <v>10</v>
      </c>
      <c r="F12" s="43">
        <f t="shared" si="4"/>
        <v>16.75</v>
      </c>
      <c r="G12" s="131" t="s">
        <v>30</v>
      </c>
      <c r="H12" s="45">
        <v>2.5</v>
      </c>
      <c r="I12" s="45">
        <v>2.75</v>
      </c>
      <c r="J12" s="46"/>
      <c r="K12" s="51"/>
      <c r="L12" s="48"/>
      <c r="M12" s="44" t="s">
        <v>44</v>
      </c>
      <c r="N12" s="56"/>
      <c r="O12" s="45">
        <v>2.0</v>
      </c>
      <c r="P12" s="49"/>
      <c r="Q12" s="47"/>
      <c r="R12" s="50"/>
      <c r="S12" s="46" t="s">
        <v>44</v>
      </c>
      <c r="T12" s="45">
        <v>2.5</v>
      </c>
      <c r="U12" s="45">
        <v>2.75</v>
      </c>
      <c r="V12" s="49"/>
      <c r="W12" s="47"/>
      <c r="X12" s="50"/>
      <c r="Y12" s="46" t="s">
        <v>28</v>
      </c>
      <c r="Z12" s="45">
        <v>2.5</v>
      </c>
      <c r="AA12" s="45">
        <v>2.25</v>
      </c>
      <c r="AB12" s="49"/>
      <c r="AC12" s="47"/>
      <c r="AD12" s="50"/>
      <c r="AE12" s="46" t="s">
        <v>44</v>
      </c>
      <c r="AF12" s="56"/>
      <c r="AG12" s="45">
        <v>2.0</v>
      </c>
      <c r="AH12" s="49"/>
      <c r="AI12" s="47"/>
      <c r="AJ12" s="50"/>
      <c r="AK12" s="46" t="s">
        <v>28</v>
      </c>
      <c r="AL12" s="45">
        <v>2.5</v>
      </c>
      <c r="AM12" s="45">
        <v>3.0</v>
      </c>
      <c r="AN12" s="49"/>
      <c r="AO12" s="47"/>
      <c r="AP12" s="50"/>
      <c r="AQ12" s="46" t="s">
        <v>44</v>
      </c>
      <c r="AR12" s="56"/>
      <c r="AS12" s="45">
        <v>2.0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69</v>
      </c>
      <c r="C13" s="40">
        <f t="shared" si="1"/>
        <v>18.75</v>
      </c>
      <c r="D13" s="102">
        <f t="shared" si="2"/>
        <v>1</v>
      </c>
      <c r="E13" s="119">
        <f t="shared" si="3"/>
        <v>2.5</v>
      </c>
      <c r="F13" s="43">
        <f t="shared" si="4"/>
        <v>16.25</v>
      </c>
      <c r="G13" s="131" t="s">
        <v>44</v>
      </c>
      <c r="H13" s="56"/>
      <c r="I13" s="45">
        <v>2.25</v>
      </c>
      <c r="J13" s="49"/>
      <c r="K13" s="51"/>
      <c r="L13" s="50"/>
      <c r="M13" s="44" t="s">
        <v>44</v>
      </c>
      <c r="N13" s="56"/>
      <c r="O13" s="45">
        <v>2.25</v>
      </c>
      <c r="P13" s="49"/>
      <c r="Q13" s="47"/>
      <c r="R13" s="50"/>
      <c r="S13" s="46" t="s">
        <v>44</v>
      </c>
      <c r="T13" s="45">
        <v>2.5</v>
      </c>
      <c r="U13" s="45">
        <v>3.0</v>
      </c>
      <c r="V13" s="49"/>
      <c r="W13" s="47"/>
      <c r="X13" s="50"/>
      <c r="Y13" s="46" t="s">
        <v>29</v>
      </c>
      <c r="Z13" s="56"/>
      <c r="AA13" s="45">
        <v>2.0</v>
      </c>
      <c r="AB13" s="46" t="s">
        <v>31</v>
      </c>
      <c r="AC13" s="47"/>
      <c r="AD13" s="48">
        <v>0.5</v>
      </c>
      <c r="AE13" s="46" t="s">
        <v>44</v>
      </c>
      <c r="AF13" s="56"/>
      <c r="AG13" s="45">
        <v>3.0</v>
      </c>
      <c r="AH13" s="49"/>
      <c r="AI13" s="47"/>
      <c r="AJ13" s="50"/>
      <c r="AK13" s="46" t="s">
        <v>44</v>
      </c>
      <c r="AL13" s="56"/>
      <c r="AM13" s="45">
        <v>2.25</v>
      </c>
      <c r="AN13" s="49"/>
      <c r="AO13" s="47"/>
      <c r="AP13" s="50"/>
      <c r="AQ13" s="46" t="s">
        <v>44</v>
      </c>
      <c r="AR13" s="56"/>
      <c r="AS13" s="45">
        <v>1.0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70</v>
      </c>
      <c r="C14" s="40">
        <f t="shared" si="1"/>
        <v>15.5</v>
      </c>
      <c r="D14" s="102">
        <f t="shared" si="2"/>
        <v>0</v>
      </c>
      <c r="E14" s="119">
        <f t="shared" si="3"/>
        <v>0</v>
      </c>
      <c r="F14" s="43">
        <f t="shared" si="4"/>
        <v>15.5</v>
      </c>
      <c r="G14" s="131" t="s">
        <v>44</v>
      </c>
      <c r="H14" s="56"/>
      <c r="I14" s="45">
        <v>1.5</v>
      </c>
      <c r="J14" s="46"/>
      <c r="K14" s="47"/>
      <c r="L14" s="60"/>
      <c r="M14" s="44" t="s">
        <v>44</v>
      </c>
      <c r="N14" s="56"/>
      <c r="O14" s="45">
        <v>1.5</v>
      </c>
      <c r="P14" s="49"/>
      <c r="Q14" s="47"/>
      <c r="R14" s="50"/>
      <c r="S14" s="46" t="s">
        <v>30</v>
      </c>
      <c r="T14" s="56"/>
      <c r="U14" s="45">
        <v>1.5</v>
      </c>
      <c r="V14" s="49"/>
      <c r="W14" s="47"/>
      <c r="X14" s="50"/>
      <c r="Y14" s="46" t="s">
        <v>44</v>
      </c>
      <c r="Z14" s="56"/>
      <c r="AA14" s="45">
        <v>2.5</v>
      </c>
      <c r="AB14" s="49"/>
      <c r="AC14" s="47"/>
      <c r="AD14" s="50"/>
      <c r="AE14" s="46" t="s">
        <v>44</v>
      </c>
      <c r="AF14" s="56"/>
      <c r="AG14" s="45">
        <v>3.0</v>
      </c>
      <c r="AH14" s="46" t="s">
        <v>31</v>
      </c>
      <c r="AI14" s="51">
        <v>0.5</v>
      </c>
      <c r="AJ14" s="48">
        <v>0.5</v>
      </c>
      <c r="AK14" s="46" t="s">
        <v>44</v>
      </c>
      <c r="AL14" s="56"/>
      <c r="AM14" s="45">
        <v>2.75</v>
      </c>
      <c r="AN14" s="49"/>
      <c r="AO14" s="47"/>
      <c r="AP14" s="50"/>
      <c r="AQ14" s="46" t="s">
        <v>29</v>
      </c>
      <c r="AR14" s="56"/>
      <c r="AS14" s="45">
        <v>1.75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71</v>
      </c>
      <c r="C15" s="40">
        <f t="shared" si="1"/>
        <v>34.75</v>
      </c>
      <c r="D15" s="105">
        <f t="shared" si="2"/>
        <v>5</v>
      </c>
      <c r="E15" s="132">
        <f t="shared" si="3"/>
        <v>12.5</v>
      </c>
      <c r="F15" s="66">
        <f t="shared" si="4"/>
        <v>22.25</v>
      </c>
      <c r="G15" s="133" t="s">
        <v>28</v>
      </c>
      <c r="H15" s="68">
        <v>2.5</v>
      </c>
      <c r="I15" s="68">
        <v>3.0</v>
      </c>
      <c r="J15" s="69"/>
      <c r="K15" s="73"/>
      <c r="L15" s="71"/>
      <c r="M15" s="67" t="s">
        <v>44</v>
      </c>
      <c r="N15" s="72"/>
      <c r="O15" s="68">
        <v>3.0</v>
      </c>
      <c r="P15" s="69"/>
      <c r="Q15" s="73"/>
      <c r="R15" s="71"/>
      <c r="S15" s="57" t="s">
        <v>29</v>
      </c>
      <c r="T15" s="68">
        <v>2.5</v>
      </c>
      <c r="U15" s="68">
        <v>4.25</v>
      </c>
      <c r="V15" s="69"/>
      <c r="W15" s="73"/>
      <c r="X15" s="71"/>
      <c r="Y15" s="57" t="s">
        <v>30</v>
      </c>
      <c r="Z15" s="68">
        <v>2.5</v>
      </c>
      <c r="AA15" s="68">
        <v>3.0</v>
      </c>
      <c r="AB15" s="69"/>
      <c r="AC15" s="73"/>
      <c r="AD15" s="71"/>
      <c r="AE15" s="57" t="s">
        <v>30</v>
      </c>
      <c r="AF15" s="68">
        <v>2.5</v>
      </c>
      <c r="AG15" s="68">
        <v>3.25</v>
      </c>
      <c r="AH15" s="69"/>
      <c r="AI15" s="73"/>
      <c r="AJ15" s="71"/>
      <c r="AK15" s="57" t="s">
        <v>28</v>
      </c>
      <c r="AL15" s="68">
        <v>2.5</v>
      </c>
      <c r="AM15" s="68">
        <v>3.0</v>
      </c>
      <c r="AN15" s="69"/>
      <c r="AO15" s="73"/>
      <c r="AP15" s="71"/>
      <c r="AQ15" s="57" t="s">
        <v>44</v>
      </c>
      <c r="AR15" s="68"/>
      <c r="AS15" s="68">
        <v>2.25</v>
      </c>
      <c r="AT15" s="57" t="s">
        <v>31</v>
      </c>
      <c r="AU15" s="73"/>
      <c r="AV15" s="107">
        <v>0.5</v>
      </c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63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60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88" t="s">
        <v>63</v>
      </c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4.0</v>
      </c>
      <c r="B26" s="99" t="s">
        <v>43</v>
      </c>
      <c r="C26" s="99" t="s">
        <v>72</v>
      </c>
      <c r="D26" s="128">
        <v>-0.5</v>
      </c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'2 Серия'!$B$6:$B$15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73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48</v>
      </c>
      <c r="C6" s="40">
        <f t="shared" ref="C6:C15" si="1">SUM(H6:AW6)</f>
        <v>33.25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23.25</v>
      </c>
      <c r="G6" s="131" t="s">
        <v>44</v>
      </c>
      <c r="H6" s="45"/>
      <c r="I6" s="45">
        <v>3.0</v>
      </c>
      <c r="J6" s="49"/>
      <c r="K6" s="47"/>
      <c r="L6" s="50"/>
      <c r="M6" s="44" t="s">
        <v>44</v>
      </c>
      <c r="N6" s="45">
        <v>2.5</v>
      </c>
      <c r="O6" s="45">
        <v>3.0</v>
      </c>
      <c r="P6" s="46" t="s">
        <v>31</v>
      </c>
      <c r="Q6" s="51">
        <v>0.5</v>
      </c>
      <c r="R6" s="48">
        <v>0.5</v>
      </c>
      <c r="S6" s="46" t="s">
        <v>28</v>
      </c>
      <c r="T6" s="45">
        <v>2.5</v>
      </c>
      <c r="U6" s="45">
        <v>3.75</v>
      </c>
      <c r="V6" s="49"/>
      <c r="W6" s="47"/>
      <c r="X6" s="50"/>
      <c r="Y6" s="46" t="s">
        <v>44</v>
      </c>
      <c r="Z6" s="45">
        <v>2.5</v>
      </c>
      <c r="AA6" s="45">
        <v>3.75</v>
      </c>
      <c r="AB6" s="49"/>
      <c r="AC6" s="47"/>
      <c r="AD6" s="50"/>
      <c r="AE6" s="46" t="s">
        <v>30</v>
      </c>
      <c r="AF6" s="56"/>
      <c r="AG6" s="45">
        <v>2.75</v>
      </c>
      <c r="AH6" s="49"/>
      <c r="AI6" s="47"/>
      <c r="AJ6" s="50"/>
      <c r="AK6" s="46" t="s">
        <v>44</v>
      </c>
      <c r="AL6" s="56"/>
      <c r="AM6" s="45">
        <v>2.5</v>
      </c>
      <c r="AN6" s="46" t="s">
        <v>31</v>
      </c>
      <c r="AO6" s="47"/>
      <c r="AP6" s="48">
        <v>1.0</v>
      </c>
      <c r="AQ6" s="46" t="s">
        <v>28</v>
      </c>
      <c r="AR6" s="45">
        <v>2.5</v>
      </c>
      <c r="AS6" s="45">
        <v>2.5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68</v>
      </c>
      <c r="C7" s="40">
        <f t="shared" si="1"/>
        <v>20</v>
      </c>
      <c r="D7" s="102">
        <f t="shared" si="2"/>
        <v>2</v>
      </c>
      <c r="E7" s="119">
        <f t="shared" si="3"/>
        <v>5</v>
      </c>
      <c r="F7" s="43">
        <f t="shared" si="4"/>
        <v>15</v>
      </c>
      <c r="G7" s="131" t="s">
        <v>44</v>
      </c>
      <c r="H7" s="45"/>
      <c r="I7" s="45">
        <v>1.5</v>
      </c>
      <c r="J7" s="46"/>
      <c r="K7" s="47"/>
      <c r="L7" s="50"/>
      <c r="M7" s="44" t="s">
        <v>44</v>
      </c>
      <c r="N7" s="45">
        <v>2.5</v>
      </c>
      <c r="O7" s="45">
        <v>3.0</v>
      </c>
      <c r="P7" s="49"/>
      <c r="Q7" s="47"/>
      <c r="R7" s="50"/>
      <c r="S7" s="46" t="s">
        <v>44</v>
      </c>
      <c r="T7" s="56"/>
      <c r="U7" s="45">
        <v>1.5</v>
      </c>
      <c r="V7" s="49"/>
      <c r="W7" s="47"/>
      <c r="X7" s="50"/>
      <c r="Y7" s="46" t="s">
        <v>28</v>
      </c>
      <c r="Z7" s="56"/>
      <c r="AA7" s="45">
        <v>2.5</v>
      </c>
      <c r="AB7" s="49"/>
      <c r="AC7" s="56"/>
      <c r="AD7" s="60"/>
      <c r="AE7" s="46" t="s">
        <v>44</v>
      </c>
      <c r="AF7" s="45">
        <v>2.5</v>
      </c>
      <c r="AG7" s="45">
        <v>2.25</v>
      </c>
      <c r="AH7" s="49"/>
      <c r="AI7" s="47"/>
      <c r="AJ7" s="60"/>
      <c r="AK7" s="46" t="s">
        <v>44</v>
      </c>
      <c r="AL7" s="56"/>
      <c r="AM7" s="45">
        <v>2.25</v>
      </c>
      <c r="AN7" s="49"/>
      <c r="AO7" s="56"/>
      <c r="AP7" s="60"/>
      <c r="AQ7" s="46" t="s">
        <v>44</v>
      </c>
      <c r="AR7" s="56"/>
      <c r="AS7" s="45">
        <v>2.0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74</v>
      </c>
      <c r="C8" s="40">
        <f t="shared" si="1"/>
        <v>14.75</v>
      </c>
      <c r="D8" s="102">
        <f t="shared" si="2"/>
        <v>1</v>
      </c>
      <c r="E8" s="119">
        <f t="shared" si="3"/>
        <v>2.5</v>
      </c>
      <c r="F8" s="43">
        <f t="shared" si="4"/>
        <v>12.25</v>
      </c>
      <c r="G8" s="131" t="s">
        <v>44</v>
      </c>
      <c r="H8" s="45"/>
      <c r="I8" s="45">
        <v>2.0</v>
      </c>
      <c r="J8" s="46" t="s">
        <v>31</v>
      </c>
      <c r="K8" s="47"/>
      <c r="L8" s="48">
        <v>0.5</v>
      </c>
      <c r="M8" s="44" t="s">
        <v>30</v>
      </c>
      <c r="N8" s="56"/>
      <c r="O8" s="135">
        <v>1.25</v>
      </c>
      <c r="P8" s="49"/>
      <c r="Q8" s="47"/>
      <c r="R8" s="50"/>
      <c r="S8" s="46" t="s">
        <v>44</v>
      </c>
      <c r="T8" s="56"/>
      <c r="U8" s="45">
        <v>1.75</v>
      </c>
      <c r="V8" s="49"/>
      <c r="W8" s="47"/>
      <c r="X8" s="60"/>
      <c r="Y8" s="46" t="s">
        <v>44</v>
      </c>
      <c r="Z8" s="45">
        <v>2.5</v>
      </c>
      <c r="AA8" s="45">
        <v>2.5</v>
      </c>
      <c r="AB8" s="49"/>
      <c r="AC8" s="47"/>
      <c r="AD8" s="50"/>
      <c r="AE8" s="46" t="s">
        <v>28</v>
      </c>
      <c r="AF8" s="56"/>
      <c r="AG8" s="45">
        <v>1.0</v>
      </c>
      <c r="AH8" s="49"/>
      <c r="AI8" s="47"/>
      <c r="AJ8" s="50"/>
      <c r="AK8" s="46" t="s">
        <v>44</v>
      </c>
      <c r="AL8" s="56"/>
      <c r="AM8" s="45">
        <v>1.75</v>
      </c>
      <c r="AN8" s="49"/>
      <c r="AO8" s="47"/>
      <c r="AP8" s="50"/>
      <c r="AQ8" s="46" t="s">
        <v>44</v>
      </c>
      <c r="AR8" s="56"/>
      <c r="AS8" s="45">
        <v>1.5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69</v>
      </c>
      <c r="C9" s="40">
        <f t="shared" si="1"/>
        <v>28.75</v>
      </c>
      <c r="D9" s="102">
        <f t="shared" si="2"/>
        <v>4</v>
      </c>
      <c r="E9" s="119">
        <f t="shared" si="3"/>
        <v>10</v>
      </c>
      <c r="F9" s="43">
        <f t="shared" si="4"/>
        <v>18.75</v>
      </c>
      <c r="G9" s="131" t="s">
        <v>44</v>
      </c>
      <c r="H9" s="45"/>
      <c r="I9" s="45">
        <v>1.5</v>
      </c>
      <c r="J9" s="49"/>
      <c r="K9" s="47"/>
      <c r="L9" s="50"/>
      <c r="M9" s="44" t="s">
        <v>44</v>
      </c>
      <c r="N9" s="45">
        <v>2.5</v>
      </c>
      <c r="O9" s="45">
        <v>4.0</v>
      </c>
      <c r="P9" s="49"/>
      <c r="Q9" s="47"/>
      <c r="R9" s="50"/>
      <c r="S9" s="46" t="s">
        <v>44</v>
      </c>
      <c r="T9" s="56"/>
      <c r="U9" s="45">
        <v>1.75</v>
      </c>
      <c r="V9" s="49"/>
      <c r="W9" s="47"/>
      <c r="X9" s="50"/>
      <c r="Y9" s="46" t="s">
        <v>44</v>
      </c>
      <c r="Z9" s="45">
        <v>2.5</v>
      </c>
      <c r="AA9" s="45">
        <v>3.75</v>
      </c>
      <c r="AB9" s="49"/>
      <c r="AC9" s="47"/>
      <c r="AD9" s="50"/>
      <c r="AE9" s="46" t="s">
        <v>44</v>
      </c>
      <c r="AF9" s="45">
        <v>2.5</v>
      </c>
      <c r="AG9" s="45">
        <v>2.25</v>
      </c>
      <c r="AH9" s="49"/>
      <c r="AI9" s="47"/>
      <c r="AJ9" s="50"/>
      <c r="AK9" s="46" t="s">
        <v>44</v>
      </c>
      <c r="AL9" s="56"/>
      <c r="AM9" s="45">
        <v>1.5</v>
      </c>
      <c r="AN9" s="49"/>
      <c r="AO9" s="47"/>
      <c r="AP9" s="50"/>
      <c r="AQ9" s="46" t="s">
        <v>30</v>
      </c>
      <c r="AR9" s="45">
        <v>2.5</v>
      </c>
      <c r="AS9" s="45">
        <v>4.0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75</v>
      </c>
      <c r="C10" s="40">
        <f t="shared" si="1"/>
        <v>26.75</v>
      </c>
      <c r="D10" s="102">
        <f t="shared" si="2"/>
        <v>3</v>
      </c>
      <c r="E10" s="119">
        <f t="shared" si="3"/>
        <v>7.5</v>
      </c>
      <c r="F10" s="43">
        <f t="shared" si="4"/>
        <v>19.25</v>
      </c>
      <c r="G10" s="131" t="s">
        <v>44</v>
      </c>
      <c r="H10" s="56"/>
      <c r="I10" s="45">
        <v>3.0</v>
      </c>
      <c r="J10" s="49"/>
      <c r="K10" s="47"/>
      <c r="L10" s="50"/>
      <c r="M10" s="44" t="s">
        <v>28</v>
      </c>
      <c r="N10" s="56"/>
      <c r="O10" s="45">
        <v>1.75</v>
      </c>
      <c r="P10" s="49"/>
      <c r="Q10" s="47"/>
      <c r="R10" s="60"/>
      <c r="S10" s="46" t="s">
        <v>44</v>
      </c>
      <c r="T10" s="56"/>
      <c r="U10" s="45">
        <v>2.0</v>
      </c>
      <c r="V10" s="49"/>
      <c r="W10" s="47"/>
      <c r="X10" s="50"/>
      <c r="Y10" s="46" t="s">
        <v>44</v>
      </c>
      <c r="Z10" s="45">
        <v>2.5</v>
      </c>
      <c r="AA10" s="45">
        <v>2.0</v>
      </c>
      <c r="AB10" s="46" t="s">
        <v>31</v>
      </c>
      <c r="AC10" s="47"/>
      <c r="AD10" s="48">
        <v>0.5</v>
      </c>
      <c r="AE10" s="46" t="s">
        <v>29</v>
      </c>
      <c r="AF10" s="45">
        <v>2.5</v>
      </c>
      <c r="AG10" s="45">
        <v>2.0</v>
      </c>
      <c r="AH10" s="49"/>
      <c r="AI10" s="47"/>
      <c r="AJ10" s="50"/>
      <c r="AK10" s="46" t="s">
        <v>30</v>
      </c>
      <c r="AL10" s="45">
        <v>2.5</v>
      </c>
      <c r="AM10" s="45">
        <v>3.75</v>
      </c>
      <c r="AN10" s="49"/>
      <c r="AO10" s="47"/>
      <c r="AP10" s="50"/>
      <c r="AQ10" s="46" t="s">
        <v>44</v>
      </c>
      <c r="AR10" s="56"/>
      <c r="AS10" s="45">
        <v>2.75</v>
      </c>
      <c r="AT10" s="46" t="s">
        <v>31</v>
      </c>
      <c r="AU10" s="51">
        <v>0.5</v>
      </c>
      <c r="AV10" s="48">
        <v>1.0</v>
      </c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45</v>
      </c>
      <c r="C11" s="40">
        <f t="shared" si="1"/>
        <v>31.5</v>
      </c>
      <c r="D11" s="102">
        <f t="shared" si="2"/>
        <v>4</v>
      </c>
      <c r="E11" s="119">
        <f t="shared" si="3"/>
        <v>10</v>
      </c>
      <c r="F11" s="43">
        <f t="shared" si="4"/>
        <v>21.5</v>
      </c>
      <c r="G11" s="131" t="s">
        <v>28</v>
      </c>
      <c r="H11" s="45">
        <v>2.5</v>
      </c>
      <c r="I11" s="45">
        <v>3.5</v>
      </c>
      <c r="J11" s="46"/>
      <c r="K11" s="47"/>
      <c r="L11" s="50"/>
      <c r="M11" s="44" t="s">
        <v>44</v>
      </c>
      <c r="N11" s="45">
        <v>2.5</v>
      </c>
      <c r="O11" s="45">
        <v>2.25</v>
      </c>
      <c r="P11" s="49"/>
      <c r="Q11" s="47"/>
      <c r="R11" s="50"/>
      <c r="S11" s="46" t="s">
        <v>29</v>
      </c>
      <c r="T11" s="56"/>
      <c r="U11" s="45">
        <v>2.5</v>
      </c>
      <c r="V11" s="49"/>
      <c r="W11" s="47"/>
      <c r="X11" s="50"/>
      <c r="Y11" s="46" t="s">
        <v>30</v>
      </c>
      <c r="Z11" s="56"/>
      <c r="AA11" s="45">
        <v>2.0</v>
      </c>
      <c r="AB11" s="49"/>
      <c r="AC11" s="47"/>
      <c r="AD11" s="50"/>
      <c r="AE11" s="46" t="s">
        <v>44</v>
      </c>
      <c r="AF11" s="45">
        <v>2.5</v>
      </c>
      <c r="AG11" s="45">
        <v>2.75</v>
      </c>
      <c r="AH11" s="46" t="s">
        <v>31</v>
      </c>
      <c r="AI11" s="47"/>
      <c r="AJ11" s="48">
        <v>0.5</v>
      </c>
      <c r="AK11" s="46" t="s">
        <v>44</v>
      </c>
      <c r="AL11" s="56"/>
      <c r="AM11" s="45">
        <v>4.5</v>
      </c>
      <c r="AN11" s="49"/>
      <c r="AO11" s="47"/>
      <c r="AP11" s="50"/>
      <c r="AQ11" s="46" t="s">
        <v>28</v>
      </c>
      <c r="AR11" s="45">
        <v>2.5</v>
      </c>
      <c r="AS11" s="45">
        <v>3.5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50</v>
      </c>
      <c r="C12" s="40">
        <f t="shared" si="1"/>
        <v>34.5</v>
      </c>
      <c r="D12" s="102">
        <f t="shared" si="2"/>
        <v>5</v>
      </c>
      <c r="E12" s="119">
        <f t="shared" si="3"/>
        <v>12.5</v>
      </c>
      <c r="F12" s="43">
        <f t="shared" si="4"/>
        <v>22</v>
      </c>
      <c r="G12" s="131" t="s">
        <v>28</v>
      </c>
      <c r="H12" s="45">
        <v>2.5</v>
      </c>
      <c r="I12" s="45">
        <v>3.75</v>
      </c>
      <c r="J12" s="46"/>
      <c r="K12" s="51"/>
      <c r="L12" s="48"/>
      <c r="M12" s="44" t="s">
        <v>44</v>
      </c>
      <c r="N12" s="45">
        <v>2.5</v>
      </c>
      <c r="O12" s="45">
        <v>3.5</v>
      </c>
      <c r="P12" s="49"/>
      <c r="Q12" s="47"/>
      <c r="R12" s="50"/>
      <c r="S12" s="46" t="s">
        <v>44</v>
      </c>
      <c r="T12" s="56"/>
      <c r="U12" s="135">
        <v>0.75</v>
      </c>
      <c r="V12" s="46" t="s">
        <v>31</v>
      </c>
      <c r="W12" s="47"/>
      <c r="X12" s="48">
        <v>0.5</v>
      </c>
      <c r="Y12" s="46" t="s">
        <v>29</v>
      </c>
      <c r="Z12" s="45">
        <v>2.5</v>
      </c>
      <c r="AA12" s="45">
        <v>3.5</v>
      </c>
      <c r="AB12" s="49"/>
      <c r="AC12" s="47"/>
      <c r="AD12" s="50"/>
      <c r="AE12" s="46" t="s">
        <v>44</v>
      </c>
      <c r="AF12" s="45">
        <v>2.5</v>
      </c>
      <c r="AG12" s="45">
        <v>3.0</v>
      </c>
      <c r="AH12" s="49"/>
      <c r="AI12" s="47"/>
      <c r="AJ12" s="50"/>
      <c r="AK12" s="46" t="s">
        <v>28</v>
      </c>
      <c r="AL12" s="45">
        <v>2.5</v>
      </c>
      <c r="AM12" s="45">
        <v>4.5</v>
      </c>
      <c r="AN12" s="49"/>
      <c r="AO12" s="47"/>
      <c r="AP12" s="50"/>
      <c r="AQ12" s="46" t="s">
        <v>29</v>
      </c>
      <c r="AR12" s="56"/>
      <c r="AS12" s="45">
        <v>2.5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43</v>
      </c>
      <c r="C13" s="40">
        <f t="shared" si="1"/>
        <v>25.75</v>
      </c>
      <c r="D13" s="102">
        <f t="shared" si="2"/>
        <v>3</v>
      </c>
      <c r="E13" s="119">
        <f t="shared" si="3"/>
        <v>7.5</v>
      </c>
      <c r="F13" s="43">
        <f t="shared" si="4"/>
        <v>18.25</v>
      </c>
      <c r="G13" s="131" t="s">
        <v>44</v>
      </c>
      <c r="H13" s="56"/>
      <c r="I13" s="45">
        <v>2.5</v>
      </c>
      <c r="J13" s="49"/>
      <c r="K13" s="51"/>
      <c r="L13" s="50"/>
      <c r="M13" s="44" t="s">
        <v>44</v>
      </c>
      <c r="N13" s="45">
        <v>2.5</v>
      </c>
      <c r="O13" s="45">
        <v>3.0</v>
      </c>
      <c r="P13" s="49"/>
      <c r="Q13" s="47"/>
      <c r="R13" s="50"/>
      <c r="S13" s="46" t="s">
        <v>30</v>
      </c>
      <c r="T13" s="45">
        <v>2.5</v>
      </c>
      <c r="U13" s="45">
        <v>4.0</v>
      </c>
      <c r="V13" s="49"/>
      <c r="W13" s="47"/>
      <c r="X13" s="50"/>
      <c r="Y13" s="46" t="s">
        <v>28</v>
      </c>
      <c r="Z13" s="56"/>
      <c r="AA13" s="45">
        <v>2.5</v>
      </c>
      <c r="AB13" s="49"/>
      <c r="AC13" s="47"/>
      <c r="AD13" s="50"/>
      <c r="AE13" s="46" t="s">
        <v>44</v>
      </c>
      <c r="AF13" s="45">
        <v>2.5</v>
      </c>
      <c r="AG13" s="45">
        <v>1.75</v>
      </c>
      <c r="AH13" s="49"/>
      <c r="AI13" s="47"/>
      <c r="AJ13" s="50"/>
      <c r="AK13" s="46" t="s">
        <v>29</v>
      </c>
      <c r="AL13" s="56"/>
      <c r="AM13" s="45">
        <v>2.25</v>
      </c>
      <c r="AN13" s="49"/>
      <c r="AO13" s="47"/>
      <c r="AP13" s="50"/>
      <c r="AQ13" s="46" t="s">
        <v>44</v>
      </c>
      <c r="AR13" s="56"/>
      <c r="AS13" s="45">
        <v>2.25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76</v>
      </c>
      <c r="C14" s="40">
        <f t="shared" si="1"/>
        <v>29</v>
      </c>
      <c r="D14" s="102">
        <f t="shared" si="2"/>
        <v>4</v>
      </c>
      <c r="E14" s="119">
        <f t="shared" si="3"/>
        <v>10</v>
      </c>
      <c r="F14" s="43">
        <f t="shared" si="4"/>
        <v>19</v>
      </c>
      <c r="G14" s="131" t="s">
        <v>30</v>
      </c>
      <c r="H14" s="45">
        <v>2.5</v>
      </c>
      <c r="I14" s="45">
        <v>3.5</v>
      </c>
      <c r="J14" s="46"/>
      <c r="K14" s="47"/>
      <c r="L14" s="60"/>
      <c r="M14" s="44" t="s">
        <v>29</v>
      </c>
      <c r="N14" s="45">
        <v>2.5</v>
      </c>
      <c r="O14" s="45">
        <v>3.75</v>
      </c>
      <c r="P14" s="49"/>
      <c r="Q14" s="47"/>
      <c r="R14" s="50"/>
      <c r="S14" s="46" t="s">
        <v>44</v>
      </c>
      <c r="T14" s="56"/>
      <c r="U14" s="45">
        <v>2.0</v>
      </c>
      <c r="V14" s="49"/>
      <c r="W14" s="47"/>
      <c r="X14" s="50"/>
      <c r="Y14" s="46" t="s">
        <v>44</v>
      </c>
      <c r="Z14" s="45">
        <v>2.5</v>
      </c>
      <c r="AA14" s="45">
        <v>1.75</v>
      </c>
      <c r="AB14" s="49"/>
      <c r="AC14" s="47"/>
      <c r="AD14" s="50"/>
      <c r="AE14" s="46" t="s">
        <v>28</v>
      </c>
      <c r="AF14" s="56"/>
      <c r="AG14" s="45">
        <v>2.75</v>
      </c>
      <c r="AH14" s="49"/>
      <c r="AI14" s="47"/>
      <c r="AJ14" s="50"/>
      <c r="AK14" s="46" t="s">
        <v>28</v>
      </c>
      <c r="AL14" s="45">
        <v>2.5</v>
      </c>
      <c r="AM14" s="45">
        <v>3.25</v>
      </c>
      <c r="AN14" s="49"/>
      <c r="AO14" s="47"/>
      <c r="AP14" s="50"/>
      <c r="AQ14" s="46" t="s">
        <v>44</v>
      </c>
      <c r="AR14" s="56"/>
      <c r="AS14" s="45">
        <v>2.0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77</v>
      </c>
      <c r="C15" s="40">
        <f t="shared" si="1"/>
        <v>23.75</v>
      </c>
      <c r="D15" s="105">
        <f t="shared" si="2"/>
        <v>3</v>
      </c>
      <c r="E15" s="132">
        <f t="shared" si="3"/>
        <v>7.5</v>
      </c>
      <c r="F15" s="66">
        <f t="shared" si="4"/>
        <v>16.25</v>
      </c>
      <c r="G15" s="133" t="s">
        <v>29</v>
      </c>
      <c r="H15" s="68"/>
      <c r="I15" s="68">
        <v>2.0</v>
      </c>
      <c r="J15" s="69"/>
      <c r="K15" s="73"/>
      <c r="L15" s="71"/>
      <c r="M15" s="67" t="s">
        <v>28</v>
      </c>
      <c r="N15" s="72"/>
      <c r="O15" s="68">
        <v>2.25</v>
      </c>
      <c r="P15" s="69"/>
      <c r="Q15" s="73"/>
      <c r="R15" s="71"/>
      <c r="S15" s="57" t="s">
        <v>28</v>
      </c>
      <c r="T15" s="68">
        <v>2.5</v>
      </c>
      <c r="U15" s="68">
        <v>3.25</v>
      </c>
      <c r="V15" s="69"/>
      <c r="W15" s="73"/>
      <c r="X15" s="71"/>
      <c r="Y15" s="57" t="s">
        <v>44</v>
      </c>
      <c r="Z15" s="68">
        <v>2.5</v>
      </c>
      <c r="AA15" s="68">
        <v>3.25</v>
      </c>
      <c r="AB15" s="69"/>
      <c r="AC15" s="73"/>
      <c r="AD15" s="71"/>
      <c r="AE15" s="57" t="s">
        <v>44</v>
      </c>
      <c r="AF15" s="68">
        <v>2.5</v>
      </c>
      <c r="AG15" s="68">
        <v>3.0</v>
      </c>
      <c r="AH15" s="69"/>
      <c r="AI15" s="73"/>
      <c r="AJ15" s="71"/>
      <c r="AK15" s="57" t="s">
        <v>44</v>
      </c>
      <c r="AL15" s="72"/>
      <c r="AM15" s="68">
        <v>1.5</v>
      </c>
      <c r="AN15" s="69"/>
      <c r="AO15" s="73"/>
      <c r="AP15" s="71"/>
      <c r="AQ15" s="57" t="s">
        <v>44</v>
      </c>
      <c r="AR15" s="68"/>
      <c r="AS15" s="68">
        <v>2.0</v>
      </c>
      <c r="AT15" s="69"/>
      <c r="AU15" s="73"/>
      <c r="AV15" s="71"/>
      <c r="AW15" s="108">
        <v>-1.0</v>
      </c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63</v>
      </c>
      <c r="H18" s="86"/>
      <c r="I18" s="86"/>
      <c r="J18" s="86"/>
      <c r="K18" s="86"/>
      <c r="L18" s="87"/>
      <c r="M18" s="88" t="s">
        <v>58</v>
      </c>
      <c r="N18" s="86"/>
      <c r="O18" s="86"/>
      <c r="P18" s="86"/>
      <c r="Q18" s="86"/>
      <c r="R18" s="87"/>
      <c r="S18" s="88" t="s">
        <v>59</v>
      </c>
      <c r="T18" s="86"/>
      <c r="U18" s="86"/>
      <c r="V18" s="86"/>
      <c r="W18" s="86"/>
      <c r="X18" s="87"/>
      <c r="Y18" s="88" t="s">
        <v>58</v>
      </c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61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2.0</v>
      </c>
      <c r="B26" s="99" t="s">
        <v>74</v>
      </c>
      <c r="C26" s="99" t="s">
        <v>64</v>
      </c>
      <c r="D26" s="128">
        <v>-0.5</v>
      </c>
    </row>
    <row r="27">
      <c r="A27" s="98">
        <v>3.0</v>
      </c>
      <c r="B27" s="99" t="s">
        <v>50</v>
      </c>
      <c r="C27" s="99" t="s">
        <v>64</v>
      </c>
      <c r="D27" s="128">
        <v>-0.5</v>
      </c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B26:B40">
      <formula1>'3 Серия'!$B$6:$B$15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79</v>
      </c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6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80</v>
      </c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6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81</v>
      </c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6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82</v>
      </c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6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83</v>
      </c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37"/>
      <c r="H10" s="56"/>
      <c r="I10" s="56"/>
      <c r="J10" s="49"/>
      <c r="K10" s="47"/>
      <c r="L10" s="50"/>
      <c r="M10" s="136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84</v>
      </c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37"/>
      <c r="H11" s="56"/>
      <c r="I11" s="56"/>
      <c r="J11" s="46"/>
      <c r="K11" s="47"/>
      <c r="L11" s="50"/>
      <c r="M11" s="136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85</v>
      </c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37"/>
      <c r="H12" s="56"/>
      <c r="I12" s="56"/>
      <c r="J12" s="46"/>
      <c r="K12" s="51"/>
      <c r="L12" s="48"/>
      <c r="M12" s="136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86</v>
      </c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37"/>
      <c r="H13" s="56"/>
      <c r="I13" s="56"/>
      <c r="J13" s="49"/>
      <c r="K13" s="51"/>
      <c r="L13" s="50"/>
      <c r="M13" s="136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87</v>
      </c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6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88</v>
      </c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38"/>
      <c r="H15" s="68"/>
      <c r="I15" s="68"/>
      <c r="J15" s="69"/>
      <c r="K15" s="73"/>
      <c r="L15" s="71"/>
      <c r="M15" s="139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'4 Серия'!$B$6:$B$15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89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90</v>
      </c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6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82</v>
      </c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6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83</v>
      </c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6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91</v>
      </c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6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92</v>
      </c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37"/>
      <c r="H10" s="56"/>
      <c r="I10" s="56"/>
      <c r="J10" s="49"/>
      <c r="K10" s="47"/>
      <c r="L10" s="50"/>
      <c r="M10" s="136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93</v>
      </c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37"/>
      <c r="H11" s="56"/>
      <c r="I11" s="56"/>
      <c r="J11" s="46"/>
      <c r="K11" s="47"/>
      <c r="L11" s="50"/>
      <c r="M11" s="136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86</v>
      </c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37"/>
      <c r="H12" s="56"/>
      <c r="I12" s="56"/>
      <c r="J12" s="46"/>
      <c r="K12" s="51"/>
      <c r="L12" s="48"/>
      <c r="M12" s="136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94</v>
      </c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37"/>
      <c r="H13" s="56"/>
      <c r="I13" s="56"/>
      <c r="J13" s="49"/>
      <c r="K13" s="51"/>
      <c r="L13" s="50"/>
      <c r="M13" s="136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88</v>
      </c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6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95</v>
      </c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38"/>
      <c r="H15" s="68"/>
      <c r="I15" s="68"/>
      <c r="J15" s="69"/>
      <c r="K15" s="73"/>
      <c r="L15" s="71"/>
      <c r="M15" s="139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'5 Серия'!$B$6:$B$15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96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97</v>
      </c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6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74</v>
      </c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6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82</v>
      </c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6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98</v>
      </c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6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99</v>
      </c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37"/>
      <c r="H10" s="56"/>
      <c r="I10" s="56"/>
      <c r="J10" s="49"/>
      <c r="K10" s="47"/>
      <c r="L10" s="50"/>
      <c r="M10" s="136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83</v>
      </c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37"/>
      <c r="H11" s="56"/>
      <c r="I11" s="56"/>
      <c r="J11" s="46"/>
      <c r="K11" s="47"/>
      <c r="L11" s="50"/>
      <c r="M11" s="136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100</v>
      </c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37"/>
      <c r="H12" s="56"/>
      <c r="I12" s="56"/>
      <c r="J12" s="46"/>
      <c r="K12" s="51"/>
      <c r="L12" s="48"/>
      <c r="M12" s="136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94</v>
      </c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37"/>
      <c r="H13" s="56"/>
      <c r="I13" s="56"/>
      <c r="J13" s="49"/>
      <c r="K13" s="51"/>
      <c r="L13" s="50"/>
      <c r="M13" s="136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101</v>
      </c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6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88</v>
      </c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38"/>
      <c r="H15" s="68"/>
      <c r="I15" s="68"/>
      <c r="J15" s="69"/>
      <c r="K15" s="73"/>
      <c r="L15" s="71"/>
      <c r="M15" s="139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'6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102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6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6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6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6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37"/>
      <c r="H10" s="56"/>
      <c r="I10" s="56"/>
      <c r="J10" s="49"/>
      <c r="K10" s="47"/>
      <c r="L10" s="50"/>
      <c r="M10" s="136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37"/>
      <c r="H11" s="56"/>
      <c r="I11" s="56"/>
      <c r="J11" s="46"/>
      <c r="K11" s="47"/>
      <c r="L11" s="50"/>
      <c r="M11" s="136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37"/>
      <c r="H12" s="56"/>
      <c r="I12" s="56"/>
      <c r="J12" s="46"/>
      <c r="K12" s="51"/>
      <c r="L12" s="48"/>
      <c r="M12" s="136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37"/>
      <c r="H13" s="56"/>
      <c r="I13" s="56"/>
      <c r="J13" s="49"/>
      <c r="K13" s="51"/>
      <c r="L13" s="50"/>
      <c r="M13" s="136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6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38"/>
      <c r="H15" s="68"/>
      <c r="I15" s="68"/>
      <c r="J15" s="69"/>
      <c r="K15" s="73"/>
      <c r="L15" s="71"/>
      <c r="M15" s="139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'7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103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6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6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6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6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37"/>
      <c r="H10" s="56"/>
      <c r="I10" s="56"/>
      <c r="J10" s="49"/>
      <c r="K10" s="47"/>
      <c r="L10" s="50"/>
      <c r="M10" s="136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37"/>
      <c r="H11" s="56"/>
      <c r="I11" s="56"/>
      <c r="J11" s="46"/>
      <c r="K11" s="47"/>
      <c r="L11" s="50"/>
      <c r="M11" s="136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37"/>
      <c r="H12" s="56"/>
      <c r="I12" s="56"/>
      <c r="J12" s="46"/>
      <c r="K12" s="51"/>
      <c r="L12" s="48"/>
      <c r="M12" s="136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37"/>
      <c r="H13" s="56"/>
      <c r="I13" s="56"/>
      <c r="J13" s="49"/>
      <c r="K13" s="51"/>
      <c r="L13" s="50"/>
      <c r="M13" s="136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6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38"/>
      <c r="H15" s="68"/>
      <c r="I15" s="68"/>
      <c r="J15" s="69"/>
      <c r="K15" s="73"/>
      <c r="L15" s="71"/>
      <c r="M15" s="139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B26:B40">
      <formula1>'8 Серия'!$B$6:$B$15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104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6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6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6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6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37"/>
      <c r="H10" s="56"/>
      <c r="I10" s="56"/>
      <c r="J10" s="49"/>
      <c r="K10" s="47"/>
      <c r="L10" s="50"/>
      <c r="M10" s="136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37"/>
      <c r="H11" s="56"/>
      <c r="I11" s="56"/>
      <c r="J11" s="46"/>
      <c r="K11" s="47"/>
      <c r="L11" s="50"/>
      <c r="M11" s="136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37"/>
      <c r="H12" s="56"/>
      <c r="I12" s="56"/>
      <c r="J12" s="46"/>
      <c r="K12" s="51"/>
      <c r="L12" s="48"/>
      <c r="M12" s="136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37"/>
      <c r="H13" s="56"/>
      <c r="I13" s="56"/>
      <c r="J13" s="49"/>
      <c r="K13" s="51"/>
      <c r="L13" s="50"/>
      <c r="M13" s="136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6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38"/>
      <c r="H15" s="68"/>
      <c r="I15" s="68"/>
      <c r="J15" s="69"/>
      <c r="K15" s="73"/>
      <c r="L15" s="71"/>
      <c r="M15" s="139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'9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105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6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6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6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6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37"/>
      <c r="H10" s="56"/>
      <c r="I10" s="56"/>
      <c r="J10" s="49"/>
      <c r="K10" s="47"/>
      <c r="L10" s="50"/>
      <c r="M10" s="136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37"/>
      <c r="H11" s="56"/>
      <c r="I11" s="56"/>
      <c r="J11" s="46"/>
      <c r="K11" s="47"/>
      <c r="L11" s="50"/>
      <c r="M11" s="136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37"/>
      <c r="H12" s="56"/>
      <c r="I12" s="56"/>
      <c r="J12" s="46"/>
      <c r="K12" s="51"/>
      <c r="L12" s="48"/>
      <c r="M12" s="136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37"/>
      <c r="H13" s="56"/>
      <c r="I13" s="56"/>
      <c r="J13" s="49"/>
      <c r="K13" s="51"/>
      <c r="L13" s="50"/>
      <c r="M13" s="136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6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38"/>
      <c r="H15" s="68"/>
      <c r="I15" s="68"/>
      <c r="J15" s="69"/>
      <c r="K15" s="73"/>
      <c r="L15" s="71"/>
      <c r="M15" s="139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B26:B40">
      <formula1>'10 Серия'!$B$6:$B$15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106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6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6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6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6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37"/>
      <c r="H10" s="56"/>
      <c r="I10" s="56"/>
      <c r="J10" s="49"/>
      <c r="K10" s="47"/>
      <c r="L10" s="50"/>
      <c r="M10" s="136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37"/>
      <c r="H11" s="56"/>
      <c r="I11" s="56"/>
      <c r="J11" s="46"/>
      <c r="K11" s="47"/>
      <c r="L11" s="50"/>
      <c r="M11" s="136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37"/>
      <c r="H12" s="56"/>
      <c r="I12" s="56"/>
      <c r="J12" s="46"/>
      <c r="K12" s="51"/>
      <c r="L12" s="48"/>
      <c r="M12" s="136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37"/>
      <c r="H13" s="56"/>
      <c r="I13" s="56"/>
      <c r="J13" s="49"/>
      <c r="K13" s="51"/>
      <c r="L13" s="50"/>
      <c r="M13" s="136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6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38"/>
      <c r="H15" s="68"/>
      <c r="I15" s="68"/>
      <c r="J15" s="69"/>
      <c r="K15" s="73"/>
      <c r="L15" s="71"/>
      <c r="M15" s="139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'11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107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6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6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6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6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37"/>
      <c r="H10" s="56"/>
      <c r="I10" s="56"/>
      <c r="J10" s="49"/>
      <c r="K10" s="47"/>
      <c r="L10" s="50"/>
      <c r="M10" s="136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37"/>
      <c r="H11" s="56"/>
      <c r="I11" s="56"/>
      <c r="J11" s="46"/>
      <c r="K11" s="47"/>
      <c r="L11" s="50"/>
      <c r="M11" s="136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37"/>
      <c r="H12" s="56"/>
      <c r="I12" s="56"/>
      <c r="J12" s="46"/>
      <c r="K12" s="51"/>
      <c r="L12" s="48"/>
      <c r="M12" s="136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37"/>
      <c r="H13" s="56"/>
      <c r="I13" s="56"/>
      <c r="J13" s="49"/>
      <c r="K13" s="51"/>
      <c r="L13" s="50"/>
      <c r="M13" s="136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6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38"/>
      <c r="H15" s="68"/>
      <c r="I15" s="68"/>
      <c r="J15" s="69"/>
      <c r="K15" s="73"/>
      <c r="L15" s="71"/>
      <c r="M15" s="139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B26:B40">
      <formula1>'12 Серия'!$B$6:$B$15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108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6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6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6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6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37"/>
      <c r="H10" s="56"/>
      <c r="I10" s="56"/>
      <c r="J10" s="49"/>
      <c r="K10" s="47"/>
      <c r="L10" s="50"/>
      <c r="M10" s="136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37"/>
      <c r="H11" s="56"/>
      <c r="I11" s="56"/>
      <c r="J11" s="46"/>
      <c r="K11" s="47"/>
      <c r="L11" s="50"/>
      <c r="M11" s="136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37"/>
      <c r="H12" s="56"/>
      <c r="I12" s="56"/>
      <c r="J12" s="46"/>
      <c r="K12" s="51"/>
      <c r="L12" s="48"/>
      <c r="M12" s="136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37"/>
      <c r="H13" s="56"/>
      <c r="I13" s="56"/>
      <c r="J13" s="49"/>
      <c r="K13" s="51"/>
      <c r="L13" s="50"/>
      <c r="M13" s="136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6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38"/>
      <c r="H15" s="68"/>
      <c r="I15" s="68"/>
      <c r="J15" s="69"/>
      <c r="K15" s="73"/>
      <c r="L15" s="71"/>
      <c r="M15" s="139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'13 Серия'!$B$6:$B$15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109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6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6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6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6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37"/>
      <c r="H10" s="56"/>
      <c r="I10" s="56"/>
      <c r="J10" s="49"/>
      <c r="K10" s="47"/>
      <c r="L10" s="50"/>
      <c r="M10" s="136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37"/>
      <c r="H11" s="56"/>
      <c r="I11" s="56"/>
      <c r="J11" s="46"/>
      <c r="K11" s="47"/>
      <c r="L11" s="50"/>
      <c r="M11" s="136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37"/>
      <c r="H12" s="56"/>
      <c r="I12" s="56"/>
      <c r="J12" s="46"/>
      <c r="K12" s="51"/>
      <c r="L12" s="48"/>
      <c r="M12" s="136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37"/>
      <c r="H13" s="56"/>
      <c r="I13" s="56"/>
      <c r="J13" s="49"/>
      <c r="K13" s="51"/>
      <c r="L13" s="50"/>
      <c r="M13" s="136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6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38"/>
      <c r="H15" s="68"/>
      <c r="I15" s="68"/>
      <c r="J15" s="69"/>
      <c r="K15" s="73"/>
      <c r="L15" s="71"/>
      <c r="M15" s="139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'14 Серия'!$B$6:$B$15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110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6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6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6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6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37"/>
      <c r="H10" s="56"/>
      <c r="I10" s="56"/>
      <c r="J10" s="49"/>
      <c r="K10" s="47"/>
      <c r="L10" s="50"/>
      <c r="M10" s="136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37"/>
      <c r="H11" s="56"/>
      <c r="I11" s="56"/>
      <c r="J11" s="46"/>
      <c r="K11" s="47"/>
      <c r="L11" s="50"/>
      <c r="M11" s="136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37"/>
      <c r="H12" s="56"/>
      <c r="I12" s="56"/>
      <c r="J12" s="46"/>
      <c r="K12" s="51"/>
      <c r="L12" s="48"/>
      <c r="M12" s="136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37"/>
      <c r="H13" s="56"/>
      <c r="I13" s="56"/>
      <c r="J13" s="49"/>
      <c r="K13" s="51"/>
      <c r="L13" s="50"/>
      <c r="M13" s="136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6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38"/>
      <c r="H15" s="68"/>
      <c r="I15" s="68"/>
      <c r="J15" s="69"/>
      <c r="K15" s="73"/>
      <c r="L15" s="71"/>
      <c r="M15" s="139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'15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6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6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6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6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37"/>
      <c r="H10" s="56"/>
      <c r="I10" s="56"/>
      <c r="J10" s="49"/>
      <c r="K10" s="47"/>
      <c r="L10" s="50"/>
      <c r="M10" s="136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37"/>
      <c r="H11" s="56"/>
      <c r="I11" s="56"/>
      <c r="J11" s="46"/>
      <c r="K11" s="47"/>
      <c r="L11" s="50"/>
      <c r="M11" s="136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37"/>
      <c r="H12" s="56"/>
      <c r="I12" s="56"/>
      <c r="J12" s="46"/>
      <c r="K12" s="51"/>
      <c r="L12" s="48"/>
      <c r="M12" s="136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37"/>
      <c r="H13" s="56"/>
      <c r="I13" s="56"/>
      <c r="J13" s="49"/>
      <c r="K13" s="51"/>
      <c r="L13" s="50"/>
      <c r="M13" s="136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6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38"/>
      <c r="H15" s="68"/>
      <c r="I15" s="68"/>
      <c r="J15" s="69"/>
      <c r="K15" s="73"/>
      <c r="L15" s="71"/>
      <c r="M15" s="139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'16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8.88"/>
    <col customWidth="1" min="3" max="3" width="15.0"/>
    <col customWidth="1" min="7" max="7" width="10.5"/>
    <col customWidth="1" min="8" max="8" width="14.88"/>
    <col customWidth="1" min="9" max="9" width="16.13"/>
  </cols>
  <sheetData>
    <row r="1" ht="20.25" customHeight="1">
      <c r="A1" s="140"/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141"/>
      <c r="AC1" s="141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</row>
    <row r="2" ht="27.75" customHeight="1">
      <c r="A2" s="143" t="s">
        <v>112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41"/>
      <c r="AC2" s="141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</row>
    <row r="3" ht="18.75" customHeight="1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144"/>
      <c r="Z3" s="144"/>
      <c r="AA3" s="144"/>
      <c r="AB3" s="141"/>
      <c r="AC3" s="141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</row>
    <row r="4" ht="44.25" customHeight="1">
      <c r="A4" s="145" t="s">
        <v>1</v>
      </c>
      <c r="B4" s="146" t="s">
        <v>113</v>
      </c>
      <c r="C4" s="145" t="s">
        <v>3</v>
      </c>
      <c r="D4" s="145" t="s">
        <v>114</v>
      </c>
      <c r="E4" s="147"/>
      <c r="F4" s="147"/>
      <c r="G4" s="148" t="s">
        <v>115</v>
      </c>
      <c r="H4" s="149"/>
      <c r="I4" s="149"/>
      <c r="J4" s="150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/>
      <c r="BE4" s="147"/>
      <c r="BF4" s="147"/>
      <c r="BG4" s="147"/>
      <c r="BH4" s="147"/>
    </row>
    <row r="5">
      <c r="A5" s="151">
        <v>1.0</v>
      </c>
      <c r="B5" s="152" t="str">
        <f>'Лист3'!A3</f>
        <v>Coach</v>
      </c>
      <c r="C5" s="153">
        <f>'Лист3'!B3</f>
        <v>42.25</v>
      </c>
      <c r="D5" s="154">
        <v>1.0</v>
      </c>
      <c r="G5" s="145" t="s">
        <v>1</v>
      </c>
      <c r="H5" s="155" t="s">
        <v>113</v>
      </c>
      <c r="I5" s="145" t="s">
        <v>3</v>
      </c>
      <c r="J5" s="145" t="s">
        <v>114</v>
      </c>
    </row>
    <row r="6">
      <c r="A6" s="156">
        <v>2.0</v>
      </c>
      <c r="B6" s="157" t="str">
        <f>'Лист3'!D3</f>
        <v>Дракарис</v>
      </c>
      <c r="C6" s="158">
        <f>'Лист3'!E3</f>
        <v>34.75</v>
      </c>
      <c r="D6" s="159">
        <v>2.0</v>
      </c>
      <c r="G6" s="160">
        <v>1.0</v>
      </c>
      <c r="H6" s="161" t="str">
        <f t="array" ref="H6:J21">SORT('Лист3'!AX3:AZ18,2,FALSE)</f>
        <v>Тихий Закат</v>
      </c>
      <c r="I6" s="161">
        <v>35.75</v>
      </c>
      <c r="J6" s="162">
        <v>1.0</v>
      </c>
    </row>
    <row r="7">
      <c r="A7" s="151">
        <v>3.0</v>
      </c>
      <c r="B7" s="152" t="str">
        <f>'Лист3'!G3</f>
        <v>Админ</v>
      </c>
      <c r="C7" s="153">
        <f>'Лист3'!H3</f>
        <v>34.5</v>
      </c>
      <c r="D7" s="154">
        <v>3.0</v>
      </c>
      <c r="G7" s="160">
        <v>2.0</v>
      </c>
      <c r="H7" s="163" t="s">
        <v>45</v>
      </c>
      <c r="I7" s="161">
        <v>33.75</v>
      </c>
      <c r="J7" s="164">
        <v>2.0</v>
      </c>
    </row>
    <row r="8">
      <c r="A8" s="156">
        <v>4.0</v>
      </c>
      <c r="B8" s="157" t="str">
        <f>'Лист3'!J3</f>
        <v>Суета</v>
      </c>
      <c r="C8" s="158" t="str">
        <f>IF('Лист3'!K$3,"0"," ")</f>
        <v> </v>
      </c>
      <c r="D8" s="159">
        <v>4.0</v>
      </c>
      <c r="G8" s="160">
        <v>3.0</v>
      </c>
      <c r="H8" s="163" t="s">
        <v>48</v>
      </c>
      <c r="I8" s="161">
        <v>33.25</v>
      </c>
      <c r="J8" s="164">
        <v>3.0</v>
      </c>
    </row>
    <row r="9">
      <c r="A9" s="151">
        <v>5.0</v>
      </c>
      <c r="B9" s="152"/>
      <c r="C9" s="153" t="str">
        <f>IF('Лист3'!N$3,"0"," ")</f>
        <v> </v>
      </c>
      <c r="D9" s="154">
        <v>5.0</v>
      </c>
      <c r="G9" s="165">
        <v>4.0</v>
      </c>
      <c r="H9" s="166" t="s">
        <v>80</v>
      </c>
      <c r="I9" s="167">
        <v>0.0</v>
      </c>
      <c r="J9" s="168">
        <v>4.0</v>
      </c>
    </row>
    <row r="10">
      <c r="A10" s="156">
        <v>6.0</v>
      </c>
      <c r="B10" s="157"/>
      <c r="C10" s="158" t="str">
        <f>IF('Лист3'!Q$3,"0"," ")</f>
        <v> </v>
      </c>
      <c r="D10" s="159">
        <v>6.0</v>
      </c>
      <c r="G10" s="169">
        <v>5.0</v>
      </c>
      <c r="H10" s="163" t="s">
        <v>82</v>
      </c>
      <c r="I10" s="161">
        <v>0.0</v>
      </c>
      <c r="J10" s="164">
        <v>5.0</v>
      </c>
    </row>
    <row r="11">
      <c r="A11" s="151">
        <v>7.0</v>
      </c>
      <c r="B11" s="152"/>
      <c r="C11" s="153" t="str">
        <f>IF('Лист3'!T$3,"0"," ")</f>
        <v> </v>
      </c>
      <c r="D11" s="154">
        <v>7.0</v>
      </c>
      <c r="G11" s="169">
        <v>6.0</v>
      </c>
      <c r="H11" s="163" t="s">
        <v>74</v>
      </c>
      <c r="I11" s="161">
        <v>0.0</v>
      </c>
      <c r="J11" s="164">
        <v>6.0</v>
      </c>
    </row>
    <row r="12">
      <c r="A12" s="156">
        <v>8.0</v>
      </c>
      <c r="B12" s="157"/>
      <c r="C12" s="158" t="str">
        <f>IF('Лист3'!W$3,"0"," ")</f>
        <v> </v>
      </c>
      <c r="D12" s="159">
        <v>8.0</v>
      </c>
      <c r="G12" s="169">
        <v>7.0</v>
      </c>
      <c r="H12" s="163"/>
      <c r="I12" s="161">
        <v>0.0</v>
      </c>
      <c r="J12" s="162">
        <v>7.0</v>
      </c>
    </row>
    <row r="13">
      <c r="A13" s="151">
        <v>9.0</v>
      </c>
      <c r="B13" s="152"/>
      <c r="C13" s="153" t="str">
        <f>IF('Лист3'!Z$3,"0"," ")</f>
        <v> </v>
      </c>
      <c r="D13" s="154">
        <v>9.0</v>
      </c>
      <c r="G13" s="169">
        <v>8.0</v>
      </c>
      <c r="H13" s="163"/>
      <c r="I13" s="161">
        <v>0.0</v>
      </c>
      <c r="J13" s="164">
        <v>8.0</v>
      </c>
    </row>
    <row r="14">
      <c r="A14" s="156">
        <v>10.0</v>
      </c>
      <c r="B14" s="157"/>
      <c r="C14" s="158" t="str">
        <f>IF('Лист3'!AC$3,"0"," ")</f>
        <v> </v>
      </c>
      <c r="D14" s="159">
        <v>10.0</v>
      </c>
      <c r="G14" s="169">
        <v>9.0</v>
      </c>
      <c r="H14" s="163"/>
      <c r="I14" s="161">
        <v>0.0</v>
      </c>
      <c r="J14" s="164">
        <v>9.0</v>
      </c>
    </row>
    <row r="15">
      <c r="A15" s="151">
        <v>11.0</v>
      </c>
      <c r="B15" s="152"/>
      <c r="C15" s="153" t="str">
        <f>IF('Лист3'!AF$3,"0"," ")</f>
        <v> </v>
      </c>
      <c r="D15" s="154">
        <v>11.0</v>
      </c>
      <c r="G15" s="169">
        <v>10.0</v>
      </c>
      <c r="H15" s="163"/>
      <c r="I15" s="161">
        <v>0.0</v>
      </c>
      <c r="J15" s="162">
        <v>10.0</v>
      </c>
    </row>
    <row r="16">
      <c r="A16" s="156">
        <v>12.0</v>
      </c>
      <c r="B16" s="157"/>
      <c r="C16" s="158" t="str">
        <f>IF('Лист3'!AI$3,"0"," ")</f>
        <v> </v>
      </c>
      <c r="D16" s="159">
        <v>12.0</v>
      </c>
      <c r="G16" s="169">
        <v>11.0</v>
      </c>
      <c r="H16" s="163"/>
      <c r="I16" s="161">
        <v>0.0</v>
      </c>
      <c r="J16" s="164">
        <v>11.0</v>
      </c>
    </row>
    <row r="17">
      <c r="A17" s="151">
        <v>13.0</v>
      </c>
      <c r="B17" s="152"/>
      <c r="C17" s="153" t="str">
        <f>IF('Лист3'!AL$3,"0"," ")</f>
        <v> </v>
      </c>
      <c r="D17" s="154">
        <v>13.0</v>
      </c>
      <c r="G17" s="169">
        <v>12.0</v>
      </c>
      <c r="H17" s="163"/>
      <c r="I17" s="161">
        <v>0.0</v>
      </c>
      <c r="J17" s="164">
        <v>12.0</v>
      </c>
    </row>
    <row r="18">
      <c r="A18" s="156">
        <v>14.0</v>
      </c>
      <c r="B18" s="157"/>
      <c r="C18" s="158" t="str">
        <f>IF('Лист3'!AO$3,"0"," ")</f>
        <v> </v>
      </c>
      <c r="D18" s="159">
        <v>14.0</v>
      </c>
      <c r="G18" s="169">
        <v>13.0</v>
      </c>
      <c r="H18" s="163"/>
      <c r="I18" s="161">
        <v>0.0</v>
      </c>
      <c r="J18" s="162">
        <v>13.0</v>
      </c>
    </row>
    <row r="19">
      <c r="A19" s="151">
        <v>15.0</v>
      </c>
      <c r="B19" s="152"/>
      <c r="C19" s="153" t="str">
        <f>IF('Лист3'!AR$3,"0"," ")</f>
        <v> </v>
      </c>
      <c r="D19" s="154">
        <v>15.0</v>
      </c>
      <c r="G19" s="169">
        <v>14.0</v>
      </c>
      <c r="H19" s="163"/>
      <c r="I19" s="161">
        <v>0.0</v>
      </c>
      <c r="J19" s="164">
        <v>14.0</v>
      </c>
    </row>
    <row r="20">
      <c r="A20" s="156">
        <v>16.0</v>
      </c>
      <c r="B20" s="157"/>
      <c r="C20" s="158" t="str">
        <f>IF('Лист3'!AU$3,"0"," ")</f>
        <v> </v>
      </c>
      <c r="D20" s="159">
        <v>16.0</v>
      </c>
      <c r="G20" s="169">
        <v>15.0</v>
      </c>
      <c r="H20" s="163"/>
      <c r="I20" s="161">
        <v>0.0</v>
      </c>
      <c r="J20" s="164">
        <v>15.0</v>
      </c>
    </row>
    <row r="21">
      <c r="A21" s="170">
        <v>17.0</v>
      </c>
      <c r="B21" s="171" t="str">
        <f t="shared" ref="B21:D21" si="1">H6</f>
        <v>Тихий Закат</v>
      </c>
      <c r="C21" s="171">
        <f t="shared" si="1"/>
        <v>35.75</v>
      </c>
      <c r="D21" s="172">
        <f t="shared" si="1"/>
        <v>1</v>
      </c>
      <c r="G21" s="173">
        <v>16.0</v>
      </c>
      <c r="H21" s="174"/>
      <c r="I21" s="175">
        <v>0.0</v>
      </c>
      <c r="J21" s="176">
        <v>16.0</v>
      </c>
    </row>
    <row r="22">
      <c r="A22" s="170">
        <v>18.0</v>
      </c>
      <c r="B22" s="177"/>
      <c r="C22" s="177"/>
      <c r="D22" s="178"/>
    </row>
    <row r="23">
      <c r="A23" s="170">
        <v>19.0</v>
      </c>
      <c r="B23" s="152"/>
      <c r="C23" s="153"/>
      <c r="D23" s="154"/>
    </row>
    <row r="24">
      <c r="A24" s="179">
        <v>20.0</v>
      </c>
      <c r="B24" s="180"/>
      <c r="C24" s="181"/>
      <c r="D24" s="182"/>
    </row>
    <row r="27">
      <c r="A27" s="18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3" width="20.13"/>
    <col customWidth="1" min="4" max="4" width="15.38"/>
    <col customWidth="1" min="5" max="6" width="20.13"/>
    <col customWidth="1" min="7" max="7" width="15.38"/>
    <col customWidth="1" min="8" max="9" width="20.13"/>
    <col customWidth="1" min="10" max="10" width="15.38"/>
    <col customWidth="1" min="11" max="12" width="20.13"/>
    <col customWidth="1" min="13" max="13" width="15.38"/>
    <col customWidth="1" min="14" max="15" width="20.13"/>
    <col customWidth="1" min="16" max="16" width="15.38"/>
    <col customWidth="1" min="17" max="18" width="20.13"/>
    <col customWidth="1" min="19" max="19" width="15.38"/>
    <col customWidth="1" min="20" max="21" width="20.13"/>
    <col customWidth="1" min="22" max="22" width="15.38"/>
    <col customWidth="1" min="23" max="24" width="20.13"/>
    <col customWidth="1" min="25" max="25" width="15.38"/>
    <col customWidth="1" min="26" max="27" width="20.13"/>
    <col customWidth="1" min="28" max="28" width="15.38"/>
    <col customWidth="1" min="29" max="30" width="20.13"/>
    <col customWidth="1" min="31" max="31" width="15.38"/>
    <col customWidth="1" min="32" max="33" width="20.13"/>
    <col customWidth="1" min="34" max="34" width="15.38"/>
    <col customWidth="1" min="35" max="36" width="20.13"/>
    <col customWidth="1" min="37" max="37" width="15.38"/>
    <col customWidth="1" min="38" max="39" width="20.13"/>
    <col customWidth="1" min="40" max="40" width="15.38"/>
    <col customWidth="1" min="41" max="42" width="20.13"/>
    <col customWidth="1" min="43" max="43" width="15.38"/>
    <col customWidth="1" min="44" max="45" width="20.13"/>
    <col customWidth="1" min="46" max="46" width="15.38"/>
    <col customWidth="1" min="47" max="53" width="20.13"/>
  </cols>
  <sheetData>
    <row r="1">
      <c r="A1" s="184" t="s">
        <v>116</v>
      </c>
      <c r="B1" s="185"/>
      <c r="C1" s="185"/>
      <c r="D1" s="184" t="s">
        <v>117</v>
      </c>
      <c r="E1" s="185"/>
      <c r="F1" s="185"/>
      <c r="G1" s="184" t="s">
        <v>118</v>
      </c>
      <c r="H1" s="185"/>
      <c r="I1" s="185"/>
      <c r="J1" s="184" t="s">
        <v>119</v>
      </c>
      <c r="K1" s="185"/>
      <c r="L1" s="185"/>
      <c r="M1" s="184" t="s">
        <v>120</v>
      </c>
      <c r="N1" s="185"/>
      <c r="O1" s="185"/>
      <c r="P1" s="184" t="s">
        <v>121</v>
      </c>
      <c r="Q1" s="185"/>
      <c r="R1" s="185"/>
      <c r="S1" s="184" t="s">
        <v>122</v>
      </c>
      <c r="T1" s="185"/>
      <c r="U1" s="185"/>
      <c r="V1" s="184" t="s">
        <v>123</v>
      </c>
      <c r="W1" s="185"/>
      <c r="X1" s="185"/>
      <c r="Y1" s="184" t="s">
        <v>124</v>
      </c>
      <c r="Z1" s="185"/>
      <c r="AA1" s="185"/>
      <c r="AB1" s="184" t="s">
        <v>125</v>
      </c>
      <c r="AC1" s="185"/>
      <c r="AD1" s="185"/>
      <c r="AE1" s="184" t="s">
        <v>126</v>
      </c>
      <c r="AF1" s="185"/>
      <c r="AG1" s="185"/>
      <c r="AH1" s="184" t="s">
        <v>127</v>
      </c>
      <c r="AI1" s="185"/>
      <c r="AJ1" s="185"/>
      <c r="AK1" s="184" t="s">
        <v>128</v>
      </c>
      <c r="AL1" s="185"/>
      <c r="AM1" s="185"/>
      <c r="AN1" s="184" t="s">
        <v>129</v>
      </c>
      <c r="AO1" s="185"/>
      <c r="AP1" s="185"/>
      <c r="AQ1" s="184" t="s">
        <v>130</v>
      </c>
      <c r="AR1" s="185"/>
      <c r="AS1" s="185"/>
      <c r="AT1" s="184" t="s">
        <v>131</v>
      </c>
      <c r="AU1" s="185"/>
      <c r="AV1" s="185"/>
      <c r="AW1" s="163"/>
      <c r="AX1" s="186" t="s">
        <v>132</v>
      </c>
      <c r="AY1" s="163"/>
      <c r="AZ1" s="163"/>
      <c r="BA1" s="163"/>
    </row>
    <row r="2">
      <c r="A2" s="187" t="s">
        <v>2</v>
      </c>
      <c r="B2" s="188" t="s">
        <v>3</v>
      </c>
      <c r="C2" s="188"/>
      <c r="D2" s="187" t="s">
        <v>2</v>
      </c>
      <c r="E2" s="188" t="s">
        <v>3</v>
      </c>
      <c r="F2" s="188"/>
      <c r="G2" s="187" t="s">
        <v>2</v>
      </c>
      <c r="H2" s="188" t="s">
        <v>3</v>
      </c>
      <c r="I2" s="188"/>
      <c r="J2" s="187" t="s">
        <v>2</v>
      </c>
      <c r="K2" s="188" t="s">
        <v>3</v>
      </c>
      <c r="L2" s="188"/>
      <c r="M2" s="187" t="s">
        <v>2</v>
      </c>
      <c r="N2" s="188" t="s">
        <v>3</v>
      </c>
      <c r="O2" s="188"/>
      <c r="P2" s="187" t="s">
        <v>2</v>
      </c>
      <c r="Q2" s="188" t="s">
        <v>3</v>
      </c>
      <c r="R2" s="188"/>
      <c r="S2" s="187" t="s">
        <v>2</v>
      </c>
      <c r="T2" s="188" t="s">
        <v>3</v>
      </c>
      <c r="U2" s="188"/>
      <c r="V2" s="187" t="s">
        <v>2</v>
      </c>
      <c r="W2" s="188" t="s">
        <v>3</v>
      </c>
      <c r="X2" s="188"/>
      <c r="Y2" s="187" t="s">
        <v>2</v>
      </c>
      <c r="Z2" s="188" t="s">
        <v>3</v>
      </c>
      <c r="AA2" s="188"/>
      <c r="AB2" s="187" t="s">
        <v>2</v>
      </c>
      <c r="AC2" s="188" t="s">
        <v>3</v>
      </c>
      <c r="AD2" s="188"/>
      <c r="AE2" s="187" t="s">
        <v>2</v>
      </c>
      <c r="AF2" s="188" t="s">
        <v>3</v>
      </c>
      <c r="AG2" s="188"/>
      <c r="AH2" s="187" t="s">
        <v>2</v>
      </c>
      <c r="AI2" s="188" t="s">
        <v>3</v>
      </c>
      <c r="AJ2" s="188"/>
      <c r="AK2" s="187" t="s">
        <v>2</v>
      </c>
      <c r="AL2" s="188" t="s">
        <v>3</v>
      </c>
      <c r="AM2" s="188"/>
      <c r="AN2" s="187" t="s">
        <v>2</v>
      </c>
      <c r="AO2" s="188" t="s">
        <v>3</v>
      </c>
      <c r="AP2" s="188"/>
      <c r="AQ2" s="187" t="s">
        <v>2</v>
      </c>
      <c r="AR2" s="188" t="s">
        <v>3</v>
      </c>
      <c r="AS2" s="188"/>
      <c r="AT2" s="187" t="s">
        <v>2</v>
      </c>
      <c r="AU2" s="188" t="s">
        <v>3</v>
      </c>
      <c r="AV2" s="189"/>
      <c r="AW2" s="190"/>
      <c r="AX2" s="191" t="s">
        <v>2</v>
      </c>
      <c r="AY2" s="192" t="s">
        <v>3</v>
      </c>
      <c r="AZ2" s="193" t="s">
        <v>114</v>
      </c>
      <c r="BA2" s="194"/>
    </row>
    <row r="3">
      <c r="A3" s="195" t="str">
        <f>IFERROR(__xludf.DUMMYFUNCTION("QUERY('1 Серия'!$B$6:$F$15,""select B,C,F ORDER by C desc, F desc"")"),"Coach")</f>
        <v>Coach</v>
      </c>
      <c r="B3" s="195">
        <f>IFERROR(__xludf.DUMMYFUNCTION("""COMPUTED_VALUE"""),42.25)</f>
        <v>42.25</v>
      </c>
      <c r="C3" s="195">
        <f>IFERROR(__xludf.DUMMYFUNCTION("""COMPUTED_VALUE"""),24.75)</f>
        <v>24.75</v>
      </c>
      <c r="D3" s="195" t="str">
        <f>IFERROR(__xludf.DUMMYFUNCTION("QUERY('2 Серия'!$B$6:$F$15,""select B,C,F ORDER by C desc, F desc"")"),"Дракарис")</f>
        <v>Дракарис</v>
      </c>
      <c r="E3" s="195">
        <f>IFERROR(__xludf.DUMMYFUNCTION("""COMPUTED_VALUE"""),34.75)</f>
        <v>34.75</v>
      </c>
      <c r="F3" s="195">
        <f>IFERROR(__xludf.DUMMYFUNCTION("""COMPUTED_VALUE"""),22.25)</f>
        <v>22.25</v>
      </c>
      <c r="G3" s="195" t="str">
        <f>IFERROR(__xludf.DUMMYFUNCTION("QUERY('3 Серия'!$B$6:$F$15,""select B,C,F ORDER by C desc, F desc"")"),"Админ")</f>
        <v>Админ</v>
      </c>
      <c r="H3" s="195">
        <f>IFERROR(__xludf.DUMMYFUNCTION("""COMPUTED_VALUE"""),34.5)</f>
        <v>34.5</v>
      </c>
      <c r="I3" s="195">
        <f>IFERROR(__xludf.DUMMYFUNCTION("""COMPUTED_VALUE"""),22.0)</f>
        <v>22</v>
      </c>
      <c r="J3" s="195" t="str">
        <f>IFERROR(__xludf.DUMMYFUNCTION("QUERY('4 Серия'!$B$6:$F$15,""select B,C, F ORDER by C desc, F desc"")"),"Суета")</f>
        <v>Суета</v>
      </c>
      <c r="K3" s="195">
        <f>IFERROR(__xludf.DUMMYFUNCTION("""COMPUTED_VALUE"""),0.0)</f>
        <v>0</v>
      </c>
      <c r="L3" s="195">
        <f>IFERROR(__xludf.DUMMYFUNCTION("""COMPUTED_VALUE"""),0.0)</f>
        <v>0</v>
      </c>
      <c r="M3" s="195" t="str">
        <f>IFERROR(__xludf.DUMMYFUNCTION("QUERY('5 Серия'!$B$6:$F$15,""select B,C,F ORDER by C desc, F desc"")"),"Бестия")</f>
        <v>Бестия</v>
      </c>
      <c r="N3" s="195">
        <f>IFERROR(__xludf.DUMMYFUNCTION("""COMPUTED_VALUE"""),0.0)</f>
        <v>0</v>
      </c>
      <c r="O3" s="195">
        <f>IFERROR(__xludf.DUMMYFUNCTION("""COMPUTED_VALUE"""),0.0)</f>
        <v>0</v>
      </c>
      <c r="P3" s="195" t="str">
        <f>IFERROR(__xludf.DUMMYFUNCTION("QUERY('6 Серия'!$B$6:$F$15,""select B,C,F ORDER by C desc, F desc"")"),"Физик")</f>
        <v>Физик</v>
      </c>
      <c r="Q3" s="195">
        <f>IFERROR(__xludf.DUMMYFUNCTION("""COMPUTED_VALUE"""),0.0)</f>
        <v>0</v>
      </c>
      <c r="R3" s="195">
        <f>IFERROR(__xludf.DUMMYFUNCTION("""COMPUTED_VALUE"""),0.0)</f>
        <v>0</v>
      </c>
      <c r="S3" s="196" t="str">
        <f>IFERROR(__xludf.DUMMYFUNCTION("QUERY('7 Серия'!$B$6:$F$15,""select B,C,F ORDER by C desc, F desc"")"),"")</f>
        <v/>
      </c>
      <c r="T3" s="195">
        <f>IFERROR(__xludf.DUMMYFUNCTION("""COMPUTED_VALUE"""),0.0)</f>
        <v>0</v>
      </c>
      <c r="U3" s="195">
        <f>IFERROR(__xludf.DUMMYFUNCTION("""COMPUTED_VALUE"""),0.0)</f>
        <v>0</v>
      </c>
      <c r="V3" s="195" t="str">
        <f>IFERROR(__xludf.DUMMYFUNCTION("QUERY('8 Серия'!$B$6:$F$15,""select B,C,F ORDER by C desc, F desc"")"),"")</f>
        <v/>
      </c>
      <c r="W3" s="195">
        <f>IFERROR(__xludf.DUMMYFUNCTION("""COMPUTED_VALUE"""),0.0)</f>
        <v>0</v>
      </c>
      <c r="X3" s="195">
        <f>IFERROR(__xludf.DUMMYFUNCTION("""COMPUTED_VALUE"""),0.0)</f>
        <v>0</v>
      </c>
      <c r="Y3" s="195" t="str">
        <f>IFERROR(__xludf.DUMMYFUNCTION("QUERY('9 Серия'!$B$6:$F$15,""select B,C,F ORDER by C desc, F desc"")"),"")</f>
        <v/>
      </c>
      <c r="Z3" s="195">
        <f>IFERROR(__xludf.DUMMYFUNCTION("""COMPUTED_VALUE"""),0.0)</f>
        <v>0</v>
      </c>
      <c r="AA3" s="195">
        <f>IFERROR(__xludf.DUMMYFUNCTION("""COMPUTED_VALUE"""),0.0)</f>
        <v>0</v>
      </c>
      <c r="AB3" s="195" t="str">
        <f>IFERROR(__xludf.DUMMYFUNCTION("QUERY('10 Серия'!$B$6:$F$15,""select B,C,F ORDER by C desc, F desc"")"),"")</f>
        <v/>
      </c>
      <c r="AC3" s="195">
        <f>IFERROR(__xludf.DUMMYFUNCTION("""COMPUTED_VALUE"""),0.0)</f>
        <v>0</v>
      </c>
      <c r="AD3" s="195">
        <f>IFERROR(__xludf.DUMMYFUNCTION("""COMPUTED_VALUE"""),0.0)</f>
        <v>0</v>
      </c>
      <c r="AE3" s="195" t="str">
        <f>IFERROR(__xludf.DUMMYFUNCTION("QUERY('11 Серия'!$B$6:$F$15,""select B,C,F ORDER by C desc, F desc"")"),"")</f>
        <v/>
      </c>
      <c r="AF3" s="195">
        <f>IFERROR(__xludf.DUMMYFUNCTION("""COMPUTED_VALUE"""),0.0)</f>
        <v>0</v>
      </c>
      <c r="AG3" s="195">
        <f>IFERROR(__xludf.DUMMYFUNCTION("""COMPUTED_VALUE"""),0.0)</f>
        <v>0</v>
      </c>
      <c r="AH3" s="195" t="str">
        <f>IFERROR(__xludf.DUMMYFUNCTION("QUERY('12 Серия'!$B$6:$F$15,""select B,C,F ORDER by C desc, F desc"")"),"")</f>
        <v/>
      </c>
      <c r="AI3" s="195">
        <f>IFERROR(__xludf.DUMMYFUNCTION("""COMPUTED_VALUE"""),0.0)</f>
        <v>0</v>
      </c>
      <c r="AJ3" s="195">
        <f>IFERROR(__xludf.DUMMYFUNCTION("""COMPUTED_VALUE"""),0.0)</f>
        <v>0</v>
      </c>
      <c r="AK3" s="195" t="str">
        <f>IFERROR(__xludf.DUMMYFUNCTION("QUERY('13 Серия'!$B$6:$F$15,""select B,C,F ORDER by C desc, F desc"")"),"")</f>
        <v/>
      </c>
      <c r="AL3" s="195">
        <f>IFERROR(__xludf.DUMMYFUNCTION("""COMPUTED_VALUE"""),0.0)</f>
        <v>0</v>
      </c>
      <c r="AM3" s="195">
        <f>IFERROR(__xludf.DUMMYFUNCTION("""COMPUTED_VALUE"""),0.0)</f>
        <v>0</v>
      </c>
      <c r="AN3" s="195" t="str">
        <f>IFERROR(__xludf.DUMMYFUNCTION("QUERY('14 Серия'!$B$6:$F$15,""select B,C,F ORDER by C desc, F desc"")"),"")</f>
        <v/>
      </c>
      <c r="AO3" s="195">
        <f>IFERROR(__xludf.DUMMYFUNCTION("""COMPUTED_VALUE"""),0.0)</f>
        <v>0</v>
      </c>
      <c r="AP3" s="195">
        <f>IFERROR(__xludf.DUMMYFUNCTION("""COMPUTED_VALUE"""),0.0)</f>
        <v>0</v>
      </c>
      <c r="AQ3" s="195" t="str">
        <f>IFERROR(__xludf.DUMMYFUNCTION("QUERY('15 Серия'!$B$6:$F$15,""select B,C,F ORDER by C desc, F desc"")"),"")</f>
        <v/>
      </c>
      <c r="AR3" s="195">
        <f>IFERROR(__xludf.DUMMYFUNCTION("""COMPUTED_VALUE"""),0.0)</f>
        <v>0</v>
      </c>
      <c r="AS3" s="195">
        <f>IFERROR(__xludf.DUMMYFUNCTION("""COMPUTED_VALUE"""),0.0)</f>
        <v>0</v>
      </c>
      <c r="AT3" s="195" t="str">
        <f>IFERROR(__xludf.DUMMYFUNCTION("QUERY('16 Серия'!$B$6:$F$15,""select B,C,F ORDER by C desc, F desc"")"),"")</f>
        <v/>
      </c>
      <c r="AU3" s="195">
        <f>IFERROR(__xludf.DUMMYFUNCTION("""COMPUTED_VALUE"""),0.0)</f>
        <v>0</v>
      </c>
      <c r="AV3" s="195">
        <f>IFERROR(__xludf.DUMMYFUNCTION("""COMPUTED_VALUE"""),0.0)</f>
        <v>0</v>
      </c>
      <c r="AW3" s="195"/>
      <c r="AX3" s="197" t="str">
        <f t="shared" ref="AX3:AY3" si="1">A4</f>
        <v>Тихий Закат</v>
      </c>
      <c r="AY3" s="195">
        <f t="shared" si="1"/>
        <v>35.75</v>
      </c>
      <c r="AZ3" s="198">
        <v>1.0</v>
      </c>
      <c r="BA3" s="199">
        <f>C$4</f>
        <v>23.25</v>
      </c>
    </row>
    <row r="4">
      <c r="A4" s="129" t="str">
        <f>IFERROR(__xludf.DUMMYFUNCTION("""COMPUTED_VALUE"""),"Тихий Закат")</f>
        <v>Тихий Закат</v>
      </c>
      <c r="B4" s="195">
        <f>IFERROR(__xludf.DUMMYFUNCTION("""COMPUTED_VALUE"""),35.75)</f>
        <v>35.75</v>
      </c>
      <c r="C4" s="195">
        <f>IFERROR(__xludf.DUMMYFUNCTION("""COMPUTED_VALUE"""),23.25)</f>
        <v>23.25</v>
      </c>
      <c r="D4" s="129" t="str">
        <f>IFERROR(__xludf.DUMMYFUNCTION("""COMPUTED_VALUE"""),"Тихий Закат")</f>
        <v>Тихий Закат</v>
      </c>
      <c r="E4" s="195">
        <f>IFERROR(__xludf.DUMMYFUNCTION("""COMPUTED_VALUE"""),33.75)</f>
        <v>33.75</v>
      </c>
      <c r="F4" s="195">
        <f>IFERROR(__xludf.DUMMYFUNCTION("""COMPUTED_VALUE"""),23.75)</f>
        <v>23.75</v>
      </c>
      <c r="G4" s="129" t="str">
        <f>IFERROR(__xludf.DUMMYFUNCTION("""COMPUTED_VALUE"""),"Никнейм")</f>
        <v>Никнейм</v>
      </c>
      <c r="H4" s="195">
        <f>IFERROR(__xludf.DUMMYFUNCTION("""COMPUTED_VALUE"""),33.25)</f>
        <v>33.25</v>
      </c>
      <c r="I4" s="195">
        <f>IFERROR(__xludf.DUMMYFUNCTION("""COMPUTED_VALUE"""),23.25)</f>
        <v>23.25</v>
      </c>
      <c r="J4" s="129" t="str">
        <f>IFERROR(__xludf.DUMMYFUNCTION("""COMPUTED_VALUE"""),"Cristo")</f>
        <v>Cristo</v>
      </c>
      <c r="K4" s="195">
        <f>IFERROR(__xludf.DUMMYFUNCTION("""COMPUTED_VALUE"""),0.0)</f>
        <v>0</v>
      </c>
      <c r="L4" s="195">
        <f>IFERROR(__xludf.DUMMYFUNCTION("""COMPUTED_VALUE"""),0.0)</f>
        <v>0</v>
      </c>
      <c r="M4" s="129" t="str">
        <f>IFERROR(__xludf.DUMMYFUNCTION("""COMPUTED_VALUE"""),"Король Лев")</f>
        <v>Король Лев</v>
      </c>
      <c r="N4" s="195">
        <f>IFERROR(__xludf.DUMMYFUNCTION("""COMPUTED_VALUE"""),0.0)</f>
        <v>0</v>
      </c>
      <c r="O4" s="195">
        <f>IFERROR(__xludf.DUMMYFUNCTION("""COMPUTED_VALUE"""),0.0)</f>
        <v>0</v>
      </c>
      <c r="P4" s="129" t="str">
        <f>IFERROR(__xludf.DUMMYFUNCTION("""COMPUTED_VALUE"""),"Оскар")</f>
        <v>Оскар</v>
      </c>
      <c r="Q4" s="195">
        <f>IFERROR(__xludf.DUMMYFUNCTION("""COMPUTED_VALUE"""),0.0)</f>
        <v>0</v>
      </c>
      <c r="R4" s="195">
        <f>IFERROR(__xludf.DUMMYFUNCTION("""COMPUTED_VALUE"""),0.0)</f>
        <v>0</v>
      </c>
      <c r="S4" s="129"/>
      <c r="T4" s="195">
        <f>IFERROR(__xludf.DUMMYFUNCTION("""COMPUTED_VALUE"""),0.0)</f>
        <v>0</v>
      </c>
      <c r="U4" s="195">
        <f>IFERROR(__xludf.DUMMYFUNCTION("""COMPUTED_VALUE"""),0.0)</f>
        <v>0</v>
      </c>
      <c r="V4" s="129"/>
      <c r="W4" s="195">
        <f>IFERROR(__xludf.DUMMYFUNCTION("""COMPUTED_VALUE"""),0.0)</f>
        <v>0</v>
      </c>
      <c r="X4" s="195">
        <f>IFERROR(__xludf.DUMMYFUNCTION("""COMPUTED_VALUE"""),0.0)</f>
        <v>0</v>
      </c>
      <c r="Y4" s="129"/>
      <c r="Z4" s="195">
        <f>IFERROR(__xludf.DUMMYFUNCTION("""COMPUTED_VALUE"""),0.0)</f>
        <v>0</v>
      </c>
      <c r="AA4" s="195">
        <f>IFERROR(__xludf.DUMMYFUNCTION("""COMPUTED_VALUE"""),0.0)</f>
        <v>0</v>
      </c>
      <c r="AB4" s="129"/>
      <c r="AC4" s="195">
        <f>IFERROR(__xludf.DUMMYFUNCTION("""COMPUTED_VALUE"""),0.0)</f>
        <v>0</v>
      </c>
      <c r="AD4" s="195">
        <f>IFERROR(__xludf.DUMMYFUNCTION("""COMPUTED_VALUE"""),0.0)</f>
        <v>0</v>
      </c>
      <c r="AE4" s="129"/>
      <c r="AF4" s="195">
        <f>IFERROR(__xludf.DUMMYFUNCTION("""COMPUTED_VALUE"""),0.0)</f>
        <v>0</v>
      </c>
      <c r="AG4" s="195">
        <f>IFERROR(__xludf.DUMMYFUNCTION("""COMPUTED_VALUE"""),0.0)</f>
        <v>0</v>
      </c>
      <c r="AH4" s="129"/>
      <c r="AI4" s="195">
        <f>IFERROR(__xludf.DUMMYFUNCTION("""COMPUTED_VALUE"""),0.0)</f>
        <v>0</v>
      </c>
      <c r="AJ4" s="195">
        <f>IFERROR(__xludf.DUMMYFUNCTION("""COMPUTED_VALUE"""),0.0)</f>
        <v>0</v>
      </c>
      <c r="AK4" s="129"/>
      <c r="AL4" s="195">
        <f>IFERROR(__xludf.DUMMYFUNCTION("""COMPUTED_VALUE"""),0.0)</f>
        <v>0</v>
      </c>
      <c r="AM4" s="195">
        <f>IFERROR(__xludf.DUMMYFUNCTION("""COMPUTED_VALUE"""),0.0)</f>
        <v>0</v>
      </c>
      <c r="AN4" s="129"/>
      <c r="AO4" s="195">
        <f>IFERROR(__xludf.DUMMYFUNCTION("""COMPUTED_VALUE"""),0.0)</f>
        <v>0</v>
      </c>
      <c r="AP4" s="195">
        <f>IFERROR(__xludf.DUMMYFUNCTION("""COMPUTED_VALUE"""),0.0)</f>
        <v>0</v>
      </c>
      <c r="AQ4" s="129"/>
      <c r="AR4" s="195">
        <f>IFERROR(__xludf.DUMMYFUNCTION("""COMPUTED_VALUE"""),0.0)</f>
        <v>0</v>
      </c>
      <c r="AS4" s="195">
        <f>IFERROR(__xludf.DUMMYFUNCTION("""COMPUTED_VALUE"""),0.0)</f>
        <v>0</v>
      </c>
      <c r="AT4" s="129"/>
      <c r="AU4" s="195">
        <f>IFERROR(__xludf.DUMMYFUNCTION("""COMPUTED_VALUE"""),0.0)</f>
        <v>0</v>
      </c>
      <c r="AV4" s="195">
        <f>IFERROR(__xludf.DUMMYFUNCTION("""COMPUTED_VALUE"""),0.0)</f>
        <v>0</v>
      </c>
      <c r="AX4" s="200" t="str">
        <f t="shared" ref="AX4:AY4" si="2">D4</f>
        <v>Тихий Закат</v>
      </c>
      <c r="AY4" s="195">
        <f t="shared" si="2"/>
        <v>33.75</v>
      </c>
      <c r="AZ4" s="201">
        <v>2.0</v>
      </c>
      <c r="BA4" s="199">
        <f>F$4</f>
        <v>23.75</v>
      </c>
    </row>
    <row r="5">
      <c r="A5" s="129" t="str">
        <f>IFERROR(__xludf.DUMMYFUNCTION("""COMPUTED_VALUE"""),"Хамилка")</f>
        <v>Хамилка</v>
      </c>
      <c r="B5" s="195">
        <f>IFERROR(__xludf.DUMMYFUNCTION("""COMPUTED_VALUE"""),33.0)</f>
        <v>33</v>
      </c>
      <c r="C5" s="195">
        <f>IFERROR(__xludf.DUMMYFUNCTION("""COMPUTED_VALUE"""),20.5)</f>
        <v>20.5</v>
      </c>
      <c r="D5" s="129" t="str">
        <f>IFERROR(__xludf.DUMMYFUNCTION("""COMPUTED_VALUE"""),"Левша")</f>
        <v>Левша</v>
      </c>
      <c r="E5" s="195">
        <f>IFERROR(__xludf.DUMMYFUNCTION("""COMPUTED_VALUE"""),30.75)</f>
        <v>30.75</v>
      </c>
      <c r="F5" s="195">
        <f>IFERROR(__xludf.DUMMYFUNCTION("""COMPUTED_VALUE"""),23.25)</f>
        <v>23.25</v>
      </c>
      <c r="G5" s="129" t="str">
        <f>IFERROR(__xludf.DUMMYFUNCTION("""COMPUTED_VALUE"""),"Тихий Закат")</f>
        <v>Тихий Закат</v>
      </c>
      <c r="H5" s="195">
        <f>IFERROR(__xludf.DUMMYFUNCTION("""COMPUTED_VALUE"""),31.5)</f>
        <v>31.5</v>
      </c>
      <c r="I5" s="195">
        <f>IFERROR(__xludf.DUMMYFUNCTION("""COMPUTED_VALUE"""),21.5)</f>
        <v>21.5</v>
      </c>
      <c r="J5" s="129" t="str">
        <f>IFERROR(__xludf.DUMMYFUNCTION("""COMPUTED_VALUE"""),"Рыжая")</f>
        <v>Рыжая</v>
      </c>
      <c r="K5" s="195">
        <f>IFERROR(__xludf.DUMMYFUNCTION("""COMPUTED_VALUE"""),0.0)</f>
        <v>0</v>
      </c>
      <c r="L5" s="195">
        <f>IFERROR(__xludf.DUMMYFUNCTION("""COMPUTED_VALUE"""),0.0)</f>
        <v>0</v>
      </c>
      <c r="M5" s="129" t="str">
        <f>IFERROR(__xludf.DUMMYFUNCTION("""COMPUTED_VALUE"""),"Лео")</f>
        <v>Лео</v>
      </c>
      <c r="N5" s="195">
        <f>IFERROR(__xludf.DUMMYFUNCTION("""COMPUTED_VALUE"""),0.0)</f>
        <v>0</v>
      </c>
      <c r="O5" s="195">
        <f>IFERROR(__xludf.DUMMYFUNCTION("""COMPUTED_VALUE"""),0.0)</f>
        <v>0</v>
      </c>
      <c r="P5" s="129" t="str">
        <f>IFERROR(__xludf.DUMMYFUNCTION("""COMPUTED_VALUE"""),"Король Лев")</f>
        <v>Король Лев</v>
      </c>
      <c r="Q5" s="195">
        <f>IFERROR(__xludf.DUMMYFUNCTION("""COMPUTED_VALUE"""),0.0)</f>
        <v>0</v>
      </c>
      <c r="R5" s="195">
        <f>IFERROR(__xludf.DUMMYFUNCTION("""COMPUTED_VALUE"""),0.0)</f>
        <v>0</v>
      </c>
      <c r="S5" s="129"/>
      <c r="T5" s="195">
        <f>IFERROR(__xludf.DUMMYFUNCTION("""COMPUTED_VALUE"""),0.0)</f>
        <v>0</v>
      </c>
      <c r="U5" s="195">
        <f>IFERROR(__xludf.DUMMYFUNCTION("""COMPUTED_VALUE"""),0.0)</f>
        <v>0</v>
      </c>
      <c r="V5" s="129"/>
      <c r="W5" s="195">
        <f>IFERROR(__xludf.DUMMYFUNCTION("""COMPUTED_VALUE"""),0.0)</f>
        <v>0</v>
      </c>
      <c r="X5" s="195">
        <f>IFERROR(__xludf.DUMMYFUNCTION("""COMPUTED_VALUE"""),0.0)</f>
        <v>0</v>
      </c>
      <c r="Y5" s="129"/>
      <c r="Z5" s="195">
        <f>IFERROR(__xludf.DUMMYFUNCTION("""COMPUTED_VALUE"""),0.0)</f>
        <v>0</v>
      </c>
      <c r="AA5" s="195">
        <f>IFERROR(__xludf.DUMMYFUNCTION("""COMPUTED_VALUE"""),0.0)</f>
        <v>0</v>
      </c>
      <c r="AB5" s="129"/>
      <c r="AC5" s="195">
        <f>IFERROR(__xludf.DUMMYFUNCTION("""COMPUTED_VALUE"""),0.0)</f>
        <v>0</v>
      </c>
      <c r="AD5" s="195">
        <f>IFERROR(__xludf.DUMMYFUNCTION("""COMPUTED_VALUE"""),0.0)</f>
        <v>0</v>
      </c>
      <c r="AE5" s="129"/>
      <c r="AF5" s="195">
        <f>IFERROR(__xludf.DUMMYFUNCTION("""COMPUTED_VALUE"""),0.0)</f>
        <v>0</v>
      </c>
      <c r="AG5" s="195">
        <f>IFERROR(__xludf.DUMMYFUNCTION("""COMPUTED_VALUE"""),0.0)</f>
        <v>0</v>
      </c>
      <c r="AH5" s="129"/>
      <c r="AI5" s="195">
        <f>IFERROR(__xludf.DUMMYFUNCTION("""COMPUTED_VALUE"""),0.0)</f>
        <v>0</v>
      </c>
      <c r="AJ5" s="195">
        <f>IFERROR(__xludf.DUMMYFUNCTION("""COMPUTED_VALUE"""),0.0)</f>
        <v>0</v>
      </c>
      <c r="AK5" s="129"/>
      <c r="AL5" s="195">
        <f>IFERROR(__xludf.DUMMYFUNCTION("""COMPUTED_VALUE"""),0.0)</f>
        <v>0</v>
      </c>
      <c r="AM5" s="195">
        <f>IFERROR(__xludf.DUMMYFUNCTION("""COMPUTED_VALUE"""),0.0)</f>
        <v>0</v>
      </c>
      <c r="AN5" s="129"/>
      <c r="AO5" s="195">
        <f>IFERROR(__xludf.DUMMYFUNCTION("""COMPUTED_VALUE"""),0.0)</f>
        <v>0</v>
      </c>
      <c r="AP5" s="195">
        <f>IFERROR(__xludf.DUMMYFUNCTION("""COMPUTED_VALUE"""),0.0)</f>
        <v>0</v>
      </c>
      <c r="AQ5" s="129"/>
      <c r="AR5" s="195">
        <f>IFERROR(__xludf.DUMMYFUNCTION("""COMPUTED_VALUE"""),0.0)</f>
        <v>0</v>
      </c>
      <c r="AS5" s="195">
        <f>IFERROR(__xludf.DUMMYFUNCTION("""COMPUTED_VALUE"""),0.0)</f>
        <v>0</v>
      </c>
      <c r="AT5" s="129"/>
      <c r="AU5" s="195">
        <f>IFERROR(__xludf.DUMMYFUNCTION("""COMPUTED_VALUE"""),0.0)</f>
        <v>0</v>
      </c>
      <c r="AV5" s="195">
        <f>IFERROR(__xludf.DUMMYFUNCTION("""COMPUTED_VALUE"""),0.0)</f>
        <v>0</v>
      </c>
      <c r="AX5" s="200" t="str">
        <f t="shared" ref="AX5:AY5" si="3">G4</f>
        <v>Никнейм</v>
      </c>
      <c r="AY5" s="195">
        <f t="shared" si="3"/>
        <v>33.25</v>
      </c>
      <c r="AZ5" s="201">
        <v>3.0</v>
      </c>
      <c r="BA5" s="199">
        <f>I$4</f>
        <v>23.25</v>
      </c>
    </row>
    <row r="6">
      <c r="A6" s="129" t="str">
        <f>IFERROR(__xludf.DUMMYFUNCTION("""COMPUTED_VALUE"""),"Ketamin")</f>
        <v>Ketamin</v>
      </c>
      <c r="B6" s="195">
        <f>IFERROR(__xludf.DUMMYFUNCTION("""COMPUTED_VALUE"""),29.75)</f>
        <v>29.75</v>
      </c>
      <c r="C6" s="195">
        <f>IFERROR(__xludf.DUMMYFUNCTION("""COMPUTED_VALUE"""),19.75)</f>
        <v>19.75</v>
      </c>
      <c r="D6" s="129" t="str">
        <f>IFERROR(__xludf.DUMMYFUNCTION("""COMPUTED_VALUE"""),"Админ")</f>
        <v>Админ</v>
      </c>
      <c r="E6" s="195">
        <f>IFERROR(__xludf.DUMMYFUNCTION("""COMPUTED_VALUE"""),27.0)</f>
        <v>27</v>
      </c>
      <c r="F6" s="195">
        <f>IFERROR(__xludf.DUMMYFUNCTION("""COMPUTED_VALUE"""),19.5)</f>
        <v>19.5</v>
      </c>
      <c r="G6" s="129" t="str">
        <f>IFERROR(__xludf.DUMMYFUNCTION("""COMPUTED_VALUE"""),"Still Rise")</f>
        <v>Still Rise</v>
      </c>
      <c r="H6" s="195">
        <f>IFERROR(__xludf.DUMMYFUNCTION("""COMPUTED_VALUE"""),29.0)</f>
        <v>29</v>
      </c>
      <c r="I6" s="195">
        <f>IFERROR(__xludf.DUMMYFUNCTION("""COMPUTED_VALUE"""),19.0)</f>
        <v>19</v>
      </c>
      <c r="J6" s="129" t="str">
        <f>IFERROR(__xludf.DUMMYFUNCTION("""COMPUTED_VALUE"""),"Король Лев")</f>
        <v>Король Лев</v>
      </c>
      <c r="K6" s="195">
        <f>IFERROR(__xludf.DUMMYFUNCTION("""COMPUTED_VALUE"""),0.0)</f>
        <v>0</v>
      </c>
      <c r="L6" s="195">
        <f>IFERROR(__xludf.DUMMYFUNCTION("""COMPUTED_VALUE"""),0.0)</f>
        <v>0</v>
      </c>
      <c r="M6" s="129" t="str">
        <f>IFERROR(__xludf.DUMMYFUNCTION("""COMPUTED_VALUE"""),"Infinity")</f>
        <v>Infinity</v>
      </c>
      <c r="N6" s="195">
        <f>IFERROR(__xludf.DUMMYFUNCTION("""COMPUTED_VALUE"""),0.0)</f>
        <v>0</v>
      </c>
      <c r="O6" s="195">
        <f>IFERROR(__xludf.DUMMYFUNCTION("""COMPUTED_VALUE"""),0.0)</f>
        <v>0</v>
      </c>
      <c r="P6" s="129" t="str">
        <f>IFERROR(__xludf.DUMMYFUNCTION("""COMPUTED_VALUE"""),"Jazz")</f>
        <v>Jazz</v>
      </c>
      <c r="Q6" s="195">
        <f>IFERROR(__xludf.DUMMYFUNCTION("""COMPUTED_VALUE"""),0.0)</f>
        <v>0</v>
      </c>
      <c r="R6" s="195">
        <f>IFERROR(__xludf.DUMMYFUNCTION("""COMPUTED_VALUE"""),0.0)</f>
        <v>0</v>
      </c>
      <c r="S6" s="129"/>
      <c r="T6" s="195">
        <f>IFERROR(__xludf.DUMMYFUNCTION("""COMPUTED_VALUE"""),0.0)</f>
        <v>0</v>
      </c>
      <c r="U6" s="195">
        <f>IFERROR(__xludf.DUMMYFUNCTION("""COMPUTED_VALUE"""),0.0)</f>
        <v>0</v>
      </c>
      <c r="V6" s="129"/>
      <c r="W6" s="195">
        <f>IFERROR(__xludf.DUMMYFUNCTION("""COMPUTED_VALUE"""),0.0)</f>
        <v>0</v>
      </c>
      <c r="X6" s="195">
        <f>IFERROR(__xludf.DUMMYFUNCTION("""COMPUTED_VALUE"""),0.0)</f>
        <v>0</v>
      </c>
      <c r="Y6" s="129"/>
      <c r="Z6" s="195">
        <f>IFERROR(__xludf.DUMMYFUNCTION("""COMPUTED_VALUE"""),0.0)</f>
        <v>0</v>
      </c>
      <c r="AA6" s="195">
        <f>IFERROR(__xludf.DUMMYFUNCTION("""COMPUTED_VALUE"""),0.0)</f>
        <v>0</v>
      </c>
      <c r="AB6" s="129"/>
      <c r="AC6" s="195">
        <f>IFERROR(__xludf.DUMMYFUNCTION("""COMPUTED_VALUE"""),0.0)</f>
        <v>0</v>
      </c>
      <c r="AD6" s="195">
        <f>IFERROR(__xludf.DUMMYFUNCTION("""COMPUTED_VALUE"""),0.0)</f>
        <v>0</v>
      </c>
      <c r="AE6" s="129"/>
      <c r="AF6" s="195">
        <f>IFERROR(__xludf.DUMMYFUNCTION("""COMPUTED_VALUE"""),0.0)</f>
        <v>0</v>
      </c>
      <c r="AG6" s="195">
        <f>IFERROR(__xludf.DUMMYFUNCTION("""COMPUTED_VALUE"""),0.0)</f>
        <v>0</v>
      </c>
      <c r="AH6" s="129"/>
      <c r="AI6" s="195">
        <f>IFERROR(__xludf.DUMMYFUNCTION("""COMPUTED_VALUE"""),0.0)</f>
        <v>0</v>
      </c>
      <c r="AJ6" s="195">
        <f>IFERROR(__xludf.DUMMYFUNCTION("""COMPUTED_VALUE"""),0.0)</f>
        <v>0</v>
      </c>
      <c r="AK6" s="129"/>
      <c r="AL6" s="195">
        <f>IFERROR(__xludf.DUMMYFUNCTION("""COMPUTED_VALUE"""),0.0)</f>
        <v>0</v>
      </c>
      <c r="AM6" s="195">
        <f>IFERROR(__xludf.DUMMYFUNCTION("""COMPUTED_VALUE"""),0.0)</f>
        <v>0</v>
      </c>
      <c r="AN6" s="129"/>
      <c r="AO6" s="195">
        <f>IFERROR(__xludf.DUMMYFUNCTION("""COMPUTED_VALUE"""),0.0)</f>
        <v>0</v>
      </c>
      <c r="AP6" s="195">
        <f>IFERROR(__xludf.DUMMYFUNCTION("""COMPUTED_VALUE"""),0.0)</f>
        <v>0</v>
      </c>
      <c r="AQ6" s="129"/>
      <c r="AR6" s="195">
        <f>IFERROR(__xludf.DUMMYFUNCTION("""COMPUTED_VALUE"""),0.0)</f>
        <v>0</v>
      </c>
      <c r="AS6" s="195">
        <f>IFERROR(__xludf.DUMMYFUNCTION("""COMPUTED_VALUE"""),0.0)</f>
        <v>0</v>
      </c>
      <c r="AT6" s="129"/>
      <c r="AU6" s="195">
        <f>IFERROR(__xludf.DUMMYFUNCTION("""COMPUTED_VALUE"""),0.0)</f>
        <v>0</v>
      </c>
      <c r="AV6" s="195">
        <f>IFERROR(__xludf.DUMMYFUNCTION("""COMPUTED_VALUE"""),0.0)</f>
        <v>0</v>
      </c>
      <c r="AX6" s="200" t="str">
        <f t="shared" ref="AX6:AY6" si="4">J4</f>
        <v>Cristo</v>
      </c>
      <c r="AY6" s="195">
        <f t="shared" si="4"/>
        <v>0</v>
      </c>
      <c r="AZ6" s="198">
        <v>4.0</v>
      </c>
      <c r="BA6" s="199">
        <f>L$4</f>
        <v>0</v>
      </c>
    </row>
    <row r="7">
      <c r="A7" s="129" t="str">
        <f>IFERROR(__xludf.DUMMYFUNCTION("""COMPUTED_VALUE"""),"Андерсен")</f>
        <v>Андерсен</v>
      </c>
      <c r="B7" s="195">
        <f>IFERROR(__xludf.DUMMYFUNCTION("""COMPUTED_VALUE"""),29.0)</f>
        <v>29</v>
      </c>
      <c r="C7" s="195">
        <f>IFERROR(__xludf.DUMMYFUNCTION("""COMPUTED_VALUE"""),19.0)</f>
        <v>19</v>
      </c>
      <c r="D7" s="129" t="str">
        <f>IFERROR(__xludf.DUMMYFUNCTION("""COMPUTED_VALUE"""),"Хантер")</f>
        <v>Хантер</v>
      </c>
      <c r="E7" s="195">
        <f>IFERROR(__xludf.DUMMYFUNCTION("""COMPUTED_VALUE"""),26.75)</f>
        <v>26.75</v>
      </c>
      <c r="F7" s="195">
        <f>IFERROR(__xludf.DUMMYFUNCTION("""COMPUTED_VALUE"""),16.75)</f>
        <v>16.75</v>
      </c>
      <c r="G7" s="129" t="str">
        <f>IFERROR(__xludf.DUMMYFUNCTION("""COMPUTED_VALUE"""),"Лунатик")</f>
        <v>Лунатик</v>
      </c>
      <c r="H7" s="195">
        <f>IFERROR(__xludf.DUMMYFUNCTION("""COMPUTED_VALUE"""),28.75)</f>
        <v>28.75</v>
      </c>
      <c r="I7" s="195">
        <f>IFERROR(__xludf.DUMMYFUNCTION("""COMPUTED_VALUE"""),18.75)</f>
        <v>18.75</v>
      </c>
      <c r="J7" s="129" t="str">
        <f>IFERROR(__xludf.DUMMYFUNCTION("""COMPUTED_VALUE"""),"Лео")</f>
        <v>Лео</v>
      </c>
      <c r="K7" s="195">
        <f>IFERROR(__xludf.DUMMYFUNCTION("""COMPUTED_VALUE"""),0.0)</f>
        <v>0</v>
      </c>
      <c r="L7" s="195">
        <f>IFERROR(__xludf.DUMMYFUNCTION("""COMPUTED_VALUE"""),0.0)</f>
        <v>0</v>
      </c>
      <c r="M7" s="129" t="str">
        <f>IFERROR(__xludf.DUMMYFUNCTION("""COMPUTED_VALUE"""),"Bublik")</f>
        <v>Bublik</v>
      </c>
      <c r="N7" s="195">
        <f>IFERROR(__xludf.DUMMYFUNCTION("""COMPUTED_VALUE"""),0.0)</f>
        <v>0</v>
      </c>
      <c r="O7" s="195">
        <f>IFERROR(__xludf.DUMMYFUNCTION("""COMPUTED_VALUE"""),0.0)</f>
        <v>0</v>
      </c>
      <c r="P7" s="129" t="str">
        <f>IFERROR(__xludf.DUMMYFUNCTION("""COMPUTED_VALUE"""),"Хлоя")</f>
        <v>Хлоя</v>
      </c>
      <c r="Q7" s="195">
        <f>IFERROR(__xludf.DUMMYFUNCTION("""COMPUTED_VALUE"""),0.0)</f>
        <v>0</v>
      </c>
      <c r="R7" s="195">
        <f>IFERROR(__xludf.DUMMYFUNCTION("""COMPUTED_VALUE"""),0.0)</f>
        <v>0</v>
      </c>
      <c r="S7" s="129"/>
      <c r="T7" s="195">
        <f>IFERROR(__xludf.DUMMYFUNCTION("""COMPUTED_VALUE"""),0.0)</f>
        <v>0</v>
      </c>
      <c r="U7" s="195">
        <f>IFERROR(__xludf.DUMMYFUNCTION("""COMPUTED_VALUE"""),0.0)</f>
        <v>0</v>
      </c>
      <c r="V7" s="129"/>
      <c r="W7" s="195">
        <f>IFERROR(__xludf.DUMMYFUNCTION("""COMPUTED_VALUE"""),0.0)</f>
        <v>0</v>
      </c>
      <c r="X7" s="195">
        <f>IFERROR(__xludf.DUMMYFUNCTION("""COMPUTED_VALUE"""),0.0)</f>
        <v>0</v>
      </c>
      <c r="Y7" s="129"/>
      <c r="Z7" s="195">
        <f>IFERROR(__xludf.DUMMYFUNCTION("""COMPUTED_VALUE"""),0.0)</f>
        <v>0</v>
      </c>
      <c r="AA7" s="195">
        <f>IFERROR(__xludf.DUMMYFUNCTION("""COMPUTED_VALUE"""),0.0)</f>
        <v>0</v>
      </c>
      <c r="AB7" s="129"/>
      <c r="AC7" s="195">
        <f>IFERROR(__xludf.DUMMYFUNCTION("""COMPUTED_VALUE"""),0.0)</f>
        <v>0</v>
      </c>
      <c r="AD7" s="195">
        <f>IFERROR(__xludf.DUMMYFUNCTION("""COMPUTED_VALUE"""),0.0)</f>
        <v>0</v>
      </c>
      <c r="AE7" s="129"/>
      <c r="AF7" s="195">
        <f>IFERROR(__xludf.DUMMYFUNCTION("""COMPUTED_VALUE"""),0.0)</f>
        <v>0</v>
      </c>
      <c r="AG7" s="195">
        <f>IFERROR(__xludf.DUMMYFUNCTION("""COMPUTED_VALUE"""),0.0)</f>
        <v>0</v>
      </c>
      <c r="AH7" s="129"/>
      <c r="AI7" s="195">
        <f>IFERROR(__xludf.DUMMYFUNCTION("""COMPUTED_VALUE"""),0.0)</f>
        <v>0</v>
      </c>
      <c r="AJ7" s="195">
        <f>IFERROR(__xludf.DUMMYFUNCTION("""COMPUTED_VALUE"""),0.0)</f>
        <v>0</v>
      </c>
      <c r="AK7" s="129"/>
      <c r="AL7" s="195">
        <f>IFERROR(__xludf.DUMMYFUNCTION("""COMPUTED_VALUE"""),0.0)</f>
        <v>0</v>
      </c>
      <c r="AM7" s="195">
        <f>IFERROR(__xludf.DUMMYFUNCTION("""COMPUTED_VALUE"""),0.0)</f>
        <v>0</v>
      </c>
      <c r="AN7" s="129"/>
      <c r="AO7" s="195">
        <f>IFERROR(__xludf.DUMMYFUNCTION("""COMPUTED_VALUE"""),0.0)</f>
        <v>0</v>
      </c>
      <c r="AP7" s="195">
        <f>IFERROR(__xludf.DUMMYFUNCTION("""COMPUTED_VALUE"""),0.0)</f>
        <v>0</v>
      </c>
      <c r="AQ7" s="129"/>
      <c r="AR7" s="195">
        <f>IFERROR(__xludf.DUMMYFUNCTION("""COMPUTED_VALUE"""),0.0)</f>
        <v>0</v>
      </c>
      <c r="AS7" s="195">
        <f>IFERROR(__xludf.DUMMYFUNCTION("""COMPUTED_VALUE"""),0.0)</f>
        <v>0</v>
      </c>
      <c r="AT7" s="129"/>
      <c r="AU7" s="195">
        <f>IFERROR(__xludf.DUMMYFUNCTION("""COMPUTED_VALUE"""),0.0)</f>
        <v>0</v>
      </c>
      <c r="AV7" s="195">
        <f>IFERROR(__xludf.DUMMYFUNCTION("""COMPUTED_VALUE"""),0.0)</f>
        <v>0</v>
      </c>
      <c r="AX7" s="200" t="str">
        <f t="shared" ref="AX7:AY7" si="5">M4</f>
        <v>Король Лев</v>
      </c>
      <c r="AY7" s="195">
        <f t="shared" si="5"/>
        <v>0</v>
      </c>
      <c r="AZ7" s="201">
        <v>5.0</v>
      </c>
      <c r="BA7" s="199">
        <f>O$4</f>
        <v>0</v>
      </c>
    </row>
    <row r="8">
      <c r="A8" s="129" t="str">
        <f>IFERROR(__xludf.DUMMYFUNCTION("""COMPUTED_VALUE"""),"Админ")</f>
        <v>Админ</v>
      </c>
      <c r="B8" s="195">
        <f>IFERROR(__xludf.DUMMYFUNCTION("""COMPUTED_VALUE"""),26.5)</f>
        <v>26.5</v>
      </c>
      <c r="C8" s="195">
        <f>IFERROR(__xludf.DUMMYFUNCTION("""COMPUTED_VALUE"""),16.5)</f>
        <v>16.5</v>
      </c>
      <c r="D8" s="129" t="str">
        <f>IFERROR(__xludf.DUMMYFUNCTION("""COMPUTED_VALUE"""),"Хрум")</f>
        <v>Хрум</v>
      </c>
      <c r="E8" s="195">
        <f>IFERROR(__xludf.DUMMYFUNCTION("""COMPUTED_VALUE"""),21.5)</f>
        <v>21.5</v>
      </c>
      <c r="F8" s="195">
        <f>IFERROR(__xludf.DUMMYFUNCTION("""COMPUTED_VALUE"""),16.5)</f>
        <v>16.5</v>
      </c>
      <c r="G8" s="129" t="str">
        <f>IFERROR(__xludf.DUMMYFUNCTION("""COMPUTED_VALUE"""),"Сахарочек")</f>
        <v>Сахарочек</v>
      </c>
      <c r="H8" s="195">
        <f>IFERROR(__xludf.DUMMYFUNCTION("""COMPUTED_VALUE"""),26.75)</f>
        <v>26.75</v>
      </c>
      <c r="I8" s="195">
        <f>IFERROR(__xludf.DUMMYFUNCTION("""COMPUTED_VALUE"""),19.25)</f>
        <v>19.25</v>
      </c>
      <c r="J8" s="129" t="str">
        <f>IFERROR(__xludf.DUMMYFUNCTION("""COMPUTED_VALUE"""),"Правда")</f>
        <v>Правда</v>
      </c>
      <c r="K8" s="195">
        <f>IFERROR(__xludf.DUMMYFUNCTION("""COMPUTED_VALUE"""),0.0)</f>
        <v>0</v>
      </c>
      <c r="L8" s="195">
        <f>IFERROR(__xludf.DUMMYFUNCTION("""COMPUTED_VALUE"""),0.0)</f>
        <v>0</v>
      </c>
      <c r="M8" s="129" t="str">
        <f>IFERROR(__xludf.DUMMYFUNCTION("""COMPUTED_VALUE"""),"Писатель")</f>
        <v>Писатель</v>
      </c>
      <c r="N8" s="195">
        <f>IFERROR(__xludf.DUMMYFUNCTION("""COMPUTED_VALUE"""),0.0)</f>
        <v>0</v>
      </c>
      <c r="O8" s="195">
        <f>IFERROR(__xludf.DUMMYFUNCTION("""COMPUTED_VALUE"""),0.0)</f>
        <v>0</v>
      </c>
      <c r="P8" s="129" t="str">
        <f>IFERROR(__xludf.DUMMYFUNCTION("""COMPUTED_VALUE"""),"Лео")</f>
        <v>Лео</v>
      </c>
      <c r="Q8" s="195">
        <f>IFERROR(__xludf.DUMMYFUNCTION("""COMPUTED_VALUE"""),0.0)</f>
        <v>0</v>
      </c>
      <c r="R8" s="195">
        <f>IFERROR(__xludf.DUMMYFUNCTION("""COMPUTED_VALUE"""),0.0)</f>
        <v>0</v>
      </c>
      <c r="S8" s="129"/>
      <c r="T8" s="195">
        <f>IFERROR(__xludf.DUMMYFUNCTION("""COMPUTED_VALUE"""),0.0)</f>
        <v>0</v>
      </c>
      <c r="U8" s="195">
        <f>IFERROR(__xludf.DUMMYFUNCTION("""COMPUTED_VALUE"""),0.0)</f>
        <v>0</v>
      </c>
      <c r="V8" s="129"/>
      <c r="W8" s="195">
        <f>IFERROR(__xludf.DUMMYFUNCTION("""COMPUTED_VALUE"""),0.0)</f>
        <v>0</v>
      </c>
      <c r="X8" s="195">
        <f>IFERROR(__xludf.DUMMYFUNCTION("""COMPUTED_VALUE"""),0.0)</f>
        <v>0</v>
      </c>
      <c r="Y8" s="129"/>
      <c r="Z8" s="195">
        <f>IFERROR(__xludf.DUMMYFUNCTION("""COMPUTED_VALUE"""),0.0)</f>
        <v>0</v>
      </c>
      <c r="AA8" s="195">
        <f>IFERROR(__xludf.DUMMYFUNCTION("""COMPUTED_VALUE"""),0.0)</f>
        <v>0</v>
      </c>
      <c r="AB8" s="129"/>
      <c r="AC8" s="195">
        <f>IFERROR(__xludf.DUMMYFUNCTION("""COMPUTED_VALUE"""),0.0)</f>
        <v>0</v>
      </c>
      <c r="AD8" s="195">
        <f>IFERROR(__xludf.DUMMYFUNCTION("""COMPUTED_VALUE"""),0.0)</f>
        <v>0</v>
      </c>
      <c r="AE8" s="129"/>
      <c r="AF8" s="195">
        <f>IFERROR(__xludf.DUMMYFUNCTION("""COMPUTED_VALUE"""),0.0)</f>
        <v>0</v>
      </c>
      <c r="AG8" s="195">
        <f>IFERROR(__xludf.DUMMYFUNCTION("""COMPUTED_VALUE"""),0.0)</f>
        <v>0</v>
      </c>
      <c r="AH8" s="129"/>
      <c r="AI8" s="195">
        <f>IFERROR(__xludf.DUMMYFUNCTION("""COMPUTED_VALUE"""),0.0)</f>
        <v>0</v>
      </c>
      <c r="AJ8" s="195">
        <f>IFERROR(__xludf.DUMMYFUNCTION("""COMPUTED_VALUE"""),0.0)</f>
        <v>0</v>
      </c>
      <c r="AK8" s="129"/>
      <c r="AL8" s="195">
        <f>IFERROR(__xludf.DUMMYFUNCTION("""COMPUTED_VALUE"""),0.0)</f>
        <v>0</v>
      </c>
      <c r="AM8" s="195">
        <f>IFERROR(__xludf.DUMMYFUNCTION("""COMPUTED_VALUE"""),0.0)</f>
        <v>0</v>
      </c>
      <c r="AN8" s="129"/>
      <c r="AO8" s="195">
        <f>IFERROR(__xludf.DUMMYFUNCTION("""COMPUTED_VALUE"""),0.0)</f>
        <v>0</v>
      </c>
      <c r="AP8" s="195">
        <f>IFERROR(__xludf.DUMMYFUNCTION("""COMPUTED_VALUE"""),0.0)</f>
        <v>0</v>
      </c>
      <c r="AQ8" s="129"/>
      <c r="AR8" s="195">
        <f>IFERROR(__xludf.DUMMYFUNCTION("""COMPUTED_VALUE"""),0.0)</f>
        <v>0</v>
      </c>
      <c r="AS8" s="195">
        <f>IFERROR(__xludf.DUMMYFUNCTION("""COMPUTED_VALUE"""),0.0)</f>
        <v>0</v>
      </c>
      <c r="AT8" s="129"/>
      <c r="AU8" s="195">
        <f>IFERROR(__xludf.DUMMYFUNCTION("""COMPUTED_VALUE"""),0.0)</f>
        <v>0</v>
      </c>
      <c r="AV8" s="195">
        <f>IFERROR(__xludf.DUMMYFUNCTION("""COMPUTED_VALUE"""),0.0)</f>
        <v>0</v>
      </c>
      <c r="AX8" s="200" t="str">
        <f t="shared" ref="AX8:AY8" si="6">P4</f>
        <v>Оскар</v>
      </c>
      <c r="AY8" s="195">
        <f t="shared" si="6"/>
        <v>0</v>
      </c>
      <c r="AZ8" s="201">
        <v>6.0</v>
      </c>
      <c r="BA8" s="199">
        <f>R$4</f>
        <v>0</v>
      </c>
    </row>
    <row r="9">
      <c r="A9" s="129" t="str">
        <f>IFERROR(__xludf.DUMMYFUNCTION("""COMPUTED_VALUE"""),"Хрум")</f>
        <v>Хрум</v>
      </c>
      <c r="B9" s="195">
        <f>IFERROR(__xludf.DUMMYFUNCTION("""COMPUTED_VALUE"""),25.0)</f>
        <v>25</v>
      </c>
      <c r="C9" s="195">
        <f>IFERROR(__xludf.DUMMYFUNCTION("""COMPUTED_VALUE"""),20.0)</f>
        <v>20</v>
      </c>
      <c r="D9" s="129" t="str">
        <f>IFERROR(__xludf.DUMMYFUNCTION("""COMPUTED_VALUE"""),"Никнейм")</f>
        <v>Никнейм</v>
      </c>
      <c r="E9" s="195">
        <f>IFERROR(__xludf.DUMMYFUNCTION("""COMPUTED_VALUE"""),21.5)</f>
        <v>21.5</v>
      </c>
      <c r="F9" s="195">
        <f>IFERROR(__xludf.DUMMYFUNCTION("""COMPUTED_VALUE"""),16.5)</f>
        <v>16.5</v>
      </c>
      <c r="G9" s="129" t="str">
        <f>IFERROR(__xludf.DUMMYFUNCTION("""COMPUTED_VALUE"""),"Хрум")</f>
        <v>Хрум</v>
      </c>
      <c r="H9" s="195">
        <f>IFERROR(__xludf.DUMMYFUNCTION("""COMPUTED_VALUE"""),25.75)</f>
        <v>25.75</v>
      </c>
      <c r="I9" s="195">
        <f>IFERROR(__xludf.DUMMYFUNCTION("""COMPUTED_VALUE"""),18.25)</f>
        <v>18.25</v>
      </c>
      <c r="J9" s="129" t="str">
        <f>IFERROR(__xludf.DUMMYFUNCTION("""COMPUTED_VALUE"""),"Cherry Pick")</f>
        <v>Cherry Pick</v>
      </c>
      <c r="K9" s="195">
        <f>IFERROR(__xludf.DUMMYFUNCTION("""COMPUTED_VALUE"""),0.0)</f>
        <v>0</v>
      </c>
      <c r="L9" s="195">
        <f>IFERROR(__xludf.DUMMYFUNCTION("""COMPUTED_VALUE"""),0.0)</f>
        <v>0</v>
      </c>
      <c r="M9" s="129" t="str">
        <f>IFERROR(__xludf.DUMMYFUNCTION("""COMPUTED_VALUE"""),"Sirena")</f>
        <v>Sirena</v>
      </c>
      <c r="N9" s="195">
        <f>IFERROR(__xludf.DUMMYFUNCTION("""COMPUTED_VALUE"""),0.0)</f>
        <v>0</v>
      </c>
      <c r="O9" s="195">
        <f>IFERROR(__xludf.DUMMYFUNCTION("""COMPUTED_VALUE"""),0.0)</f>
        <v>0</v>
      </c>
      <c r="P9" s="129" t="str">
        <f>IFERROR(__xludf.DUMMYFUNCTION("""COMPUTED_VALUE"""),"Castor Troy")</f>
        <v>Castor Troy</v>
      </c>
      <c r="Q9" s="195">
        <f>IFERROR(__xludf.DUMMYFUNCTION("""COMPUTED_VALUE"""),0.0)</f>
        <v>0</v>
      </c>
      <c r="R9" s="195">
        <f>IFERROR(__xludf.DUMMYFUNCTION("""COMPUTED_VALUE"""),0.0)</f>
        <v>0</v>
      </c>
      <c r="S9" s="129"/>
      <c r="T9" s="195">
        <f>IFERROR(__xludf.DUMMYFUNCTION("""COMPUTED_VALUE"""),0.0)</f>
        <v>0</v>
      </c>
      <c r="U9" s="195">
        <f>IFERROR(__xludf.DUMMYFUNCTION("""COMPUTED_VALUE"""),0.0)</f>
        <v>0</v>
      </c>
      <c r="V9" s="129"/>
      <c r="W9" s="195">
        <f>IFERROR(__xludf.DUMMYFUNCTION("""COMPUTED_VALUE"""),0.0)</f>
        <v>0</v>
      </c>
      <c r="X9" s="195">
        <f>IFERROR(__xludf.DUMMYFUNCTION("""COMPUTED_VALUE"""),0.0)</f>
        <v>0</v>
      </c>
      <c r="Y9" s="129"/>
      <c r="Z9" s="195">
        <f>IFERROR(__xludf.DUMMYFUNCTION("""COMPUTED_VALUE"""),0.0)</f>
        <v>0</v>
      </c>
      <c r="AA9" s="195">
        <f>IFERROR(__xludf.DUMMYFUNCTION("""COMPUTED_VALUE"""),0.0)</f>
        <v>0</v>
      </c>
      <c r="AB9" s="129"/>
      <c r="AC9" s="195">
        <f>IFERROR(__xludf.DUMMYFUNCTION("""COMPUTED_VALUE"""),0.0)</f>
        <v>0</v>
      </c>
      <c r="AD9" s="195">
        <f>IFERROR(__xludf.DUMMYFUNCTION("""COMPUTED_VALUE"""),0.0)</f>
        <v>0</v>
      </c>
      <c r="AE9" s="129"/>
      <c r="AF9" s="195">
        <f>IFERROR(__xludf.DUMMYFUNCTION("""COMPUTED_VALUE"""),0.0)</f>
        <v>0</v>
      </c>
      <c r="AG9" s="195">
        <f>IFERROR(__xludf.DUMMYFUNCTION("""COMPUTED_VALUE"""),0.0)</f>
        <v>0</v>
      </c>
      <c r="AH9" s="129"/>
      <c r="AI9" s="195">
        <f>IFERROR(__xludf.DUMMYFUNCTION("""COMPUTED_VALUE"""),0.0)</f>
        <v>0</v>
      </c>
      <c r="AJ9" s="195">
        <f>IFERROR(__xludf.DUMMYFUNCTION("""COMPUTED_VALUE"""),0.0)</f>
        <v>0</v>
      </c>
      <c r="AK9" s="129"/>
      <c r="AL9" s="195">
        <f>IFERROR(__xludf.DUMMYFUNCTION("""COMPUTED_VALUE"""),0.0)</f>
        <v>0</v>
      </c>
      <c r="AM9" s="195">
        <f>IFERROR(__xludf.DUMMYFUNCTION("""COMPUTED_VALUE"""),0.0)</f>
        <v>0</v>
      </c>
      <c r="AN9" s="129"/>
      <c r="AO9" s="195">
        <f>IFERROR(__xludf.DUMMYFUNCTION("""COMPUTED_VALUE"""),0.0)</f>
        <v>0</v>
      </c>
      <c r="AP9" s="195">
        <f>IFERROR(__xludf.DUMMYFUNCTION("""COMPUTED_VALUE"""),0.0)</f>
        <v>0</v>
      </c>
      <c r="AQ9" s="129"/>
      <c r="AR9" s="195">
        <f>IFERROR(__xludf.DUMMYFUNCTION("""COMPUTED_VALUE"""),0.0)</f>
        <v>0</v>
      </c>
      <c r="AS9" s="195">
        <f>IFERROR(__xludf.DUMMYFUNCTION("""COMPUTED_VALUE"""),0.0)</f>
        <v>0</v>
      </c>
      <c r="AT9" s="129"/>
      <c r="AU9" s="195">
        <f>IFERROR(__xludf.DUMMYFUNCTION("""COMPUTED_VALUE"""),0.0)</f>
        <v>0</v>
      </c>
      <c r="AV9" s="195">
        <f>IFERROR(__xludf.DUMMYFUNCTION("""COMPUTED_VALUE"""),0.0)</f>
        <v>0</v>
      </c>
      <c r="AX9" s="200" t="str">
        <f t="shared" ref="AX9:AY9" si="7">S4</f>
        <v/>
      </c>
      <c r="AY9" s="195">
        <f t="shared" si="7"/>
        <v>0</v>
      </c>
      <c r="AZ9" s="198">
        <v>7.0</v>
      </c>
      <c r="BA9" s="199">
        <f>U$4</f>
        <v>0</v>
      </c>
    </row>
    <row r="10">
      <c r="A10" s="129" t="str">
        <f>IFERROR(__xludf.DUMMYFUNCTION("""COMPUTED_VALUE"""),"SR")</f>
        <v>SR</v>
      </c>
      <c r="B10" s="195">
        <f>IFERROR(__xludf.DUMMYFUNCTION("""COMPUTED_VALUE"""),20.0)</f>
        <v>20</v>
      </c>
      <c r="C10" s="195">
        <f>IFERROR(__xludf.DUMMYFUNCTION("""COMPUTED_VALUE"""),15.0)</f>
        <v>15</v>
      </c>
      <c r="D10" s="129" t="str">
        <f>IFERROR(__xludf.DUMMYFUNCTION("""COMPUTED_VALUE"""),"Лунатик")</f>
        <v>Лунатик</v>
      </c>
      <c r="E10" s="195">
        <f>IFERROR(__xludf.DUMMYFUNCTION("""COMPUTED_VALUE"""),18.75)</f>
        <v>18.75</v>
      </c>
      <c r="F10" s="195">
        <f>IFERROR(__xludf.DUMMYFUNCTION("""COMPUTED_VALUE"""),16.25)</f>
        <v>16.25</v>
      </c>
      <c r="G10" s="129" t="str">
        <f>IFERROR(__xludf.DUMMYFUNCTION("""COMPUTED_VALUE"""),"Домовенок")</f>
        <v>Домовенок</v>
      </c>
      <c r="H10" s="195">
        <f>IFERROR(__xludf.DUMMYFUNCTION("""COMPUTED_VALUE"""),23.75)</f>
        <v>23.75</v>
      </c>
      <c r="I10" s="195">
        <f>IFERROR(__xludf.DUMMYFUNCTION("""COMPUTED_VALUE"""),16.25)</f>
        <v>16.25</v>
      </c>
      <c r="J10" s="129" t="str">
        <f>IFERROR(__xludf.DUMMYFUNCTION("""COMPUTED_VALUE"""),"Sirena")</f>
        <v>Sirena</v>
      </c>
      <c r="K10" s="195">
        <f>IFERROR(__xludf.DUMMYFUNCTION("""COMPUTED_VALUE"""),0.0)</f>
        <v>0</v>
      </c>
      <c r="L10" s="195">
        <f>IFERROR(__xludf.DUMMYFUNCTION("""COMPUTED_VALUE"""),0.0)</f>
        <v>0</v>
      </c>
      <c r="M10" s="129" t="str">
        <f>IFERROR(__xludf.DUMMYFUNCTION("""COMPUTED_VALUE"""),"СЧ")</f>
        <v>СЧ</v>
      </c>
      <c r="N10" s="195">
        <f>IFERROR(__xludf.DUMMYFUNCTION("""COMPUTED_VALUE"""),0.0)</f>
        <v>0</v>
      </c>
      <c r="O10" s="195">
        <f>IFERROR(__xludf.DUMMYFUNCTION("""COMPUTED_VALUE"""),0.0)</f>
        <v>0</v>
      </c>
      <c r="P10" s="129" t="str">
        <f>IFERROR(__xludf.DUMMYFUNCTION("""COMPUTED_VALUE"""),"СЧ")</f>
        <v>СЧ</v>
      </c>
      <c r="Q10" s="195">
        <f>IFERROR(__xludf.DUMMYFUNCTION("""COMPUTED_VALUE"""),0.0)</f>
        <v>0</v>
      </c>
      <c r="R10" s="195">
        <f>IFERROR(__xludf.DUMMYFUNCTION("""COMPUTED_VALUE"""),0.0)</f>
        <v>0</v>
      </c>
      <c r="S10" s="129"/>
      <c r="T10" s="195">
        <f>IFERROR(__xludf.DUMMYFUNCTION("""COMPUTED_VALUE"""),0.0)</f>
        <v>0</v>
      </c>
      <c r="U10" s="195">
        <f>IFERROR(__xludf.DUMMYFUNCTION("""COMPUTED_VALUE"""),0.0)</f>
        <v>0</v>
      </c>
      <c r="V10" s="129"/>
      <c r="W10" s="195">
        <f>IFERROR(__xludf.DUMMYFUNCTION("""COMPUTED_VALUE"""),0.0)</f>
        <v>0</v>
      </c>
      <c r="X10" s="195">
        <f>IFERROR(__xludf.DUMMYFUNCTION("""COMPUTED_VALUE"""),0.0)</f>
        <v>0</v>
      </c>
      <c r="Y10" s="129"/>
      <c r="Z10" s="195">
        <f>IFERROR(__xludf.DUMMYFUNCTION("""COMPUTED_VALUE"""),0.0)</f>
        <v>0</v>
      </c>
      <c r="AA10" s="195">
        <f>IFERROR(__xludf.DUMMYFUNCTION("""COMPUTED_VALUE"""),0.0)</f>
        <v>0</v>
      </c>
      <c r="AB10" s="129"/>
      <c r="AC10" s="195">
        <f>IFERROR(__xludf.DUMMYFUNCTION("""COMPUTED_VALUE"""),0.0)</f>
        <v>0</v>
      </c>
      <c r="AD10" s="195">
        <f>IFERROR(__xludf.DUMMYFUNCTION("""COMPUTED_VALUE"""),0.0)</f>
        <v>0</v>
      </c>
      <c r="AE10" s="129"/>
      <c r="AF10" s="195">
        <f>IFERROR(__xludf.DUMMYFUNCTION("""COMPUTED_VALUE"""),0.0)</f>
        <v>0</v>
      </c>
      <c r="AG10" s="195">
        <f>IFERROR(__xludf.DUMMYFUNCTION("""COMPUTED_VALUE"""),0.0)</f>
        <v>0</v>
      </c>
      <c r="AH10" s="129"/>
      <c r="AI10" s="195">
        <f>IFERROR(__xludf.DUMMYFUNCTION("""COMPUTED_VALUE"""),0.0)</f>
        <v>0</v>
      </c>
      <c r="AJ10" s="195">
        <f>IFERROR(__xludf.DUMMYFUNCTION("""COMPUTED_VALUE"""),0.0)</f>
        <v>0</v>
      </c>
      <c r="AK10" s="129"/>
      <c r="AL10" s="195">
        <f>IFERROR(__xludf.DUMMYFUNCTION("""COMPUTED_VALUE"""),0.0)</f>
        <v>0</v>
      </c>
      <c r="AM10" s="195">
        <f>IFERROR(__xludf.DUMMYFUNCTION("""COMPUTED_VALUE"""),0.0)</f>
        <v>0</v>
      </c>
      <c r="AN10" s="129"/>
      <c r="AO10" s="195">
        <f>IFERROR(__xludf.DUMMYFUNCTION("""COMPUTED_VALUE"""),0.0)</f>
        <v>0</v>
      </c>
      <c r="AP10" s="195">
        <f>IFERROR(__xludf.DUMMYFUNCTION("""COMPUTED_VALUE"""),0.0)</f>
        <v>0</v>
      </c>
      <c r="AQ10" s="129"/>
      <c r="AR10" s="195">
        <f>IFERROR(__xludf.DUMMYFUNCTION("""COMPUTED_VALUE"""),0.0)</f>
        <v>0</v>
      </c>
      <c r="AS10" s="195">
        <f>IFERROR(__xludf.DUMMYFUNCTION("""COMPUTED_VALUE"""),0.0)</f>
        <v>0</v>
      </c>
      <c r="AT10" s="129"/>
      <c r="AU10" s="195">
        <f>IFERROR(__xludf.DUMMYFUNCTION("""COMPUTED_VALUE"""),0.0)</f>
        <v>0</v>
      </c>
      <c r="AV10" s="195">
        <f>IFERROR(__xludf.DUMMYFUNCTION("""COMPUTED_VALUE"""),0.0)</f>
        <v>0</v>
      </c>
      <c r="AX10" s="200" t="str">
        <f t="shared" ref="AX10:AY10" si="8">V4</f>
        <v/>
      </c>
      <c r="AY10" s="195">
        <f t="shared" si="8"/>
        <v>0</v>
      </c>
      <c r="AZ10" s="201">
        <v>8.0</v>
      </c>
      <c r="BA10" s="199">
        <f>X$4</f>
        <v>0</v>
      </c>
    </row>
    <row r="11">
      <c r="A11" s="129" t="str">
        <f>IFERROR(__xludf.DUMMYFUNCTION("""COMPUTED_VALUE"""),"Никнейм")</f>
        <v>Никнейм</v>
      </c>
      <c r="B11" s="195">
        <f>IFERROR(__xludf.DUMMYFUNCTION("""COMPUTED_VALUE"""),14.5)</f>
        <v>14.5</v>
      </c>
      <c r="C11" s="195">
        <f>IFERROR(__xludf.DUMMYFUNCTION("""COMPUTED_VALUE"""),14.5)</f>
        <v>14.5</v>
      </c>
      <c r="D11" s="129" t="str">
        <f>IFERROR(__xludf.DUMMYFUNCTION("""COMPUTED_VALUE"""),"Love")</f>
        <v>Love</v>
      </c>
      <c r="E11" s="195">
        <f>IFERROR(__xludf.DUMMYFUNCTION("""COMPUTED_VALUE"""),16.0)</f>
        <v>16</v>
      </c>
      <c r="F11" s="195">
        <f>IFERROR(__xludf.DUMMYFUNCTION("""COMPUTED_VALUE"""),13.5)</f>
        <v>13.5</v>
      </c>
      <c r="G11" s="129" t="str">
        <f>IFERROR(__xludf.DUMMYFUNCTION("""COMPUTED_VALUE"""),"Хантер")</f>
        <v>Хантер</v>
      </c>
      <c r="H11" s="195">
        <f>IFERROR(__xludf.DUMMYFUNCTION("""COMPUTED_VALUE"""),20.0)</f>
        <v>20</v>
      </c>
      <c r="I11" s="195">
        <f>IFERROR(__xludf.DUMMYFUNCTION("""COMPUTED_VALUE"""),15.0)</f>
        <v>15</v>
      </c>
      <c r="J11" s="129" t="str">
        <f>IFERROR(__xludf.DUMMYFUNCTION("""COMPUTED_VALUE"""),"Curly")</f>
        <v>Curly</v>
      </c>
      <c r="K11" s="195">
        <f>IFERROR(__xludf.DUMMYFUNCTION("""COMPUTED_VALUE"""),0.0)</f>
        <v>0</v>
      </c>
      <c r="L11" s="195">
        <f>IFERROR(__xludf.DUMMYFUNCTION("""COMPUTED_VALUE"""),0.0)</f>
        <v>0</v>
      </c>
      <c r="M11" s="129" t="str">
        <f>IFERROR(__xludf.DUMMYFUNCTION("""COMPUTED_VALUE"""),"Дантес")</f>
        <v>Дантес</v>
      </c>
      <c r="N11" s="195">
        <f>IFERROR(__xludf.DUMMYFUNCTION("""COMPUTED_VALUE"""),0.0)</f>
        <v>0</v>
      </c>
      <c r="O11" s="195">
        <f>IFERROR(__xludf.DUMMYFUNCTION("""COMPUTED_VALUE"""),0.0)</f>
        <v>0</v>
      </c>
      <c r="P11" s="129" t="str">
        <f>IFERROR(__xludf.DUMMYFUNCTION("""COMPUTED_VALUE"""),"Продюсер")</f>
        <v>Продюсер</v>
      </c>
      <c r="Q11" s="195">
        <f>IFERROR(__xludf.DUMMYFUNCTION("""COMPUTED_VALUE"""),0.0)</f>
        <v>0</v>
      </c>
      <c r="R11" s="195">
        <f>IFERROR(__xludf.DUMMYFUNCTION("""COMPUTED_VALUE"""),0.0)</f>
        <v>0</v>
      </c>
      <c r="S11" s="129"/>
      <c r="T11" s="195">
        <f>IFERROR(__xludf.DUMMYFUNCTION("""COMPUTED_VALUE"""),0.0)</f>
        <v>0</v>
      </c>
      <c r="U11" s="195">
        <f>IFERROR(__xludf.DUMMYFUNCTION("""COMPUTED_VALUE"""),0.0)</f>
        <v>0</v>
      </c>
      <c r="V11" s="129"/>
      <c r="W11" s="195">
        <f>IFERROR(__xludf.DUMMYFUNCTION("""COMPUTED_VALUE"""),0.0)</f>
        <v>0</v>
      </c>
      <c r="X11" s="195">
        <f>IFERROR(__xludf.DUMMYFUNCTION("""COMPUTED_VALUE"""),0.0)</f>
        <v>0</v>
      </c>
      <c r="Y11" s="129"/>
      <c r="Z11" s="195">
        <f>IFERROR(__xludf.DUMMYFUNCTION("""COMPUTED_VALUE"""),0.0)</f>
        <v>0</v>
      </c>
      <c r="AA11" s="195">
        <f>IFERROR(__xludf.DUMMYFUNCTION("""COMPUTED_VALUE"""),0.0)</f>
        <v>0</v>
      </c>
      <c r="AB11" s="129"/>
      <c r="AC11" s="195">
        <f>IFERROR(__xludf.DUMMYFUNCTION("""COMPUTED_VALUE"""),0.0)</f>
        <v>0</v>
      </c>
      <c r="AD11" s="195">
        <f>IFERROR(__xludf.DUMMYFUNCTION("""COMPUTED_VALUE"""),0.0)</f>
        <v>0</v>
      </c>
      <c r="AE11" s="129"/>
      <c r="AF11" s="195">
        <f>IFERROR(__xludf.DUMMYFUNCTION("""COMPUTED_VALUE"""),0.0)</f>
        <v>0</v>
      </c>
      <c r="AG11" s="195">
        <f>IFERROR(__xludf.DUMMYFUNCTION("""COMPUTED_VALUE"""),0.0)</f>
        <v>0</v>
      </c>
      <c r="AH11" s="129"/>
      <c r="AI11" s="195">
        <f>IFERROR(__xludf.DUMMYFUNCTION("""COMPUTED_VALUE"""),0.0)</f>
        <v>0</v>
      </c>
      <c r="AJ11" s="195">
        <f>IFERROR(__xludf.DUMMYFUNCTION("""COMPUTED_VALUE"""),0.0)</f>
        <v>0</v>
      </c>
      <c r="AK11" s="129"/>
      <c r="AL11" s="195">
        <f>IFERROR(__xludf.DUMMYFUNCTION("""COMPUTED_VALUE"""),0.0)</f>
        <v>0</v>
      </c>
      <c r="AM11" s="195">
        <f>IFERROR(__xludf.DUMMYFUNCTION("""COMPUTED_VALUE"""),0.0)</f>
        <v>0</v>
      </c>
      <c r="AN11" s="129"/>
      <c r="AO11" s="195">
        <f>IFERROR(__xludf.DUMMYFUNCTION("""COMPUTED_VALUE"""),0.0)</f>
        <v>0</v>
      </c>
      <c r="AP11" s="195">
        <f>IFERROR(__xludf.DUMMYFUNCTION("""COMPUTED_VALUE"""),0.0)</f>
        <v>0</v>
      </c>
      <c r="AQ11" s="129"/>
      <c r="AR11" s="195">
        <f>IFERROR(__xludf.DUMMYFUNCTION("""COMPUTED_VALUE"""),0.0)</f>
        <v>0</v>
      </c>
      <c r="AS11" s="195">
        <f>IFERROR(__xludf.DUMMYFUNCTION("""COMPUTED_VALUE"""),0.0)</f>
        <v>0</v>
      </c>
      <c r="AT11" s="129"/>
      <c r="AU11" s="195">
        <f>IFERROR(__xludf.DUMMYFUNCTION("""COMPUTED_VALUE"""),0.0)</f>
        <v>0</v>
      </c>
      <c r="AV11" s="195">
        <f>IFERROR(__xludf.DUMMYFUNCTION("""COMPUTED_VALUE"""),0.0)</f>
        <v>0</v>
      </c>
      <c r="AX11" s="200" t="str">
        <f t="shared" ref="AX11:AY11" si="9">Y5</f>
        <v/>
      </c>
      <c r="AY11" s="195">
        <f t="shared" si="9"/>
        <v>0</v>
      </c>
      <c r="AZ11" s="201">
        <v>9.0</v>
      </c>
      <c r="BA11" s="199">
        <f>AA$4</f>
        <v>0</v>
      </c>
    </row>
    <row r="12">
      <c r="A12" s="129" t="str">
        <f>IFERROR(__xludf.DUMMYFUNCTION("""COMPUTED_VALUE"""),"Мона")</f>
        <v>Мона</v>
      </c>
      <c r="B12" s="195">
        <f>IFERROR(__xludf.DUMMYFUNCTION("""COMPUTED_VALUE"""),13.25)</f>
        <v>13.25</v>
      </c>
      <c r="C12" s="195">
        <f>IFERROR(__xludf.DUMMYFUNCTION("""COMPUTED_VALUE"""),13.25)</f>
        <v>13.25</v>
      </c>
      <c r="D12" s="129" t="str">
        <f>IFERROR(__xludf.DUMMYFUNCTION("""COMPUTED_VALUE"""),"Bogrolla")</f>
        <v>Bogrolla</v>
      </c>
      <c r="E12" s="195">
        <f>IFERROR(__xludf.DUMMYFUNCTION("""COMPUTED_VALUE"""),15.5)</f>
        <v>15.5</v>
      </c>
      <c r="F12" s="195">
        <f>IFERROR(__xludf.DUMMYFUNCTION("""COMPUTED_VALUE"""),15.5)</f>
        <v>15.5</v>
      </c>
      <c r="G12" s="129" t="str">
        <f>IFERROR(__xludf.DUMMYFUNCTION("""COMPUTED_VALUE"""),"Оскар")</f>
        <v>Оскар</v>
      </c>
      <c r="H12" s="195">
        <f>IFERROR(__xludf.DUMMYFUNCTION("""COMPUTED_VALUE"""),14.75)</f>
        <v>14.75</v>
      </c>
      <c r="I12" s="195">
        <f>IFERROR(__xludf.DUMMYFUNCTION("""COMPUTED_VALUE"""),12.25)</f>
        <v>12.25</v>
      </c>
      <c r="J12" s="129" t="str">
        <f>IFERROR(__xludf.DUMMYFUNCTION("""COMPUTED_VALUE"""),"Дантес")</f>
        <v>Дантес</v>
      </c>
      <c r="K12" s="195">
        <f>IFERROR(__xludf.DUMMYFUNCTION("""COMPUTED_VALUE"""),0.0)</f>
        <v>0</v>
      </c>
      <c r="L12" s="195">
        <f>IFERROR(__xludf.DUMMYFUNCTION("""COMPUTED_VALUE"""),0.0)</f>
        <v>0</v>
      </c>
      <c r="M12" s="129" t="str">
        <f>IFERROR(__xludf.DUMMYFUNCTION("""COMPUTED_VALUE"""),"Schokk")</f>
        <v>Schokk</v>
      </c>
      <c r="N12" s="195">
        <f>IFERROR(__xludf.DUMMYFUNCTION("""COMPUTED_VALUE"""),0.0)</f>
        <v>0</v>
      </c>
      <c r="O12" s="195">
        <f>IFERROR(__xludf.DUMMYFUNCTION("""COMPUTED_VALUE"""),0.0)</f>
        <v>0</v>
      </c>
      <c r="P12" s="129" t="str">
        <f>IFERROR(__xludf.DUMMYFUNCTION("""COMPUTED_VALUE"""),"Дантес")</f>
        <v>Дантес</v>
      </c>
      <c r="Q12" s="195">
        <f>IFERROR(__xludf.DUMMYFUNCTION("""COMPUTED_VALUE"""),0.0)</f>
        <v>0</v>
      </c>
      <c r="R12" s="195">
        <f>IFERROR(__xludf.DUMMYFUNCTION("""COMPUTED_VALUE"""),0.0)</f>
        <v>0</v>
      </c>
      <c r="S12" s="129"/>
      <c r="T12" s="195">
        <f>IFERROR(__xludf.DUMMYFUNCTION("""COMPUTED_VALUE"""),0.0)</f>
        <v>0</v>
      </c>
      <c r="U12" s="195">
        <f>IFERROR(__xludf.DUMMYFUNCTION("""COMPUTED_VALUE"""),0.0)</f>
        <v>0</v>
      </c>
      <c r="V12" s="129"/>
      <c r="W12" s="195">
        <f>IFERROR(__xludf.DUMMYFUNCTION("""COMPUTED_VALUE"""),0.0)</f>
        <v>0</v>
      </c>
      <c r="X12" s="195">
        <f>IFERROR(__xludf.DUMMYFUNCTION("""COMPUTED_VALUE"""),0.0)</f>
        <v>0</v>
      </c>
      <c r="Y12" s="129"/>
      <c r="Z12" s="195">
        <f>IFERROR(__xludf.DUMMYFUNCTION("""COMPUTED_VALUE"""),0.0)</f>
        <v>0</v>
      </c>
      <c r="AA12" s="195">
        <f>IFERROR(__xludf.DUMMYFUNCTION("""COMPUTED_VALUE"""),0.0)</f>
        <v>0</v>
      </c>
      <c r="AB12" s="129"/>
      <c r="AC12" s="195">
        <f>IFERROR(__xludf.DUMMYFUNCTION("""COMPUTED_VALUE"""),0.0)</f>
        <v>0</v>
      </c>
      <c r="AD12" s="195">
        <f>IFERROR(__xludf.DUMMYFUNCTION("""COMPUTED_VALUE"""),0.0)</f>
        <v>0</v>
      </c>
      <c r="AE12" s="129"/>
      <c r="AF12" s="195">
        <f>IFERROR(__xludf.DUMMYFUNCTION("""COMPUTED_VALUE"""),0.0)</f>
        <v>0</v>
      </c>
      <c r="AG12" s="195">
        <f>IFERROR(__xludf.DUMMYFUNCTION("""COMPUTED_VALUE"""),0.0)</f>
        <v>0</v>
      </c>
      <c r="AH12" s="129"/>
      <c r="AI12" s="195">
        <f>IFERROR(__xludf.DUMMYFUNCTION("""COMPUTED_VALUE"""),0.0)</f>
        <v>0</v>
      </c>
      <c r="AJ12" s="195">
        <f>IFERROR(__xludf.DUMMYFUNCTION("""COMPUTED_VALUE"""),0.0)</f>
        <v>0</v>
      </c>
      <c r="AK12" s="129"/>
      <c r="AL12" s="195">
        <f>IFERROR(__xludf.DUMMYFUNCTION("""COMPUTED_VALUE"""),0.0)</f>
        <v>0</v>
      </c>
      <c r="AM12" s="195">
        <f>IFERROR(__xludf.DUMMYFUNCTION("""COMPUTED_VALUE"""),0.0)</f>
        <v>0</v>
      </c>
      <c r="AN12" s="129"/>
      <c r="AO12" s="195">
        <f>IFERROR(__xludf.DUMMYFUNCTION("""COMPUTED_VALUE"""),0.0)</f>
        <v>0</v>
      </c>
      <c r="AP12" s="195">
        <f>IFERROR(__xludf.DUMMYFUNCTION("""COMPUTED_VALUE"""),0.0)</f>
        <v>0</v>
      </c>
      <c r="AQ12" s="129"/>
      <c r="AR12" s="195">
        <f>IFERROR(__xludf.DUMMYFUNCTION("""COMPUTED_VALUE"""),0.0)</f>
        <v>0</v>
      </c>
      <c r="AS12" s="195">
        <f>IFERROR(__xludf.DUMMYFUNCTION("""COMPUTED_VALUE"""),0.0)</f>
        <v>0</v>
      </c>
      <c r="AT12" s="129"/>
      <c r="AU12" s="195">
        <f>IFERROR(__xludf.DUMMYFUNCTION("""COMPUTED_VALUE"""),0.0)</f>
        <v>0</v>
      </c>
      <c r="AV12" s="195">
        <f>IFERROR(__xludf.DUMMYFUNCTION("""COMPUTED_VALUE"""),0.0)</f>
        <v>0</v>
      </c>
      <c r="AX12" s="200" t="str">
        <f t="shared" ref="AX12:AY12" si="10">AB4</f>
        <v/>
      </c>
      <c r="AY12" s="195">
        <f t="shared" si="10"/>
        <v>0</v>
      </c>
      <c r="AZ12" s="198">
        <v>10.0</v>
      </c>
      <c r="BA12" s="199">
        <f>AA$5</f>
        <v>0</v>
      </c>
    </row>
    <row r="13">
      <c r="AX13" s="200" t="str">
        <f t="shared" ref="AX13:AY13" si="11">AE4</f>
        <v/>
      </c>
      <c r="AY13" s="195">
        <f t="shared" si="11"/>
        <v>0</v>
      </c>
      <c r="AZ13" s="201">
        <v>11.0</v>
      </c>
      <c r="BA13" s="199">
        <f>AG$4</f>
        <v>0</v>
      </c>
    </row>
    <row r="14">
      <c r="AX14" s="200" t="str">
        <f t="shared" ref="AX14:AY14" si="12">AH4</f>
        <v/>
      </c>
      <c r="AY14" s="195">
        <f t="shared" si="12"/>
        <v>0</v>
      </c>
      <c r="AZ14" s="201">
        <v>12.0</v>
      </c>
      <c r="BA14" s="199">
        <f>AJ$4</f>
        <v>0</v>
      </c>
    </row>
    <row r="15">
      <c r="A15" s="146" t="s">
        <v>113</v>
      </c>
      <c r="B15" s="145" t="s">
        <v>3</v>
      </c>
      <c r="C15" s="202"/>
      <c r="AX15" s="200" t="str">
        <f t="shared" ref="AX15:AY15" si="13">AK4</f>
        <v/>
      </c>
      <c r="AY15" s="195">
        <f t="shared" si="13"/>
        <v>0</v>
      </c>
      <c r="AZ15" s="198">
        <v>13.0</v>
      </c>
      <c r="BA15" s="199">
        <f>AM$4</f>
        <v>0</v>
      </c>
    </row>
    <row r="16">
      <c r="A16" s="197" t="str">
        <f t="shared" ref="A16:B16" si="14">A3</f>
        <v>Coach</v>
      </c>
      <c r="B16" s="195">
        <f t="shared" si="14"/>
        <v>42.25</v>
      </c>
      <c r="C16" s="201">
        <v>1.0</v>
      </c>
      <c r="AX16" s="200" t="str">
        <f t="shared" ref="AX16:AY16" si="15">AN4</f>
        <v/>
      </c>
      <c r="AY16" s="195">
        <f t="shared" si="15"/>
        <v>0</v>
      </c>
      <c r="AZ16" s="201">
        <v>14.0</v>
      </c>
      <c r="BA16" s="199">
        <f>AP$4</f>
        <v>0</v>
      </c>
    </row>
    <row r="17">
      <c r="A17" s="197" t="str">
        <f t="shared" ref="A17:B17" si="16">D3</f>
        <v>Дракарис</v>
      </c>
      <c r="B17" s="195">
        <f t="shared" si="16"/>
        <v>34.75</v>
      </c>
      <c r="C17" s="201">
        <v>2.0</v>
      </c>
      <c r="AX17" s="200" t="str">
        <f t="shared" ref="AX17:AY17" si="17">AQ4</f>
        <v/>
      </c>
      <c r="AY17" s="195">
        <f t="shared" si="17"/>
        <v>0</v>
      </c>
      <c r="AZ17" s="201">
        <v>15.0</v>
      </c>
      <c r="BA17" s="199">
        <f>AS$4</f>
        <v>0</v>
      </c>
    </row>
    <row r="18">
      <c r="A18" s="197" t="str">
        <f t="shared" ref="A18:B18" si="18">G3</f>
        <v>Админ</v>
      </c>
      <c r="B18" s="195">
        <f t="shared" si="18"/>
        <v>34.5</v>
      </c>
      <c r="C18" s="201">
        <v>3.0</v>
      </c>
      <c r="AX18" s="203" t="str">
        <f t="shared" ref="AX18:AY18" si="19">AT4</f>
        <v/>
      </c>
      <c r="AY18" s="195">
        <f t="shared" si="19"/>
        <v>0</v>
      </c>
      <c r="AZ18" s="204">
        <v>16.0</v>
      </c>
      <c r="BA18" s="199">
        <f>AV$4</f>
        <v>0</v>
      </c>
    </row>
    <row r="19">
      <c r="A19" s="197" t="str">
        <f t="shared" ref="A19:B19" si="20">J3</f>
        <v>Суета</v>
      </c>
      <c r="B19" s="195">
        <f t="shared" si="20"/>
        <v>0</v>
      </c>
      <c r="C19" s="201">
        <v>4.0</v>
      </c>
    </row>
    <row r="20">
      <c r="A20" s="197" t="str">
        <f t="shared" ref="A20:B20" si="21">M3</f>
        <v>Бестия</v>
      </c>
      <c r="B20" s="195">
        <f t="shared" si="21"/>
        <v>0</v>
      </c>
      <c r="C20" s="201">
        <v>5.0</v>
      </c>
    </row>
    <row r="21">
      <c r="A21" s="197" t="str">
        <f t="shared" ref="A21:B21" si="22">P3</f>
        <v>Физик</v>
      </c>
      <c r="B21" s="195">
        <f t="shared" si="22"/>
        <v>0</v>
      </c>
      <c r="C21" s="201">
        <v>6.0</v>
      </c>
    </row>
    <row r="22">
      <c r="A22" s="197" t="str">
        <f t="shared" ref="A22:B22" si="23">S3</f>
        <v/>
      </c>
      <c r="B22" s="195">
        <f t="shared" si="23"/>
        <v>0</v>
      </c>
      <c r="C22" s="201">
        <v>7.0</v>
      </c>
    </row>
    <row r="23">
      <c r="A23" s="197" t="str">
        <f t="shared" ref="A23:B23" si="24">V3</f>
        <v/>
      </c>
      <c r="B23" s="195">
        <f t="shared" si="24"/>
        <v>0</v>
      </c>
      <c r="C23" s="201">
        <v>8.0</v>
      </c>
    </row>
    <row r="24">
      <c r="A24" s="197" t="str">
        <f t="shared" ref="A24:B24" si="25">Y3</f>
        <v/>
      </c>
      <c r="B24" s="195">
        <f t="shared" si="25"/>
        <v>0</v>
      </c>
      <c r="C24" s="201">
        <v>9.0</v>
      </c>
    </row>
    <row r="25">
      <c r="A25" s="197" t="str">
        <f t="shared" ref="A25:B25" si="26">AB3</f>
        <v/>
      </c>
      <c r="B25" s="195">
        <f t="shared" si="26"/>
        <v>0</v>
      </c>
      <c r="C25" s="201">
        <v>10.0</v>
      </c>
    </row>
    <row r="26">
      <c r="A26" s="197" t="str">
        <f t="shared" ref="A26:B26" si="27">AE3</f>
        <v/>
      </c>
      <c r="B26" s="195">
        <f t="shared" si="27"/>
        <v>0</v>
      </c>
      <c r="C26" s="201">
        <v>11.0</v>
      </c>
    </row>
    <row r="27">
      <c r="A27" s="197" t="str">
        <f t="shared" ref="A27:B27" si="28">AH3</f>
        <v/>
      </c>
      <c r="B27" s="195">
        <f t="shared" si="28"/>
        <v>0</v>
      </c>
      <c r="C27" s="201">
        <v>12.0</v>
      </c>
    </row>
    <row r="28">
      <c r="A28" s="197" t="str">
        <f t="shared" ref="A28:B28" si="29">AK3</f>
        <v/>
      </c>
      <c r="B28" s="195">
        <f t="shared" si="29"/>
        <v>0</v>
      </c>
      <c r="C28" s="201">
        <v>13.0</v>
      </c>
    </row>
    <row r="29">
      <c r="A29" s="197" t="str">
        <f t="shared" ref="A29:B29" si="30">AN3</f>
        <v/>
      </c>
      <c r="B29" s="195">
        <f t="shared" si="30"/>
        <v>0</v>
      </c>
      <c r="C29" s="201">
        <v>14.0</v>
      </c>
    </row>
    <row r="30">
      <c r="A30" s="205" t="str">
        <f t="shared" ref="A30:B30" si="31">AQ3</f>
        <v/>
      </c>
      <c r="B30" s="195">
        <f t="shared" si="31"/>
        <v>0</v>
      </c>
      <c r="C30" s="201">
        <v>15.0</v>
      </c>
    </row>
    <row r="31">
      <c r="A31" s="195" t="str">
        <f t="shared" ref="A31:B31" si="32">AT3</f>
        <v/>
      </c>
      <c r="B31" s="206">
        <f t="shared" si="32"/>
        <v>0</v>
      </c>
      <c r="C31" s="207">
        <v>16.0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2" max="2" width="6.88"/>
    <col customWidth="1" min="3" max="3" width="8.63"/>
    <col customWidth="1" min="4" max="4" width="8.0"/>
    <col customWidth="1" min="5" max="5" width="4.38"/>
    <col customWidth="1" min="6" max="6" width="7.88"/>
    <col customWidth="1" min="7" max="7" width="10.63"/>
    <col customWidth="1" min="8" max="8" width="11.5"/>
    <col customWidth="1" min="9" max="9" width="11.38"/>
    <col customWidth="1" min="10" max="10" width="10.75"/>
    <col customWidth="1" min="11" max="11" width="8.0"/>
    <col customWidth="1" min="13" max="13" width="7.38"/>
    <col customWidth="1" min="14" max="14" width="12.25"/>
    <col customWidth="1" min="15" max="15" width="8.25"/>
    <col customWidth="1" min="16" max="16" width="12.5"/>
    <col customWidth="1" min="17" max="17" width="8.5"/>
    <col customWidth="1" min="18" max="18" width="12.75"/>
    <col customWidth="1" min="19" max="19" width="10.13"/>
    <col customWidth="1" min="20" max="20" width="12.25"/>
    <col customWidth="1" min="21" max="21" width="11.75"/>
    <col customWidth="1" min="22" max="22" width="8.88"/>
    <col customWidth="1" min="23" max="23" width="8.38"/>
    <col customWidth="1" min="24" max="24" width="8.63"/>
    <col customWidth="1" min="25" max="25" width="9.75"/>
    <col customWidth="1" min="26" max="26" width="7.75"/>
    <col customWidth="1" min="27" max="27" width="9.0"/>
    <col customWidth="1" min="28" max="28" width="8.75"/>
    <col customWidth="1" min="29" max="29" width="8.88"/>
    <col customWidth="1" min="30" max="30" width="9.38"/>
    <col customWidth="1" min="31" max="31" width="9.88"/>
    <col customWidth="1" min="32" max="32" width="8.75"/>
    <col customWidth="1" min="33" max="33" width="10.25"/>
    <col customWidth="1" min="34" max="34" width="8.63"/>
    <col customWidth="1" min="35" max="35" width="11.25"/>
  </cols>
  <sheetData>
    <row r="1">
      <c r="A1" s="208"/>
      <c r="B1" s="208"/>
      <c r="C1" s="209"/>
      <c r="D1" s="209"/>
      <c r="E1" s="209"/>
      <c r="F1" s="209"/>
      <c r="G1" s="209"/>
      <c r="H1" s="209"/>
      <c r="I1" s="210" t="s">
        <v>133</v>
      </c>
      <c r="S1" s="211" t="s">
        <v>134</v>
      </c>
      <c r="Z1" s="212" t="s">
        <v>135</v>
      </c>
      <c r="AE1" s="213" t="s">
        <v>136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>
      <c r="A2" s="214"/>
      <c r="B2" s="214"/>
      <c r="C2" s="209"/>
      <c r="D2" s="209"/>
      <c r="E2" s="209"/>
      <c r="F2" s="209"/>
      <c r="G2" s="209"/>
      <c r="H2" s="209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>
      <c r="A3" s="215" t="s">
        <v>137</v>
      </c>
      <c r="B3" s="214"/>
      <c r="C3" s="209"/>
      <c r="D3" s="209"/>
      <c r="E3" s="209"/>
      <c r="F3" s="209"/>
      <c r="G3" s="209"/>
      <c r="H3" s="209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>
      <c r="A4" s="216" t="s">
        <v>113</v>
      </c>
      <c r="B4" s="217" t="s">
        <v>138</v>
      </c>
      <c r="C4" s="218" t="s">
        <v>139</v>
      </c>
      <c r="D4" s="218" t="s">
        <v>140</v>
      </c>
      <c r="E4" s="218" t="s">
        <v>31</v>
      </c>
      <c r="F4" s="218" t="s">
        <v>141</v>
      </c>
      <c r="G4" s="219" t="s">
        <v>142</v>
      </c>
      <c r="H4" s="220" t="s">
        <v>143</v>
      </c>
      <c r="I4" s="221" t="s">
        <v>144</v>
      </c>
      <c r="J4" s="222" t="s">
        <v>145</v>
      </c>
      <c r="K4" s="223" t="s">
        <v>146</v>
      </c>
      <c r="L4" s="223" t="s">
        <v>147</v>
      </c>
      <c r="M4" s="224" t="s">
        <v>148</v>
      </c>
      <c r="N4" s="224" t="s">
        <v>149</v>
      </c>
      <c r="O4" s="222" t="s">
        <v>150</v>
      </c>
      <c r="P4" s="222" t="s">
        <v>151</v>
      </c>
      <c r="Q4" s="225" t="s">
        <v>152</v>
      </c>
      <c r="R4" s="225" t="s">
        <v>153</v>
      </c>
      <c r="S4" s="226" t="s">
        <v>154</v>
      </c>
      <c r="T4" s="226" t="s">
        <v>155</v>
      </c>
      <c r="U4" s="226" t="s">
        <v>156</v>
      </c>
      <c r="V4" s="223" t="s">
        <v>157</v>
      </c>
      <c r="W4" s="224" t="s">
        <v>158</v>
      </c>
      <c r="X4" s="222" t="s">
        <v>159</v>
      </c>
      <c r="Y4" s="225" t="s">
        <v>160</v>
      </c>
      <c r="Z4" s="226" t="s">
        <v>161</v>
      </c>
      <c r="AA4" s="227" t="s">
        <v>162</v>
      </c>
      <c r="AB4" s="228" t="s">
        <v>163</v>
      </c>
      <c r="AC4" s="229" t="s">
        <v>164</v>
      </c>
      <c r="AD4" s="230" t="s">
        <v>165</v>
      </c>
      <c r="AE4" s="226" t="s">
        <v>166</v>
      </c>
      <c r="AF4" s="227" t="s">
        <v>167</v>
      </c>
      <c r="AG4" s="224" t="s">
        <v>168</v>
      </c>
      <c r="AH4" s="229" t="s">
        <v>169</v>
      </c>
      <c r="AI4" s="231" t="s">
        <v>170</v>
      </c>
      <c r="AJ4" s="232"/>
      <c r="AK4" s="232"/>
      <c r="AL4" s="232"/>
      <c r="AM4" s="232"/>
      <c r="AN4" s="232"/>
      <c r="AO4" s="232"/>
      <c r="AP4" s="232"/>
      <c r="AQ4" s="232"/>
      <c r="AR4" s="232"/>
      <c r="AS4" s="232"/>
      <c r="AT4" s="232"/>
      <c r="AU4" s="232"/>
      <c r="AV4" s="232"/>
      <c r="AW4" s="232"/>
      <c r="AX4" s="232"/>
      <c r="AY4" s="232"/>
      <c r="AZ4" s="232"/>
      <c r="BA4" s="232"/>
      <c r="BB4" s="232"/>
      <c r="BC4" s="232"/>
      <c r="BD4" s="232"/>
      <c r="BE4" s="232"/>
      <c r="BF4" s="232"/>
      <c r="BG4" s="232"/>
      <c r="BH4" s="232"/>
      <c r="BI4" s="232"/>
      <c r="BJ4" s="232"/>
      <c r="BK4" s="232"/>
    </row>
    <row r="5">
      <c r="A5" s="195" t="str">
        <f t="array" ref="A5:A14">'1 Полуфинал'!B6:B15</f>
        <v/>
      </c>
      <c r="B5" s="129">
        <f t="shared" ref="B5:B14" si="1">SUM(I5:J5)</f>
        <v>0</v>
      </c>
      <c r="C5" s="128" t="str">
        <f>IF(COUNTIFS('Все игры'!AN$3:AN892,A5,'Все игры'!AS$3:AS892,"=1")=0, "", COUNTIFS('Все игры'!AN$3:AN892,A5,'Все игры'!AS$3:AS892,"=1"))</f>
        <v/>
      </c>
      <c r="D5" s="233" t="str">
        <f>IF(COUNTIFS('Все игры'!AN$3:AN892,A5,'Все игры'!AS$3:AS892,"=0,50")=0, "", COUNTIFS('Все игры'!AN$3:AN892,A5,'Все игры'!AS$3:AS892,"=0,50"))</f>
        <v/>
      </c>
      <c r="E5" s="234" t="str">
        <f>IF(COUNTIFS('Все игры'!AN$3:AN892,A5,'Все игры'!AR$3:AR892,"ПУ")=0, "", COUNTIFS('Все игры'!AN$3:AN892,A5,'Все игры'!AR$3:AR892,"ПУ"))</f>
        <v/>
      </c>
      <c r="F5" s="235">
        <f t="shared" ref="F5:F14" si="2">IFERROR(E5/I5,0)</f>
        <v>0</v>
      </c>
      <c r="G5" s="234" t="str">
        <f>IF(COUNTIFS('Все игры'!AN$3:AN892,A5,'Все игры'!AR$3:AR892,"У/Победа")=0, "",COUNTIFS('Все игры'!AN$3:AN892,A5,'Все игры'!AR$3:AR892,"У/Победа") )</f>
        <v/>
      </c>
      <c r="H5" s="234" t="str">
        <f>IF(COUNTIFS('Все игры'!AN$3:AN892,A5,'Все игры'!AR$3:AR892,"У/Проигрыш")=0, "",COUNTIFS('Все игры'!AN$3:AN892,A5,'Все игры'!AR$3:AR892,"У/Проигрыш") )</f>
        <v/>
      </c>
      <c r="I5" s="129">
        <f t="shared" ref="I5:I14" si="3">M5+N5+Q5+R5</f>
        <v>0</v>
      </c>
      <c r="J5" s="129">
        <f t="shared" ref="J5:J14" si="4">K5+L5+O5+P5</f>
        <v>0</v>
      </c>
      <c r="K5" s="129">
        <f>COUNTIFS('Все игры'!AN$3:AN892,A5,'Все игры'!AP$3:AP892,"&gt;0",'Все игры'!AO$3:AO892,"Мафия")</f>
        <v>0</v>
      </c>
      <c r="L5" s="129">
        <f>IFERROR(__xludf.DUMMYFUNCTION("COUNTBLANK(FILTER('Все игры'!AN$3:AP892,'Все игры'!AN$3:AN892=A5,'Все игры'!AP$3:AP892 &lt; 1,'Все игры'!AO$3:AO892=""Мафия""))"),0.0)</f>
        <v>0</v>
      </c>
      <c r="M5" s="129">
        <f>COUNTIFS('Все игры'!AN$3:AN892,A5,'Все игры'!AP$3:AP892,"&gt;0",'Все игры'!AO$3:AO892,"Шериф")</f>
        <v>0</v>
      </c>
      <c r="N5" s="129">
        <f>IFERROR(__xludf.DUMMYFUNCTION("COUNTBLANK(FILTER('Все игры'!AN$3:AP892,'Все игры'!AN$3:AN892=A5,'Все игры'!AP$3:AP892 &lt; 1,'Все игры'!AO$3:AO892=""Шериф""))"),0.0)</f>
        <v>0</v>
      </c>
      <c r="O5" s="129">
        <f>COUNTIFS('Все игры'!AN$3:AN892,A5,'Все игры'!AP$3:AP892,"&gt;0",'Все игры'!AO$3:AO892,"Дон")</f>
        <v>0</v>
      </c>
      <c r="P5" s="236">
        <f>IFERROR(__xludf.DUMMYFUNCTION("COUNTBLANK(FILTER('Все игры'!AN$3:AP892,'Все игры'!AN$3:AN892=A5,'Все игры'!AP$3:AP892 &lt; 1,'Все игры'!AO$3:AO892=""Дон""))"),0.0)</f>
        <v>0</v>
      </c>
      <c r="Q5" s="129">
        <f>COUNTIFS('Все игры'!AN$3:AN892,A5,'Все игры'!AP$3:AP892,"&gt;0",'Все игры'!AO$3:AO892,"Мирный")</f>
        <v>0</v>
      </c>
      <c r="R5" s="129">
        <f>IFERROR(__xludf.DUMMYFUNCTION("COUNTBLANK(FILTER('Все игры'!AN$3:AP892,'Все игры'!AN$3:AN892=A5,'Все игры'!AP$3:AP892 &lt; 1,'Все игры'!AO$3:AO892=""Мирный""))"),0.0)</f>
        <v>0</v>
      </c>
      <c r="S5" s="237" t="str">
        <f t="shared" ref="S5:S14" si="5">IFERROR((K5+M5+O5+Q5)/(I5+J5), )</f>
        <v/>
      </c>
      <c r="T5" s="237" t="str">
        <f t="shared" ref="T5:T14" si="6">IFERROR((M5+Q5)/I5, )</f>
        <v/>
      </c>
      <c r="U5" s="237" t="str">
        <f t="shared" ref="U5:U14" si="7">IFERROR((K5+O5)/J5, )</f>
        <v/>
      </c>
      <c r="V5" s="237" t="str">
        <f t="shared" ref="V5:V14" si="8">IFERROR(K5/(K5+L5), )</f>
        <v/>
      </c>
      <c r="W5" s="237" t="str">
        <f t="shared" ref="W5:W14" si="9">IFERROR(M5/(M5+N5), )</f>
        <v/>
      </c>
      <c r="X5" s="237" t="str">
        <f t="shared" ref="X5:X14" si="10">IFERROR(O5/(O5+P5), )</f>
        <v/>
      </c>
      <c r="Y5" s="237" t="str">
        <f t="shared" ref="Y5:Y14" si="11">IFERROR(Q5/(Q5+R5), )</f>
        <v/>
      </c>
      <c r="Z5" s="238">
        <f>SUMIFS('Все игры'!AQ$3:AQ892,'Все игры'!AN$3:AN892,A5)</f>
        <v>0</v>
      </c>
      <c r="AA5" s="238">
        <f>SUMIFS('Все игры'!AQ$3:AQ892,'Все игры'!AN$3:AN892,A5,'Все игры'!AO$3:AO892,"Мафия")</f>
        <v>0</v>
      </c>
      <c r="AB5" s="238">
        <f>SUMIFS('Все игры'!AQ$3:AQ892,'Все игры'!AN$3:AN892,A5,'Все игры'!AO$3:AO892,"Шериф")</f>
        <v>0</v>
      </c>
      <c r="AC5" s="238">
        <f>SUMIFS('Все игры'!AQ$3:AQ892,'Все игры'!AN$3:AN892,A5,'Все игры'!AO$3:AO892,"Дон")</f>
        <v>0</v>
      </c>
      <c r="AD5" s="238">
        <f>SUMIFS('Все игры'!AQ$3:AQ892,'Все игры'!AN$3:AN892,A5,'Все игры'!AO$3:AO892,"Мирный")</f>
        <v>0</v>
      </c>
      <c r="AE5" s="238">
        <f t="shared" ref="AE5:AE14" si="12">IFERROR(Z5/B5,0)</f>
        <v>0</v>
      </c>
      <c r="AF5" s="238">
        <f t="shared" ref="AF5:AF14" si="13">IFERROR(AA5/(K5+L5),0)</f>
        <v>0</v>
      </c>
      <c r="AG5" s="238">
        <f t="shared" ref="AG5:AG14" si="14">IFERROR(AB5/(M5+N5),0)</f>
        <v>0</v>
      </c>
      <c r="AH5" s="238">
        <f t="shared" ref="AH5:AH14" si="15">IFERROR(AC5/(O5+P5),0)</f>
        <v>0</v>
      </c>
      <c r="AI5" s="238">
        <f t="shared" ref="AI5:AI14" si="16">IFERROR(AD5/(Q5+R5),0)</f>
        <v>0</v>
      </c>
    </row>
    <row r="6">
      <c r="A6" s="195"/>
      <c r="B6" s="129">
        <f t="shared" si="1"/>
        <v>0</v>
      </c>
      <c r="C6" s="128" t="str">
        <f>IF(COUNTIFS('Все игры'!AN$3:AN892,A6,'Все игры'!AS$3:AS892,"=1")=0, "", COUNTIFS('Все игры'!AN$3:AN892,A6,'Все игры'!AS$3:AS892,"=1"))</f>
        <v/>
      </c>
      <c r="D6" s="233" t="str">
        <f>IF(COUNTIFS('Все игры'!AN$3:AN892,A6,'Все игры'!AS$3:AS892,"=0,50")=0, "", COUNTIFS('Все игры'!AN$3:AN892,A6,'Все игры'!AS$3:AS892,"=0,50"))</f>
        <v/>
      </c>
      <c r="E6" s="234" t="str">
        <f>IF(COUNTIFS('Все игры'!AN$3:AN892,A6,'Все игры'!AR$3:AR892,"ПУ")=0, "", COUNTIFS('Все игры'!AN$3:AN892,A6,'Все игры'!AR$3:AR892,"ПУ"))</f>
        <v/>
      </c>
      <c r="F6" s="235">
        <f t="shared" si="2"/>
        <v>0</v>
      </c>
      <c r="G6" s="234" t="str">
        <f>IF(COUNTIFS('Все игры'!AN$3:AN892,A6,'Все игры'!AR$3:AR892,"У/Победа")=0, "",COUNTIFS('Все игры'!AN$3:AN892,A6,'Все игры'!AR$3:AR892,"У/Победа") )</f>
        <v/>
      </c>
      <c r="H6" s="234" t="str">
        <f>IF(COUNTIFS('Все игры'!AN$3:AN892,A6,'Все игры'!AR$3:AR892,"У/Проигрыш")=0, "",COUNTIFS('Все игры'!AN$3:AN892,A6,'Все игры'!AR$3:AR892,"У/Проигрыш") )</f>
        <v/>
      </c>
      <c r="I6" s="129">
        <f t="shared" si="3"/>
        <v>0</v>
      </c>
      <c r="J6" s="129">
        <f t="shared" si="4"/>
        <v>0</v>
      </c>
      <c r="K6" s="129">
        <f>COUNTIFS('Все игры'!AN$3:AN892,A6,'Все игры'!AP$3:AP892,"&gt;0",'Все игры'!AO$3:AO892,"Мафия")</f>
        <v>0</v>
      </c>
      <c r="L6" s="129">
        <f>IFERROR(__xludf.DUMMYFUNCTION("COUNTBLANK(FILTER('Все игры'!AN$3:AP892,'Все игры'!AN$3:AN892=A6,'Все игры'!AP$3:AP892 &lt; 1,'Все игры'!AO$3:AO892=""Мафия""))"),0.0)</f>
        <v>0</v>
      </c>
      <c r="M6" s="129">
        <f>COUNTIFS('Все игры'!AN$3:AN892,A6,'Все игры'!AP$3:AP892,"&gt;0",'Все игры'!AO$3:AO892,"Шериф")</f>
        <v>0</v>
      </c>
      <c r="N6" s="129">
        <f>IFERROR(__xludf.DUMMYFUNCTION("COUNTBLANK(FILTER('Все игры'!AN$3:AP892,'Все игры'!AN$3:AN892=A6,'Все игры'!AP$3:AP892 &lt; 1,'Все игры'!AO$3:AO892=""Шериф""))"),0.0)</f>
        <v>0</v>
      </c>
      <c r="O6" s="129">
        <f>COUNTIFS('Все игры'!AN$3:AN892,A6,'Все игры'!AP$3:AP892,"&gt;0",'Все игры'!AO$3:AO892,"Дон")</f>
        <v>0</v>
      </c>
      <c r="P6" s="236">
        <f>IFERROR(__xludf.DUMMYFUNCTION("COUNTBLANK(FILTER('Все игры'!AN$3:AP892,'Все игры'!AN$3:AN892=A6,'Все игры'!AP$3:AP892 &lt; 1,'Все игры'!AO$3:AO892=""Дон""))"),0.0)</f>
        <v>0</v>
      </c>
      <c r="Q6" s="129">
        <f>COUNTIFS('Все игры'!AN$3:AN892,A6,'Все игры'!AP$3:AP892,"&gt;0",'Все игры'!AO$3:AO892,"Мирный")</f>
        <v>0</v>
      </c>
      <c r="R6" s="129">
        <f>IFERROR(__xludf.DUMMYFUNCTION("COUNTBLANK(FILTER('Все игры'!AN$3:AP892,'Все игры'!AN$3:AN892=A6,'Все игры'!AP$3:AP892 &lt; 1,'Все игры'!AO$3:AO892=""Мирный""))"),0.0)</f>
        <v>0</v>
      </c>
      <c r="S6" s="237" t="str">
        <f t="shared" si="5"/>
        <v/>
      </c>
      <c r="T6" s="237" t="str">
        <f t="shared" si="6"/>
        <v/>
      </c>
      <c r="U6" s="237" t="str">
        <f t="shared" si="7"/>
        <v/>
      </c>
      <c r="V6" s="237" t="str">
        <f t="shared" si="8"/>
        <v/>
      </c>
      <c r="W6" s="237" t="str">
        <f t="shared" si="9"/>
        <v/>
      </c>
      <c r="X6" s="237" t="str">
        <f t="shared" si="10"/>
        <v/>
      </c>
      <c r="Y6" s="237" t="str">
        <f t="shared" si="11"/>
        <v/>
      </c>
      <c r="Z6" s="238">
        <f>SUMIFS('Все игры'!AQ$3:AQ892,'Все игры'!AN$3:AN892,A6)</f>
        <v>0</v>
      </c>
      <c r="AA6" s="238">
        <f>SUMIFS('Все игры'!AQ$3:AQ892,'Все игры'!AN$3:AN892,A6,'Все игры'!AO$3:AO892,"Мафия")</f>
        <v>0</v>
      </c>
      <c r="AB6" s="238">
        <f>SUMIFS('Все игры'!AQ$3:AQ892,'Все игры'!AN$3:AN892,A6,'Все игры'!AO$3:AO892,"Шериф")</f>
        <v>0</v>
      </c>
      <c r="AC6" s="238">
        <f>SUMIFS('Все игры'!AQ$3:AQ892,'Все игры'!AN$3:AN892,A6,'Все игры'!AO$3:AO892,"Дон")</f>
        <v>0</v>
      </c>
      <c r="AD6" s="238">
        <f>SUMIFS('Все игры'!AQ$3:AQ892,'Все игры'!AN$3:AN892,A6,'Все игры'!AO$3:AO892,"Мирный")</f>
        <v>0</v>
      </c>
      <c r="AE6" s="238">
        <f t="shared" si="12"/>
        <v>0</v>
      </c>
      <c r="AF6" s="238">
        <f t="shared" si="13"/>
        <v>0</v>
      </c>
      <c r="AG6" s="238">
        <f t="shared" si="14"/>
        <v>0</v>
      </c>
      <c r="AH6" s="238">
        <f t="shared" si="15"/>
        <v>0</v>
      </c>
      <c r="AI6" s="238">
        <f t="shared" si="16"/>
        <v>0</v>
      </c>
    </row>
    <row r="7">
      <c r="A7" s="195"/>
      <c r="B7" s="129">
        <f t="shared" si="1"/>
        <v>0</v>
      </c>
      <c r="C7" s="128" t="str">
        <f>IF(COUNTIFS('Все игры'!AN$3:AN892,A7,'Все игры'!AS$3:AS892,"=1")=0, "", COUNTIFS('Все игры'!AN$3:AN892,A7,'Все игры'!AS$3:AS892,"=1"))</f>
        <v/>
      </c>
      <c r="D7" s="233" t="str">
        <f>IF(COUNTIFS('Все игры'!AN$3:AN892,A7,'Все игры'!AS$3:AS892,"=0,50")=0, "", COUNTIFS('Все игры'!AN$3:AN892,A7,'Все игры'!AS$3:AS892,"=0,50"))</f>
        <v/>
      </c>
      <c r="E7" s="234" t="str">
        <f>IF(COUNTIFS('Все игры'!AN$3:AN892,A7,'Все игры'!AR$3:AR892,"ПУ")=0, "", COUNTIFS('Все игры'!AN$3:AN892,A7,'Все игры'!AR$3:AR892,"ПУ"))</f>
        <v/>
      </c>
      <c r="F7" s="235">
        <f t="shared" si="2"/>
        <v>0</v>
      </c>
      <c r="G7" s="234" t="str">
        <f>IF(COUNTIFS('Все игры'!AN$3:AN892,A7,'Все игры'!AR$3:AR892,"У/Победа")=0, "",COUNTIFS('Все игры'!AN$3:AN892,A7,'Все игры'!AR$3:AR892,"У/Победа") )</f>
        <v/>
      </c>
      <c r="H7" s="234" t="str">
        <f>IF(COUNTIFS('Все игры'!AN$3:AN892,A7,'Все игры'!AR$3:AR892,"У/Проигрыш")=0, "",COUNTIFS('Все игры'!AN$3:AN892,A7,'Все игры'!AR$3:AR892,"У/Проигрыш") )</f>
        <v/>
      </c>
      <c r="I7" s="129">
        <f t="shared" si="3"/>
        <v>0</v>
      </c>
      <c r="J7" s="129">
        <f t="shared" si="4"/>
        <v>0</v>
      </c>
      <c r="K7" s="129">
        <f>COUNTIFS('Все игры'!AN$3:AN892,A7,'Все игры'!AP$3:AP892,"&gt;0",'Все игры'!AO$3:AO892,"Мафия")</f>
        <v>0</v>
      </c>
      <c r="L7" s="129">
        <f>IFERROR(__xludf.DUMMYFUNCTION("COUNTBLANK(FILTER('Все игры'!AN$3:AP892,'Все игры'!AN$3:AN892=A7,'Все игры'!AP$3:AP892 &lt; 1,'Все игры'!AO$3:AO892=""Мафия""))"),0.0)</f>
        <v>0</v>
      </c>
      <c r="M7" s="129">
        <f>COUNTIFS('Все игры'!AN$3:AN892,A7,'Все игры'!AP$3:AP892,"&gt;0",'Все игры'!AO$3:AO892,"Шериф")</f>
        <v>0</v>
      </c>
      <c r="N7" s="129">
        <f>IFERROR(__xludf.DUMMYFUNCTION("COUNTBLANK(FILTER('Все игры'!AN$3:AP892,'Все игры'!AN$3:AN892=A7,'Все игры'!AP$3:AP892 &lt; 1,'Все игры'!AO$3:AO892=""Шериф""))"),0.0)</f>
        <v>0</v>
      </c>
      <c r="O7" s="129">
        <f>COUNTIFS('Все игры'!AN$3:AN892,A7,'Все игры'!AP$3:AP892,"&gt;0",'Все игры'!AO$3:AO892,"Дон")</f>
        <v>0</v>
      </c>
      <c r="P7" s="236">
        <f>IFERROR(__xludf.DUMMYFUNCTION("COUNTBLANK(FILTER('Все игры'!AN$3:AP892,'Все игры'!AN$3:AN892=A7,'Все игры'!AP$3:AP892 &lt; 1,'Все игры'!AO$3:AO892=""Дон""))"),0.0)</f>
        <v>0</v>
      </c>
      <c r="Q7" s="129">
        <f>COUNTIFS('Все игры'!AN$3:AN892,A7,'Все игры'!AP$3:AP892,"&gt;0",'Все игры'!AO$3:AO892,"Мирный")</f>
        <v>0</v>
      </c>
      <c r="R7" s="129">
        <f>IFERROR(__xludf.DUMMYFUNCTION("COUNTBLANK(FILTER('Все игры'!AN$3:AP892,'Все игры'!AN$3:AN892=A7,'Все игры'!AP$3:AP892 &lt; 1,'Все игры'!AO$3:AO892=""Мирный""))"),0.0)</f>
        <v>0</v>
      </c>
      <c r="S7" s="237" t="str">
        <f t="shared" si="5"/>
        <v/>
      </c>
      <c r="T7" s="237" t="str">
        <f t="shared" si="6"/>
        <v/>
      </c>
      <c r="U7" s="237" t="str">
        <f t="shared" si="7"/>
        <v/>
      </c>
      <c r="V7" s="237" t="str">
        <f t="shared" si="8"/>
        <v/>
      </c>
      <c r="W7" s="237" t="str">
        <f t="shared" si="9"/>
        <v/>
      </c>
      <c r="X7" s="237" t="str">
        <f t="shared" si="10"/>
        <v/>
      </c>
      <c r="Y7" s="237" t="str">
        <f t="shared" si="11"/>
        <v/>
      </c>
      <c r="Z7" s="238">
        <f>SUMIFS('Все игры'!AQ$3:AQ892,'Все игры'!AN$3:AN892,A7)</f>
        <v>0</v>
      </c>
      <c r="AA7" s="238">
        <f>SUMIFS('Все игры'!AQ$3:AQ892,'Все игры'!AN$3:AN892,A7,'Все игры'!AO$3:AO892,"Мафия")</f>
        <v>0</v>
      </c>
      <c r="AB7" s="238">
        <f>SUMIFS('Все игры'!AQ$3:AQ892,'Все игры'!AN$3:AN892,A7,'Все игры'!AO$3:AO892,"Шериф")</f>
        <v>0</v>
      </c>
      <c r="AC7" s="238">
        <f>SUMIFS('Все игры'!AQ$3:AQ892,'Все игры'!AN$3:AN892,A7,'Все игры'!AO$3:AO892,"Дон")</f>
        <v>0</v>
      </c>
      <c r="AD7" s="238">
        <f>SUMIFS('Все игры'!AQ$3:AQ892,'Все игры'!AN$3:AN892,A7,'Все игры'!AO$3:AO892,"Мирный")</f>
        <v>0</v>
      </c>
      <c r="AE7" s="238">
        <f t="shared" si="12"/>
        <v>0</v>
      </c>
      <c r="AF7" s="238">
        <f t="shared" si="13"/>
        <v>0</v>
      </c>
      <c r="AG7" s="238">
        <f t="shared" si="14"/>
        <v>0</v>
      </c>
      <c r="AH7" s="238">
        <f t="shared" si="15"/>
        <v>0</v>
      </c>
      <c r="AI7" s="238">
        <f t="shared" si="16"/>
        <v>0</v>
      </c>
    </row>
    <row r="8">
      <c r="A8" s="195"/>
      <c r="B8" s="129">
        <f t="shared" si="1"/>
        <v>0</v>
      </c>
      <c r="C8" s="128" t="str">
        <f>IF(COUNTIFS('Все игры'!AN$3:AN892,A8,'Все игры'!AS$3:AS892,"=1")=0, "", COUNTIFS('Все игры'!AN$3:AN892,A8,'Все игры'!AS$3:AS892,"=1"))</f>
        <v/>
      </c>
      <c r="D8" s="233" t="str">
        <f>IF(COUNTIFS('Все игры'!AN$3:AN892,A8,'Все игры'!AS$3:AS892,"=0,50")=0, "", COUNTIFS('Все игры'!AN$3:AN892,A8,'Все игры'!AS$3:AS892,"=0,50"))</f>
        <v/>
      </c>
      <c r="E8" s="234" t="str">
        <f>IF(COUNTIFS('Все игры'!AN$3:AN892,A8,'Все игры'!AR$3:AR892,"ПУ")=0, "", COUNTIFS('Все игры'!AN$3:AN892,A8,'Все игры'!AR$3:AR892,"ПУ"))</f>
        <v/>
      </c>
      <c r="F8" s="235">
        <f t="shared" si="2"/>
        <v>0</v>
      </c>
      <c r="G8" s="234" t="str">
        <f>IF(COUNTIFS('Все игры'!AN$3:AN892,A8,'Все игры'!AR$3:AR892,"У/Победа")=0, "",COUNTIFS('Все игры'!AN$3:AN892,A8,'Все игры'!AR$3:AR892,"У/Победа") )</f>
        <v/>
      </c>
      <c r="H8" s="234" t="str">
        <f>IF(COUNTIFS('Все игры'!AN$3:AN892,A8,'Все игры'!AR$3:AR892,"У/Проигрыш")=0, "",COUNTIFS('Все игры'!AN$3:AN892,A8,'Все игры'!AR$3:AR892,"У/Проигрыш") )</f>
        <v/>
      </c>
      <c r="I8" s="129">
        <f t="shared" si="3"/>
        <v>0</v>
      </c>
      <c r="J8" s="129">
        <f t="shared" si="4"/>
        <v>0</v>
      </c>
      <c r="K8" s="129">
        <f>COUNTIFS('Все игры'!AN$3:AN892,A8,'Все игры'!AP$3:AP892,"&gt;0",'Все игры'!AO$3:AO892,"Мафия")</f>
        <v>0</v>
      </c>
      <c r="L8" s="129">
        <f>IFERROR(__xludf.DUMMYFUNCTION("COUNTBLANK(FILTER('Все игры'!AN$3:AP892,'Все игры'!AN$3:AN892=A8,'Все игры'!AP$3:AP892 &lt; 1,'Все игры'!AO$3:AO892=""Мафия""))"),0.0)</f>
        <v>0</v>
      </c>
      <c r="M8" s="129">
        <f>COUNTIFS('Все игры'!AN$3:AN892,A8,'Все игры'!AP$3:AP892,"&gt;0",'Все игры'!AO$3:AO892,"Шериф")</f>
        <v>0</v>
      </c>
      <c r="N8" s="129">
        <f>IFERROR(__xludf.DUMMYFUNCTION("COUNTBLANK(FILTER('Все игры'!AN$3:AP892,'Все игры'!AN$3:AN892=A8,'Все игры'!AP$3:AP892 &lt; 1,'Все игры'!AO$3:AO892=""Шериф""))"),0.0)</f>
        <v>0</v>
      </c>
      <c r="O8" s="129">
        <f>COUNTIFS('Все игры'!AN$3:AN892,A8,'Все игры'!AP$3:AP892,"&gt;0",'Все игры'!AO$3:AO892,"Дон")</f>
        <v>0</v>
      </c>
      <c r="P8" s="236">
        <f>IFERROR(__xludf.DUMMYFUNCTION("COUNTBLANK(FILTER('Все игры'!AN$3:AP892,'Все игры'!AN$3:AN892=A8,'Все игры'!AP$3:AP892 &lt; 1,'Все игры'!AO$3:AO892=""Дон""))"),0.0)</f>
        <v>0</v>
      </c>
      <c r="Q8" s="129">
        <f>COUNTIFS('Все игры'!AN$3:AN892,A8,'Все игры'!AP$3:AP892,"&gt;0",'Все игры'!AO$3:AO892,"Мирный")</f>
        <v>0</v>
      </c>
      <c r="R8" s="129">
        <f>IFERROR(__xludf.DUMMYFUNCTION("COUNTBLANK(FILTER('Все игры'!AN$3:AP892,'Все игры'!AN$3:AN892=A8,'Все игры'!AP$3:AP892 &lt; 1,'Все игры'!AO$3:AO892=""Мирный""))"),0.0)</f>
        <v>0</v>
      </c>
      <c r="S8" s="237" t="str">
        <f t="shared" si="5"/>
        <v/>
      </c>
      <c r="T8" s="237" t="str">
        <f t="shared" si="6"/>
        <v/>
      </c>
      <c r="U8" s="237" t="str">
        <f t="shared" si="7"/>
        <v/>
      </c>
      <c r="V8" s="237" t="str">
        <f t="shared" si="8"/>
        <v/>
      </c>
      <c r="W8" s="237" t="str">
        <f t="shared" si="9"/>
        <v/>
      </c>
      <c r="X8" s="237" t="str">
        <f t="shared" si="10"/>
        <v/>
      </c>
      <c r="Y8" s="237" t="str">
        <f t="shared" si="11"/>
        <v/>
      </c>
      <c r="Z8" s="238">
        <f>SUMIFS('Все игры'!AQ$3:AQ892,'Все игры'!AN$3:AN892,A8)</f>
        <v>0</v>
      </c>
      <c r="AA8" s="238">
        <f>SUMIFS('Все игры'!AQ$3:AQ892,'Все игры'!AN$3:AN892,A8,'Все игры'!AO$3:AO892,"Мафия")</f>
        <v>0</v>
      </c>
      <c r="AB8" s="238">
        <f>SUMIFS('Все игры'!AQ$3:AQ892,'Все игры'!AN$3:AN892,A8,'Все игры'!AO$3:AO892,"Шериф")</f>
        <v>0</v>
      </c>
      <c r="AC8" s="238">
        <f>SUMIFS('Все игры'!AQ$3:AQ892,'Все игры'!AN$3:AN892,A8,'Все игры'!AO$3:AO892,"Дон")</f>
        <v>0</v>
      </c>
      <c r="AD8" s="238">
        <f>SUMIFS('Все игры'!AQ$3:AQ892,'Все игры'!AN$3:AN892,A8,'Все игры'!AO$3:AO892,"Мирный")</f>
        <v>0</v>
      </c>
      <c r="AE8" s="238">
        <f t="shared" si="12"/>
        <v>0</v>
      </c>
      <c r="AF8" s="238">
        <f t="shared" si="13"/>
        <v>0</v>
      </c>
      <c r="AG8" s="238">
        <f t="shared" si="14"/>
        <v>0</v>
      </c>
      <c r="AH8" s="238">
        <f t="shared" si="15"/>
        <v>0</v>
      </c>
      <c r="AI8" s="238">
        <f t="shared" si="16"/>
        <v>0</v>
      </c>
    </row>
    <row r="9">
      <c r="A9" s="195"/>
      <c r="B9" s="129">
        <f t="shared" si="1"/>
        <v>0</v>
      </c>
      <c r="C9" s="128" t="str">
        <f>IF(COUNTIFS('Все игры'!AN$3:AN892,A9,'Все игры'!AS$3:AS892,"=1")=0, "", COUNTIFS('Все игры'!AN$3:AN892,A9,'Все игры'!AS$3:AS892,"=1"))</f>
        <v/>
      </c>
      <c r="D9" s="233" t="str">
        <f>IF(COUNTIFS('Все игры'!AN$3:AN892,A9,'Все игры'!AS$3:AS892,"=0,50")=0, "", COUNTIFS('Все игры'!AN$3:AN892,A9,'Все игры'!AS$3:AS892,"=0,50"))</f>
        <v/>
      </c>
      <c r="E9" s="234" t="str">
        <f>IF(COUNTIFS('Все игры'!AN$3:AN892,A9,'Все игры'!AR$3:AR892,"ПУ")=0, "", COUNTIFS('Все игры'!AN$3:AN892,A9,'Все игры'!AR$3:AR892,"ПУ"))</f>
        <v/>
      </c>
      <c r="F9" s="235">
        <f t="shared" si="2"/>
        <v>0</v>
      </c>
      <c r="G9" s="234" t="str">
        <f>IF(COUNTIFS('Все игры'!AN$3:AN892,A9,'Все игры'!AR$3:AR892,"У/Победа")=0, "",COUNTIFS('Все игры'!AN$3:AN892,A9,'Все игры'!AR$3:AR892,"У/Победа") )</f>
        <v/>
      </c>
      <c r="H9" s="234" t="str">
        <f>IF(COUNTIFS('Все игры'!AN$3:AN892,A9,'Все игры'!AR$3:AR892,"У/Проигрыш")=0, "",COUNTIFS('Все игры'!AN$3:AN892,A9,'Все игры'!AR$3:AR892,"У/Проигрыш") )</f>
        <v/>
      </c>
      <c r="I9" s="129">
        <f t="shared" si="3"/>
        <v>0</v>
      </c>
      <c r="J9" s="129">
        <f t="shared" si="4"/>
        <v>0</v>
      </c>
      <c r="K9" s="129">
        <f>COUNTIFS('Все игры'!AN$3:AN892,A9,'Все игры'!AP$3:AP892,"&gt;0",'Все игры'!AO$3:AO892,"Мафия")</f>
        <v>0</v>
      </c>
      <c r="L9" s="129">
        <f>IFERROR(__xludf.DUMMYFUNCTION("COUNTBLANK(FILTER('Все игры'!AN$3:AP892,'Все игры'!AN$3:AN892=A9,'Все игры'!AP$3:AP892 &lt; 1,'Все игры'!AO$3:AO892=""Мафия""))"),0.0)</f>
        <v>0</v>
      </c>
      <c r="M9" s="129">
        <f>COUNTIFS('Все игры'!AN$3:AN892,A9,'Все игры'!AP$3:AP892,"&gt;0",'Все игры'!AO$3:AO892,"Шериф")</f>
        <v>0</v>
      </c>
      <c r="N9" s="129">
        <f>IFERROR(__xludf.DUMMYFUNCTION("COUNTBLANK(FILTER('Все игры'!AN$3:AP892,'Все игры'!AN$3:AN892=A9,'Все игры'!AP$3:AP892 &lt; 1,'Все игры'!AO$3:AO892=""Шериф""))"),0.0)</f>
        <v>0</v>
      </c>
      <c r="O9" s="129">
        <f>COUNTIFS('Все игры'!AN$3:AN892,A9,'Все игры'!AP$3:AP892,"&gt;0",'Все игры'!AO$3:AO892,"Дон")</f>
        <v>0</v>
      </c>
      <c r="P9" s="236">
        <f>IFERROR(__xludf.DUMMYFUNCTION("COUNTBLANK(FILTER('Все игры'!AN$3:AP892,'Все игры'!AN$3:AN892=A9,'Все игры'!AP$3:AP892 &lt; 1,'Все игры'!AO$3:AO892=""Дон""))"),0.0)</f>
        <v>0</v>
      </c>
      <c r="Q9" s="129">
        <f>COUNTIFS('Все игры'!AN$3:AN892,A9,'Все игры'!AP$3:AP892,"&gt;0",'Все игры'!AO$3:AO892,"Мирный")</f>
        <v>0</v>
      </c>
      <c r="R9" s="129">
        <f>IFERROR(__xludf.DUMMYFUNCTION("COUNTBLANK(FILTER('Все игры'!AN$3:AP892,'Все игры'!AN$3:AN892=A9,'Все игры'!AP$3:AP892 &lt; 1,'Все игры'!AO$3:AO892=""Мирный""))"),0.0)</f>
        <v>0</v>
      </c>
      <c r="S9" s="237" t="str">
        <f t="shared" si="5"/>
        <v/>
      </c>
      <c r="T9" s="237" t="str">
        <f t="shared" si="6"/>
        <v/>
      </c>
      <c r="U9" s="237" t="str">
        <f t="shared" si="7"/>
        <v/>
      </c>
      <c r="V9" s="237" t="str">
        <f t="shared" si="8"/>
        <v/>
      </c>
      <c r="W9" s="237" t="str">
        <f t="shared" si="9"/>
        <v/>
      </c>
      <c r="X9" s="237" t="str">
        <f t="shared" si="10"/>
        <v/>
      </c>
      <c r="Y9" s="237" t="str">
        <f t="shared" si="11"/>
        <v/>
      </c>
      <c r="Z9" s="238">
        <f>SUMIFS('Все игры'!AQ$3:AQ892,'Все игры'!AN$3:AN892,A9)</f>
        <v>0</v>
      </c>
      <c r="AA9" s="238">
        <f>SUMIFS('Все игры'!AQ$3:AQ892,'Все игры'!AN$3:AN892,A9,'Все игры'!AO$3:AO892,"Мафия")</f>
        <v>0</v>
      </c>
      <c r="AB9" s="238">
        <f>SUMIFS('Все игры'!AQ$3:AQ892,'Все игры'!AN$3:AN892,A9,'Все игры'!AO$3:AO892,"Шериф")</f>
        <v>0</v>
      </c>
      <c r="AC9" s="238">
        <f>SUMIFS('Все игры'!AQ$3:AQ892,'Все игры'!AN$3:AN892,A9,'Все игры'!AO$3:AO892,"Дон")</f>
        <v>0</v>
      </c>
      <c r="AD9" s="238">
        <f>SUMIFS('Все игры'!AQ$3:AQ892,'Все игры'!AN$3:AN892,A9,'Все игры'!AO$3:AO892,"Мирный")</f>
        <v>0</v>
      </c>
      <c r="AE9" s="238">
        <f t="shared" si="12"/>
        <v>0</v>
      </c>
      <c r="AF9" s="238">
        <f t="shared" si="13"/>
        <v>0</v>
      </c>
      <c r="AG9" s="238">
        <f t="shared" si="14"/>
        <v>0</v>
      </c>
      <c r="AH9" s="238">
        <f t="shared" si="15"/>
        <v>0</v>
      </c>
      <c r="AI9" s="238">
        <f t="shared" si="16"/>
        <v>0</v>
      </c>
    </row>
    <row r="10">
      <c r="A10" s="195"/>
      <c r="B10" s="129">
        <f t="shared" si="1"/>
        <v>0</v>
      </c>
      <c r="C10" s="128" t="str">
        <f>IF(COUNTIFS('Все игры'!AN$3:AN892,A10,'Все игры'!AS$3:AS892,"=1")=0, "", COUNTIFS('Все игры'!AN$3:AN892,A10,'Все игры'!AS$3:AS892,"=1"))</f>
        <v/>
      </c>
      <c r="D10" s="233" t="str">
        <f>IF(COUNTIFS('Все игры'!AN$3:AN892,A10,'Все игры'!AS$3:AS892,"=0,50")=0, "", COUNTIFS('Все игры'!AN$3:AN892,A10,'Все игры'!AS$3:AS892,"=0,50"))</f>
        <v/>
      </c>
      <c r="E10" s="234" t="str">
        <f>IF(COUNTIFS('Все игры'!AN$3:AN892,A10,'Все игры'!AR$3:AR892,"ПУ")=0, "", COUNTIFS('Все игры'!AN$3:AN892,A10,'Все игры'!AR$3:AR892,"ПУ"))</f>
        <v/>
      </c>
      <c r="F10" s="235">
        <f t="shared" si="2"/>
        <v>0</v>
      </c>
      <c r="G10" s="234" t="str">
        <f>IF(COUNTIFS('Все игры'!AN$3:AN892,A10,'Все игры'!AR$3:AR892,"У/Победа")=0, "",COUNTIFS('Все игры'!AN$3:AN892,A10,'Все игры'!AR$3:AR892,"У/Победа") )</f>
        <v/>
      </c>
      <c r="H10" s="234" t="str">
        <f>IF(COUNTIFS('Все игры'!AN$3:AN892,A10,'Все игры'!AR$3:AR892,"У/Проигрыш")=0, "",COUNTIFS('Все игры'!AN$3:AN892,A10,'Все игры'!AR$3:AR892,"У/Проигрыш") )</f>
        <v/>
      </c>
      <c r="I10" s="129">
        <f t="shared" si="3"/>
        <v>0</v>
      </c>
      <c r="J10" s="129">
        <f t="shared" si="4"/>
        <v>0</v>
      </c>
      <c r="K10" s="129">
        <f>COUNTIFS('Все игры'!AN$3:AN892,A10,'Все игры'!AP$3:AP892,"&gt;0",'Все игры'!AO$3:AO892,"Мафия")</f>
        <v>0</v>
      </c>
      <c r="L10" s="129">
        <f>IFERROR(__xludf.DUMMYFUNCTION("COUNTBLANK(FILTER('Все игры'!AN$3:AP892,'Все игры'!AN$3:AN892=A10,'Все игры'!AP$3:AP892 &lt; 1,'Все игры'!AO$3:AO892=""Мафия""))"),0.0)</f>
        <v>0</v>
      </c>
      <c r="M10" s="129">
        <f>COUNTIFS('Все игры'!AN$3:AN892,A10,'Все игры'!AP$3:AP892,"&gt;0",'Все игры'!AO$3:AO892,"Шериф")</f>
        <v>0</v>
      </c>
      <c r="N10" s="129">
        <f>IFERROR(__xludf.DUMMYFUNCTION("COUNTBLANK(FILTER('Все игры'!AN$3:AP892,'Все игры'!AN$3:AN892=A10,'Все игры'!AP$3:AP892 &lt; 1,'Все игры'!AO$3:AO892=""Шериф""))"),0.0)</f>
        <v>0</v>
      </c>
      <c r="O10" s="129">
        <f>COUNTIFS('Все игры'!AN$3:AN892,A10,'Все игры'!AP$3:AP892,"&gt;0",'Все игры'!AO$3:AO892,"Дон")</f>
        <v>0</v>
      </c>
      <c r="P10" s="236">
        <f>IFERROR(__xludf.DUMMYFUNCTION("COUNTBLANK(FILTER('Все игры'!AN$3:AP892,'Все игры'!AN$3:AN892=A10,'Все игры'!AP$3:AP892 &lt; 1,'Все игры'!AO$3:AO892=""Дон""))"),0.0)</f>
        <v>0</v>
      </c>
      <c r="Q10" s="129">
        <f>COUNTIFS('Все игры'!AN$3:AN892,A10,'Все игры'!AP$3:AP892,"&gt;0",'Все игры'!AO$3:AO892,"Мирный")</f>
        <v>0</v>
      </c>
      <c r="R10" s="129">
        <f>IFERROR(__xludf.DUMMYFUNCTION("COUNTBLANK(FILTER('Все игры'!AN$3:AP892,'Все игры'!AN$3:AN892=A10,'Все игры'!AP$3:AP892 &lt; 1,'Все игры'!AO$3:AO892=""Мирный""))"),0.0)</f>
        <v>0</v>
      </c>
      <c r="S10" s="237" t="str">
        <f t="shared" si="5"/>
        <v/>
      </c>
      <c r="T10" s="237" t="str">
        <f t="shared" si="6"/>
        <v/>
      </c>
      <c r="U10" s="237" t="str">
        <f t="shared" si="7"/>
        <v/>
      </c>
      <c r="V10" s="237" t="str">
        <f t="shared" si="8"/>
        <v/>
      </c>
      <c r="W10" s="237" t="str">
        <f t="shared" si="9"/>
        <v/>
      </c>
      <c r="X10" s="237" t="str">
        <f t="shared" si="10"/>
        <v/>
      </c>
      <c r="Y10" s="237" t="str">
        <f t="shared" si="11"/>
        <v/>
      </c>
      <c r="Z10" s="238">
        <f>SUMIFS('Все игры'!AQ$3:AQ892,'Все игры'!AN$3:AN892,A10)</f>
        <v>0</v>
      </c>
      <c r="AA10" s="238">
        <f>SUMIFS('Все игры'!AQ$3:AQ892,'Все игры'!AN$3:AN892,A10,'Все игры'!AO$3:AO892,"Мафия")</f>
        <v>0</v>
      </c>
      <c r="AB10" s="238">
        <f>SUMIFS('Все игры'!AQ$3:AQ892,'Все игры'!AN$3:AN892,A10,'Все игры'!AO$3:AO892,"Шериф")</f>
        <v>0</v>
      </c>
      <c r="AC10" s="238">
        <f>SUMIFS('Все игры'!AQ$3:AQ892,'Все игры'!AN$3:AN892,A10,'Все игры'!AO$3:AO892,"Дон")</f>
        <v>0</v>
      </c>
      <c r="AD10" s="238">
        <f>SUMIFS('Все игры'!AQ$3:AQ892,'Все игры'!AN$3:AN892,A10,'Все игры'!AO$3:AO892,"Мирный")</f>
        <v>0</v>
      </c>
      <c r="AE10" s="238">
        <f t="shared" si="12"/>
        <v>0</v>
      </c>
      <c r="AF10" s="238">
        <f t="shared" si="13"/>
        <v>0</v>
      </c>
      <c r="AG10" s="238">
        <f t="shared" si="14"/>
        <v>0</v>
      </c>
      <c r="AH10" s="238">
        <f t="shared" si="15"/>
        <v>0</v>
      </c>
      <c r="AI10" s="238">
        <f t="shared" si="16"/>
        <v>0</v>
      </c>
    </row>
    <row r="11">
      <c r="A11" s="195"/>
      <c r="B11" s="129">
        <f t="shared" si="1"/>
        <v>0</v>
      </c>
      <c r="C11" s="128" t="str">
        <f>IF(COUNTIFS('Все игры'!AN$3:AN892,A11,'Все игры'!AS$3:AS892,"=1")=0, "", COUNTIFS('Все игры'!AN$3:AN892,A11,'Все игры'!AS$3:AS892,"=1"))</f>
        <v/>
      </c>
      <c r="D11" s="233" t="str">
        <f>IF(COUNTIFS('Все игры'!AN$3:AN892,A11,'Все игры'!AS$3:AS892,"=0,50")=0, "", COUNTIFS('Все игры'!AN$3:AN892,A11,'Все игры'!AS$3:AS892,"=0,50"))</f>
        <v/>
      </c>
      <c r="E11" s="234" t="str">
        <f>IF(COUNTIFS('Все игры'!AN$3:AN892,A11,'Все игры'!AR$3:AR892,"ПУ")=0, "", COUNTIFS('Все игры'!AN$3:AN892,A11,'Все игры'!AR$3:AR892,"ПУ"))</f>
        <v/>
      </c>
      <c r="F11" s="235">
        <f t="shared" si="2"/>
        <v>0</v>
      </c>
      <c r="G11" s="234" t="str">
        <f>IF(COUNTIFS('Все игры'!AN$3:AN892,A11,'Все игры'!AR$3:AR892,"У/Победа")=0, "",COUNTIFS('Все игры'!AN$3:AN892,A11,'Все игры'!AR$3:AR892,"У/Победа") )</f>
        <v/>
      </c>
      <c r="H11" s="234" t="str">
        <f>IF(COUNTIFS('Все игры'!AN$3:AN892,A11,'Все игры'!AR$3:AR892,"У/Проигрыш")=0, "",COUNTIFS('Все игры'!AN$3:AN892,A11,'Все игры'!AR$3:AR892,"У/Проигрыш") )</f>
        <v/>
      </c>
      <c r="I11" s="129">
        <f t="shared" si="3"/>
        <v>0</v>
      </c>
      <c r="J11" s="129">
        <f t="shared" si="4"/>
        <v>0</v>
      </c>
      <c r="K11" s="129">
        <f>COUNTIFS('Все игры'!AN$3:AN892,A11,'Все игры'!AP$3:AP892,"&gt;0",'Все игры'!AO$3:AO892,"Мафия")</f>
        <v>0</v>
      </c>
      <c r="L11" s="129">
        <f>IFERROR(__xludf.DUMMYFUNCTION("COUNTBLANK(FILTER('Все игры'!AN$3:AP892,'Все игры'!AN$3:AN892=A11,'Все игры'!AP$3:AP892 &lt; 1,'Все игры'!AO$3:AO892=""Мафия""))"),0.0)</f>
        <v>0</v>
      </c>
      <c r="M11" s="129">
        <f>COUNTIFS('Все игры'!AN$3:AN892,A11,'Все игры'!AP$3:AP892,"&gt;0",'Все игры'!AO$3:AO892,"Шериф")</f>
        <v>0</v>
      </c>
      <c r="N11" s="129">
        <f>IFERROR(__xludf.DUMMYFUNCTION("COUNTBLANK(FILTER('Все игры'!AN$3:AP892,'Все игры'!AN$3:AN892=A11,'Все игры'!AP$3:AP892 &lt; 1,'Все игры'!AO$3:AO892=""Шериф""))"),0.0)</f>
        <v>0</v>
      </c>
      <c r="O11" s="129">
        <f>COUNTIFS('Все игры'!AN$3:AN892,A11,'Все игры'!AP$3:AP892,"&gt;0",'Все игры'!AO$3:AO892,"Дон")</f>
        <v>0</v>
      </c>
      <c r="P11" s="236">
        <f>IFERROR(__xludf.DUMMYFUNCTION("COUNTBLANK(FILTER('Все игры'!AN$3:AP892,'Все игры'!AN$3:AN892=A11,'Все игры'!AP$3:AP892 &lt; 1,'Все игры'!AO$3:AO892=""Дон""))"),0.0)</f>
        <v>0</v>
      </c>
      <c r="Q11" s="129">
        <f>COUNTIFS('Все игры'!AN$3:AN892,A11,'Все игры'!AP$3:AP892,"&gt;0",'Все игры'!AO$3:AO892,"Мирный")</f>
        <v>0</v>
      </c>
      <c r="R11" s="129">
        <f>IFERROR(__xludf.DUMMYFUNCTION("COUNTBLANK(FILTER('Все игры'!AN$3:AP892,'Все игры'!AN$3:AN892=A11,'Все игры'!AP$3:AP892 &lt; 1,'Все игры'!AO$3:AO892=""Мирный""))"),0.0)</f>
        <v>0</v>
      </c>
      <c r="S11" s="237" t="str">
        <f t="shared" si="5"/>
        <v/>
      </c>
      <c r="T11" s="237" t="str">
        <f t="shared" si="6"/>
        <v/>
      </c>
      <c r="U11" s="237" t="str">
        <f t="shared" si="7"/>
        <v/>
      </c>
      <c r="V11" s="237" t="str">
        <f t="shared" si="8"/>
        <v/>
      </c>
      <c r="W11" s="237" t="str">
        <f t="shared" si="9"/>
        <v/>
      </c>
      <c r="X11" s="237" t="str">
        <f t="shared" si="10"/>
        <v/>
      </c>
      <c r="Y11" s="237" t="str">
        <f t="shared" si="11"/>
        <v/>
      </c>
      <c r="Z11" s="238">
        <f>SUMIFS('Все игры'!AQ$3:AQ892,'Все игры'!AN$3:AN892,A11)</f>
        <v>0</v>
      </c>
      <c r="AA11" s="238">
        <f>SUMIFS('Все игры'!AQ$3:AQ892,'Все игры'!AN$3:AN892,A11,'Все игры'!AO$3:AO892,"Мафия")</f>
        <v>0</v>
      </c>
      <c r="AB11" s="238">
        <f>SUMIFS('Все игры'!AQ$3:AQ892,'Все игры'!AN$3:AN892,A11,'Все игры'!AO$3:AO892,"Шериф")</f>
        <v>0</v>
      </c>
      <c r="AC11" s="238">
        <f>SUMIFS('Все игры'!AQ$3:AQ892,'Все игры'!AN$3:AN892,A11,'Все игры'!AO$3:AO892,"Дон")</f>
        <v>0</v>
      </c>
      <c r="AD11" s="238">
        <f>SUMIFS('Все игры'!AQ$3:AQ892,'Все игры'!AN$3:AN892,A11,'Все игры'!AO$3:AO892,"Мирный")</f>
        <v>0</v>
      </c>
      <c r="AE11" s="238">
        <f t="shared" si="12"/>
        <v>0</v>
      </c>
      <c r="AF11" s="238">
        <f t="shared" si="13"/>
        <v>0</v>
      </c>
      <c r="AG11" s="238">
        <f t="shared" si="14"/>
        <v>0</v>
      </c>
      <c r="AH11" s="238">
        <f t="shared" si="15"/>
        <v>0</v>
      </c>
      <c r="AI11" s="238">
        <f t="shared" si="16"/>
        <v>0</v>
      </c>
    </row>
    <row r="12">
      <c r="A12" s="195"/>
      <c r="B12" s="129">
        <f t="shared" si="1"/>
        <v>0</v>
      </c>
      <c r="C12" s="128" t="str">
        <f>IF(COUNTIFS('Все игры'!AN$3:AN892,A12,'Все игры'!AS$3:AS892,"=1")=0, "", COUNTIFS('Все игры'!AN$3:AN892,A12,'Все игры'!AS$3:AS892,"=1"))</f>
        <v/>
      </c>
      <c r="D12" s="233" t="str">
        <f>IF(COUNTIFS('Все игры'!AN$3:AN892,A12,'Все игры'!AS$3:AS892,"=0,50")=0, "", COUNTIFS('Все игры'!AN$3:AN892,A12,'Все игры'!AS$3:AS892,"=0,50"))</f>
        <v/>
      </c>
      <c r="E12" s="234" t="str">
        <f>IF(COUNTIFS('Все игры'!AN$3:AN892,A12,'Все игры'!AR$3:AR892,"ПУ")=0, "", COUNTIFS('Все игры'!AN$3:AN892,A12,'Все игры'!AR$3:AR892,"ПУ"))</f>
        <v/>
      </c>
      <c r="F12" s="235">
        <f t="shared" si="2"/>
        <v>0</v>
      </c>
      <c r="G12" s="234" t="str">
        <f>IF(COUNTIFS('Все игры'!AN$3:AN892,A12,'Все игры'!AR$3:AR892,"У/Победа")=0, "",COUNTIFS('Все игры'!AN$3:AN892,A12,'Все игры'!AR$3:AR892,"У/Победа") )</f>
        <v/>
      </c>
      <c r="H12" s="234" t="str">
        <f>IF(COUNTIFS('Все игры'!AN$3:AN892,A12,'Все игры'!AR$3:AR892,"У/Проигрыш")=0, "",COUNTIFS('Все игры'!AN$3:AN892,A12,'Все игры'!AR$3:AR892,"У/Проигрыш") )</f>
        <v/>
      </c>
      <c r="I12" s="129">
        <f t="shared" si="3"/>
        <v>0</v>
      </c>
      <c r="J12" s="129">
        <f t="shared" si="4"/>
        <v>0</v>
      </c>
      <c r="K12" s="129">
        <f>COUNTIFS('Все игры'!AN$3:AN892,A12,'Все игры'!AP$3:AP892,"&gt;0",'Все игры'!AO$3:AO892,"Мафия")</f>
        <v>0</v>
      </c>
      <c r="L12" s="129">
        <f>IFERROR(__xludf.DUMMYFUNCTION("COUNTBLANK(FILTER('Все игры'!AN$3:AP892,'Все игры'!AN$3:AN892=A12,'Все игры'!AP$3:AP892 &lt; 1,'Все игры'!AO$3:AO892=""Мафия""))"),0.0)</f>
        <v>0</v>
      </c>
      <c r="M12" s="129">
        <f>COUNTIFS('Все игры'!AN$3:AN892,A12,'Все игры'!AP$3:AP892,"&gt;0",'Все игры'!AO$3:AO892,"Шериф")</f>
        <v>0</v>
      </c>
      <c r="N12" s="129">
        <f>IFERROR(__xludf.DUMMYFUNCTION("COUNTBLANK(FILTER('Все игры'!AN$3:AP892,'Все игры'!AN$3:AN892=A12,'Все игры'!AP$3:AP892 &lt; 1,'Все игры'!AO$3:AO892=""Шериф""))"),0.0)</f>
        <v>0</v>
      </c>
      <c r="O12" s="129">
        <f>COUNTIFS('Все игры'!AN$3:AN892,A12,'Все игры'!AP$3:AP892,"&gt;0",'Все игры'!AO$3:AO892,"Дон")</f>
        <v>0</v>
      </c>
      <c r="P12" s="236">
        <f>IFERROR(__xludf.DUMMYFUNCTION("COUNTBLANK(FILTER('Все игры'!AN$3:AP892,'Все игры'!AN$3:AN892=A12,'Все игры'!AP$3:AP892 &lt; 1,'Все игры'!AO$3:AO892=""Дон""))"),0.0)</f>
        <v>0</v>
      </c>
      <c r="Q12" s="129">
        <f>COUNTIFS('Все игры'!AN$3:AN892,A12,'Все игры'!AP$3:AP892,"&gt;0",'Все игры'!AO$3:AO892,"Мирный")</f>
        <v>0</v>
      </c>
      <c r="R12" s="129">
        <f>IFERROR(__xludf.DUMMYFUNCTION("COUNTBLANK(FILTER('Все игры'!AN$3:AP892,'Все игры'!AN$3:AN892=A12,'Все игры'!AP$3:AP892 &lt; 1,'Все игры'!AO$3:AO892=""Мирный""))"),0.0)</f>
        <v>0</v>
      </c>
      <c r="S12" s="237" t="str">
        <f t="shared" si="5"/>
        <v/>
      </c>
      <c r="T12" s="237" t="str">
        <f t="shared" si="6"/>
        <v/>
      </c>
      <c r="U12" s="237" t="str">
        <f t="shared" si="7"/>
        <v/>
      </c>
      <c r="V12" s="237" t="str">
        <f t="shared" si="8"/>
        <v/>
      </c>
      <c r="W12" s="237" t="str">
        <f t="shared" si="9"/>
        <v/>
      </c>
      <c r="X12" s="237" t="str">
        <f t="shared" si="10"/>
        <v/>
      </c>
      <c r="Y12" s="237" t="str">
        <f t="shared" si="11"/>
        <v/>
      </c>
      <c r="Z12" s="238">
        <f>SUMIFS('Все игры'!AQ$3:AQ892,'Все игры'!AN$3:AN892,A12)</f>
        <v>0</v>
      </c>
      <c r="AA12" s="238">
        <f>SUMIFS('Все игры'!AQ$3:AQ892,'Все игры'!AN$3:AN892,A12,'Все игры'!AO$3:AO892,"Мафия")</f>
        <v>0</v>
      </c>
      <c r="AB12" s="238">
        <f>SUMIFS('Все игры'!AQ$3:AQ892,'Все игры'!AN$3:AN892,A12,'Все игры'!AO$3:AO892,"Шериф")</f>
        <v>0</v>
      </c>
      <c r="AC12" s="238">
        <f>SUMIFS('Все игры'!AQ$3:AQ892,'Все игры'!AN$3:AN892,A12,'Все игры'!AO$3:AO892,"Дон")</f>
        <v>0</v>
      </c>
      <c r="AD12" s="238">
        <f>SUMIFS('Все игры'!AQ$3:AQ892,'Все игры'!AN$3:AN892,A12,'Все игры'!AO$3:AO892,"Мирный")</f>
        <v>0</v>
      </c>
      <c r="AE12" s="238">
        <f t="shared" si="12"/>
        <v>0</v>
      </c>
      <c r="AF12" s="238">
        <f t="shared" si="13"/>
        <v>0</v>
      </c>
      <c r="AG12" s="238">
        <f t="shared" si="14"/>
        <v>0</v>
      </c>
      <c r="AH12" s="238">
        <f t="shared" si="15"/>
        <v>0</v>
      </c>
      <c r="AI12" s="238">
        <f t="shared" si="16"/>
        <v>0</v>
      </c>
    </row>
    <row r="13">
      <c r="A13" s="195"/>
      <c r="B13" s="129">
        <f t="shared" si="1"/>
        <v>0</v>
      </c>
      <c r="C13" s="128" t="str">
        <f>IF(COUNTIFS('Все игры'!AN$3:AN892,A13,'Все игры'!AS$3:AS892,"=1")=0, "", COUNTIFS('Все игры'!AN$3:AN892,A13,'Все игры'!AS$3:AS892,"=1"))</f>
        <v/>
      </c>
      <c r="D13" s="233" t="str">
        <f>IF(COUNTIFS('Все игры'!AN$3:AN892,A13,'Все игры'!AS$3:AS892,"=0,50")=0, "", COUNTIFS('Все игры'!AN$3:AN892,A13,'Все игры'!AS$3:AS892,"=0,50"))</f>
        <v/>
      </c>
      <c r="E13" s="234" t="str">
        <f>IF(COUNTIFS('Все игры'!AN$3:AN892,A13,'Все игры'!AR$3:AR892,"ПУ")=0, "", COUNTIFS('Все игры'!AN$3:AN892,A13,'Все игры'!AR$3:AR892,"ПУ"))</f>
        <v/>
      </c>
      <c r="F13" s="235">
        <f t="shared" si="2"/>
        <v>0</v>
      </c>
      <c r="G13" s="234" t="str">
        <f>IF(COUNTIFS('Все игры'!AN$3:AN892,A13,'Все игры'!AR$3:AR892,"У/Победа")=0, "",COUNTIFS('Все игры'!AN$3:AN892,A13,'Все игры'!AR$3:AR892,"У/Победа") )</f>
        <v/>
      </c>
      <c r="H13" s="234" t="str">
        <f>IF(COUNTIFS('Все игры'!AN$3:AN892,A13,'Все игры'!AR$3:AR892,"У/Проигрыш")=0, "",COUNTIFS('Все игры'!AN$3:AN892,A13,'Все игры'!AR$3:AR892,"У/Проигрыш") )</f>
        <v/>
      </c>
      <c r="I13" s="129">
        <f t="shared" si="3"/>
        <v>0</v>
      </c>
      <c r="J13" s="129">
        <f t="shared" si="4"/>
        <v>0</v>
      </c>
      <c r="K13" s="129">
        <f>COUNTIFS('Все игры'!AN$3:AN892,A13,'Все игры'!AP$3:AP892,"&gt;0",'Все игры'!AO$3:AO892,"Мафия")</f>
        <v>0</v>
      </c>
      <c r="L13" s="129">
        <f>IFERROR(__xludf.DUMMYFUNCTION("COUNTBLANK(FILTER('Все игры'!AN$3:AP892,'Все игры'!AN$3:AN892=A13,'Все игры'!AP$3:AP892 &lt; 1,'Все игры'!AO$3:AO892=""Мафия""))"),0.0)</f>
        <v>0</v>
      </c>
      <c r="M13" s="129">
        <f>COUNTIFS('Все игры'!AN$3:AN892,A13,'Все игры'!AP$3:AP892,"&gt;0",'Все игры'!AO$3:AO892,"Шериф")</f>
        <v>0</v>
      </c>
      <c r="N13" s="129">
        <f>IFERROR(__xludf.DUMMYFUNCTION("COUNTBLANK(FILTER('Все игры'!AN$3:AP892,'Все игры'!AN$3:AN892=A13,'Все игры'!AP$3:AP892 &lt; 1,'Все игры'!AO$3:AO892=""Шериф""))"),0.0)</f>
        <v>0</v>
      </c>
      <c r="O13" s="129">
        <f>COUNTIFS('Все игры'!AN$3:AN892,A13,'Все игры'!AP$3:AP892,"&gt;0",'Все игры'!AO$3:AO892,"Дон")</f>
        <v>0</v>
      </c>
      <c r="P13" s="236">
        <f>IFERROR(__xludf.DUMMYFUNCTION("COUNTBLANK(FILTER('Все игры'!AN$3:AP892,'Все игры'!AN$3:AN892=A13,'Все игры'!AP$3:AP892 &lt; 1,'Все игры'!AO$3:AO892=""Дон""))"),0.0)</f>
        <v>0</v>
      </c>
      <c r="Q13" s="129">
        <f>COUNTIFS('Все игры'!AN$3:AN892,A13,'Все игры'!AP$3:AP892,"&gt;0",'Все игры'!AO$3:AO892,"Мирный")</f>
        <v>0</v>
      </c>
      <c r="R13" s="129">
        <f>IFERROR(__xludf.DUMMYFUNCTION("COUNTBLANK(FILTER('Все игры'!AN$3:AP892,'Все игры'!AN$3:AN892=A13,'Все игры'!AP$3:AP892 &lt; 1,'Все игры'!AO$3:AO892=""Мирный""))"),0.0)</f>
        <v>0</v>
      </c>
      <c r="S13" s="237" t="str">
        <f t="shared" si="5"/>
        <v/>
      </c>
      <c r="T13" s="237" t="str">
        <f t="shared" si="6"/>
        <v/>
      </c>
      <c r="U13" s="237" t="str">
        <f t="shared" si="7"/>
        <v/>
      </c>
      <c r="V13" s="237" t="str">
        <f t="shared" si="8"/>
        <v/>
      </c>
      <c r="W13" s="237" t="str">
        <f t="shared" si="9"/>
        <v/>
      </c>
      <c r="X13" s="237" t="str">
        <f t="shared" si="10"/>
        <v/>
      </c>
      <c r="Y13" s="237" t="str">
        <f t="shared" si="11"/>
        <v/>
      </c>
      <c r="Z13" s="238">
        <f>SUMIFS('Все игры'!AQ$3:AQ892,'Все игры'!AN$3:AN892,A13)</f>
        <v>0</v>
      </c>
      <c r="AA13" s="238">
        <f>SUMIFS('Все игры'!AQ$3:AQ892,'Все игры'!AN$3:AN892,A13,'Все игры'!AO$3:AO892,"Мафия")</f>
        <v>0</v>
      </c>
      <c r="AB13" s="238">
        <f>SUMIFS('Все игры'!AQ$3:AQ892,'Все игры'!AN$3:AN892,A13,'Все игры'!AO$3:AO892,"Шериф")</f>
        <v>0</v>
      </c>
      <c r="AC13" s="238">
        <f>SUMIFS('Все игры'!AQ$3:AQ892,'Все игры'!AN$3:AN892,A13,'Все игры'!AO$3:AO892,"Дон")</f>
        <v>0</v>
      </c>
      <c r="AD13" s="238">
        <f>SUMIFS('Все игры'!AQ$3:AQ892,'Все игры'!AN$3:AN892,A13,'Все игры'!AO$3:AO892,"Мирный")</f>
        <v>0</v>
      </c>
      <c r="AE13" s="238">
        <f t="shared" si="12"/>
        <v>0</v>
      </c>
      <c r="AF13" s="238">
        <f t="shared" si="13"/>
        <v>0</v>
      </c>
      <c r="AG13" s="238">
        <f t="shared" si="14"/>
        <v>0</v>
      </c>
      <c r="AH13" s="238">
        <f t="shared" si="15"/>
        <v>0</v>
      </c>
      <c r="AI13" s="238">
        <f t="shared" si="16"/>
        <v>0</v>
      </c>
    </row>
    <row r="14">
      <c r="A14" s="195"/>
      <c r="B14" s="129">
        <f t="shared" si="1"/>
        <v>0</v>
      </c>
      <c r="C14" s="128" t="str">
        <f>IF(COUNTIFS('Все игры'!AN$3:AN892,A14,'Все игры'!AS$3:AS892,"=1")=0, "", COUNTIFS('Все игры'!AN$3:AN892,A14,'Все игры'!AS$3:AS892,"=1"))</f>
        <v/>
      </c>
      <c r="D14" s="233" t="str">
        <f>IF(COUNTIFS('Все игры'!AN$3:AN892,A14,'Все игры'!AS$3:AS892,"=0,50")=0, "", COUNTIFS('Все игры'!AN$3:AN892,A14,'Все игры'!AS$3:AS892,"=0,50"))</f>
        <v/>
      </c>
      <c r="E14" s="234" t="str">
        <f>IF(COUNTIFS('Все игры'!AN$3:AN892,A14,'Все игры'!AR$3:AR892,"ПУ")=0, "", COUNTIFS('Все игры'!AN$3:AN892,A14,'Все игры'!AR$3:AR892,"ПУ"))</f>
        <v/>
      </c>
      <c r="F14" s="235">
        <f t="shared" si="2"/>
        <v>0</v>
      </c>
      <c r="G14" s="234" t="str">
        <f>IF(COUNTIFS('Все игры'!AN$3:AN892,A14,'Все игры'!AR$3:AR892,"У/Победа")=0, "",COUNTIFS('Все игры'!AN$3:AN892,A14,'Все игры'!AR$3:AR892,"У/Победа") )</f>
        <v/>
      </c>
      <c r="H14" s="234" t="str">
        <f>IF(COUNTIFS('Все игры'!AN$3:AN892,A14,'Все игры'!AR$3:AR892,"У/Проигрыш")=0, "",COUNTIFS('Все игры'!AN$3:AN892,A14,'Все игры'!AR$3:AR892,"У/Проигрыш") )</f>
        <v/>
      </c>
      <c r="I14" s="129">
        <f t="shared" si="3"/>
        <v>0</v>
      </c>
      <c r="J14" s="129">
        <f t="shared" si="4"/>
        <v>0</v>
      </c>
      <c r="K14" s="129">
        <f>COUNTIFS('Все игры'!AN$3:AN892,A14,'Все игры'!AP$3:AP892,"&gt;0",'Все игры'!AO$3:AO892,"Мафия")</f>
        <v>0</v>
      </c>
      <c r="L14" s="129">
        <f>IFERROR(__xludf.DUMMYFUNCTION("COUNTBLANK(FILTER('Все игры'!AN$3:AP892,'Все игры'!AN$3:AN892=A14,'Все игры'!AP$3:AP892 &lt; 1,'Все игры'!AO$3:AO892=""Мафия""))"),0.0)</f>
        <v>0</v>
      </c>
      <c r="M14" s="129">
        <f>COUNTIFS('Все игры'!AN$3:AN892,A14,'Все игры'!AP$3:AP892,"&gt;0",'Все игры'!AO$3:AO892,"Шериф")</f>
        <v>0</v>
      </c>
      <c r="N14" s="129">
        <f>IFERROR(__xludf.DUMMYFUNCTION("COUNTBLANK(FILTER('Все игры'!AN$3:AP892,'Все игры'!AN$3:AN892=A14,'Все игры'!AP$3:AP892 &lt; 1,'Все игры'!AO$3:AO892=""Шериф""))"),0.0)</f>
        <v>0</v>
      </c>
      <c r="O14" s="129">
        <f>COUNTIFS('Все игры'!AN$3:AN892,A14,'Все игры'!AP$3:AP892,"&gt;0",'Все игры'!AO$3:AO892,"Дон")</f>
        <v>0</v>
      </c>
      <c r="P14" s="236">
        <f>IFERROR(__xludf.DUMMYFUNCTION("COUNTBLANK(FILTER('Все игры'!AN$3:AP892,'Все игры'!AN$3:AN892=A14,'Все игры'!AP$3:AP892 &lt; 1,'Все игры'!AO$3:AO892=""Дон""))"),0.0)</f>
        <v>0</v>
      </c>
      <c r="Q14" s="129">
        <f>COUNTIFS('Все игры'!AN$3:AN892,A14,'Все игры'!AP$3:AP892,"&gt;0",'Все игры'!AO$3:AO892,"Мирный")</f>
        <v>0</v>
      </c>
      <c r="R14" s="129">
        <f>IFERROR(__xludf.DUMMYFUNCTION("COUNTBLANK(FILTER('Все игры'!AN$3:AP892,'Все игры'!AN$3:AN892=A14,'Все игры'!AP$3:AP892 &lt; 1,'Все игры'!AO$3:AO892=""Мирный""))"),0.0)</f>
        <v>0</v>
      </c>
      <c r="S14" s="237" t="str">
        <f t="shared" si="5"/>
        <v/>
      </c>
      <c r="T14" s="237" t="str">
        <f t="shared" si="6"/>
        <v/>
      </c>
      <c r="U14" s="237" t="str">
        <f t="shared" si="7"/>
        <v/>
      </c>
      <c r="V14" s="237" t="str">
        <f t="shared" si="8"/>
        <v/>
      </c>
      <c r="W14" s="237" t="str">
        <f t="shared" si="9"/>
        <v/>
      </c>
      <c r="X14" s="237" t="str">
        <f t="shared" si="10"/>
        <v/>
      </c>
      <c r="Y14" s="237" t="str">
        <f t="shared" si="11"/>
        <v/>
      </c>
      <c r="Z14" s="238">
        <f>SUMIFS('Все игры'!AQ$3:AQ892,'Все игры'!AN$3:AN892,A14)</f>
        <v>0</v>
      </c>
      <c r="AA14" s="238">
        <f>SUMIFS('Все игры'!AQ$3:AQ892,'Все игры'!AN$3:AN892,A14,'Все игры'!AO$3:AO892,"Мафия")</f>
        <v>0</v>
      </c>
      <c r="AB14" s="238">
        <f>SUMIFS('Все игры'!AQ$3:AQ892,'Все игры'!AN$3:AN892,A14,'Все игры'!AO$3:AO892,"Шериф")</f>
        <v>0</v>
      </c>
      <c r="AC14" s="238">
        <f>SUMIFS('Все игры'!AQ$3:AQ892,'Все игры'!AN$3:AN892,A14,'Все игры'!AO$3:AO892,"Дон")</f>
        <v>0</v>
      </c>
      <c r="AD14" s="238">
        <f>SUMIFS('Все игры'!AQ$3:AQ892,'Все игры'!AN$3:AN892,A14,'Все игры'!AO$3:AO892,"Мирный")</f>
        <v>0</v>
      </c>
      <c r="AE14" s="238">
        <f t="shared" si="12"/>
        <v>0</v>
      </c>
      <c r="AF14" s="238">
        <f t="shared" si="13"/>
        <v>0</v>
      </c>
      <c r="AG14" s="238">
        <f t="shared" si="14"/>
        <v>0</v>
      </c>
      <c r="AH14" s="238">
        <f t="shared" si="15"/>
        <v>0</v>
      </c>
      <c r="AI14" s="238">
        <f t="shared" si="16"/>
        <v>0</v>
      </c>
    </row>
    <row r="16">
      <c r="A16" s="239" t="s">
        <v>171</v>
      </c>
    </row>
    <row r="17">
      <c r="A17" s="216" t="s">
        <v>113</v>
      </c>
      <c r="B17" s="217" t="s">
        <v>138</v>
      </c>
      <c r="C17" s="218" t="s">
        <v>139</v>
      </c>
      <c r="D17" s="218" t="s">
        <v>140</v>
      </c>
      <c r="E17" s="218" t="s">
        <v>31</v>
      </c>
      <c r="F17" s="218" t="s">
        <v>141</v>
      </c>
      <c r="G17" s="219" t="s">
        <v>142</v>
      </c>
      <c r="H17" s="220" t="s">
        <v>143</v>
      </c>
      <c r="I17" s="221" t="s">
        <v>144</v>
      </c>
      <c r="J17" s="222" t="s">
        <v>145</v>
      </c>
      <c r="K17" s="223" t="s">
        <v>146</v>
      </c>
      <c r="L17" s="223" t="s">
        <v>147</v>
      </c>
      <c r="M17" s="224" t="s">
        <v>148</v>
      </c>
      <c r="N17" s="224" t="s">
        <v>149</v>
      </c>
      <c r="O17" s="222" t="s">
        <v>150</v>
      </c>
      <c r="P17" s="222" t="s">
        <v>151</v>
      </c>
      <c r="Q17" s="225" t="s">
        <v>152</v>
      </c>
      <c r="R17" s="225" t="s">
        <v>153</v>
      </c>
      <c r="S17" s="226" t="s">
        <v>154</v>
      </c>
      <c r="T17" s="226" t="s">
        <v>155</v>
      </c>
      <c r="U17" s="226" t="s">
        <v>156</v>
      </c>
      <c r="V17" s="223" t="s">
        <v>157</v>
      </c>
      <c r="W17" s="224" t="s">
        <v>158</v>
      </c>
      <c r="X17" s="222" t="s">
        <v>159</v>
      </c>
      <c r="Y17" s="225" t="s">
        <v>160</v>
      </c>
      <c r="Z17" s="226" t="s">
        <v>161</v>
      </c>
      <c r="AA17" s="227" t="s">
        <v>162</v>
      </c>
      <c r="AB17" s="228" t="s">
        <v>163</v>
      </c>
      <c r="AC17" s="229" t="s">
        <v>164</v>
      </c>
      <c r="AD17" s="230" t="s">
        <v>165</v>
      </c>
      <c r="AE17" s="226" t="s">
        <v>166</v>
      </c>
      <c r="AF17" s="227" t="s">
        <v>167</v>
      </c>
      <c r="AG17" s="224" t="s">
        <v>168</v>
      </c>
      <c r="AH17" s="229" t="s">
        <v>169</v>
      </c>
      <c r="AI17" s="231" t="s">
        <v>170</v>
      </c>
      <c r="AJ17" s="232"/>
      <c r="AK17" s="232"/>
      <c r="AL17" s="232"/>
      <c r="AM17" s="232"/>
      <c r="AN17" s="232"/>
      <c r="AO17" s="232"/>
      <c r="AP17" s="232"/>
      <c r="AQ17" s="232"/>
      <c r="AR17" s="232"/>
      <c r="AS17" s="232"/>
      <c r="AT17" s="232"/>
      <c r="AU17" s="232"/>
      <c r="AV17" s="232"/>
      <c r="AW17" s="232"/>
      <c r="AX17" s="232"/>
      <c r="AY17" s="232"/>
      <c r="AZ17" s="232"/>
      <c r="BA17" s="232"/>
      <c r="BB17" s="232"/>
      <c r="BC17" s="232"/>
      <c r="BD17" s="232"/>
      <c r="BE17" s="232"/>
      <c r="BF17" s="232"/>
      <c r="BG17" s="232"/>
      <c r="BH17" s="232"/>
      <c r="BI17" s="232"/>
      <c r="BJ17" s="232"/>
      <c r="BK17" s="232"/>
    </row>
    <row r="18">
      <c r="A18" s="195" t="str">
        <f t="array" ref="A18:A27">'2 Полуфинал'!B6:B15</f>
        <v/>
      </c>
      <c r="B18" s="129">
        <f t="shared" ref="B18:B27" si="17">SUM(I18:J18)</f>
        <v>0</v>
      </c>
      <c r="C18" s="128" t="str">
        <f>IF(COUNTIFS('Все игры'!AV$3:AV892,A18,'Все игры'!BA$3:BA892,"=1")=0, "", COUNTIFS('Все игры'!AV$3:AV892,A18,'Все игры'!BA$3:BA892,"=1"))</f>
        <v/>
      </c>
      <c r="D18" s="233" t="str">
        <f>IF(COUNTIFS('Все игры'!AV$3:AV892,A18,'Все игры'!BA$3:BA892,"=0,50")=0, "", COUNTIFS('Все игры'!AV$3:AV892,A18,'Все игры'!BA$3:BA892,"=0,50"))</f>
        <v/>
      </c>
      <c r="E18" s="234" t="str">
        <f>IF(COUNTIFS('Все игры'!AV$3:AV892,A18,'Все игры'!AZ$3:AZ892,"ПУ")=0, "", COUNTIFS('Все игры'!AV$3:AV892,A18,'Все игры'!AZ$3:AZ892,"ПУ"))</f>
        <v/>
      </c>
      <c r="F18" s="235">
        <f t="shared" ref="F18:F27" si="18">IFERROR(E18/I18,0)</f>
        <v>0</v>
      </c>
      <c r="G18" s="234" t="str">
        <f>IF(COUNTIFS('Все игры'!AV$3:AV892,A18,'Все игры'!AZ$3:AZ892,"У/Победа")=0, "",COUNTIFS('Все игры'!AV$3:AV892,A18,'Все игры'!AZ$3:AZ892,"У/Победа") )</f>
        <v/>
      </c>
      <c r="H18" s="234" t="str">
        <f>IF(COUNTIFS('Все игры'!AV$3:AV892,A18,'Все игры'!AZ$3:AZ892,"У/Проигрыш")=0, "",COUNTIFS('Все игры'!AV$3:AV892,A18,'Все игры'!AZ$3:AZ892,"У/Проигрыш") )</f>
        <v/>
      </c>
      <c r="I18" s="129">
        <f t="shared" ref="I18:I27" si="19">M18+N18+Q18+R18</f>
        <v>0</v>
      </c>
      <c r="J18" s="129">
        <f t="shared" ref="J18:J27" si="20">K18+L18+O18+P18</f>
        <v>0</v>
      </c>
      <c r="K18" s="129">
        <f>COUNTIFS('Все игры'!AV$3:AV892,A18,'Все игры'!AX$3:AX892,"&gt;0",'Все игры'!AW$3:AW892,"Мафия")</f>
        <v>0</v>
      </c>
      <c r="L18" s="129">
        <f>IFERROR(__xludf.DUMMYFUNCTION("COUNTBLANK(FILTER('Все игры'!AV$3:AX892,'Все игры'!AV$3:AV892=A18,'Все игры'!AX$3:AX892 &lt; 1,'Все игры'!AW$3:AW892=""Мафия""))"),0.0)</f>
        <v>0</v>
      </c>
      <c r="M18" s="129">
        <f>COUNTIFS('Все игры'!AV$3:AV892,A18,'Все игры'!AX$3:AX892,"&gt;0",'Все игры'!AW$3:AW892,"Шериф")</f>
        <v>0</v>
      </c>
      <c r="N18" s="129">
        <f>IFERROR(__xludf.DUMMYFUNCTION("COUNTBLANK(FILTER('Все игры'!AV$3:AX892,'Все игры'!AV$3:AV892=A18,'Все игры'!AX$3:AX892 &lt; 1,'Все игры'!AW$3:AW892=""Шериф""))"),0.0)</f>
        <v>0</v>
      </c>
      <c r="O18" s="129">
        <f>COUNTIFS('Все игры'!AV$3:AV892,A18,'Все игры'!AX$3:AX892,"&gt;0",'Все игры'!AW$3:AW892,"Дон")</f>
        <v>0</v>
      </c>
      <c r="P18" s="236">
        <f>IFERROR(__xludf.DUMMYFUNCTION("COUNTBLANK(FILTER('Все игры'!AV$3:AX892,'Все игры'!AV$3:AV892=A18,'Все игры'!AX$3:AX892 &lt; 1,'Все игры'!AW$3:AW892=""Дон""))"),0.0)</f>
        <v>0</v>
      </c>
      <c r="Q18" s="129">
        <f>COUNTIFS('Все игры'!AV$3:AV892,A18,'Все игры'!AX$3:AX892,"&gt;0",'Все игры'!AW$3:AW892,"Мирный")</f>
        <v>0</v>
      </c>
      <c r="R18" s="129">
        <f>IFERROR(__xludf.DUMMYFUNCTION("COUNTBLANK(FILTER('Все игры'!AV$3:AX892,'Все игры'!AV$3:AV892=A18,'Все игры'!AX$3:AX892 &lt; 1,'Все игры'!AW$3:AW892=""Мирный""))"),0.0)</f>
        <v>0</v>
      </c>
      <c r="S18" s="237" t="str">
        <f t="shared" ref="S18:S27" si="21">IFERROR((K18+M18+O18+Q18)/(I18+J18), )</f>
        <v/>
      </c>
      <c r="T18" s="237" t="str">
        <f t="shared" ref="T18:T27" si="22">IFERROR((M18+Q18)/I18, )</f>
        <v/>
      </c>
      <c r="U18" s="237" t="str">
        <f t="shared" ref="U18:U27" si="23">IFERROR((K18+O18)/J18, )</f>
        <v/>
      </c>
      <c r="V18" s="237" t="str">
        <f t="shared" ref="V18:V27" si="24">IFERROR(K18/(K18+L18), )</f>
        <v/>
      </c>
      <c r="W18" s="237" t="str">
        <f t="shared" ref="W18:W27" si="25">IFERROR(M18/(M18+N18), )</f>
        <v/>
      </c>
      <c r="X18" s="237" t="str">
        <f t="shared" ref="X18:X27" si="26">IFERROR(O18/(O18+P18), )</f>
        <v/>
      </c>
      <c r="Y18" s="237" t="str">
        <f t="shared" ref="Y18:Y27" si="27">IFERROR(Q18/(Q18+R18), )</f>
        <v/>
      </c>
      <c r="Z18" s="238">
        <f>SUMIFS('Все игры'!AY$3:AY892,'Все игры'!AV$3:AV892,A18)</f>
        <v>0</v>
      </c>
      <c r="AA18" s="238">
        <f>SUMIFS('Все игры'!AY$3:AY892,'Все игры'!AV$3:AV892,A18,'Все игры'!AW$3:AW892,"Мафия")</f>
        <v>0</v>
      </c>
      <c r="AB18" s="238">
        <f>SUMIFS('Все игры'!AY$3:AY892,'Все игры'!AV$3:AV892,A18,'Все игры'!AW$3:AW892,"Шериф")</f>
        <v>0</v>
      </c>
      <c r="AC18" s="238">
        <f>SUMIFS('Все игры'!AY$3:AY892,'Все игры'!AV$3:AV892,A18,'Все игры'!AW$3:AW892,"Дон")</f>
        <v>0</v>
      </c>
      <c r="AD18" s="238">
        <f>SUMIFS('Все игры'!AY$3:AY892,'Все игры'!AV$3:AV892,A18,'Все игры'!AW$3:AW892,"Мирный")</f>
        <v>0</v>
      </c>
      <c r="AE18" s="238">
        <f t="shared" ref="AE18:AE27" si="28">IFERROR(Z18/B18,0)</f>
        <v>0</v>
      </c>
      <c r="AF18" s="238">
        <f t="shared" ref="AF18:AF27" si="29">IFERROR(AA18/(K18+L18),0)</f>
        <v>0</v>
      </c>
      <c r="AG18" s="238">
        <f t="shared" ref="AG18:AG27" si="30">IFERROR(AB18/(M18+N18),0)</f>
        <v>0</v>
      </c>
      <c r="AH18" s="238">
        <f t="shared" ref="AH18:AH27" si="31">IFERROR(AC18/(O18+P18),0)</f>
        <v>0</v>
      </c>
      <c r="AI18" s="238">
        <f t="shared" ref="AI18:AI27" si="32">IFERROR(AD18/(Q18+R18),0)</f>
        <v>0</v>
      </c>
    </row>
    <row r="19">
      <c r="A19" s="195"/>
      <c r="B19" s="129">
        <f t="shared" si="17"/>
        <v>0</v>
      </c>
      <c r="C19" s="128" t="str">
        <f>IF(COUNTIFS('Все игры'!AV$3:AV892,A19,'Все игры'!BA$3:BA892,"=1")=0, "", COUNTIFS('Все игры'!AV$3:AV892,A19,'Все игры'!BA$3:BA892,"=1"))</f>
        <v/>
      </c>
      <c r="D19" s="233" t="str">
        <f>IF(COUNTIFS('Все игры'!AV$3:AV892,A19,'Все игры'!BA$3:BA892,"=0,50")=0, "", COUNTIFS('Все игры'!AV$3:AV892,A19,'Все игры'!BA$3:BA892,"=0,50"))</f>
        <v/>
      </c>
      <c r="E19" s="234" t="str">
        <f>IF(COUNTIFS('Все игры'!AV$3:AV892,A19,'Все игры'!AZ$3:AZ892,"ПУ")=0, "", COUNTIFS('Все игры'!AV$3:AV892,A19,'Все игры'!AZ$3:AZ892,"ПУ"))</f>
        <v/>
      </c>
      <c r="F19" s="235">
        <f t="shared" si="18"/>
        <v>0</v>
      </c>
      <c r="G19" s="234" t="str">
        <f>IF(COUNTIFS('Все игры'!AV$3:AV892,A19,'Все игры'!AZ$3:AZ892,"У/Победа")=0, "",COUNTIFS('Все игры'!AV$3:AV892,A19,'Все игры'!AZ$3:AZ892,"У/Победа") )</f>
        <v/>
      </c>
      <c r="H19" s="234" t="str">
        <f>IF(COUNTIFS('Все игры'!AV$3:AV892,A19,'Все игры'!AZ$3:AZ892,"У/Проигрыш")=0, "",COUNTIFS('Все игры'!AV$3:AV892,A19,'Все игры'!AZ$3:AZ892,"У/Проигрыш") )</f>
        <v/>
      </c>
      <c r="I19" s="129">
        <f t="shared" si="19"/>
        <v>0</v>
      </c>
      <c r="J19" s="129">
        <f t="shared" si="20"/>
        <v>0</v>
      </c>
      <c r="K19" s="129">
        <f>COUNTIFS('Все игры'!AV$3:AV892,A19,'Все игры'!AX$3:AX892,"&gt;0",'Все игры'!AW$3:AW892,"Мафия")</f>
        <v>0</v>
      </c>
      <c r="L19" s="129">
        <f>IFERROR(__xludf.DUMMYFUNCTION("COUNTBLANK(FILTER('Все игры'!AV$3:AX892,'Все игры'!AV$3:AV892=A19,'Все игры'!AX$3:AX892 &lt; 1,'Все игры'!AW$3:AW892=""Мафия""))"),0.0)</f>
        <v>0</v>
      </c>
      <c r="M19" s="129">
        <f>COUNTIFS('Все игры'!AV$3:AV892,A19,'Все игры'!AX$3:AX892,"&gt;0",'Все игры'!AW$3:AW892,"Шериф")</f>
        <v>0</v>
      </c>
      <c r="N19" s="129">
        <f>IFERROR(__xludf.DUMMYFUNCTION("COUNTBLANK(FILTER('Все игры'!AV$3:AX892,'Все игры'!AV$3:AV892=A19,'Все игры'!AX$3:AX892 &lt; 1,'Все игры'!AW$3:AW892=""Шериф""))"),0.0)</f>
        <v>0</v>
      </c>
      <c r="O19" s="129">
        <f>COUNTIFS('Все игры'!AV$3:AV892,A19,'Все игры'!AX$3:AX892,"&gt;0",'Все игры'!AW$3:AW892,"Дон")</f>
        <v>0</v>
      </c>
      <c r="P19" s="236">
        <f>IFERROR(__xludf.DUMMYFUNCTION("COUNTBLANK(FILTER('Все игры'!AV$3:AX892,'Все игры'!AV$3:AV892=A19,'Все игры'!AX$3:AX892 &lt; 1,'Все игры'!AW$3:AW892=""Дон""))"),0.0)</f>
        <v>0</v>
      </c>
      <c r="Q19" s="129">
        <f>COUNTIFS('Все игры'!AV$3:AV892,A19,'Все игры'!AX$3:AX892,"&gt;0",'Все игры'!AW$3:AW892,"Мирный")</f>
        <v>0</v>
      </c>
      <c r="R19" s="129">
        <f>IFERROR(__xludf.DUMMYFUNCTION("COUNTBLANK(FILTER('Все игры'!AV$3:AX892,'Все игры'!AV$3:AV892=A19,'Все игры'!AX$3:AX892 &lt; 1,'Все игры'!AW$3:AW892=""Мирный""))"),0.0)</f>
        <v>0</v>
      </c>
      <c r="S19" s="237" t="str">
        <f t="shared" si="21"/>
        <v/>
      </c>
      <c r="T19" s="237" t="str">
        <f t="shared" si="22"/>
        <v/>
      </c>
      <c r="U19" s="237" t="str">
        <f t="shared" si="23"/>
        <v/>
      </c>
      <c r="V19" s="237" t="str">
        <f t="shared" si="24"/>
        <v/>
      </c>
      <c r="W19" s="237" t="str">
        <f t="shared" si="25"/>
        <v/>
      </c>
      <c r="X19" s="237" t="str">
        <f t="shared" si="26"/>
        <v/>
      </c>
      <c r="Y19" s="237" t="str">
        <f t="shared" si="27"/>
        <v/>
      </c>
      <c r="Z19" s="238">
        <f>SUMIFS('Все игры'!AY$3:AY892,'Все игры'!AV$3:AV892,A19)</f>
        <v>0</v>
      </c>
      <c r="AA19" s="238">
        <f>SUMIFS('Все игры'!AY$3:AY892,'Все игры'!AV$3:AV892,A19,'Все игры'!AW$3:AW892,"Мафия")</f>
        <v>0</v>
      </c>
      <c r="AB19" s="238">
        <f>SUMIFS('Все игры'!AY$3:AY892,'Все игры'!AV$3:AV892,A19,'Все игры'!AW$3:AW892,"Шериф")</f>
        <v>0</v>
      </c>
      <c r="AC19" s="238">
        <f>SUMIFS('Все игры'!AY$3:AY892,'Все игры'!AV$3:AV892,A19,'Все игры'!AW$3:AW892,"Дон")</f>
        <v>0</v>
      </c>
      <c r="AD19" s="238">
        <f>SUMIFS('Все игры'!AY$3:AY892,'Все игры'!AV$3:AV892,A19,'Все игры'!AW$3:AW892,"Мирный")</f>
        <v>0</v>
      </c>
      <c r="AE19" s="238">
        <f t="shared" si="28"/>
        <v>0</v>
      </c>
      <c r="AF19" s="238">
        <f t="shared" si="29"/>
        <v>0</v>
      </c>
      <c r="AG19" s="238">
        <f t="shared" si="30"/>
        <v>0</v>
      </c>
      <c r="AH19" s="238">
        <f t="shared" si="31"/>
        <v>0</v>
      </c>
      <c r="AI19" s="238">
        <f t="shared" si="32"/>
        <v>0</v>
      </c>
    </row>
    <row r="20">
      <c r="A20" s="195"/>
      <c r="B20" s="129">
        <f t="shared" si="17"/>
        <v>0</v>
      </c>
      <c r="C20" s="128" t="str">
        <f>IF(COUNTIFS('Все игры'!AV$3:AV892,A20,'Все игры'!BA$3:BA892,"=1")=0, "", COUNTIFS('Все игры'!AV$3:AV892,A20,'Все игры'!BA$3:BA892,"=1"))</f>
        <v/>
      </c>
      <c r="D20" s="233" t="str">
        <f>IF(COUNTIFS('Все игры'!AV$3:AV892,A20,'Все игры'!BA$3:BA892,"=0,50")=0, "", COUNTIFS('Все игры'!AV$3:AV892,A20,'Все игры'!BA$3:BA892,"=0,50"))</f>
        <v/>
      </c>
      <c r="E20" s="234" t="str">
        <f>IF(COUNTIFS('Все игры'!AV$3:AV892,A20,'Все игры'!AZ$3:AZ892,"ПУ")=0, "", COUNTIFS('Все игры'!AV$3:AV892,A20,'Все игры'!AZ$3:AZ892,"ПУ"))</f>
        <v/>
      </c>
      <c r="F20" s="235">
        <f t="shared" si="18"/>
        <v>0</v>
      </c>
      <c r="G20" s="234" t="str">
        <f>IF(COUNTIFS('Все игры'!AV$3:AV892,A20,'Все игры'!AZ$3:AZ892,"У/Победа")=0, "",COUNTIFS('Все игры'!AV$3:AV892,A20,'Все игры'!AZ$3:AZ892,"У/Победа") )</f>
        <v/>
      </c>
      <c r="H20" s="234" t="str">
        <f>IF(COUNTIFS('Все игры'!AV$3:AV892,A20,'Все игры'!AZ$3:AZ892,"У/Проигрыш")=0, "",COUNTIFS('Все игры'!AV$3:AV892,A20,'Все игры'!AZ$3:AZ892,"У/Проигрыш") )</f>
        <v/>
      </c>
      <c r="I20" s="129">
        <f t="shared" si="19"/>
        <v>0</v>
      </c>
      <c r="J20" s="129">
        <f t="shared" si="20"/>
        <v>0</v>
      </c>
      <c r="K20" s="129">
        <f>COUNTIFS('Все игры'!AV$3:AV892,A20,'Все игры'!AX$3:AX892,"&gt;0",'Все игры'!AW$3:AW892,"Мафия")</f>
        <v>0</v>
      </c>
      <c r="L20" s="129">
        <f>IFERROR(__xludf.DUMMYFUNCTION("COUNTBLANK(FILTER('Все игры'!AV$3:AX892,'Все игры'!AV$3:AV892=A20,'Все игры'!AX$3:AX892 &lt; 1,'Все игры'!AW$3:AW892=""Мафия""))"),0.0)</f>
        <v>0</v>
      </c>
      <c r="M20" s="129">
        <f>COUNTIFS('Все игры'!AV$3:AV892,A20,'Все игры'!AX$3:AX892,"&gt;0",'Все игры'!AW$3:AW892,"Шериф")</f>
        <v>0</v>
      </c>
      <c r="N20" s="129">
        <f>IFERROR(__xludf.DUMMYFUNCTION("COUNTBLANK(FILTER('Все игры'!AV$3:AX892,'Все игры'!AV$3:AV892=A20,'Все игры'!AX$3:AX892 &lt; 1,'Все игры'!AW$3:AW892=""Шериф""))"),0.0)</f>
        <v>0</v>
      </c>
      <c r="O20" s="129">
        <f>COUNTIFS('Все игры'!AV$3:AV892,A20,'Все игры'!AX$3:AX892,"&gt;0",'Все игры'!AW$3:AW892,"Дон")</f>
        <v>0</v>
      </c>
      <c r="P20" s="236">
        <f>IFERROR(__xludf.DUMMYFUNCTION("COUNTBLANK(FILTER('Все игры'!AV$3:AX892,'Все игры'!AV$3:AV892=A20,'Все игры'!AX$3:AX892 &lt; 1,'Все игры'!AW$3:AW892=""Дон""))"),0.0)</f>
        <v>0</v>
      </c>
      <c r="Q20" s="129">
        <f>COUNTIFS('Все игры'!AV$3:AV892,A20,'Все игры'!AX$3:AX892,"&gt;0",'Все игры'!AW$3:AW892,"Мирный")</f>
        <v>0</v>
      </c>
      <c r="R20" s="129">
        <f>IFERROR(__xludf.DUMMYFUNCTION("COUNTBLANK(FILTER('Все игры'!AV$3:AX892,'Все игры'!AV$3:AV892=A20,'Все игры'!AX$3:AX892 &lt; 1,'Все игры'!AW$3:AW892=""Мирный""))"),0.0)</f>
        <v>0</v>
      </c>
      <c r="S20" s="237" t="str">
        <f t="shared" si="21"/>
        <v/>
      </c>
      <c r="T20" s="237" t="str">
        <f t="shared" si="22"/>
        <v/>
      </c>
      <c r="U20" s="237" t="str">
        <f t="shared" si="23"/>
        <v/>
      </c>
      <c r="V20" s="237" t="str">
        <f t="shared" si="24"/>
        <v/>
      </c>
      <c r="W20" s="237" t="str">
        <f t="shared" si="25"/>
        <v/>
      </c>
      <c r="X20" s="237" t="str">
        <f t="shared" si="26"/>
        <v/>
      </c>
      <c r="Y20" s="237" t="str">
        <f t="shared" si="27"/>
        <v/>
      </c>
      <c r="Z20" s="238">
        <f>SUMIFS('Все игры'!AY$3:AY892,'Все игры'!AV$3:AV892,A20)</f>
        <v>0</v>
      </c>
      <c r="AA20" s="238">
        <f>SUMIFS('Все игры'!AY$3:AY892,'Все игры'!AV$3:AV892,A20,'Все игры'!AW$3:AW892,"Мафия")</f>
        <v>0</v>
      </c>
      <c r="AB20" s="238">
        <f>SUMIFS('Все игры'!AY$3:AY892,'Все игры'!AV$3:AV892,A20,'Все игры'!AW$3:AW892,"Шериф")</f>
        <v>0</v>
      </c>
      <c r="AC20" s="238">
        <f>SUMIFS('Все игры'!AY$3:AY892,'Все игры'!AV$3:AV892,A20,'Все игры'!AW$3:AW892,"Дон")</f>
        <v>0</v>
      </c>
      <c r="AD20" s="238">
        <f>SUMIFS('Все игры'!AY$3:AY892,'Все игры'!AV$3:AV892,A20,'Все игры'!AW$3:AW892,"Мирный")</f>
        <v>0</v>
      </c>
      <c r="AE20" s="238">
        <f t="shared" si="28"/>
        <v>0</v>
      </c>
      <c r="AF20" s="238">
        <f t="shared" si="29"/>
        <v>0</v>
      </c>
      <c r="AG20" s="238">
        <f t="shared" si="30"/>
        <v>0</v>
      </c>
      <c r="AH20" s="238">
        <f t="shared" si="31"/>
        <v>0</v>
      </c>
      <c r="AI20" s="238">
        <f t="shared" si="32"/>
        <v>0</v>
      </c>
    </row>
    <row r="21">
      <c r="A21" s="195"/>
      <c r="B21" s="129">
        <f t="shared" si="17"/>
        <v>0</v>
      </c>
      <c r="C21" s="128" t="str">
        <f>IF(COUNTIFS('Все игры'!AV$3:AV892,A21,'Все игры'!BA$3:BA892,"=1")=0, "", COUNTIFS('Все игры'!AV$3:AV892,A21,'Все игры'!BA$3:BA892,"=1"))</f>
        <v/>
      </c>
      <c r="D21" s="233" t="str">
        <f>IF(COUNTIFS('Все игры'!AV$3:AV892,A21,'Все игры'!BA$3:BA892,"=0,50")=0, "", COUNTIFS('Все игры'!AV$3:AV892,A21,'Все игры'!BA$3:BA892,"=0,50"))</f>
        <v/>
      </c>
      <c r="E21" s="234" t="str">
        <f>IF(COUNTIFS('Все игры'!AV$3:AV892,A21,'Все игры'!AZ$3:AZ892,"ПУ")=0, "", COUNTIFS('Все игры'!AV$3:AV892,A21,'Все игры'!AZ$3:AZ892,"ПУ"))</f>
        <v/>
      </c>
      <c r="F21" s="235">
        <f t="shared" si="18"/>
        <v>0</v>
      </c>
      <c r="G21" s="234" t="str">
        <f>IF(COUNTIFS('Все игры'!AV$3:AV892,A21,'Все игры'!AZ$3:AZ892,"У/Победа")=0, "",COUNTIFS('Все игры'!AV$3:AV892,A21,'Все игры'!AZ$3:AZ892,"У/Победа") )</f>
        <v/>
      </c>
      <c r="H21" s="234" t="str">
        <f>IF(COUNTIFS('Все игры'!AV$3:AV892,A21,'Все игры'!AZ$3:AZ892,"У/Проигрыш")=0, "",COUNTIFS('Все игры'!AV$3:AV892,A21,'Все игры'!AZ$3:AZ892,"У/Проигрыш") )</f>
        <v/>
      </c>
      <c r="I21" s="129">
        <f t="shared" si="19"/>
        <v>0</v>
      </c>
      <c r="J21" s="129">
        <f t="shared" si="20"/>
        <v>0</v>
      </c>
      <c r="K21" s="129">
        <f>COUNTIFS('Все игры'!AV$3:AV892,A21,'Все игры'!AX$3:AX892,"&gt;0",'Все игры'!AW$3:AW892,"Мафия")</f>
        <v>0</v>
      </c>
      <c r="L21" s="129">
        <f>IFERROR(__xludf.DUMMYFUNCTION("COUNTBLANK(FILTER('Все игры'!AV$3:AX892,'Все игры'!AV$3:AV892=A21,'Все игры'!AX$3:AX892 &lt; 1,'Все игры'!AW$3:AW892=""Мафия""))"),0.0)</f>
        <v>0</v>
      </c>
      <c r="M21" s="129">
        <f>COUNTIFS('Все игры'!AV$3:AV892,A21,'Все игры'!AX$3:AX892,"&gt;0",'Все игры'!AW$3:AW892,"Шериф")</f>
        <v>0</v>
      </c>
      <c r="N21" s="129">
        <f>IFERROR(__xludf.DUMMYFUNCTION("COUNTBLANK(FILTER('Все игры'!AV$3:AX892,'Все игры'!AV$3:AV892=A21,'Все игры'!AX$3:AX892 &lt; 1,'Все игры'!AW$3:AW892=""Шериф""))"),0.0)</f>
        <v>0</v>
      </c>
      <c r="O21" s="129">
        <f>COUNTIFS('Все игры'!AV$3:AV892,A21,'Все игры'!AX$3:AX892,"&gt;0",'Все игры'!AW$3:AW892,"Дон")</f>
        <v>0</v>
      </c>
      <c r="P21" s="236">
        <f>IFERROR(__xludf.DUMMYFUNCTION("COUNTBLANK(FILTER('Все игры'!AV$3:AX892,'Все игры'!AV$3:AV892=A21,'Все игры'!AX$3:AX892 &lt; 1,'Все игры'!AW$3:AW892=""Дон""))"),0.0)</f>
        <v>0</v>
      </c>
      <c r="Q21" s="129">
        <f>COUNTIFS('Все игры'!AV$3:AV892,A21,'Все игры'!AX$3:AX892,"&gt;0",'Все игры'!AW$3:AW892,"Мирный")</f>
        <v>0</v>
      </c>
      <c r="R21" s="129">
        <f>IFERROR(__xludf.DUMMYFUNCTION("COUNTBLANK(FILTER('Все игры'!AV$3:AX892,'Все игры'!AV$3:AV892=A21,'Все игры'!AX$3:AX892 &lt; 1,'Все игры'!AW$3:AW892=""Мирный""))"),0.0)</f>
        <v>0</v>
      </c>
      <c r="S21" s="237" t="str">
        <f t="shared" si="21"/>
        <v/>
      </c>
      <c r="T21" s="237" t="str">
        <f t="shared" si="22"/>
        <v/>
      </c>
      <c r="U21" s="237" t="str">
        <f t="shared" si="23"/>
        <v/>
      </c>
      <c r="V21" s="237" t="str">
        <f t="shared" si="24"/>
        <v/>
      </c>
      <c r="W21" s="237" t="str">
        <f t="shared" si="25"/>
        <v/>
      </c>
      <c r="X21" s="237" t="str">
        <f t="shared" si="26"/>
        <v/>
      </c>
      <c r="Y21" s="237" t="str">
        <f t="shared" si="27"/>
        <v/>
      </c>
      <c r="Z21" s="238">
        <f>SUMIFS('Все игры'!AY$3:AY892,'Все игры'!AV$3:AV892,A21)</f>
        <v>0</v>
      </c>
      <c r="AA21" s="238">
        <f>SUMIFS('Все игры'!AY$3:AY892,'Все игры'!AV$3:AV892,A21,'Все игры'!AW$3:AW892,"Мафия")</f>
        <v>0</v>
      </c>
      <c r="AB21" s="238">
        <f>SUMIFS('Все игры'!AY$3:AY892,'Все игры'!AV$3:AV892,A21,'Все игры'!AW$3:AW892,"Шериф")</f>
        <v>0</v>
      </c>
      <c r="AC21" s="238">
        <f>SUMIFS('Все игры'!AY$3:AY892,'Все игры'!AV$3:AV892,A21,'Все игры'!AW$3:AW892,"Дон")</f>
        <v>0</v>
      </c>
      <c r="AD21" s="238">
        <f>SUMIFS('Все игры'!AY$3:AY892,'Все игры'!AV$3:AV892,A21,'Все игры'!AW$3:AW892,"Мирный")</f>
        <v>0</v>
      </c>
      <c r="AE21" s="238">
        <f t="shared" si="28"/>
        <v>0</v>
      </c>
      <c r="AF21" s="238">
        <f t="shared" si="29"/>
        <v>0</v>
      </c>
      <c r="AG21" s="238">
        <f t="shared" si="30"/>
        <v>0</v>
      </c>
      <c r="AH21" s="238">
        <f t="shared" si="31"/>
        <v>0</v>
      </c>
      <c r="AI21" s="238">
        <f t="shared" si="32"/>
        <v>0</v>
      </c>
    </row>
    <row r="22">
      <c r="A22" s="195"/>
      <c r="B22" s="129">
        <f t="shared" si="17"/>
        <v>0</v>
      </c>
      <c r="C22" s="128" t="str">
        <f>IF(COUNTIFS('Все игры'!AV$3:AV892,A22,'Все игры'!BA$3:BA892,"=1")=0, "", COUNTIFS('Все игры'!AV$3:AV892,A22,'Все игры'!BA$3:BA892,"=1"))</f>
        <v/>
      </c>
      <c r="D22" s="233" t="str">
        <f>IF(COUNTIFS('Все игры'!AV$3:AV892,A22,'Все игры'!BA$3:BA892,"=0,50")=0, "", COUNTIFS('Все игры'!AV$3:AV892,A22,'Все игры'!BA$3:BA892,"=0,50"))</f>
        <v/>
      </c>
      <c r="E22" s="234" t="str">
        <f>IF(COUNTIFS('Все игры'!AV$3:AV892,A22,'Все игры'!AZ$3:AZ892,"ПУ")=0, "", COUNTIFS('Все игры'!AV$3:AV892,A22,'Все игры'!AZ$3:AZ892,"ПУ"))</f>
        <v/>
      </c>
      <c r="F22" s="235">
        <f t="shared" si="18"/>
        <v>0</v>
      </c>
      <c r="G22" s="234" t="str">
        <f>IF(COUNTIFS('Все игры'!AV$3:AV892,A22,'Все игры'!AZ$3:AZ892,"У/Победа")=0, "",COUNTIFS('Все игры'!AV$3:AV892,A22,'Все игры'!AZ$3:AZ892,"У/Победа") )</f>
        <v/>
      </c>
      <c r="H22" s="234" t="str">
        <f>IF(COUNTIFS('Все игры'!AV$3:AV892,A22,'Все игры'!AZ$3:AZ892,"У/Проигрыш")=0, "",COUNTIFS('Все игры'!AV$3:AV892,A22,'Все игры'!AZ$3:AZ892,"У/Проигрыш") )</f>
        <v/>
      </c>
      <c r="I22" s="129">
        <f t="shared" si="19"/>
        <v>0</v>
      </c>
      <c r="J22" s="129">
        <f t="shared" si="20"/>
        <v>0</v>
      </c>
      <c r="K22" s="129">
        <f>COUNTIFS('Все игры'!AV$3:AV892,A22,'Все игры'!AX$3:AX892,"&gt;0",'Все игры'!AW$3:AW892,"Мафия")</f>
        <v>0</v>
      </c>
      <c r="L22" s="129">
        <f>IFERROR(__xludf.DUMMYFUNCTION("COUNTBLANK(FILTER('Все игры'!AV$3:AX892,'Все игры'!AV$3:AV892=A22,'Все игры'!AX$3:AX892 &lt; 1,'Все игры'!AW$3:AW892=""Мафия""))"),0.0)</f>
        <v>0</v>
      </c>
      <c r="M22" s="129">
        <f>COUNTIFS('Все игры'!AV$3:AV892,A22,'Все игры'!AX$3:AX892,"&gt;0",'Все игры'!AW$3:AW892,"Шериф")</f>
        <v>0</v>
      </c>
      <c r="N22" s="129">
        <f>IFERROR(__xludf.DUMMYFUNCTION("COUNTBLANK(FILTER('Все игры'!AV$3:AX892,'Все игры'!AV$3:AV892=A22,'Все игры'!AX$3:AX892 &lt; 1,'Все игры'!AW$3:AW892=""Шериф""))"),0.0)</f>
        <v>0</v>
      </c>
      <c r="O22" s="129">
        <f>COUNTIFS('Все игры'!AV$3:AV892,A22,'Все игры'!AX$3:AX892,"&gt;0",'Все игры'!AW$3:AW892,"Дон")</f>
        <v>0</v>
      </c>
      <c r="P22" s="236">
        <f>IFERROR(__xludf.DUMMYFUNCTION("COUNTBLANK(FILTER('Все игры'!AV$3:AX892,'Все игры'!AV$3:AV892=A22,'Все игры'!AX$3:AX892 &lt; 1,'Все игры'!AW$3:AW892=""Дон""))"),0.0)</f>
        <v>0</v>
      </c>
      <c r="Q22" s="129">
        <f>COUNTIFS('Все игры'!AV$3:AV892,A22,'Все игры'!AX$3:AX892,"&gt;0",'Все игры'!AW$3:AW892,"Мирный")</f>
        <v>0</v>
      </c>
      <c r="R22" s="129">
        <f>IFERROR(__xludf.DUMMYFUNCTION("COUNTBLANK(FILTER('Все игры'!AV$3:AX892,'Все игры'!AV$3:AV892=A22,'Все игры'!AX$3:AX892 &lt; 1,'Все игры'!AW$3:AW892=""Мирный""))"),0.0)</f>
        <v>0</v>
      </c>
      <c r="S22" s="237" t="str">
        <f t="shared" si="21"/>
        <v/>
      </c>
      <c r="T22" s="237" t="str">
        <f t="shared" si="22"/>
        <v/>
      </c>
      <c r="U22" s="237" t="str">
        <f t="shared" si="23"/>
        <v/>
      </c>
      <c r="V22" s="237" t="str">
        <f t="shared" si="24"/>
        <v/>
      </c>
      <c r="W22" s="237" t="str">
        <f t="shared" si="25"/>
        <v/>
      </c>
      <c r="X22" s="237" t="str">
        <f t="shared" si="26"/>
        <v/>
      </c>
      <c r="Y22" s="237" t="str">
        <f t="shared" si="27"/>
        <v/>
      </c>
      <c r="Z22" s="238">
        <f>SUMIFS('Все игры'!AY$3:AY892,'Все игры'!AV$3:AV892,A22)</f>
        <v>0</v>
      </c>
      <c r="AA22" s="238">
        <f>SUMIFS('Все игры'!AY$3:AY892,'Все игры'!AV$3:AV892,A22,'Все игры'!AW$3:AW892,"Мафия")</f>
        <v>0</v>
      </c>
      <c r="AB22" s="238">
        <f>SUMIFS('Все игры'!AY$3:AY892,'Все игры'!AV$3:AV892,A22,'Все игры'!AW$3:AW892,"Шериф")</f>
        <v>0</v>
      </c>
      <c r="AC22" s="238">
        <f>SUMIFS('Все игры'!AY$3:AY892,'Все игры'!AV$3:AV892,A22,'Все игры'!AW$3:AW892,"Дон")</f>
        <v>0</v>
      </c>
      <c r="AD22" s="238">
        <f>SUMIFS('Все игры'!AY$3:AY892,'Все игры'!AV$3:AV892,A22,'Все игры'!AW$3:AW892,"Мирный")</f>
        <v>0</v>
      </c>
      <c r="AE22" s="238">
        <f t="shared" si="28"/>
        <v>0</v>
      </c>
      <c r="AF22" s="238">
        <f t="shared" si="29"/>
        <v>0</v>
      </c>
      <c r="AG22" s="238">
        <f t="shared" si="30"/>
        <v>0</v>
      </c>
      <c r="AH22" s="238">
        <f t="shared" si="31"/>
        <v>0</v>
      </c>
      <c r="AI22" s="238">
        <f t="shared" si="32"/>
        <v>0</v>
      </c>
    </row>
    <row r="23">
      <c r="A23" s="195"/>
      <c r="B23" s="129">
        <f t="shared" si="17"/>
        <v>0</v>
      </c>
      <c r="C23" s="128" t="str">
        <f>IF(COUNTIFS('Все игры'!AV$3:AV892,A23,'Все игры'!BA$3:BA892,"=1")=0, "", COUNTIFS('Все игры'!AV$3:AV892,A23,'Все игры'!BA$3:BA892,"=1"))</f>
        <v/>
      </c>
      <c r="D23" s="233" t="str">
        <f>IF(COUNTIFS('Все игры'!AV$3:AV892,A23,'Все игры'!BA$3:BA892,"=0,50")=0, "", COUNTIFS('Все игры'!AV$3:AV892,A23,'Все игры'!BA$3:BA892,"=0,50"))</f>
        <v/>
      </c>
      <c r="E23" s="234" t="str">
        <f>IF(COUNTIFS('Все игры'!AV$3:AV892,A23,'Все игры'!AZ$3:AZ892,"ПУ")=0, "", COUNTIFS('Все игры'!AV$3:AV892,A23,'Все игры'!AZ$3:AZ892,"ПУ"))</f>
        <v/>
      </c>
      <c r="F23" s="235">
        <f t="shared" si="18"/>
        <v>0</v>
      </c>
      <c r="G23" s="234" t="str">
        <f>IF(COUNTIFS('Все игры'!AV$3:AV892,A23,'Все игры'!AZ$3:AZ892,"У/Победа")=0, "",COUNTIFS('Все игры'!AV$3:AV892,A23,'Все игры'!AZ$3:AZ892,"У/Победа") )</f>
        <v/>
      </c>
      <c r="H23" s="234" t="str">
        <f>IF(COUNTIFS('Все игры'!AV$3:AV892,A23,'Все игры'!AZ$3:AZ892,"У/Проигрыш")=0, "",COUNTIFS('Все игры'!AV$3:AV892,A23,'Все игры'!AZ$3:AZ892,"У/Проигрыш") )</f>
        <v/>
      </c>
      <c r="I23" s="129">
        <f t="shared" si="19"/>
        <v>0</v>
      </c>
      <c r="J23" s="129">
        <f t="shared" si="20"/>
        <v>0</v>
      </c>
      <c r="K23" s="129">
        <f>COUNTIFS('Все игры'!AV$3:AV892,A23,'Все игры'!AX$3:AX892,"&gt;0",'Все игры'!AW$3:AW892,"Мафия")</f>
        <v>0</v>
      </c>
      <c r="L23" s="129">
        <f>IFERROR(__xludf.DUMMYFUNCTION("COUNTBLANK(FILTER('Все игры'!AV$3:AX892,'Все игры'!AV$3:AV892=A23,'Все игры'!AX$3:AX892 &lt; 1,'Все игры'!AW$3:AW892=""Мафия""))"),0.0)</f>
        <v>0</v>
      </c>
      <c r="M23" s="129">
        <f>COUNTIFS('Все игры'!AV$3:AV892,A23,'Все игры'!AX$3:AX892,"&gt;0",'Все игры'!AW$3:AW892,"Шериф")</f>
        <v>0</v>
      </c>
      <c r="N23" s="129">
        <f>IFERROR(__xludf.DUMMYFUNCTION("COUNTBLANK(FILTER('Все игры'!AV$3:AX892,'Все игры'!AV$3:AV892=A23,'Все игры'!AX$3:AX892 &lt; 1,'Все игры'!AW$3:AW892=""Шериф""))"),0.0)</f>
        <v>0</v>
      </c>
      <c r="O23" s="129">
        <f>COUNTIFS('Все игры'!AV$3:AV892,A23,'Все игры'!AX$3:AX892,"&gt;0",'Все игры'!AW$3:AW892,"Дон")</f>
        <v>0</v>
      </c>
      <c r="P23" s="236">
        <f>IFERROR(__xludf.DUMMYFUNCTION("COUNTBLANK(FILTER('Все игры'!AV$3:AX892,'Все игры'!AV$3:AV892=A23,'Все игры'!AX$3:AX892 &lt; 1,'Все игры'!AW$3:AW892=""Дон""))"),0.0)</f>
        <v>0</v>
      </c>
      <c r="Q23" s="129">
        <f>COUNTIFS('Все игры'!AV$3:AV892,A23,'Все игры'!AX$3:AX892,"&gt;0",'Все игры'!AW$3:AW892,"Мирный")</f>
        <v>0</v>
      </c>
      <c r="R23" s="129">
        <f>IFERROR(__xludf.DUMMYFUNCTION("COUNTBLANK(FILTER('Все игры'!AV$3:AX892,'Все игры'!AV$3:AV892=A23,'Все игры'!AX$3:AX892 &lt; 1,'Все игры'!AW$3:AW892=""Мирный""))"),0.0)</f>
        <v>0</v>
      </c>
      <c r="S23" s="237" t="str">
        <f t="shared" si="21"/>
        <v/>
      </c>
      <c r="T23" s="237" t="str">
        <f t="shared" si="22"/>
        <v/>
      </c>
      <c r="U23" s="237" t="str">
        <f t="shared" si="23"/>
        <v/>
      </c>
      <c r="V23" s="237" t="str">
        <f t="shared" si="24"/>
        <v/>
      </c>
      <c r="W23" s="237" t="str">
        <f t="shared" si="25"/>
        <v/>
      </c>
      <c r="X23" s="237" t="str">
        <f t="shared" si="26"/>
        <v/>
      </c>
      <c r="Y23" s="237" t="str">
        <f t="shared" si="27"/>
        <v/>
      </c>
      <c r="Z23" s="238">
        <f>SUMIFS('Все игры'!AY$3:AY892,'Все игры'!AV$3:AV892,A23)</f>
        <v>0</v>
      </c>
      <c r="AA23" s="238">
        <f>SUMIFS('Все игры'!AY$3:AY892,'Все игры'!AV$3:AV892,A23,'Все игры'!AW$3:AW892,"Мафия")</f>
        <v>0</v>
      </c>
      <c r="AB23" s="238">
        <f>SUMIFS('Все игры'!AY$3:AY892,'Все игры'!AV$3:AV892,A23,'Все игры'!AW$3:AW892,"Шериф")</f>
        <v>0</v>
      </c>
      <c r="AC23" s="238">
        <f>SUMIFS('Все игры'!AY$3:AY892,'Все игры'!AV$3:AV892,A23,'Все игры'!AW$3:AW892,"Дон")</f>
        <v>0</v>
      </c>
      <c r="AD23" s="238">
        <f>SUMIFS('Все игры'!AY$3:AY892,'Все игры'!AV$3:AV892,A23,'Все игры'!AW$3:AW892,"Мирный")</f>
        <v>0</v>
      </c>
      <c r="AE23" s="238">
        <f t="shared" si="28"/>
        <v>0</v>
      </c>
      <c r="AF23" s="238">
        <f t="shared" si="29"/>
        <v>0</v>
      </c>
      <c r="AG23" s="238">
        <f t="shared" si="30"/>
        <v>0</v>
      </c>
      <c r="AH23" s="238">
        <f t="shared" si="31"/>
        <v>0</v>
      </c>
      <c r="AI23" s="238">
        <f t="shared" si="32"/>
        <v>0</v>
      </c>
    </row>
    <row r="24">
      <c r="A24" s="195"/>
      <c r="B24" s="129">
        <f t="shared" si="17"/>
        <v>0</v>
      </c>
      <c r="C24" s="128" t="str">
        <f>IF(COUNTIFS('Все игры'!AV$3:AV892,A24,'Все игры'!BA$3:BA892,"=1")=0, "", COUNTIFS('Все игры'!AV$3:AV892,A24,'Все игры'!BA$3:BA892,"=1"))</f>
        <v/>
      </c>
      <c r="D24" s="233" t="str">
        <f>IF(COUNTIFS('Все игры'!AV$3:AV892,A24,'Все игры'!BA$3:BA892,"=0,50")=0, "", COUNTIFS('Все игры'!AV$3:AV892,A24,'Все игры'!BA$3:BA892,"=0,50"))</f>
        <v/>
      </c>
      <c r="E24" s="234" t="str">
        <f>IF(COUNTIFS('Все игры'!AV$3:AV892,A24,'Все игры'!AZ$3:AZ892,"ПУ")=0, "", COUNTIFS('Все игры'!AV$3:AV892,A24,'Все игры'!AZ$3:AZ892,"ПУ"))</f>
        <v/>
      </c>
      <c r="F24" s="235">
        <f t="shared" si="18"/>
        <v>0</v>
      </c>
      <c r="G24" s="234" t="str">
        <f>IF(COUNTIFS('Все игры'!AV$3:AV892,A24,'Все игры'!AZ$3:AZ892,"У/Победа")=0, "",COUNTIFS('Все игры'!AV$3:AV892,A24,'Все игры'!AZ$3:AZ892,"У/Победа") )</f>
        <v/>
      </c>
      <c r="H24" s="234" t="str">
        <f>IF(COUNTIFS('Все игры'!AV$3:AV892,A24,'Все игры'!AZ$3:AZ892,"У/Проигрыш")=0, "",COUNTIFS('Все игры'!AV$3:AV892,A24,'Все игры'!AZ$3:AZ892,"У/Проигрыш") )</f>
        <v/>
      </c>
      <c r="I24" s="129">
        <f t="shared" si="19"/>
        <v>0</v>
      </c>
      <c r="J24" s="129">
        <f t="shared" si="20"/>
        <v>0</v>
      </c>
      <c r="K24" s="129">
        <f>COUNTIFS('Все игры'!AV$3:AV892,A24,'Все игры'!AX$3:AX892,"&gt;0",'Все игры'!AW$3:AW892,"Мафия")</f>
        <v>0</v>
      </c>
      <c r="L24" s="129">
        <f>IFERROR(__xludf.DUMMYFUNCTION("COUNTBLANK(FILTER('Все игры'!AV$3:AX892,'Все игры'!AV$3:AV892=A24,'Все игры'!AX$3:AX892 &lt; 1,'Все игры'!AW$3:AW892=""Мафия""))"),0.0)</f>
        <v>0</v>
      </c>
      <c r="M24" s="129">
        <f>COUNTIFS('Все игры'!AV$3:AV892,A24,'Все игры'!AX$3:AX892,"&gt;0",'Все игры'!AW$3:AW892,"Шериф")</f>
        <v>0</v>
      </c>
      <c r="N24" s="129">
        <f>IFERROR(__xludf.DUMMYFUNCTION("COUNTBLANK(FILTER('Все игры'!AV$3:AX892,'Все игры'!AV$3:AV892=A24,'Все игры'!AX$3:AX892 &lt; 1,'Все игры'!AW$3:AW892=""Шериф""))"),0.0)</f>
        <v>0</v>
      </c>
      <c r="O24" s="129">
        <f>COUNTIFS('Все игры'!AV$3:AV892,A24,'Все игры'!AX$3:AX892,"&gt;0",'Все игры'!AW$3:AW892,"Дон")</f>
        <v>0</v>
      </c>
      <c r="P24" s="236">
        <f>IFERROR(__xludf.DUMMYFUNCTION("COUNTBLANK(FILTER('Все игры'!AV$3:AX892,'Все игры'!AV$3:AV892=A24,'Все игры'!AX$3:AX892 &lt; 1,'Все игры'!AW$3:AW892=""Дон""))"),0.0)</f>
        <v>0</v>
      </c>
      <c r="Q24" s="129">
        <f>COUNTIFS('Все игры'!AV$3:AV892,A24,'Все игры'!AX$3:AX892,"&gt;0",'Все игры'!AW$3:AW892,"Мирный")</f>
        <v>0</v>
      </c>
      <c r="R24" s="129">
        <f>IFERROR(__xludf.DUMMYFUNCTION("COUNTBLANK(FILTER('Все игры'!AV$3:AX892,'Все игры'!AV$3:AV892=A24,'Все игры'!AX$3:AX892 &lt; 1,'Все игры'!AW$3:AW892=""Мирный""))"),0.0)</f>
        <v>0</v>
      </c>
      <c r="S24" s="237" t="str">
        <f t="shared" si="21"/>
        <v/>
      </c>
      <c r="T24" s="237" t="str">
        <f t="shared" si="22"/>
        <v/>
      </c>
      <c r="U24" s="237" t="str">
        <f t="shared" si="23"/>
        <v/>
      </c>
      <c r="V24" s="237" t="str">
        <f t="shared" si="24"/>
        <v/>
      </c>
      <c r="W24" s="237" t="str">
        <f t="shared" si="25"/>
        <v/>
      </c>
      <c r="X24" s="237" t="str">
        <f t="shared" si="26"/>
        <v/>
      </c>
      <c r="Y24" s="237" t="str">
        <f t="shared" si="27"/>
        <v/>
      </c>
      <c r="Z24" s="238">
        <f>SUMIFS('Все игры'!AY$3:AY892,'Все игры'!AV$3:AV892,A24)</f>
        <v>0</v>
      </c>
      <c r="AA24" s="238">
        <f>SUMIFS('Все игры'!AY$3:AY892,'Все игры'!AV$3:AV892,A24,'Все игры'!AW$3:AW892,"Мафия")</f>
        <v>0</v>
      </c>
      <c r="AB24" s="238">
        <f>SUMIFS('Все игры'!AY$3:AY892,'Все игры'!AV$3:AV892,A24,'Все игры'!AW$3:AW892,"Шериф")</f>
        <v>0</v>
      </c>
      <c r="AC24" s="238">
        <f>SUMIFS('Все игры'!AY$3:AY892,'Все игры'!AV$3:AV892,A24,'Все игры'!AW$3:AW892,"Дон")</f>
        <v>0</v>
      </c>
      <c r="AD24" s="238">
        <f>SUMIFS('Все игры'!AY$3:AY892,'Все игры'!AV$3:AV892,A24,'Все игры'!AW$3:AW892,"Мирный")</f>
        <v>0</v>
      </c>
      <c r="AE24" s="238">
        <f t="shared" si="28"/>
        <v>0</v>
      </c>
      <c r="AF24" s="238">
        <f t="shared" si="29"/>
        <v>0</v>
      </c>
      <c r="AG24" s="238">
        <f t="shared" si="30"/>
        <v>0</v>
      </c>
      <c r="AH24" s="238">
        <f t="shared" si="31"/>
        <v>0</v>
      </c>
      <c r="AI24" s="238">
        <f t="shared" si="32"/>
        <v>0</v>
      </c>
    </row>
    <row r="25">
      <c r="A25" s="195"/>
      <c r="B25" s="129">
        <f t="shared" si="17"/>
        <v>0</v>
      </c>
      <c r="C25" s="128" t="str">
        <f>IF(COUNTIFS('Все игры'!AV$3:AV892,A25,'Все игры'!BA$3:BA892,"=1")=0, "", COUNTIFS('Все игры'!AV$3:AV892,A25,'Все игры'!BA$3:BA892,"=1"))</f>
        <v/>
      </c>
      <c r="D25" s="233" t="str">
        <f>IF(COUNTIFS('Все игры'!AV$3:AV892,A25,'Все игры'!BA$3:BA892,"=0,50")=0, "", COUNTIFS('Все игры'!AV$3:AV892,A25,'Все игры'!BA$3:BA892,"=0,50"))</f>
        <v/>
      </c>
      <c r="E25" s="234" t="str">
        <f>IF(COUNTIFS('Все игры'!AV$3:AV892,A25,'Все игры'!AZ$3:AZ892,"ПУ")=0, "", COUNTIFS('Все игры'!AV$3:AV892,A25,'Все игры'!AZ$3:AZ892,"ПУ"))</f>
        <v/>
      </c>
      <c r="F25" s="235">
        <f t="shared" si="18"/>
        <v>0</v>
      </c>
      <c r="G25" s="234" t="str">
        <f>IF(COUNTIFS('Все игры'!AV$3:AV892,A25,'Все игры'!AZ$3:AZ892,"У/Победа")=0, "",COUNTIFS('Все игры'!AV$3:AV892,A25,'Все игры'!AZ$3:AZ892,"У/Победа") )</f>
        <v/>
      </c>
      <c r="H25" s="234" t="str">
        <f>IF(COUNTIFS('Все игры'!AV$3:AV892,A25,'Все игры'!AZ$3:AZ892,"У/Проигрыш")=0, "",COUNTIFS('Все игры'!AV$3:AV892,A25,'Все игры'!AZ$3:AZ892,"У/Проигрыш") )</f>
        <v/>
      </c>
      <c r="I25" s="129">
        <f t="shared" si="19"/>
        <v>0</v>
      </c>
      <c r="J25" s="129">
        <f t="shared" si="20"/>
        <v>0</v>
      </c>
      <c r="K25" s="129">
        <f>COUNTIFS('Все игры'!AV$3:AV892,A25,'Все игры'!AX$3:AX892,"&gt;0",'Все игры'!AW$3:AW892,"Мафия")</f>
        <v>0</v>
      </c>
      <c r="L25" s="129">
        <f>IFERROR(__xludf.DUMMYFUNCTION("COUNTBLANK(FILTER('Все игры'!AV$3:AX892,'Все игры'!AV$3:AV892=A25,'Все игры'!AX$3:AX892 &lt; 1,'Все игры'!AW$3:AW892=""Мафия""))"),0.0)</f>
        <v>0</v>
      </c>
      <c r="M25" s="129">
        <f>COUNTIFS('Все игры'!AV$3:AV892,A25,'Все игры'!AX$3:AX892,"&gt;0",'Все игры'!AW$3:AW892,"Шериф")</f>
        <v>0</v>
      </c>
      <c r="N25" s="129">
        <f>IFERROR(__xludf.DUMMYFUNCTION("COUNTBLANK(FILTER('Все игры'!AV$3:AX892,'Все игры'!AV$3:AV892=A25,'Все игры'!AX$3:AX892 &lt; 1,'Все игры'!AW$3:AW892=""Шериф""))"),0.0)</f>
        <v>0</v>
      </c>
      <c r="O25" s="129">
        <f>COUNTIFS('Все игры'!AV$3:AV892,A25,'Все игры'!AX$3:AX892,"&gt;0",'Все игры'!AW$3:AW892,"Дон")</f>
        <v>0</v>
      </c>
      <c r="P25" s="236">
        <f>IFERROR(__xludf.DUMMYFUNCTION("COUNTBLANK(FILTER('Все игры'!AV$3:AX892,'Все игры'!AV$3:AV892=A25,'Все игры'!AX$3:AX892 &lt; 1,'Все игры'!AW$3:AW892=""Дон""))"),0.0)</f>
        <v>0</v>
      </c>
      <c r="Q25" s="129">
        <f>COUNTIFS('Все игры'!AV$3:AV892,A25,'Все игры'!AX$3:AX892,"&gt;0",'Все игры'!AW$3:AW892,"Мирный")</f>
        <v>0</v>
      </c>
      <c r="R25" s="129">
        <f>IFERROR(__xludf.DUMMYFUNCTION("COUNTBLANK(FILTER('Все игры'!AV$3:AX892,'Все игры'!AV$3:AV892=A25,'Все игры'!AX$3:AX892 &lt; 1,'Все игры'!AW$3:AW892=""Мирный""))"),0.0)</f>
        <v>0</v>
      </c>
      <c r="S25" s="237" t="str">
        <f t="shared" si="21"/>
        <v/>
      </c>
      <c r="T25" s="237" t="str">
        <f t="shared" si="22"/>
        <v/>
      </c>
      <c r="U25" s="237" t="str">
        <f t="shared" si="23"/>
        <v/>
      </c>
      <c r="V25" s="237" t="str">
        <f t="shared" si="24"/>
        <v/>
      </c>
      <c r="W25" s="237" t="str">
        <f t="shared" si="25"/>
        <v/>
      </c>
      <c r="X25" s="237" t="str">
        <f t="shared" si="26"/>
        <v/>
      </c>
      <c r="Y25" s="237" t="str">
        <f t="shared" si="27"/>
        <v/>
      </c>
      <c r="Z25" s="238">
        <f>SUMIFS('Все игры'!AY$3:AY892,'Все игры'!AV$3:AV892,A25)</f>
        <v>0</v>
      </c>
      <c r="AA25" s="238">
        <f>SUMIFS('Все игры'!AY$3:AY892,'Все игры'!AV$3:AV892,A25,'Все игры'!AW$3:AW892,"Мафия")</f>
        <v>0</v>
      </c>
      <c r="AB25" s="238">
        <f>SUMIFS('Все игры'!AY$3:AY892,'Все игры'!AV$3:AV892,A25,'Все игры'!AW$3:AW892,"Шериф")</f>
        <v>0</v>
      </c>
      <c r="AC25" s="238">
        <f>SUMIFS('Все игры'!AY$3:AY892,'Все игры'!AV$3:AV892,A25,'Все игры'!AW$3:AW892,"Дон")</f>
        <v>0</v>
      </c>
      <c r="AD25" s="238">
        <f>SUMIFS('Все игры'!AY$3:AY892,'Все игры'!AV$3:AV892,A25,'Все игры'!AW$3:AW892,"Мирный")</f>
        <v>0</v>
      </c>
      <c r="AE25" s="238">
        <f t="shared" si="28"/>
        <v>0</v>
      </c>
      <c r="AF25" s="238">
        <f t="shared" si="29"/>
        <v>0</v>
      </c>
      <c r="AG25" s="238">
        <f t="shared" si="30"/>
        <v>0</v>
      </c>
      <c r="AH25" s="238">
        <f t="shared" si="31"/>
        <v>0</v>
      </c>
      <c r="AI25" s="238">
        <f t="shared" si="32"/>
        <v>0</v>
      </c>
    </row>
    <row r="26">
      <c r="A26" s="195"/>
      <c r="B26" s="129">
        <f t="shared" si="17"/>
        <v>0</v>
      </c>
      <c r="C26" s="128" t="str">
        <f>IF(COUNTIFS('Все игры'!AV$3:AV892,A26,'Все игры'!BA$3:BA892,"=1")=0, "", COUNTIFS('Все игры'!AV$3:AV892,A26,'Все игры'!BA$3:BA892,"=1"))</f>
        <v/>
      </c>
      <c r="D26" s="233" t="str">
        <f>IF(COUNTIFS('Все игры'!AV$3:AV892,A26,'Все игры'!BA$3:BA892,"=0,50")=0, "", COUNTIFS('Все игры'!AV$3:AV892,A26,'Все игры'!BA$3:BA892,"=0,50"))</f>
        <v/>
      </c>
      <c r="E26" s="234" t="str">
        <f>IF(COUNTIFS('Все игры'!AV$3:AV892,A26,'Все игры'!AZ$3:AZ892,"ПУ")=0, "", COUNTIFS('Все игры'!AV$3:AV892,A26,'Все игры'!AZ$3:AZ892,"ПУ"))</f>
        <v/>
      </c>
      <c r="F26" s="235">
        <f t="shared" si="18"/>
        <v>0</v>
      </c>
      <c r="G26" s="234" t="str">
        <f>IF(COUNTIFS('Все игры'!AV$3:AV892,A26,'Все игры'!AZ$3:AZ892,"У/Победа")=0, "",COUNTIFS('Все игры'!AV$3:AV892,A26,'Все игры'!AZ$3:AZ892,"У/Победа") )</f>
        <v/>
      </c>
      <c r="H26" s="234" t="str">
        <f>IF(COUNTIFS('Все игры'!AV$3:AV892,A26,'Все игры'!AZ$3:AZ892,"У/Проигрыш")=0, "",COUNTIFS('Все игры'!AV$3:AV892,A26,'Все игры'!AZ$3:AZ892,"У/Проигрыш") )</f>
        <v/>
      </c>
      <c r="I26" s="129">
        <f t="shared" si="19"/>
        <v>0</v>
      </c>
      <c r="J26" s="129">
        <f t="shared" si="20"/>
        <v>0</v>
      </c>
      <c r="K26" s="129">
        <f>COUNTIFS('Все игры'!AV$3:AV892,A26,'Все игры'!AX$3:AX892,"&gt;0",'Все игры'!AW$3:AW892,"Мафия")</f>
        <v>0</v>
      </c>
      <c r="L26" s="129">
        <f>IFERROR(__xludf.DUMMYFUNCTION("COUNTBLANK(FILTER('Все игры'!AV$3:AX892,'Все игры'!AV$3:AV892=A26,'Все игры'!AX$3:AX892 &lt; 1,'Все игры'!AW$3:AW892=""Мафия""))"),0.0)</f>
        <v>0</v>
      </c>
      <c r="M26" s="129">
        <f>COUNTIFS('Все игры'!AV$3:AV892,A26,'Все игры'!AX$3:AX892,"&gt;0",'Все игры'!AW$3:AW892,"Шериф")</f>
        <v>0</v>
      </c>
      <c r="N26" s="129">
        <f>IFERROR(__xludf.DUMMYFUNCTION("COUNTBLANK(FILTER('Все игры'!AV$3:AX892,'Все игры'!AV$3:AV892=A26,'Все игры'!AX$3:AX892 &lt; 1,'Все игры'!AW$3:AW892=""Шериф""))"),0.0)</f>
        <v>0</v>
      </c>
      <c r="O26" s="129">
        <f>COUNTIFS('Все игры'!AV$3:AV892,A26,'Все игры'!AX$3:AX892,"&gt;0",'Все игры'!AW$3:AW892,"Дон")</f>
        <v>0</v>
      </c>
      <c r="P26" s="236">
        <f>IFERROR(__xludf.DUMMYFUNCTION("COUNTBLANK(FILTER('Все игры'!AV$3:AX892,'Все игры'!AV$3:AV892=A26,'Все игры'!AX$3:AX892 &lt; 1,'Все игры'!AW$3:AW892=""Дон""))"),0.0)</f>
        <v>0</v>
      </c>
      <c r="Q26" s="129">
        <f>COUNTIFS('Все игры'!AV$3:AV892,A26,'Все игры'!AX$3:AX892,"&gt;0",'Все игры'!AW$3:AW892,"Мирный")</f>
        <v>0</v>
      </c>
      <c r="R26" s="129">
        <f>IFERROR(__xludf.DUMMYFUNCTION("COUNTBLANK(FILTER('Все игры'!AV$3:AX892,'Все игры'!AV$3:AV892=A26,'Все игры'!AX$3:AX892 &lt; 1,'Все игры'!AW$3:AW892=""Мирный""))"),0.0)</f>
        <v>0</v>
      </c>
      <c r="S26" s="237" t="str">
        <f t="shared" si="21"/>
        <v/>
      </c>
      <c r="T26" s="237" t="str">
        <f t="shared" si="22"/>
        <v/>
      </c>
      <c r="U26" s="237" t="str">
        <f t="shared" si="23"/>
        <v/>
      </c>
      <c r="V26" s="237" t="str">
        <f t="shared" si="24"/>
        <v/>
      </c>
      <c r="W26" s="237" t="str">
        <f t="shared" si="25"/>
        <v/>
      </c>
      <c r="X26" s="237" t="str">
        <f t="shared" si="26"/>
        <v/>
      </c>
      <c r="Y26" s="237" t="str">
        <f t="shared" si="27"/>
        <v/>
      </c>
      <c r="Z26" s="238">
        <f>SUMIFS('Все игры'!AY$3:AY892,'Все игры'!AV$3:AV892,A26)</f>
        <v>0</v>
      </c>
      <c r="AA26" s="238">
        <f>SUMIFS('Все игры'!AY$3:AY892,'Все игры'!AV$3:AV892,A26,'Все игры'!AW$3:AW892,"Мафия")</f>
        <v>0</v>
      </c>
      <c r="AB26" s="238">
        <f>SUMIFS('Все игры'!AY$3:AY892,'Все игры'!AV$3:AV892,A26,'Все игры'!AW$3:AW892,"Шериф")</f>
        <v>0</v>
      </c>
      <c r="AC26" s="238">
        <f>SUMIFS('Все игры'!AY$3:AY892,'Все игры'!AV$3:AV892,A26,'Все игры'!AW$3:AW892,"Дон")</f>
        <v>0</v>
      </c>
      <c r="AD26" s="238">
        <f>SUMIFS('Все игры'!AY$3:AY892,'Все игры'!AV$3:AV892,A26,'Все игры'!AW$3:AW892,"Мирный")</f>
        <v>0</v>
      </c>
      <c r="AE26" s="238">
        <f t="shared" si="28"/>
        <v>0</v>
      </c>
      <c r="AF26" s="238">
        <f t="shared" si="29"/>
        <v>0</v>
      </c>
      <c r="AG26" s="238">
        <f t="shared" si="30"/>
        <v>0</v>
      </c>
      <c r="AH26" s="238">
        <f t="shared" si="31"/>
        <v>0</v>
      </c>
      <c r="AI26" s="238">
        <f t="shared" si="32"/>
        <v>0</v>
      </c>
    </row>
    <row r="27">
      <c r="A27" s="195"/>
      <c r="B27" s="129">
        <f t="shared" si="17"/>
        <v>0</v>
      </c>
      <c r="C27" s="128" t="str">
        <f>IF(COUNTIFS('Все игры'!AV$3:AV892,A27,'Все игры'!BA$3:BA892,"=1")=0, "", COUNTIFS('Все игры'!AV$3:AV892,A27,'Все игры'!BA$3:BA892,"=1"))</f>
        <v/>
      </c>
      <c r="D27" s="233" t="str">
        <f>IF(COUNTIFS('Все игры'!AV$3:AV892,A27,'Все игры'!BA$3:BA892,"=0,50")=0, "", COUNTIFS('Все игры'!AV$3:AV892,A27,'Все игры'!BA$3:BA892,"=0,50"))</f>
        <v/>
      </c>
      <c r="E27" s="234" t="str">
        <f>IF(COUNTIFS('Все игры'!AV$3:AV892,A27,'Все игры'!AZ$3:AZ892,"ПУ")=0, "", COUNTIFS('Все игры'!AV$3:AV892,A27,'Все игры'!AZ$3:AZ892,"ПУ"))</f>
        <v/>
      </c>
      <c r="F27" s="235">
        <f t="shared" si="18"/>
        <v>0</v>
      </c>
      <c r="G27" s="234" t="str">
        <f>IF(COUNTIFS('Все игры'!AV$3:AV892,A27,'Все игры'!AZ$3:AZ892,"У/Победа")=0, "",COUNTIFS('Все игры'!AV$3:AV892,A27,'Все игры'!AZ$3:AZ892,"У/Победа") )</f>
        <v/>
      </c>
      <c r="H27" s="234" t="str">
        <f>IF(COUNTIFS('Все игры'!AV$3:AV892,A27,'Все игры'!AZ$3:AZ892,"У/Проигрыш")=0, "",COUNTIFS('Все игры'!AV$3:AV892,A27,'Все игры'!AZ$3:AZ892,"У/Проигрыш") )</f>
        <v/>
      </c>
      <c r="I27" s="129">
        <f t="shared" si="19"/>
        <v>0</v>
      </c>
      <c r="J27" s="129">
        <f t="shared" si="20"/>
        <v>0</v>
      </c>
      <c r="K27" s="129">
        <f>COUNTIFS('Все игры'!AV$3:AV892,A27,'Все игры'!AX$3:AX892,"&gt;0",'Все игры'!AW$3:AW892,"Мафия")</f>
        <v>0</v>
      </c>
      <c r="L27" s="129">
        <f>IFERROR(__xludf.DUMMYFUNCTION("COUNTBLANK(FILTER('Все игры'!AV$3:AX892,'Все игры'!AV$3:AV892=A27,'Все игры'!AX$3:AX892 &lt; 1,'Все игры'!AW$3:AW892=""Мафия""))"),0.0)</f>
        <v>0</v>
      </c>
      <c r="M27" s="129">
        <f>COUNTIFS('Все игры'!AV$3:AV892,A27,'Все игры'!AX$3:AX892,"&gt;0",'Все игры'!AW$3:AW892,"Шериф")</f>
        <v>0</v>
      </c>
      <c r="N27" s="129">
        <f>IFERROR(__xludf.DUMMYFUNCTION("COUNTBLANK(FILTER('Все игры'!AV$3:AX892,'Все игры'!AV$3:AV892=A27,'Все игры'!AX$3:AX892 &lt; 1,'Все игры'!AW$3:AW892=""Шериф""))"),0.0)</f>
        <v>0</v>
      </c>
      <c r="O27" s="129">
        <f>COUNTIFS('Все игры'!AV$3:AV892,A27,'Все игры'!AX$3:AX892,"&gt;0",'Все игры'!AW$3:AW892,"Дон")</f>
        <v>0</v>
      </c>
      <c r="P27" s="236">
        <f>IFERROR(__xludf.DUMMYFUNCTION("COUNTBLANK(FILTER('Все игры'!AV$3:AX892,'Все игры'!AV$3:AV892=A27,'Все игры'!AX$3:AX892 &lt; 1,'Все игры'!AW$3:AW892=""Дон""))"),0.0)</f>
        <v>0</v>
      </c>
      <c r="Q27" s="129">
        <f>COUNTIFS('Все игры'!AV$3:AV892,A27,'Все игры'!AX$3:AX892,"&gt;0",'Все игры'!AW$3:AW892,"Мирный")</f>
        <v>0</v>
      </c>
      <c r="R27" s="129">
        <f>IFERROR(__xludf.DUMMYFUNCTION("COUNTBLANK(FILTER('Все игры'!AV$3:AX892,'Все игры'!AV$3:AV892=A27,'Все игры'!AX$3:AX892 &lt; 1,'Все игры'!AW$3:AW892=""Мирный""))"),0.0)</f>
        <v>0</v>
      </c>
      <c r="S27" s="237" t="str">
        <f t="shared" si="21"/>
        <v/>
      </c>
      <c r="T27" s="237" t="str">
        <f t="shared" si="22"/>
        <v/>
      </c>
      <c r="U27" s="237" t="str">
        <f t="shared" si="23"/>
        <v/>
      </c>
      <c r="V27" s="237" t="str">
        <f t="shared" si="24"/>
        <v/>
      </c>
      <c r="W27" s="237" t="str">
        <f t="shared" si="25"/>
        <v/>
      </c>
      <c r="X27" s="237" t="str">
        <f t="shared" si="26"/>
        <v/>
      </c>
      <c r="Y27" s="237" t="str">
        <f t="shared" si="27"/>
        <v/>
      </c>
      <c r="Z27" s="238">
        <f>SUMIFS('Все игры'!AY$3:AY892,'Все игры'!AV$3:AV892,A27)</f>
        <v>0</v>
      </c>
      <c r="AA27" s="238">
        <f>SUMIFS('Все игры'!AY$3:AY892,'Все игры'!AV$3:AV892,A27,'Все игры'!AW$3:AW892,"Мафия")</f>
        <v>0</v>
      </c>
      <c r="AB27" s="238">
        <f>SUMIFS('Все игры'!AY$3:AY892,'Все игры'!AV$3:AV892,A27,'Все игры'!AW$3:AW892,"Шериф")</f>
        <v>0</v>
      </c>
      <c r="AC27" s="238">
        <f>SUMIFS('Все игры'!AY$3:AY892,'Все игры'!AV$3:AV892,A27,'Все игры'!AW$3:AW892,"Дон")</f>
        <v>0</v>
      </c>
      <c r="AD27" s="238">
        <f>SUMIFS('Все игры'!AY$3:AY892,'Все игры'!AV$3:AV892,A27,'Все игры'!AW$3:AW892,"Мирный")</f>
        <v>0</v>
      </c>
      <c r="AE27" s="238">
        <f t="shared" si="28"/>
        <v>0</v>
      </c>
      <c r="AF27" s="238">
        <f t="shared" si="29"/>
        <v>0</v>
      </c>
      <c r="AG27" s="238">
        <f t="shared" si="30"/>
        <v>0</v>
      </c>
      <c r="AH27" s="238">
        <f t="shared" si="31"/>
        <v>0</v>
      </c>
      <c r="AI27" s="238">
        <f t="shared" si="32"/>
        <v>0</v>
      </c>
    </row>
    <row r="29">
      <c r="A29" s="215" t="s">
        <v>172</v>
      </c>
    </row>
    <row r="30">
      <c r="A30" s="216" t="s">
        <v>113</v>
      </c>
      <c r="B30" s="217" t="s">
        <v>138</v>
      </c>
      <c r="C30" s="218" t="s">
        <v>139</v>
      </c>
      <c r="D30" s="218" t="s">
        <v>140</v>
      </c>
      <c r="E30" s="218" t="s">
        <v>31</v>
      </c>
      <c r="F30" s="218" t="s">
        <v>141</v>
      </c>
      <c r="G30" s="219" t="s">
        <v>142</v>
      </c>
      <c r="H30" s="220" t="s">
        <v>143</v>
      </c>
      <c r="I30" s="221" t="s">
        <v>144</v>
      </c>
      <c r="J30" s="222" t="s">
        <v>145</v>
      </c>
      <c r="K30" s="223" t="s">
        <v>146</v>
      </c>
      <c r="L30" s="223" t="s">
        <v>147</v>
      </c>
      <c r="M30" s="224" t="s">
        <v>148</v>
      </c>
      <c r="N30" s="224" t="s">
        <v>149</v>
      </c>
      <c r="O30" s="222" t="s">
        <v>150</v>
      </c>
      <c r="P30" s="222" t="s">
        <v>151</v>
      </c>
      <c r="Q30" s="225" t="s">
        <v>152</v>
      </c>
      <c r="R30" s="225" t="s">
        <v>153</v>
      </c>
      <c r="S30" s="226" t="s">
        <v>154</v>
      </c>
      <c r="T30" s="226" t="s">
        <v>155</v>
      </c>
      <c r="U30" s="226" t="s">
        <v>156</v>
      </c>
      <c r="V30" s="223" t="s">
        <v>157</v>
      </c>
      <c r="W30" s="224" t="s">
        <v>158</v>
      </c>
      <c r="X30" s="222" t="s">
        <v>159</v>
      </c>
      <c r="Y30" s="225" t="s">
        <v>160</v>
      </c>
      <c r="Z30" s="226" t="s">
        <v>161</v>
      </c>
      <c r="AA30" s="227" t="s">
        <v>162</v>
      </c>
      <c r="AB30" s="228" t="s">
        <v>163</v>
      </c>
      <c r="AC30" s="229" t="s">
        <v>164</v>
      </c>
      <c r="AD30" s="230" t="s">
        <v>165</v>
      </c>
      <c r="AE30" s="226" t="s">
        <v>166</v>
      </c>
      <c r="AF30" s="227" t="s">
        <v>167</v>
      </c>
      <c r="AG30" s="224" t="s">
        <v>168</v>
      </c>
      <c r="AH30" s="229" t="s">
        <v>169</v>
      </c>
      <c r="AI30" s="231" t="s">
        <v>170</v>
      </c>
      <c r="AJ30" s="232"/>
      <c r="AK30" s="232"/>
      <c r="AL30" s="232"/>
      <c r="AM30" s="232"/>
      <c r="AN30" s="232"/>
      <c r="AO30" s="232"/>
      <c r="AP30" s="232"/>
      <c r="AQ30" s="232"/>
      <c r="AR30" s="232"/>
      <c r="AS30" s="232"/>
      <c r="AT30" s="232"/>
      <c r="AU30" s="232"/>
      <c r="AV30" s="232"/>
      <c r="AW30" s="232"/>
      <c r="AX30" s="232"/>
      <c r="AY30" s="232"/>
      <c r="AZ30" s="232"/>
      <c r="BA30" s="232"/>
      <c r="BB30" s="232"/>
      <c r="BC30" s="232"/>
      <c r="BD30" s="232"/>
      <c r="BE30" s="232"/>
      <c r="BF30" s="232"/>
      <c r="BG30" s="232"/>
      <c r="BH30" s="232"/>
      <c r="BI30" s="232"/>
      <c r="BJ30" s="232"/>
      <c r="BK30" s="232"/>
    </row>
    <row r="31">
      <c r="A31" s="195" t="str">
        <f t="array" ref="A31:A40">'Финал'!B6:B15</f>
        <v/>
      </c>
      <c r="B31" s="129">
        <f t="shared" ref="B31:B40" si="33">SUM(I31:J31)</f>
        <v>0</v>
      </c>
      <c r="C31" s="128" t="str">
        <f>IF(COUNTIFS('Все игры'!BD$3:BD892,A31,'Все игры'!BI$3:BI892,"=1")=0, "", COUNTIFS('Все игры'!BD$3:BD892,A31,'Все игры'!BI$3:BI892,"=1"))</f>
        <v/>
      </c>
      <c r="D31" s="233" t="str">
        <f>IF(COUNTIFS('Все игры'!BD$3:BD892,A31,'Все игры'!BI$3:BI892,"=0,50")=0, "", COUNTIFS('Все игры'!BD$3:BD892,A31,'Все игры'!BI$3:BI892,"=0,50"))</f>
        <v/>
      </c>
      <c r="E31" s="234" t="str">
        <f>IF(COUNTIFS('Все игры'!BD$3:BD892,A31,'Все игры'!BH$3:BH892,"ПУ")=0, "", COUNTIFS('Все игры'!BD$3:BD892,A31,'Все игры'!BH$3:BH892,"ПУ"))</f>
        <v/>
      </c>
      <c r="F31" s="235">
        <f t="shared" ref="F31:F40" si="34">IFERROR(E31/I31,0)</f>
        <v>0</v>
      </c>
      <c r="G31" s="234" t="str">
        <f>IF(COUNTIFS('Все игры'!BD$3:BD892,A31,'Все игры'!BH$3:BH892,"У/Победа")=0, "",COUNTIFS('Все игры'!BD$3:BD892,A31,'Все игры'!BH$3:BH892,"У/Победа") )</f>
        <v/>
      </c>
      <c r="H31" s="234" t="str">
        <f>IF(COUNTIFS('Все игры'!BD$3:BD892,A31,'Все игры'!BH$3:BH892,"У/Проигрыш")=0, "",COUNTIFS('Все игры'!BD$3:BD892,A31,'Все игры'!BH$3:BH892,"У/Проигрыш") )</f>
        <v/>
      </c>
      <c r="I31" s="129">
        <f t="shared" ref="I31:I40" si="35">M31+N31+Q31+R31</f>
        <v>0</v>
      </c>
      <c r="J31" s="129">
        <f t="shared" ref="J31:J40" si="36">K31+L31+O31+P31</f>
        <v>0</v>
      </c>
      <c r="K31" s="129">
        <f>COUNTIFS('Все игры'!BD$3:BD892,A31,'Все игры'!BF$3:BF892,"&gt;0",'Все игры'!BE$3:BE892,"Мафия")</f>
        <v>0</v>
      </c>
      <c r="L31" s="129">
        <f>IFERROR(__xludf.DUMMYFUNCTION("COUNTBLANK(FILTER('Все игры'!BD$3:BF892,'Все игры'!BD$3:BD892=A31,'Все игры'!BF$3:BF892 &lt; 1,'Все игры'!BE$3:BE892=""Мафия""))"),0.0)</f>
        <v>0</v>
      </c>
      <c r="M31" s="129">
        <f>COUNTIFS('Все игры'!BD$3:BD892,A31,'Все игры'!BF$3:BF892,"&gt;0",'Все игры'!BE$3:BE892,"Шериф")</f>
        <v>0</v>
      </c>
      <c r="N31" s="129">
        <f>IFERROR(__xludf.DUMMYFUNCTION("COUNTBLANK(FILTER('Все игры'!BD$3:BF892,'Все игры'!BD$3:BD892=A31,'Все игры'!BF$3:BF892 &lt; 1,'Все игры'!BE$3:BE892=""Шериф""))"),0.0)</f>
        <v>0</v>
      </c>
      <c r="O31" s="129">
        <f>COUNTIFS('Все игры'!BD$3:BD892,A31,'Все игры'!BF$3:BF892,"&gt;0",'Все игры'!BE$3:BE892,"Дон")</f>
        <v>0</v>
      </c>
      <c r="P31" s="236">
        <f>IFERROR(__xludf.DUMMYFUNCTION("COUNTBLANK(FILTER('Все игры'!BD$3:BF892,'Все игры'!BD$3:BD892=A31,'Все игры'!BF$3:BF892 &lt; 1,'Все игры'!BE$3:BE892=""Дон""))"),0.0)</f>
        <v>0</v>
      </c>
      <c r="Q31" s="129">
        <f>COUNTIFS('Все игры'!BD$3:BD892,A31,'Все игры'!BF$3:BF892,"&gt;0",'Все игры'!BE$3:BE892,"Мирный")</f>
        <v>0</v>
      </c>
      <c r="R31" s="129">
        <f>IFERROR(__xludf.DUMMYFUNCTION("COUNTBLANK(FILTER('Все игры'!BF$3:BF892,'Все игры'!BD$3:BD892=A31,'Все игры'!BF$3:BF892 &lt; 1,'Все игры'!BE$3:BE892=""Мирный""))"),0.0)</f>
        <v>0</v>
      </c>
      <c r="S31" s="237" t="str">
        <f t="shared" ref="S31:S40" si="37">IFERROR((K31+M31+O31+Q31)/(I31+J31), )</f>
        <v/>
      </c>
      <c r="T31" s="237" t="str">
        <f t="shared" ref="T31:T40" si="38">IFERROR((M31+Q31)/I31, )</f>
        <v/>
      </c>
      <c r="U31" s="237" t="str">
        <f t="shared" ref="U31:U40" si="39">IFERROR((K31+O31)/J31, )</f>
        <v/>
      </c>
      <c r="V31" s="237" t="str">
        <f t="shared" ref="V31:V40" si="40">IFERROR(K31/(K31+L31), )</f>
        <v/>
      </c>
      <c r="W31" s="237" t="str">
        <f t="shared" ref="W31:W40" si="41">IFERROR(M31/(M31+N31), )</f>
        <v/>
      </c>
      <c r="X31" s="237" t="str">
        <f t="shared" ref="X31:X40" si="42">IFERROR(O31/(O31+P31), )</f>
        <v/>
      </c>
      <c r="Y31" s="237" t="str">
        <f t="shared" ref="Y31:Y40" si="43">IFERROR(Q31/(Q31+R31), )</f>
        <v/>
      </c>
      <c r="Z31" s="238">
        <f>SUMIFS('Все игры'!BG$3:BG892,'Все игры'!BD$3:BD892,A31)</f>
        <v>0</v>
      </c>
      <c r="AA31" s="238">
        <f>SUMIFS('Все игры'!BG$3:BG892,'Все игры'!BD$3:BD892,A31,'Все игры'!BE$3:BE892,"Мафия")</f>
        <v>0</v>
      </c>
      <c r="AB31" s="238">
        <f>SUMIFS('Все игры'!BG$3:BG892,'Все игры'!BD$3:BD892,A31,'Все игры'!BE$3:BE892,"Шериф")</f>
        <v>0</v>
      </c>
      <c r="AC31" s="238">
        <f>SUMIFS('Все игры'!BG$3:BG892,'Все игры'!BD$3:BD892,A31,'Все игры'!BE$3:BE892,"Дон")</f>
        <v>0</v>
      </c>
      <c r="AD31" s="238">
        <f>SUMIFS('Все игры'!BG$3:BG892,'Все игры'!BD$3:BD892,A31,'Все игры'!BE$3:BE892,"Мирный")</f>
        <v>0</v>
      </c>
      <c r="AE31" s="238">
        <f t="shared" ref="AE31:AE40" si="44">IFERROR(Z31/B31,0)</f>
        <v>0</v>
      </c>
      <c r="AF31" s="238">
        <f t="shared" ref="AF31:AF40" si="45">IFERROR(AA31/(K31+L31),0)</f>
        <v>0</v>
      </c>
      <c r="AG31" s="238">
        <f t="shared" ref="AG31:AG40" si="46">IFERROR(AB31/(M31+N31),0)</f>
        <v>0</v>
      </c>
      <c r="AH31" s="238">
        <f t="shared" ref="AH31:AH40" si="47">IFERROR(AC31/(O31+P31),0)</f>
        <v>0</v>
      </c>
      <c r="AI31" s="238">
        <f t="shared" ref="AI31:AI40" si="48">IFERROR(AD31/(Q31+R31),0)</f>
        <v>0</v>
      </c>
    </row>
    <row r="32">
      <c r="A32" s="195"/>
      <c r="B32" s="129">
        <f t="shared" si="33"/>
        <v>0</v>
      </c>
      <c r="C32" s="128" t="str">
        <f>IF(COUNTIFS('Все игры'!BD$3:BD892,A32,'Все игры'!BI$3:BI892,"=1")=0, "", COUNTIFS('Все игры'!BD$3:BD892,A32,'Все игры'!BI$3:BI892,"=1"))</f>
        <v/>
      </c>
      <c r="D32" s="233" t="str">
        <f>IF(COUNTIFS('Все игры'!BD$3:BD892,A32,'Все игры'!BI$3:BI892,"=0,50")=0, "", COUNTIFS('Все игры'!BD$3:BD892,A32,'Все игры'!BI$3:BI892,"=0,50"))</f>
        <v/>
      </c>
      <c r="E32" s="234" t="str">
        <f>IF(COUNTIFS('Все игры'!BD$3:BD892,A32,'Все игры'!BH$3:BH892,"ПУ")=0, "", COUNTIFS('Все игры'!BD$3:BD892,A32,'Все игры'!BH$3:BH892,"ПУ"))</f>
        <v/>
      </c>
      <c r="F32" s="235">
        <f t="shared" si="34"/>
        <v>0</v>
      </c>
      <c r="G32" s="234" t="str">
        <f>IF(COUNTIFS('Все игры'!BD$3:BD892,A32,'Все игры'!BH$3:BH892,"У/Победа")=0, "",COUNTIFS('Все игры'!BD$3:BD892,A32,'Все игры'!BH$3:BH892,"У/Победа") )</f>
        <v/>
      </c>
      <c r="H32" s="234" t="str">
        <f>IF(COUNTIFS('Все игры'!BD$3:BD892,A32,'Все игры'!BH$3:BH892,"У/Проигрыш")=0, "",COUNTIFS('Все игры'!BD$3:BD892,A32,'Все игры'!BH$3:BH892,"У/Проигрыш") )</f>
        <v/>
      </c>
      <c r="I32" s="129">
        <f t="shared" si="35"/>
        <v>0</v>
      </c>
      <c r="J32" s="129">
        <f t="shared" si="36"/>
        <v>0</v>
      </c>
      <c r="K32" s="129">
        <f>COUNTIFS('Все игры'!BD$3:BD892,A32,'Все игры'!BF$3:BF892,"&gt;0",'Все игры'!BE$3:BE892,"Мафия")</f>
        <v>0</v>
      </c>
      <c r="L32" s="129">
        <f>IFERROR(__xludf.DUMMYFUNCTION("COUNTBLANK(FILTER('Все игры'!BD$3:BF892,'Все игры'!BD$3:BD892=A32,'Все игры'!BF$3:BF892 &lt; 1,'Все игры'!BE$3:BE892=""Мафия""))"),0.0)</f>
        <v>0</v>
      </c>
      <c r="M32" s="129">
        <f>COUNTIFS('Все игры'!BD$3:BD892,A32,'Все игры'!BF$3:BF892,"&gt;0",'Все игры'!BE$3:BE892,"Шериф")</f>
        <v>0</v>
      </c>
      <c r="N32" s="129">
        <f>IFERROR(__xludf.DUMMYFUNCTION("COUNTBLANK(FILTER('Все игры'!BD$3:BF892,'Все игры'!BD$3:BD892=A32,'Все игры'!BF$3:BF892 &lt; 1,'Все игры'!BE$3:BE892=""Шериф""))"),0.0)</f>
        <v>0</v>
      </c>
      <c r="O32" s="129">
        <f>COUNTIFS('Все игры'!BD$3:BD892,A32,'Все игры'!BF$3:BF892,"&gt;0",'Все игры'!BE$3:BE892,"Дон")</f>
        <v>0</v>
      </c>
      <c r="P32" s="236">
        <f>IFERROR(__xludf.DUMMYFUNCTION("COUNTBLANK(FILTER('Все игры'!BD$3:BF892,'Все игры'!BD$3:BD892=A32,'Все игры'!BF$3:BF892 &lt; 1,'Все игры'!BE$3:BE892=""Дон""))"),0.0)</f>
        <v>0</v>
      </c>
      <c r="Q32" s="129">
        <f>COUNTIFS('Все игры'!BD$3:BD892,A32,'Все игры'!BF$3:BF892,"&gt;0",'Все игры'!BE$3:BE892,"Мирный")</f>
        <v>0</v>
      </c>
      <c r="R32" s="129">
        <f>IFERROR(__xludf.DUMMYFUNCTION("COUNTBLANK(FILTER('Все игры'!BF$3:BF892,'Все игры'!BD$3:BD892=A32,'Все игры'!BF$3:BF892 &lt; 1,'Все игры'!BE$3:BE892=""Мирный""))"),0.0)</f>
        <v>0</v>
      </c>
      <c r="S32" s="237" t="str">
        <f t="shared" si="37"/>
        <v/>
      </c>
      <c r="T32" s="237" t="str">
        <f t="shared" si="38"/>
        <v/>
      </c>
      <c r="U32" s="237" t="str">
        <f t="shared" si="39"/>
        <v/>
      </c>
      <c r="V32" s="237" t="str">
        <f t="shared" si="40"/>
        <v/>
      </c>
      <c r="W32" s="237" t="str">
        <f t="shared" si="41"/>
        <v/>
      </c>
      <c r="X32" s="237" t="str">
        <f t="shared" si="42"/>
        <v/>
      </c>
      <c r="Y32" s="237" t="str">
        <f t="shared" si="43"/>
        <v/>
      </c>
      <c r="Z32" s="238">
        <f>SUMIFS('Все игры'!BG$3:BG892,'Все игры'!BD$3:BD892,A32)</f>
        <v>0</v>
      </c>
      <c r="AA32" s="238">
        <f>SUMIFS('Все игры'!BG$3:BG892,'Все игры'!BD$3:BD892,A32,'Все игры'!BE$3:BE892,"Мафия")</f>
        <v>0</v>
      </c>
      <c r="AB32" s="238">
        <f>SUMIFS('Все игры'!BG$3:BG892,'Все игры'!BD$3:BD892,A32,'Все игры'!BE$3:BE892,"Шериф")</f>
        <v>0</v>
      </c>
      <c r="AC32" s="238">
        <f>SUMIFS('Все игры'!BG$3:BG892,'Все игры'!BD$3:BD892,A32,'Все игры'!BE$3:BE892,"Дон")</f>
        <v>0</v>
      </c>
      <c r="AD32" s="238">
        <f>SUMIFS('Все игры'!BG$3:BG892,'Все игры'!BD$3:BD892,A32,'Все игры'!BE$3:BE892,"Мирный")</f>
        <v>0</v>
      </c>
      <c r="AE32" s="238">
        <f t="shared" si="44"/>
        <v>0</v>
      </c>
      <c r="AF32" s="238">
        <f t="shared" si="45"/>
        <v>0</v>
      </c>
      <c r="AG32" s="238">
        <f t="shared" si="46"/>
        <v>0</v>
      </c>
      <c r="AH32" s="238">
        <f t="shared" si="47"/>
        <v>0</v>
      </c>
      <c r="AI32" s="238">
        <f t="shared" si="48"/>
        <v>0</v>
      </c>
    </row>
    <row r="33">
      <c r="A33" s="195"/>
      <c r="B33" s="129">
        <f t="shared" si="33"/>
        <v>0</v>
      </c>
      <c r="C33" s="128" t="str">
        <f>IF(COUNTIFS('Все игры'!BD$3:BD892,A33,'Все игры'!BI$3:BI892,"=1")=0, "", COUNTIFS('Все игры'!BD$3:BD892,A33,'Все игры'!BI$3:BI892,"=1"))</f>
        <v/>
      </c>
      <c r="D33" s="233" t="str">
        <f>IF(COUNTIFS('Все игры'!BD$3:BD892,A33,'Все игры'!BI$3:BI892,"=0,50")=0, "", COUNTIFS('Все игры'!BD$3:BD892,A33,'Все игры'!BI$3:BI892,"=0,50"))</f>
        <v/>
      </c>
      <c r="E33" s="234" t="str">
        <f>IF(COUNTIFS('Все игры'!BD$3:BD892,A33,'Все игры'!BH$3:BH892,"ПУ")=0, "", COUNTIFS('Все игры'!BD$3:BD892,A33,'Все игры'!BH$3:BH892,"ПУ"))</f>
        <v/>
      </c>
      <c r="F33" s="235">
        <f t="shared" si="34"/>
        <v>0</v>
      </c>
      <c r="G33" s="234" t="str">
        <f>IF(COUNTIFS('Все игры'!BD$3:BD892,A33,'Все игры'!BH$3:BH892,"У/Победа")=0, "",COUNTIFS('Все игры'!BD$3:BD892,A33,'Все игры'!BH$3:BH892,"У/Победа") )</f>
        <v/>
      </c>
      <c r="H33" s="234" t="str">
        <f>IF(COUNTIFS('Все игры'!BD$3:BD892,A33,'Все игры'!BH$3:BH892,"У/Проигрыш")=0, "",COUNTIFS('Все игры'!BD$3:BD892,A33,'Все игры'!BH$3:BH892,"У/Проигрыш") )</f>
        <v/>
      </c>
      <c r="I33" s="129">
        <f t="shared" si="35"/>
        <v>0</v>
      </c>
      <c r="J33" s="129">
        <f t="shared" si="36"/>
        <v>0</v>
      </c>
      <c r="K33" s="129">
        <f>COUNTIFS('Все игры'!BD$3:BD892,A33,'Все игры'!BF$3:BF892,"&gt;0",'Все игры'!BE$3:BE892,"Мафия")</f>
        <v>0</v>
      </c>
      <c r="L33" s="129">
        <f>IFERROR(__xludf.DUMMYFUNCTION("COUNTBLANK(FILTER('Все игры'!BD$3:BF892,'Все игры'!BD$3:BD892=A33,'Все игры'!BF$3:BF892 &lt; 1,'Все игры'!BE$3:BE892=""Мафия""))"),0.0)</f>
        <v>0</v>
      </c>
      <c r="M33" s="129">
        <f>COUNTIFS('Все игры'!BD$3:BD892,A33,'Все игры'!BF$3:BF892,"&gt;0",'Все игры'!BE$3:BE892,"Шериф")</f>
        <v>0</v>
      </c>
      <c r="N33" s="129">
        <f>IFERROR(__xludf.DUMMYFUNCTION("COUNTBLANK(FILTER('Все игры'!BD$3:BF892,'Все игры'!BD$3:BD892=A33,'Все игры'!BF$3:BF892 &lt; 1,'Все игры'!BE$3:BE892=""Шериф""))"),0.0)</f>
        <v>0</v>
      </c>
      <c r="O33" s="129">
        <f>COUNTIFS('Все игры'!BD$3:BD892,A33,'Все игры'!BF$3:BF892,"&gt;0",'Все игры'!BE$3:BE892,"Дон")</f>
        <v>0</v>
      </c>
      <c r="P33" s="236">
        <f>IFERROR(__xludf.DUMMYFUNCTION("COUNTBLANK(FILTER('Все игры'!BD$3:BF892,'Все игры'!BD$3:BD892=A33,'Все игры'!BF$3:BF892 &lt; 1,'Все игры'!BE$3:BE892=""Дон""))"),0.0)</f>
        <v>0</v>
      </c>
      <c r="Q33" s="129">
        <f>COUNTIFS('Все игры'!BD$3:BD892,A33,'Все игры'!BF$3:BF892,"&gt;0",'Все игры'!BE$3:BE892,"Мирный")</f>
        <v>0</v>
      </c>
      <c r="R33" s="129">
        <f>IFERROR(__xludf.DUMMYFUNCTION("COUNTBLANK(FILTER('Все игры'!BF$3:BF892,'Все игры'!BD$3:BD892=A33,'Все игры'!BF$3:BF892 &lt; 1,'Все игры'!BE$3:BE892=""Мирный""))"),0.0)</f>
        <v>0</v>
      </c>
      <c r="S33" s="237" t="str">
        <f t="shared" si="37"/>
        <v/>
      </c>
      <c r="T33" s="237" t="str">
        <f t="shared" si="38"/>
        <v/>
      </c>
      <c r="U33" s="237" t="str">
        <f t="shared" si="39"/>
        <v/>
      </c>
      <c r="V33" s="237" t="str">
        <f t="shared" si="40"/>
        <v/>
      </c>
      <c r="W33" s="237" t="str">
        <f t="shared" si="41"/>
        <v/>
      </c>
      <c r="X33" s="237" t="str">
        <f t="shared" si="42"/>
        <v/>
      </c>
      <c r="Y33" s="237" t="str">
        <f t="shared" si="43"/>
        <v/>
      </c>
      <c r="Z33" s="238">
        <f>SUMIFS('Все игры'!BG$3:BG892,'Все игры'!BD$3:BD892,A33)</f>
        <v>0</v>
      </c>
      <c r="AA33" s="238">
        <f>SUMIFS('Все игры'!BG$3:BG892,'Все игры'!BD$3:BD892,A33,'Все игры'!BE$3:BE892,"Мафия")</f>
        <v>0</v>
      </c>
      <c r="AB33" s="238">
        <f>SUMIFS('Все игры'!BG$3:BG892,'Все игры'!BD$3:BD892,A33,'Все игры'!BE$3:BE892,"Шериф")</f>
        <v>0</v>
      </c>
      <c r="AC33" s="238">
        <f>SUMIFS('Все игры'!BG$3:BG892,'Все игры'!BD$3:BD892,A33,'Все игры'!BE$3:BE892,"Дон")</f>
        <v>0</v>
      </c>
      <c r="AD33" s="238">
        <f>SUMIFS('Все игры'!BG$3:BG892,'Все игры'!BD$3:BD892,A33,'Все игры'!BE$3:BE892,"Мирный")</f>
        <v>0</v>
      </c>
      <c r="AE33" s="238">
        <f t="shared" si="44"/>
        <v>0</v>
      </c>
      <c r="AF33" s="238">
        <f t="shared" si="45"/>
        <v>0</v>
      </c>
      <c r="AG33" s="238">
        <f t="shared" si="46"/>
        <v>0</v>
      </c>
      <c r="AH33" s="238">
        <f t="shared" si="47"/>
        <v>0</v>
      </c>
      <c r="AI33" s="238">
        <f t="shared" si="48"/>
        <v>0</v>
      </c>
    </row>
    <row r="34">
      <c r="A34" s="195"/>
      <c r="B34" s="129">
        <f t="shared" si="33"/>
        <v>0</v>
      </c>
      <c r="C34" s="128" t="str">
        <f>IF(COUNTIFS('Все игры'!BD$3:BD892,A34,'Все игры'!BI$3:BI892,"=1")=0, "", COUNTIFS('Все игры'!BD$3:BD892,A34,'Все игры'!BI$3:BI892,"=1"))</f>
        <v/>
      </c>
      <c r="D34" s="233" t="str">
        <f>IF(COUNTIFS('Все игры'!BD$3:BD892,A34,'Все игры'!BI$3:BI892,"=0,50")=0, "", COUNTIFS('Все игры'!BD$3:BD892,A34,'Все игры'!BI$3:BI892,"=0,50"))</f>
        <v/>
      </c>
      <c r="E34" s="234" t="str">
        <f>IF(COUNTIFS('Все игры'!BD$3:BD892,A34,'Все игры'!BH$3:BH892,"ПУ")=0, "", COUNTIFS('Все игры'!BD$3:BD892,A34,'Все игры'!BH$3:BH892,"ПУ"))</f>
        <v/>
      </c>
      <c r="F34" s="235">
        <f t="shared" si="34"/>
        <v>0</v>
      </c>
      <c r="G34" s="234" t="str">
        <f>IF(COUNTIFS('Все игры'!BD$3:BD892,A34,'Все игры'!BH$3:BH892,"У/Победа")=0, "",COUNTIFS('Все игры'!BD$3:BD892,A34,'Все игры'!BH$3:BH892,"У/Победа") )</f>
        <v/>
      </c>
      <c r="H34" s="234" t="str">
        <f>IF(COUNTIFS('Все игры'!BD$3:BD892,A34,'Все игры'!BH$3:BH892,"У/Проигрыш")=0, "",COUNTIFS('Все игры'!BD$3:BD892,A34,'Все игры'!BH$3:BH892,"У/Проигрыш") )</f>
        <v/>
      </c>
      <c r="I34" s="129">
        <f t="shared" si="35"/>
        <v>0</v>
      </c>
      <c r="J34" s="129">
        <f t="shared" si="36"/>
        <v>0</v>
      </c>
      <c r="K34" s="129">
        <f>COUNTIFS('Все игры'!BD$3:BD892,A34,'Все игры'!BF$3:BF892,"&gt;0",'Все игры'!BE$3:BE892,"Мафия")</f>
        <v>0</v>
      </c>
      <c r="L34" s="129">
        <f>IFERROR(__xludf.DUMMYFUNCTION("COUNTBLANK(FILTER('Все игры'!BD$3:BF892,'Все игры'!BD$3:BD892=A34,'Все игры'!BF$3:BF892 &lt; 1,'Все игры'!BE$3:BE892=""Мафия""))"),0.0)</f>
        <v>0</v>
      </c>
      <c r="M34" s="129">
        <f>COUNTIFS('Все игры'!BD$3:BD892,A34,'Все игры'!BF$3:BF892,"&gt;0",'Все игры'!BE$3:BE892,"Шериф")</f>
        <v>0</v>
      </c>
      <c r="N34" s="129">
        <f>IFERROR(__xludf.DUMMYFUNCTION("COUNTBLANK(FILTER('Все игры'!BD$3:BF892,'Все игры'!BD$3:BD892=A34,'Все игры'!BF$3:BF892 &lt; 1,'Все игры'!BE$3:BE892=""Шериф""))"),0.0)</f>
        <v>0</v>
      </c>
      <c r="O34" s="129">
        <f>COUNTIFS('Все игры'!BD$3:BD892,A34,'Все игры'!BF$3:BF892,"&gt;0",'Все игры'!BE$3:BE892,"Дон")</f>
        <v>0</v>
      </c>
      <c r="P34" s="236">
        <f>IFERROR(__xludf.DUMMYFUNCTION("COUNTBLANK(FILTER('Все игры'!BD$3:BF892,'Все игры'!BD$3:BD892=A34,'Все игры'!BF$3:BF892 &lt; 1,'Все игры'!BE$3:BE892=""Дон""))"),0.0)</f>
        <v>0</v>
      </c>
      <c r="Q34" s="129">
        <f>COUNTIFS('Все игры'!BD$3:BD892,A34,'Все игры'!BF$3:BF892,"&gt;0",'Все игры'!BE$3:BE892,"Мирный")</f>
        <v>0</v>
      </c>
      <c r="R34" s="129">
        <f>IFERROR(__xludf.DUMMYFUNCTION("COUNTBLANK(FILTER('Все игры'!BF$3:BF892,'Все игры'!BD$3:BD892=A34,'Все игры'!BF$3:BF892 &lt; 1,'Все игры'!BE$3:BE892=""Мирный""))"),0.0)</f>
        <v>0</v>
      </c>
      <c r="S34" s="237" t="str">
        <f t="shared" si="37"/>
        <v/>
      </c>
      <c r="T34" s="237" t="str">
        <f t="shared" si="38"/>
        <v/>
      </c>
      <c r="U34" s="237" t="str">
        <f t="shared" si="39"/>
        <v/>
      </c>
      <c r="V34" s="237" t="str">
        <f t="shared" si="40"/>
        <v/>
      </c>
      <c r="W34" s="237" t="str">
        <f t="shared" si="41"/>
        <v/>
      </c>
      <c r="X34" s="237" t="str">
        <f t="shared" si="42"/>
        <v/>
      </c>
      <c r="Y34" s="237" t="str">
        <f t="shared" si="43"/>
        <v/>
      </c>
      <c r="Z34" s="238">
        <f>SUMIFS('Все игры'!BG$3:BG892,'Все игры'!BD$3:BD892,A34)</f>
        <v>0</v>
      </c>
      <c r="AA34" s="238">
        <f>SUMIFS('Все игры'!BG$3:BG892,'Все игры'!BD$3:BD892,A34,'Все игры'!BE$3:BE892,"Мафия")</f>
        <v>0</v>
      </c>
      <c r="AB34" s="238">
        <f>SUMIFS('Все игры'!BG$3:BG892,'Все игры'!BD$3:BD892,A34,'Все игры'!BE$3:BE892,"Шериф")</f>
        <v>0</v>
      </c>
      <c r="AC34" s="238">
        <f>SUMIFS('Все игры'!BG$3:BG892,'Все игры'!BD$3:BD892,A34,'Все игры'!BE$3:BE892,"Дон")</f>
        <v>0</v>
      </c>
      <c r="AD34" s="238">
        <f>SUMIFS('Все игры'!BG$3:BG892,'Все игры'!BD$3:BD892,A34,'Все игры'!BE$3:BE892,"Мирный")</f>
        <v>0</v>
      </c>
      <c r="AE34" s="238">
        <f t="shared" si="44"/>
        <v>0</v>
      </c>
      <c r="AF34" s="238">
        <f t="shared" si="45"/>
        <v>0</v>
      </c>
      <c r="AG34" s="238">
        <f t="shared" si="46"/>
        <v>0</v>
      </c>
      <c r="AH34" s="238">
        <f t="shared" si="47"/>
        <v>0</v>
      </c>
      <c r="AI34" s="238">
        <f t="shared" si="48"/>
        <v>0</v>
      </c>
    </row>
    <row r="35">
      <c r="A35" s="195"/>
      <c r="B35" s="129">
        <f t="shared" si="33"/>
        <v>0</v>
      </c>
      <c r="C35" s="128" t="str">
        <f>IF(COUNTIFS('Все игры'!BD$3:BD892,A35,'Все игры'!BI$3:BI892,"=1")=0, "", COUNTIFS('Все игры'!BD$3:BD892,A35,'Все игры'!BI$3:BI892,"=1"))</f>
        <v/>
      </c>
      <c r="D35" s="233" t="str">
        <f>IF(COUNTIFS('Все игры'!BD$3:BD892,A35,'Все игры'!BI$3:BI892,"=0,50")=0, "", COUNTIFS('Все игры'!BD$3:BD892,A35,'Все игры'!BI$3:BI892,"=0,50"))</f>
        <v/>
      </c>
      <c r="E35" s="234" t="str">
        <f>IF(COUNTIFS('Все игры'!BD$3:BD892,A35,'Все игры'!BH$3:BH892,"ПУ")=0, "", COUNTIFS('Все игры'!BD$3:BD892,A35,'Все игры'!BH$3:BH892,"ПУ"))</f>
        <v/>
      </c>
      <c r="F35" s="235">
        <f t="shared" si="34"/>
        <v>0</v>
      </c>
      <c r="G35" s="234" t="str">
        <f>IF(COUNTIFS('Все игры'!BD$3:BD892,A35,'Все игры'!BH$3:BH892,"У/Победа")=0, "",COUNTIFS('Все игры'!BD$3:BD892,A35,'Все игры'!BH$3:BH892,"У/Победа") )</f>
        <v/>
      </c>
      <c r="H35" s="234" t="str">
        <f>IF(COUNTIFS('Все игры'!BD$3:BD892,A35,'Все игры'!BH$3:BH892,"У/Проигрыш")=0, "",COUNTIFS('Все игры'!BD$3:BD892,A35,'Все игры'!BH$3:BH892,"У/Проигрыш") )</f>
        <v/>
      </c>
      <c r="I35" s="129">
        <f t="shared" si="35"/>
        <v>0</v>
      </c>
      <c r="J35" s="129">
        <f t="shared" si="36"/>
        <v>0</v>
      </c>
      <c r="K35" s="129">
        <f>COUNTIFS('Все игры'!BD$3:BD892,A35,'Все игры'!BF$3:BF892,"&gt;0",'Все игры'!BE$3:BE892,"Мафия")</f>
        <v>0</v>
      </c>
      <c r="L35" s="129">
        <f>IFERROR(__xludf.DUMMYFUNCTION("COUNTBLANK(FILTER('Все игры'!BD$3:BF892,'Все игры'!BD$3:BD892=A35,'Все игры'!BF$3:BF892 &lt; 1,'Все игры'!BE$3:BE892=""Мафия""))"),0.0)</f>
        <v>0</v>
      </c>
      <c r="M35" s="129">
        <f>COUNTIFS('Все игры'!BD$3:BD892,A35,'Все игры'!BF$3:BF892,"&gt;0",'Все игры'!BE$3:BE892,"Шериф")</f>
        <v>0</v>
      </c>
      <c r="N35" s="129">
        <f>IFERROR(__xludf.DUMMYFUNCTION("COUNTBLANK(FILTER('Все игры'!BD$3:BF892,'Все игры'!BD$3:BD892=A35,'Все игры'!BF$3:BF892 &lt; 1,'Все игры'!BE$3:BE892=""Шериф""))"),0.0)</f>
        <v>0</v>
      </c>
      <c r="O35" s="129">
        <f>COUNTIFS('Все игры'!BD$3:BD892,A35,'Все игры'!BF$3:BF892,"&gt;0",'Все игры'!BE$3:BE892,"Дон")</f>
        <v>0</v>
      </c>
      <c r="P35" s="236">
        <f>IFERROR(__xludf.DUMMYFUNCTION("COUNTBLANK(FILTER('Все игры'!BD$3:BF892,'Все игры'!BD$3:BD892=A35,'Все игры'!BF$3:BF892 &lt; 1,'Все игры'!BE$3:BE892=""Дон""))"),0.0)</f>
        <v>0</v>
      </c>
      <c r="Q35" s="129">
        <f>COUNTIFS('Все игры'!BD$3:BD892,A35,'Все игры'!BF$3:BF892,"&gt;0",'Все игры'!BE$3:BE892,"Мирный")</f>
        <v>0</v>
      </c>
      <c r="R35" s="129">
        <f>IFERROR(__xludf.DUMMYFUNCTION("COUNTBLANK(FILTER('Все игры'!BF$3:BF892,'Все игры'!BD$3:BD892=A35,'Все игры'!BF$3:BF892 &lt; 1,'Все игры'!BE$3:BE892=""Мирный""))"),0.0)</f>
        <v>0</v>
      </c>
      <c r="S35" s="237" t="str">
        <f t="shared" si="37"/>
        <v/>
      </c>
      <c r="T35" s="237" t="str">
        <f t="shared" si="38"/>
        <v/>
      </c>
      <c r="U35" s="237" t="str">
        <f t="shared" si="39"/>
        <v/>
      </c>
      <c r="V35" s="237" t="str">
        <f t="shared" si="40"/>
        <v/>
      </c>
      <c r="W35" s="237" t="str">
        <f t="shared" si="41"/>
        <v/>
      </c>
      <c r="X35" s="237" t="str">
        <f t="shared" si="42"/>
        <v/>
      </c>
      <c r="Y35" s="237" t="str">
        <f t="shared" si="43"/>
        <v/>
      </c>
      <c r="Z35" s="238">
        <f>SUMIFS('Все игры'!BG$3:BG892,'Все игры'!BD$3:BD892,A35)</f>
        <v>0</v>
      </c>
      <c r="AA35" s="238">
        <f>SUMIFS('Все игры'!BG$3:BG892,'Все игры'!BD$3:BD892,A35,'Все игры'!BE$3:BE892,"Мафия")</f>
        <v>0</v>
      </c>
      <c r="AB35" s="238">
        <f>SUMIFS('Все игры'!BG$3:BG892,'Все игры'!BD$3:BD892,A35,'Все игры'!BE$3:BE892,"Шериф")</f>
        <v>0</v>
      </c>
      <c r="AC35" s="238">
        <f>SUMIFS('Все игры'!BG$3:BG892,'Все игры'!BD$3:BD892,A35,'Все игры'!BE$3:BE892,"Дон")</f>
        <v>0</v>
      </c>
      <c r="AD35" s="238">
        <f>SUMIFS('Все игры'!BG$3:BG892,'Все игры'!BD$3:BD892,A35,'Все игры'!BE$3:BE892,"Мирный")</f>
        <v>0</v>
      </c>
      <c r="AE35" s="238">
        <f t="shared" si="44"/>
        <v>0</v>
      </c>
      <c r="AF35" s="238">
        <f t="shared" si="45"/>
        <v>0</v>
      </c>
      <c r="AG35" s="238">
        <f t="shared" si="46"/>
        <v>0</v>
      </c>
      <c r="AH35" s="238">
        <f t="shared" si="47"/>
        <v>0</v>
      </c>
      <c r="AI35" s="238">
        <f t="shared" si="48"/>
        <v>0</v>
      </c>
    </row>
    <row r="36">
      <c r="A36" s="195"/>
      <c r="B36" s="129">
        <f t="shared" si="33"/>
        <v>0</v>
      </c>
      <c r="C36" s="128" t="str">
        <f>IF(COUNTIFS('Все игры'!BD$3:BD892,A36,'Все игры'!BI$3:BI892,"=1")=0, "", COUNTIFS('Все игры'!BD$3:BD892,A36,'Все игры'!BI$3:BI892,"=1"))</f>
        <v/>
      </c>
      <c r="D36" s="233" t="str">
        <f>IF(COUNTIFS('Все игры'!BD$3:BD892,A36,'Все игры'!BI$3:BI892,"=0,50")=0, "", COUNTIFS('Все игры'!BD$3:BD892,A36,'Все игры'!BI$3:BI892,"=0,50"))</f>
        <v/>
      </c>
      <c r="E36" s="234" t="str">
        <f>IF(COUNTIFS('Все игры'!BD$3:BD892,A36,'Все игры'!BH$3:BH892,"ПУ")=0, "", COUNTIFS('Все игры'!BD$3:BD892,A36,'Все игры'!BH$3:BH892,"ПУ"))</f>
        <v/>
      </c>
      <c r="F36" s="235">
        <f t="shared" si="34"/>
        <v>0</v>
      </c>
      <c r="G36" s="234" t="str">
        <f>IF(COUNTIFS('Все игры'!BD$3:BD892,A36,'Все игры'!BH$3:BH892,"У/Победа")=0, "",COUNTIFS('Все игры'!BD$3:BD892,A36,'Все игры'!BH$3:BH892,"У/Победа") )</f>
        <v/>
      </c>
      <c r="H36" s="234" t="str">
        <f>IF(COUNTIFS('Все игры'!BD$3:BD892,A36,'Все игры'!BH$3:BH892,"У/Проигрыш")=0, "",COUNTIFS('Все игры'!BD$3:BD892,A36,'Все игры'!BH$3:BH892,"У/Проигрыш") )</f>
        <v/>
      </c>
      <c r="I36" s="129">
        <f t="shared" si="35"/>
        <v>0</v>
      </c>
      <c r="J36" s="129">
        <f t="shared" si="36"/>
        <v>0</v>
      </c>
      <c r="K36" s="129">
        <f>COUNTIFS('Все игры'!BD$3:BD892,A36,'Все игры'!BF$3:BF892,"&gt;0",'Все игры'!BE$3:BE892,"Мафия")</f>
        <v>0</v>
      </c>
      <c r="L36" s="129">
        <f>IFERROR(__xludf.DUMMYFUNCTION("COUNTBLANK(FILTER('Все игры'!BD$3:BF892,'Все игры'!BD$3:BD892=A36,'Все игры'!BF$3:BF892 &lt; 1,'Все игры'!BE$3:BE892=""Мафия""))"),0.0)</f>
        <v>0</v>
      </c>
      <c r="M36" s="129">
        <f>COUNTIFS('Все игры'!BD$3:BD892,A36,'Все игры'!BF$3:BF892,"&gt;0",'Все игры'!BE$3:BE892,"Шериф")</f>
        <v>0</v>
      </c>
      <c r="N36" s="129">
        <f>IFERROR(__xludf.DUMMYFUNCTION("COUNTBLANK(FILTER('Все игры'!BD$3:BF892,'Все игры'!BD$3:BD892=A36,'Все игры'!BF$3:BF892 &lt; 1,'Все игры'!BE$3:BE892=""Шериф""))"),0.0)</f>
        <v>0</v>
      </c>
      <c r="O36" s="129">
        <f>COUNTIFS('Все игры'!BD$3:BD892,A36,'Все игры'!BF$3:BF892,"&gt;0",'Все игры'!BE$3:BE892,"Дон")</f>
        <v>0</v>
      </c>
      <c r="P36" s="236">
        <f>IFERROR(__xludf.DUMMYFUNCTION("COUNTBLANK(FILTER('Все игры'!BD$3:BF892,'Все игры'!BD$3:BD892=A36,'Все игры'!BF$3:BF892 &lt; 1,'Все игры'!BE$3:BE892=""Дон""))"),0.0)</f>
        <v>0</v>
      </c>
      <c r="Q36" s="129">
        <f>COUNTIFS('Все игры'!BD$3:BD892,A36,'Все игры'!BF$3:BF892,"&gt;0",'Все игры'!BE$3:BE892,"Мирный")</f>
        <v>0</v>
      </c>
      <c r="R36" s="129">
        <f>IFERROR(__xludf.DUMMYFUNCTION("COUNTBLANK(FILTER('Все игры'!BF$3:BF892,'Все игры'!BD$3:BD892=A36,'Все игры'!BF$3:BF892 &lt; 1,'Все игры'!BE$3:BE892=""Мирный""))"),0.0)</f>
        <v>0</v>
      </c>
      <c r="S36" s="237" t="str">
        <f t="shared" si="37"/>
        <v/>
      </c>
      <c r="T36" s="237" t="str">
        <f t="shared" si="38"/>
        <v/>
      </c>
      <c r="U36" s="237" t="str">
        <f t="shared" si="39"/>
        <v/>
      </c>
      <c r="V36" s="237" t="str">
        <f t="shared" si="40"/>
        <v/>
      </c>
      <c r="W36" s="237" t="str">
        <f t="shared" si="41"/>
        <v/>
      </c>
      <c r="X36" s="237" t="str">
        <f t="shared" si="42"/>
        <v/>
      </c>
      <c r="Y36" s="237" t="str">
        <f t="shared" si="43"/>
        <v/>
      </c>
      <c r="Z36" s="238">
        <f>SUMIFS('Все игры'!BG$3:BG892,'Все игры'!BD$3:BD892,A36)</f>
        <v>0</v>
      </c>
      <c r="AA36" s="238">
        <f>SUMIFS('Все игры'!BG$3:BG892,'Все игры'!BD$3:BD892,A36,'Все игры'!BE$3:BE892,"Мафия")</f>
        <v>0</v>
      </c>
      <c r="AB36" s="238">
        <f>SUMIFS('Все игры'!BG$3:BG892,'Все игры'!BD$3:BD892,A36,'Все игры'!BE$3:BE892,"Шериф")</f>
        <v>0</v>
      </c>
      <c r="AC36" s="238">
        <f>SUMIFS('Все игры'!BG$3:BG892,'Все игры'!BD$3:BD892,A36,'Все игры'!BE$3:BE892,"Дон")</f>
        <v>0</v>
      </c>
      <c r="AD36" s="238">
        <f>SUMIFS('Все игры'!BG$3:BG892,'Все игры'!BD$3:BD892,A36,'Все игры'!BE$3:BE892,"Мирный")</f>
        <v>0</v>
      </c>
      <c r="AE36" s="238">
        <f t="shared" si="44"/>
        <v>0</v>
      </c>
      <c r="AF36" s="238">
        <f t="shared" si="45"/>
        <v>0</v>
      </c>
      <c r="AG36" s="238">
        <f t="shared" si="46"/>
        <v>0</v>
      </c>
      <c r="AH36" s="238">
        <f t="shared" si="47"/>
        <v>0</v>
      </c>
      <c r="AI36" s="238">
        <f t="shared" si="48"/>
        <v>0</v>
      </c>
    </row>
    <row r="37">
      <c r="A37" s="195"/>
      <c r="B37" s="129">
        <f t="shared" si="33"/>
        <v>0</v>
      </c>
      <c r="C37" s="128" t="str">
        <f>IF(COUNTIFS('Все игры'!BD$3:BD892,A37,'Все игры'!BI$3:BI892,"=1")=0, "", COUNTIFS('Все игры'!BD$3:BD892,A37,'Все игры'!BI$3:BI892,"=1"))</f>
        <v/>
      </c>
      <c r="D37" s="233" t="str">
        <f>IF(COUNTIFS('Все игры'!BD$3:BD892,A37,'Все игры'!BI$3:BI892,"=0,50")=0, "", COUNTIFS('Все игры'!BD$3:BD892,A37,'Все игры'!BI$3:BI892,"=0,50"))</f>
        <v/>
      </c>
      <c r="E37" s="234" t="str">
        <f>IF(COUNTIFS('Все игры'!BD$3:BD892,A37,'Все игры'!BH$3:BH892,"ПУ")=0, "", COUNTIFS('Все игры'!BD$3:BD892,A37,'Все игры'!BH$3:BH892,"ПУ"))</f>
        <v/>
      </c>
      <c r="F37" s="235">
        <f t="shared" si="34"/>
        <v>0</v>
      </c>
      <c r="G37" s="234" t="str">
        <f>IF(COUNTIFS('Все игры'!BD$3:BD892,A37,'Все игры'!BH$3:BH892,"У/Победа")=0, "",COUNTIFS('Все игры'!BD$3:BD892,A37,'Все игры'!BH$3:BH892,"У/Победа") )</f>
        <v/>
      </c>
      <c r="H37" s="234" t="str">
        <f>IF(COUNTIFS('Все игры'!BD$3:BD892,A37,'Все игры'!BH$3:BH892,"У/Проигрыш")=0, "",COUNTIFS('Все игры'!BD$3:BD892,A37,'Все игры'!BH$3:BH892,"У/Проигрыш") )</f>
        <v/>
      </c>
      <c r="I37" s="129">
        <f t="shared" si="35"/>
        <v>0</v>
      </c>
      <c r="J37" s="129">
        <f t="shared" si="36"/>
        <v>0</v>
      </c>
      <c r="K37" s="129">
        <f>COUNTIFS('Все игры'!BD$3:BD892,A37,'Все игры'!BF$3:BF892,"&gt;0",'Все игры'!BE$3:BE892,"Мафия")</f>
        <v>0</v>
      </c>
      <c r="L37" s="129">
        <f>IFERROR(__xludf.DUMMYFUNCTION("COUNTBLANK(FILTER('Все игры'!BD$3:BF892,'Все игры'!BD$3:BD892=A37,'Все игры'!BF$3:BF892 &lt; 1,'Все игры'!BE$3:BE892=""Мафия""))"),0.0)</f>
        <v>0</v>
      </c>
      <c r="M37" s="129">
        <f>COUNTIFS('Все игры'!BD$3:BD892,A37,'Все игры'!BF$3:BF892,"&gt;0",'Все игры'!BE$3:BE892,"Шериф")</f>
        <v>0</v>
      </c>
      <c r="N37" s="129">
        <f>IFERROR(__xludf.DUMMYFUNCTION("COUNTBLANK(FILTER('Все игры'!BD$3:BF892,'Все игры'!BD$3:BD892=A37,'Все игры'!BF$3:BF892 &lt; 1,'Все игры'!BE$3:BE892=""Шериф""))"),0.0)</f>
        <v>0</v>
      </c>
      <c r="O37" s="129">
        <f>COUNTIFS('Все игры'!BD$3:BD892,A37,'Все игры'!BF$3:BF892,"&gt;0",'Все игры'!BE$3:BE892,"Дон")</f>
        <v>0</v>
      </c>
      <c r="P37" s="236">
        <f>IFERROR(__xludf.DUMMYFUNCTION("COUNTBLANK(FILTER('Все игры'!BD$3:BF892,'Все игры'!BD$3:BD892=A37,'Все игры'!BF$3:BF892 &lt; 1,'Все игры'!BE$3:BE892=""Дон""))"),0.0)</f>
        <v>0</v>
      </c>
      <c r="Q37" s="129">
        <f>COUNTIFS('Все игры'!BD$3:BD892,A37,'Все игры'!BF$3:BF892,"&gt;0",'Все игры'!BE$3:BE892,"Мирный")</f>
        <v>0</v>
      </c>
      <c r="R37" s="129">
        <f>IFERROR(__xludf.DUMMYFUNCTION("COUNTBLANK(FILTER('Все игры'!BF$3:BF892,'Все игры'!BD$3:BD892=A37,'Все игры'!BF$3:BF892 &lt; 1,'Все игры'!BE$3:BE892=""Мирный""))"),0.0)</f>
        <v>0</v>
      </c>
      <c r="S37" s="237" t="str">
        <f t="shared" si="37"/>
        <v/>
      </c>
      <c r="T37" s="237" t="str">
        <f t="shared" si="38"/>
        <v/>
      </c>
      <c r="U37" s="237" t="str">
        <f t="shared" si="39"/>
        <v/>
      </c>
      <c r="V37" s="237" t="str">
        <f t="shared" si="40"/>
        <v/>
      </c>
      <c r="W37" s="237" t="str">
        <f t="shared" si="41"/>
        <v/>
      </c>
      <c r="X37" s="237" t="str">
        <f t="shared" si="42"/>
        <v/>
      </c>
      <c r="Y37" s="237" t="str">
        <f t="shared" si="43"/>
        <v/>
      </c>
      <c r="Z37" s="238">
        <f>SUMIFS('Все игры'!BG$3:BG892,'Все игры'!BD$3:BD892,A37)</f>
        <v>0</v>
      </c>
      <c r="AA37" s="238">
        <f>SUMIFS('Все игры'!BG$3:BG892,'Все игры'!BD$3:BD892,A37,'Все игры'!BE$3:BE892,"Мафия")</f>
        <v>0</v>
      </c>
      <c r="AB37" s="238">
        <f>SUMIFS('Все игры'!BG$3:BG892,'Все игры'!BD$3:BD892,A37,'Все игры'!BE$3:BE892,"Шериф")</f>
        <v>0</v>
      </c>
      <c r="AC37" s="238">
        <f>SUMIFS('Все игры'!BG$3:BG892,'Все игры'!BD$3:BD892,A37,'Все игры'!BE$3:BE892,"Дон")</f>
        <v>0</v>
      </c>
      <c r="AD37" s="238">
        <f>SUMIFS('Все игры'!BG$3:BG892,'Все игры'!BD$3:BD892,A37,'Все игры'!BE$3:BE892,"Мирный")</f>
        <v>0</v>
      </c>
      <c r="AE37" s="238">
        <f t="shared" si="44"/>
        <v>0</v>
      </c>
      <c r="AF37" s="238">
        <f t="shared" si="45"/>
        <v>0</v>
      </c>
      <c r="AG37" s="238">
        <f t="shared" si="46"/>
        <v>0</v>
      </c>
      <c r="AH37" s="238">
        <f t="shared" si="47"/>
        <v>0</v>
      </c>
      <c r="AI37" s="238">
        <f t="shared" si="48"/>
        <v>0</v>
      </c>
    </row>
    <row r="38">
      <c r="A38" s="195"/>
      <c r="B38" s="129">
        <f t="shared" si="33"/>
        <v>0</v>
      </c>
      <c r="C38" s="128" t="str">
        <f>IF(COUNTIFS('Все игры'!BD$3:BD892,A38,'Все игры'!BI$3:BI892,"=1")=0, "", COUNTIFS('Все игры'!BD$3:BD892,A38,'Все игры'!BI$3:BI892,"=1"))</f>
        <v/>
      </c>
      <c r="D38" s="233" t="str">
        <f>IF(COUNTIFS('Все игры'!BD$3:BD892,A38,'Все игры'!BI$3:BI892,"=0,50")=0, "", COUNTIFS('Все игры'!BD$3:BD892,A38,'Все игры'!BI$3:BI892,"=0,50"))</f>
        <v/>
      </c>
      <c r="E38" s="234" t="str">
        <f>IF(COUNTIFS('Все игры'!BD$3:BD892,A38,'Все игры'!BH$3:BH892,"ПУ")=0, "", COUNTIFS('Все игры'!BD$3:BD892,A38,'Все игры'!BH$3:BH892,"ПУ"))</f>
        <v/>
      </c>
      <c r="F38" s="235">
        <f t="shared" si="34"/>
        <v>0</v>
      </c>
      <c r="G38" s="234" t="str">
        <f>IF(COUNTIFS('Все игры'!BD$3:BD892,A38,'Все игры'!BH$3:BH892,"У/Победа")=0, "",COUNTIFS('Все игры'!BD$3:BD892,A38,'Все игры'!BH$3:BH892,"У/Победа") )</f>
        <v/>
      </c>
      <c r="H38" s="234" t="str">
        <f>IF(COUNTIFS('Все игры'!BD$3:BD892,A38,'Все игры'!BH$3:BH892,"У/Проигрыш")=0, "",COUNTIFS('Все игры'!BD$3:BD892,A38,'Все игры'!BH$3:BH892,"У/Проигрыш") )</f>
        <v/>
      </c>
      <c r="I38" s="129">
        <f t="shared" si="35"/>
        <v>0</v>
      </c>
      <c r="J38" s="129">
        <f t="shared" si="36"/>
        <v>0</v>
      </c>
      <c r="K38" s="129">
        <f>COUNTIFS('Все игры'!BD$3:BD892,A38,'Все игры'!BF$3:BF892,"&gt;0",'Все игры'!BE$3:BE892,"Мафия")</f>
        <v>0</v>
      </c>
      <c r="L38" s="129">
        <f>IFERROR(__xludf.DUMMYFUNCTION("COUNTBLANK(FILTER('Все игры'!BD$3:BF892,'Все игры'!BD$3:BD892=A38,'Все игры'!BF$3:BF892 &lt; 1,'Все игры'!BE$3:BE892=""Мафия""))"),0.0)</f>
        <v>0</v>
      </c>
      <c r="M38" s="129">
        <f>COUNTIFS('Все игры'!BD$3:BD892,A38,'Все игры'!BF$3:BF892,"&gt;0",'Все игры'!BE$3:BE892,"Шериф")</f>
        <v>0</v>
      </c>
      <c r="N38" s="129">
        <f>IFERROR(__xludf.DUMMYFUNCTION("COUNTBLANK(FILTER('Все игры'!BD$3:BF892,'Все игры'!BD$3:BD892=A38,'Все игры'!BF$3:BF892 &lt; 1,'Все игры'!BE$3:BE892=""Шериф""))"),0.0)</f>
        <v>0</v>
      </c>
      <c r="O38" s="129">
        <f>COUNTIFS('Все игры'!BD$3:BD892,A38,'Все игры'!BF$3:BF892,"&gt;0",'Все игры'!BE$3:BE892,"Дон")</f>
        <v>0</v>
      </c>
      <c r="P38" s="236">
        <f>IFERROR(__xludf.DUMMYFUNCTION("COUNTBLANK(FILTER('Все игры'!BD$3:BF892,'Все игры'!BD$3:BD892=A38,'Все игры'!BF$3:BF892 &lt; 1,'Все игры'!BE$3:BE892=""Дон""))"),0.0)</f>
        <v>0</v>
      </c>
      <c r="Q38" s="129">
        <f>COUNTIFS('Все игры'!BD$3:BD892,A38,'Все игры'!BF$3:BF892,"&gt;0",'Все игры'!BE$3:BE892,"Мирный")</f>
        <v>0</v>
      </c>
      <c r="R38" s="129">
        <f>IFERROR(__xludf.DUMMYFUNCTION("COUNTBLANK(FILTER('Все игры'!BF$3:BF892,'Все игры'!BD$3:BD892=A38,'Все игры'!BF$3:BF892 &lt; 1,'Все игры'!BE$3:BE892=""Мирный""))"),0.0)</f>
        <v>0</v>
      </c>
      <c r="S38" s="237" t="str">
        <f t="shared" si="37"/>
        <v/>
      </c>
      <c r="T38" s="237" t="str">
        <f t="shared" si="38"/>
        <v/>
      </c>
      <c r="U38" s="237" t="str">
        <f t="shared" si="39"/>
        <v/>
      </c>
      <c r="V38" s="237" t="str">
        <f t="shared" si="40"/>
        <v/>
      </c>
      <c r="W38" s="237" t="str">
        <f t="shared" si="41"/>
        <v/>
      </c>
      <c r="X38" s="237" t="str">
        <f t="shared" si="42"/>
        <v/>
      </c>
      <c r="Y38" s="237" t="str">
        <f t="shared" si="43"/>
        <v/>
      </c>
      <c r="Z38" s="238">
        <f>SUMIFS('Все игры'!BG$3:BG892,'Все игры'!BD$3:BD892,A38)</f>
        <v>0</v>
      </c>
      <c r="AA38" s="238">
        <f>SUMIFS('Все игры'!BG$3:BG892,'Все игры'!BD$3:BD892,A38,'Все игры'!BE$3:BE892,"Мафия")</f>
        <v>0</v>
      </c>
      <c r="AB38" s="238">
        <f>SUMIFS('Все игры'!BG$3:BG892,'Все игры'!BD$3:BD892,A38,'Все игры'!BE$3:BE892,"Шериф")</f>
        <v>0</v>
      </c>
      <c r="AC38" s="238">
        <f>SUMIFS('Все игры'!BG$3:BG892,'Все игры'!BD$3:BD892,A38,'Все игры'!BE$3:BE892,"Дон")</f>
        <v>0</v>
      </c>
      <c r="AD38" s="238">
        <f>SUMIFS('Все игры'!BG$3:BG892,'Все игры'!BD$3:BD892,A38,'Все игры'!BE$3:BE892,"Мирный")</f>
        <v>0</v>
      </c>
      <c r="AE38" s="238">
        <f t="shared" si="44"/>
        <v>0</v>
      </c>
      <c r="AF38" s="238">
        <f t="shared" si="45"/>
        <v>0</v>
      </c>
      <c r="AG38" s="238">
        <f t="shared" si="46"/>
        <v>0</v>
      </c>
      <c r="AH38" s="238">
        <f t="shared" si="47"/>
        <v>0</v>
      </c>
      <c r="AI38" s="238">
        <f t="shared" si="48"/>
        <v>0</v>
      </c>
    </row>
    <row r="39">
      <c r="A39" s="195"/>
      <c r="B39" s="129">
        <f t="shared" si="33"/>
        <v>0</v>
      </c>
      <c r="C39" s="128" t="str">
        <f>IF(COUNTIFS('Все игры'!BD$3:BD892,A39,'Все игры'!BI$3:BI892,"=1")=0, "", COUNTIFS('Все игры'!BD$3:BD892,A39,'Все игры'!BI$3:BI892,"=1"))</f>
        <v/>
      </c>
      <c r="D39" s="233" t="str">
        <f>IF(COUNTIFS('Все игры'!BD$3:BD892,A39,'Все игры'!BI$3:BI892,"=0,50")=0, "", COUNTIFS('Все игры'!BD$3:BD892,A39,'Все игры'!BI$3:BI892,"=0,50"))</f>
        <v/>
      </c>
      <c r="E39" s="234" t="str">
        <f>IF(COUNTIFS('Все игры'!BD$3:BD892,A39,'Все игры'!BH$3:BH892,"ПУ")=0, "", COUNTIFS('Все игры'!BD$3:BD892,A39,'Все игры'!BH$3:BH892,"ПУ"))</f>
        <v/>
      </c>
      <c r="F39" s="235">
        <f t="shared" si="34"/>
        <v>0</v>
      </c>
      <c r="G39" s="234" t="str">
        <f>IF(COUNTIFS('Все игры'!BD$3:BD892,A39,'Все игры'!BH$3:BH892,"У/Победа")=0, "",COUNTIFS('Все игры'!BD$3:BD892,A39,'Все игры'!BH$3:BH892,"У/Победа") )</f>
        <v/>
      </c>
      <c r="H39" s="234" t="str">
        <f>IF(COUNTIFS('Все игры'!BD$3:BD892,A39,'Все игры'!BH$3:BH892,"У/Проигрыш")=0, "",COUNTIFS('Все игры'!BD$3:BD892,A39,'Все игры'!BH$3:BH892,"У/Проигрыш") )</f>
        <v/>
      </c>
      <c r="I39" s="129">
        <f t="shared" si="35"/>
        <v>0</v>
      </c>
      <c r="J39" s="129">
        <f t="shared" si="36"/>
        <v>0</v>
      </c>
      <c r="K39" s="129">
        <f>COUNTIFS('Все игры'!BD$3:BD892,A39,'Все игры'!BF$3:BF892,"&gt;0",'Все игры'!BE$3:BE892,"Мафия")</f>
        <v>0</v>
      </c>
      <c r="L39" s="129">
        <f>IFERROR(__xludf.DUMMYFUNCTION("COUNTBLANK(FILTER('Все игры'!BD$3:BF892,'Все игры'!BD$3:BD892=A39,'Все игры'!BF$3:BF892 &lt; 1,'Все игры'!BE$3:BE892=""Мафия""))"),0.0)</f>
        <v>0</v>
      </c>
      <c r="M39" s="129">
        <f>COUNTIFS('Все игры'!BD$3:BD892,A39,'Все игры'!BF$3:BF892,"&gt;0",'Все игры'!BE$3:BE892,"Шериф")</f>
        <v>0</v>
      </c>
      <c r="N39" s="129">
        <f>IFERROR(__xludf.DUMMYFUNCTION("COUNTBLANK(FILTER('Все игры'!BD$3:BF892,'Все игры'!BD$3:BD892=A39,'Все игры'!BF$3:BF892 &lt; 1,'Все игры'!BE$3:BE892=""Шериф""))"),0.0)</f>
        <v>0</v>
      </c>
      <c r="O39" s="129">
        <f>COUNTIFS('Все игры'!BD$3:BD892,A39,'Все игры'!BF$3:BF892,"&gt;0",'Все игры'!BE$3:BE892,"Дон")</f>
        <v>0</v>
      </c>
      <c r="P39" s="236">
        <f>IFERROR(__xludf.DUMMYFUNCTION("COUNTBLANK(FILTER('Все игры'!BD$3:BF892,'Все игры'!BD$3:BD892=A39,'Все игры'!BF$3:BF892 &lt; 1,'Все игры'!BE$3:BE892=""Дон""))"),0.0)</f>
        <v>0</v>
      </c>
      <c r="Q39" s="129">
        <f>COUNTIFS('Все игры'!BD$3:BD892,A39,'Все игры'!BF$3:BF892,"&gt;0",'Все игры'!BE$3:BE892,"Мирный")</f>
        <v>0</v>
      </c>
      <c r="R39" s="129">
        <f>IFERROR(__xludf.DUMMYFUNCTION("COUNTBLANK(FILTER('Все игры'!BF$3:BF892,'Все игры'!BD$3:BD892=A39,'Все игры'!BF$3:BF892 &lt; 1,'Все игры'!BE$3:BE892=""Мирный""))"),0.0)</f>
        <v>0</v>
      </c>
      <c r="S39" s="237" t="str">
        <f t="shared" si="37"/>
        <v/>
      </c>
      <c r="T39" s="237" t="str">
        <f t="shared" si="38"/>
        <v/>
      </c>
      <c r="U39" s="237" t="str">
        <f t="shared" si="39"/>
        <v/>
      </c>
      <c r="V39" s="237" t="str">
        <f t="shared" si="40"/>
        <v/>
      </c>
      <c r="W39" s="237" t="str">
        <f t="shared" si="41"/>
        <v/>
      </c>
      <c r="X39" s="237" t="str">
        <f t="shared" si="42"/>
        <v/>
      </c>
      <c r="Y39" s="237" t="str">
        <f t="shared" si="43"/>
        <v/>
      </c>
      <c r="Z39" s="238">
        <f>SUMIFS('Все игры'!BG$3:BG892,'Все игры'!BD$3:BD892,A39)</f>
        <v>0</v>
      </c>
      <c r="AA39" s="238">
        <f>SUMIFS('Все игры'!BG$3:BG892,'Все игры'!BD$3:BD892,A39,'Все игры'!BE$3:BE892,"Мафия")</f>
        <v>0</v>
      </c>
      <c r="AB39" s="238">
        <f>SUMIFS('Все игры'!BG$3:BG892,'Все игры'!BD$3:BD892,A39,'Все игры'!BE$3:BE892,"Шериф")</f>
        <v>0</v>
      </c>
      <c r="AC39" s="238">
        <f>SUMIFS('Все игры'!BG$3:BG892,'Все игры'!BD$3:BD892,A39,'Все игры'!BE$3:BE892,"Дон")</f>
        <v>0</v>
      </c>
      <c r="AD39" s="238">
        <f>SUMIFS('Все игры'!BG$3:BG892,'Все игры'!BD$3:BD892,A39,'Все игры'!BE$3:BE892,"Мирный")</f>
        <v>0</v>
      </c>
      <c r="AE39" s="238">
        <f t="shared" si="44"/>
        <v>0</v>
      </c>
      <c r="AF39" s="238">
        <f t="shared" si="45"/>
        <v>0</v>
      </c>
      <c r="AG39" s="238">
        <f t="shared" si="46"/>
        <v>0</v>
      </c>
      <c r="AH39" s="238">
        <f t="shared" si="47"/>
        <v>0</v>
      </c>
      <c r="AI39" s="238">
        <f t="shared" si="48"/>
        <v>0</v>
      </c>
    </row>
    <row r="40">
      <c r="A40" s="195"/>
      <c r="B40" s="129">
        <f t="shared" si="33"/>
        <v>0</v>
      </c>
      <c r="C40" s="128" t="str">
        <f>IF(COUNTIFS('Все игры'!BD$3:BD892,A40,'Все игры'!BI$3:BI892,"=1")=0, "", COUNTIFS('Все игры'!BD$3:BD892,A40,'Все игры'!BI$3:BI892,"=1"))</f>
        <v/>
      </c>
      <c r="D40" s="233" t="str">
        <f>IF(COUNTIFS('Все игры'!BD$3:BD892,A40,'Все игры'!BI$3:BI892,"=0,50")=0, "", COUNTIFS('Все игры'!BD$3:BD892,A40,'Все игры'!BI$3:BI892,"=0,50"))</f>
        <v/>
      </c>
      <c r="E40" s="234" t="str">
        <f>IF(COUNTIFS('Все игры'!BD$3:BD892,A40,'Все игры'!BH$3:BH892,"ПУ")=0, "", COUNTIFS('Все игры'!BD$3:BD892,A40,'Все игры'!BH$3:BH892,"ПУ"))</f>
        <v/>
      </c>
      <c r="F40" s="235">
        <f t="shared" si="34"/>
        <v>0</v>
      </c>
      <c r="G40" s="234" t="str">
        <f>IF(COUNTIFS('Все игры'!BD$3:BD892,A40,'Все игры'!BH$3:BH892,"У/Победа")=0, "",COUNTIFS('Все игры'!BD$3:BD892,A40,'Все игры'!BH$3:BH892,"У/Победа") )</f>
        <v/>
      </c>
      <c r="H40" s="234" t="str">
        <f>IF(COUNTIFS('Все игры'!BD$3:BD892,A40,'Все игры'!BH$3:BH892,"У/Проигрыш")=0, "",COUNTIFS('Все игры'!BD$3:BD892,A40,'Все игры'!BH$3:BH892,"У/Проигрыш") )</f>
        <v/>
      </c>
      <c r="I40" s="129">
        <f t="shared" si="35"/>
        <v>0</v>
      </c>
      <c r="J40" s="129">
        <f t="shared" si="36"/>
        <v>0</v>
      </c>
      <c r="K40" s="129">
        <f>COUNTIFS('Все игры'!BD$3:BD892,A40,'Все игры'!BF$3:BF892,"&gt;0",'Все игры'!BE$3:BE892,"Мафия")</f>
        <v>0</v>
      </c>
      <c r="L40" s="129">
        <f>IFERROR(__xludf.DUMMYFUNCTION("COUNTBLANK(FILTER('Все игры'!BD$3:BF892,'Все игры'!BD$3:BD892=A40,'Все игры'!BF$3:BF892 &lt; 1,'Все игры'!BE$3:BE892=""Мафия""))"),0.0)</f>
        <v>0</v>
      </c>
      <c r="M40" s="129">
        <f>COUNTIFS('Все игры'!BD$3:BD892,A40,'Все игры'!BF$3:BF892,"&gt;0",'Все игры'!BE$3:BE892,"Шериф")</f>
        <v>0</v>
      </c>
      <c r="N40" s="129">
        <f>IFERROR(__xludf.DUMMYFUNCTION("COUNTBLANK(FILTER('Все игры'!BD$3:BF892,'Все игры'!BD$3:BD892=A40,'Все игры'!BF$3:BF892 &lt; 1,'Все игры'!BE$3:BE892=""Шериф""))"),0.0)</f>
        <v>0</v>
      </c>
      <c r="O40" s="129">
        <f>COUNTIFS('Все игры'!BD$3:BD892,A40,'Все игры'!BF$3:BF892,"&gt;0",'Все игры'!BE$3:BE892,"Дон")</f>
        <v>0</v>
      </c>
      <c r="P40" s="236">
        <f>IFERROR(__xludf.DUMMYFUNCTION("COUNTBLANK(FILTER('Все игры'!BD$3:BF892,'Все игры'!BD$3:BD892=A40,'Все игры'!BF$3:BF892 &lt; 1,'Все игры'!BE$3:BE892=""Дон""))"),0.0)</f>
        <v>0</v>
      </c>
      <c r="Q40" s="129">
        <f>COUNTIFS('Все игры'!BD$3:BD892,A40,'Все игры'!BF$3:BF892,"&gt;0",'Все игры'!BE$3:BE892,"Мирный")</f>
        <v>0</v>
      </c>
      <c r="R40" s="129">
        <f>IFERROR(__xludf.DUMMYFUNCTION("COUNTBLANK(FILTER('Все игры'!BF$3:BF892,'Все игры'!BD$3:BD892=A40,'Все игры'!BF$3:BF892 &lt; 1,'Все игры'!BE$3:BE892=""Мирный""))"),0.0)</f>
        <v>0</v>
      </c>
      <c r="S40" s="237" t="str">
        <f t="shared" si="37"/>
        <v/>
      </c>
      <c r="T40" s="237" t="str">
        <f t="shared" si="38"/>
        <v/>
      </c>
      <c r="U40" s="237" t="str">
        <f t="shared" si="39"/>
        <v/>
      </c>
      <c r="V40" s="237" t="str">
        <f t="shared" si="40"/>
        <v/>
      </c>
      <c r="W40" s="237" t="str">
        <f t="shared" si="41"/>
        <v/>
      </c>
      <c r="X40" s="237" t="str">
        <f t="shared" si="42"/>
        <v/>
      </c>
      <c r="Y40" s="237" t="str">
        <f t="shared" si="43"/>
        <v/>
      </c>
      <c r="Z40" s="238">
        <f>SUMIFS('Все игры'!BG$3:BG892,'Все игры'!BD$3:BD892,A40)</f>
        <v>0</v>
      </c>
      <c r="AA40" s="238">
        <f>SUMIFS('Все игры'!BG$3:BG892,'Все игры'!BD$3:BD892,A40,'Все игры'!BE$3:BE892,"Мафия")</f>
        <v>0</v>
      </c>
      <c r="AB40" s="238">
        <f>SUMIFS('Все игры'!BG$3:BG892,'Все игры'!BD$3:BD892,A40,'Все игры'!BE$3:BE892,"Шериф")</f>
        <v>0</v>
      </c>
      <c r="AC40" s="238">
        <f>SUMIFS('Все игры'!BG$3:BG892,'Все игры'!BD$3:BD892,A40,'Все игры'!BE$3:BE892,"Дон")</f>
        <v>0</v>
      </c>
      <c r="AD40" s="238">
        <f>SUMIFS('Все игры'!BG$3:BG892,'Все игры'!BD$3:BD892,A40,'Все игры'!BE$3:BE892,"Мирный")</f>
        <v>0</v>
      </c>
      <c r="AE40" s="238">
        <f t="shared" si="44"/>
        <v>0</v>
      </c>
      <c r="AF40" s="238">
        <f t="shared" si="45"/>
        <v>0</v>
      </c>
      <c r="AG40" s="238">
        <f t="shared" si="46"/>
        <v>0</v>
      </c>
      <c r="AH40" s="238">
        <f t="shared" si="47"/>
        <v>0</v>
      </c>
      <c r="AI40" s="238">
        <f t="shared" si="48"/>
        <v>0</v>
      </c>
    </row>
  </sheetData>
  <mergeCells count="4">
    <mergeCell ref="I1:R3"/>
    <mergeCell ref="S1:Y3"/>
    <mergeCell ref="Z1:AD3"/>
    <mergeCell ref="AE1:AI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2" max="2" width="6.88"/>
    <col customWidth="1" min="3" max="3" width="8.63"/>
    <col customWidth="1" min="4" max="4" width="8.0"/>
    <col customWidth="1" min="5" max="5" width="4.38"/>
    <col customWidth="1" min="6" max="6" width="7.88"/>
    <col customWidth="1" min="7" max="7" width="10.63"/>
    <col customWidth="1" min="8" max="8" width="11.5"/>
    <col customWidth="1" min="9" max="9" width="11.38"/>
    <col customWidth="1" min="10" max="10" width="10.75"/>
    <col customWidth="1" min="11" max="11" width="8.0"/>
    <col customWidth="1" min="13" max="13" width="7.38"/>
    <col customWidth="1" min="14" max="14" width="12.25"/>
    <col customWidth="1" min="15" max="15" width="8.25"/>
    <col customWidth="1" min="16" max="16" width="12.5"/>
    <col customWidth="1" min="17" max="17" width="8.5"/>
    <col customWidth="1" min="18" max="18" width="12.75"/>
    <col customWidth="1" min="19" max="19" width="10.13"/>
    <col customWidth="1" min="20" max="20" width="12.25"/>
    <col customWidth="1" min="21" max="21" width="11.75"/>
    <col customWidth="1" min="22" max="22" width="8.88"/>
    <col customWidth="1" min="23" max="23" width="8.38"/>
    <col customWidth="1" min="24" max="24" width="8.63"/>
    <col customWidth="1" min="25" max="25" width="9.75"/>
    <col customWidth="1" min="26" max="26" width="7.75"/>
    <col customWidth="1" min="27" max="27" width="8.63"/>
    <col customWidth="1" min="28" max="28" width="8.75"/>
    <col customWidth="1" min="29" max="29" width="8.88"/>
    <col customWidth="1" min="30" max="30" width="9.38"/>
    <col customWidth="1" min="31" max="31" width="9.88"/>
    <col customWidth="1" min="32" max="32" width="8.75"/>
    <col customWidth="1" min="33" max="33" width="10.25"/>
    <col customWidth="1" min="34" max="34" width="8.63"/>
    <col customWidth="1" min="35" max="35" width="11.25"/>
  </cols>
  <sheetData>
    <row r="1">
      <c r="A1" s="208"/>
      <c r="B1" s="208"/>
      <c r="C1" s="209"/>
      <c r="D1" s="209"/>
      <c r="E1" s="209"/>
      <c r="F1" s="209"/>
      <c r="G1" s="209"/>
      <c r="H1" s="209"/>
      <c r="I1" s="210" t="s">
        <v>133</v>
      </c>
      <c r="S1" s="211" t="s">
        <v>134</v>
      </c>
      <c r="Z1" s="212" t="s">
        <v>135</v>
      </c>
      <c r="AE1" s="213" t="s">
        <v>136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>
      <c r="A2" s="214"/>
      <c r="B2" s="214"/>
      <c r="C2" s="209"/>
      <c r="D2" s="209"/>
      <c r="E2" s="209"/>
      <c r="F2" s="209"/>
      <c r="G2" s="209"/>
      <c r="H2" s="209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>
      <c r="A3" s="214"/>
      <c r="B3" s="214"/>
      <c r="C3" s="209"/>
      <c r="D3" s="209"/>
      <c r="E3" s="209"/>
      <c r="F3" s="209"/>
      <c r="G3" s="209"/>
      <c r="H3" s="209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>
      <c r="A4" s="240" t="s">
        <v>113</v>
      </c>
      <c r="B4" s="217" t="s">
        <v>138</v>
      </c>
      <c r="C4" s="218" t="s">
        <v>139</v>
      </c>
      <c r="D4" s="218" t="s">
        <v>140</v>
      </c>
      <c r="E4" s="218" t="s">
        <v>31</v>
      </c>
      <c r="F4" s="218" t="s">
        <v>141</v>
      </c>
      <c r="G4" s="219" t="s">
        <v>142</v>
      </c>
      <c r="H4" s="220" t="s">
        <v>143</v>
      </c>
      <c r="I4" s="221" t="s">
        <v>144</v>
      </c>
      <c r="J4" s="222" t="s">
        <v>145</v>
      </c>
      <c r="K4" s="223" t="s">
        <v>146</v>
      </c>
      <c r="L4" s="223" t="s">
        <v>147</v>
      </c>
      <c r="M4" s="224" t="s">
        <v>148</v>
      </c>
      <c r="N4" s="224" t="s">
        <v>149</v>
      </c>
      <c r="O4" s="222" t="s">
        <v>150</v>
      </c>
      <c r="P4" s="222" t="s">
        <v>151</v>
      </c>
      <c r="Q4" s="225" t="s">
        <v>152</v>
      </c>
      <c r="R4" s="225" t="s">
        <v>153</v>
      </c>
      <c r="S4" s="226" t="s">
        <v>154</v>
      </c>
      <c r="T4" s="226" t="s">
        <v>155</v>
      </c>
      <c r="U4" s="226" t="s">
        <v>156</v>
      </c>
      <c r="V4" s="223" t="s">
        <v>157</v>
      </c>
      <c r="W4" s="224" t="s">
        <v>158</v>
      </c>
      <c r="X4" s="222" t="s">
        <v>159</v>
      </c>
      <c r="Y4" s="225" t="s">
        <v>160</v>
      </c>
      <c r="Z4" s="226" t="s">
        <v>161</v>
      </c>
      <c r="AA4" s="227" t="s">
        <v>162</v>
      </c>
      <c r="AB4" s="228" t="s">
        <v>163</v>
      </c>
      <c r="AC4" s="229" t="s">
        <v>164</v>
      </c>
      <c r="AD4" s="230" t="s">
        <v>165</v>
      </c>
      <c r="AE4" s="226" t="s">
        <v>166</v>
      </c>
      <c r="AF4" s="227" t="s">
        <v>167</v>
      </c>
      <c r="AG4" s="224" t="s">
        <v>168</v>
      </c>
      <c r="AH4" s="229" t="s">
        <v>169</v>
      </c>
      <c r="AI4" s="231" t="s">
        <v>170</v>
      </c>
      <c r="AJ4" s="232"/>
      <c r="AK4" s="232"/>
      <c r="AL4" s="232"/>
      <c r="AM4" s="232"/>
      <c r="AN4" s="232"/>
      <c r="AO4" s="232"/>
      <c r="AP4" s="232"/>
      <c r="AQ4" s="232"/>
      <c r="AR4" s="232"/>
      <c r="AS4" s="232"/>
      <c r="AT4" s="232"/>
      <c r="AU4" s="232"/>
      <c r="AV4" s="232"/>
      <c r="AW4" s="232"/>
      <c r="AX4" s="232"/>
      <c r="AY4" s="232"/>
      <c r="AZ4" s="232"/>
      <c r="BA4" s="232"/>
      <c r="BB4" s="232"/>
      <c r="BC4" s="232"/>
      <c r="BD4" s="232"/>
      <c r="BE4" s="232"/>
      <c r="BF4" s="232"/>
      <c r="BG4" s="232"/>
      <c r="BH4" s="232"/>
      <c r="BI4" s="232"/>
      <c r="BJ4" s="232"/>
      <c r="BK4" s="232"/>
    </row>
    <row r="5">
      <c r="A5" s="241" t="s">
        <v>50</v>
      </c>
      <c r="B5" s="129">
        <f t="shared" ref="B5:B40" si="1">SUM(I5:J5)</f>
        <v>21</v>
      </c>
      <c r="C5" s="128" t="str">
        <f>IF(COUNTIFS('Все игры'!A$3:A897,A5,'Все игры'!F$3:F897,"=1")=0, "", COUNTIFS('Все игры'!A$3:A897,A5,'Все игры'!F$3:F897,"=1"))</f>
        <v/>
      </c>
      <c r="D5" s="233" t="str">
        <f>IF(COUNTIFS('Все игры'!A$3:A897,A5,'Все игры'!F$3:F897,"=0,50")=0, "", COUNTIFS('Все игры'!A$3:A897,A5,'Все игры'!F$3:F897,"=0,50"))</f>
        <v/>
      </c>
      <c r="E5" s="234">
        <f>IF(COUNTIFS('Все игры'!A$3:A897,A5,'Все игры'!E$3:E897,"ПУ")=0, "", COUNTIFS('Все игры'!A$3:A897,A5,'Все игры'!E$3:E897,"ПУ"))</f>
        <v>2</v>
      </c>
      <c r="F5" s="235">
        <f t="shared" ref="F5:F40" si="2">IFERROR(E5/I5,0)</f>
        <v>0.125</v>
      </c>
      <c r="G5" s="234" t="str">
        <f>IF(COUNTIFS('Все игры'!A$3:A897,A5,'Все игры'!E$3:E897,"У/Победа")=0, "",COUNTIFS('Все игры'!A$3:A897,A5,'Все игры'!E$3:E897,"У/Победа") )</f>
        <v/>
      </c>
      <c r="H5" s="234" t="str">
        <f>IF(COUNTIFS('Все игры'!A$3:A897,A5,'Все игры'!E$3:E897,"У/Проигрыш")=0, "",COUNTIFS('Все игры'!A$3:A897,A5,'Все игры'!E$3:E897,"У/Проигрыш") )</f>
        <v/>
      </c>
      <c r="I5" s="129">
        <f t="shared" ref="I5:I40" si="3">M5+N5+Q5+R5</f>
        <v>16</v>
      </c>
      <c r="J5" s="129">
        <f t="shared" ref="J5:J40" si="4">K5+L5+O5+P5</f>
        <v>5</v>
      </c>
      <c r="K5" s="129">
        <f>COUNTIFS('Все игры'!A$3:A897,A5,'Все игры'!C$3:C897,"&gt;0",'Все игры'!B$3:B897,"Мафия")</f>
        <v>4</v>
      </c>
      <c r="L5" s="129">
        <f>IFERROR(__xludf.DUMMYFUNCTION("COUNTBLANK(FILTER('Все игры'!A$3:C897,'Все игры'!A$3:A897=A5,'Все игры'!C$3:C897 &lt; 1,'Все игры'!B$3:B897=""Мафия""))"),0.0)</f>
        <v>0</v>
      </c>
      <c r="M5" s="129">
        <f>COUNTIFS('Все игры'!A$3:A897,A5,'Все игры'!C$3:C897,"&gt;0",'Все игры'!B$3:B897,"Шериф")</f>
        <v>1</v>
      </c>
      <c r="N5" s="129">
        <f>IFERROR(__xludf.DUMMYFUNCTION("COUNTBLANK(FILTER('Все игры'!A$3:C897,'Все игры'!A$3:A897=A5,'Все игры'!C$3:C897 &lt; 1,'Все игры'!B$3:B897=""Шериф""))"),2.0)</f>
        <v>2</v>
      </c>
      <c r="O5" s="129">
        <f>COUNTIFS('Все игры'!A$3:A897,A5,'Все игры'!C$3:C897,"&gt;0",'Все игры'!B$3:B897,"Дон")</f>
        <v>1</v>
      </c>
      <c r="P5" s="236">
        <f>IFERROR(__xludf.DUMMYFUNCTION("COUNTBLANK(FILTER('Все игры'!A$3:C897,'Все игры'!A$3:A897=A5,'Все игры'!C$3:C897 &lt; 1,'Все игры'!B$3:B897=""Дон""))"),0.0)</f>
        <v>0</v>
      </c>
      <c r="Q5" s="129">
        <f>COUNTIFS('Все игры'!A$3:A897,A5,'Все игры'!C$3:C897,"&gt;0",'Все игры'!B$3:B897,"Мирный")</f>
        <v>6</v>
      </c>
      <c r="R5" s="129">
        <f>IFERROR(__xludf.DUMMYFUNCTION("COUNTBLANK(FILTER('Все игры'!A$3:C897,'Все игры'!A$3:A897=A5,'Все игры'!C$3:C897 &lt; 1,'Все игры'!B$3:B897=""Мирный""))"),7.0)</f>
        <v>7</v>
      </c>
      <c r="S5" s="237">
        <f t="shared" ref="S5:S40" si="5">IFERROR((K5+M5+O5+Q5)/(I5+J5), )</f>
        <v>0.5714285714</v>
      </c>
      <c r="T5" s="237">
        <f t="shared" ref="T5:T40" si="6">IFERROR((M5+Q5)/I5, )</f>
        <v>0.4375</v>
      </c>
      <c r="U5" s="237">
        <f t="shared" ref="U5:U40" si="7">IFERROR((K5+O5)/J5, )</f>
        <v>1</v>
      </c>
      <c r="V5" s="237">
        <f t="shared" ref="V5:V40" si="8">IFERROR(K5/(K5+L5), )</f>
        <v>1</v>
      </c>
      <c r="W5" s="237">
        <f t="shared" ref="W5:W40" si="9">IFERROR(M5/(M5+N5), )</f>
        <v>0.3333333333</v>
      </c>
      <c r="X5" s="237">
        <f t="shared" ref="X5:X40" si="10">IFERROR(O5/(O5+P5), )</f>
        <v>1</v>
      </c>
      <c r="Y5" s="237">
        <f t="shared" ref="Y5:Y40" si="11">IFERROR(Q5/(Q5+R5), )</f>
        <v>0.4615384615</v>
      </c>
      <c r="Z5" s="238">
        <f>SUMIFS('Все игры'!D$3:D897,'Все игры'!A$3:A897,A5)</f>
        <v>57</v>
      </c>
      <c r="AA5" s="238">
        <f>SUMIFS('Все игры'!D$3:D897,'Все игры'!A$3:A897,A5,'Все игры'!B$3:B897,"Мафия")</f>
        <v>14.75</v>
      </c>
      <c r="AB5" s="238">
        <f>SUMIFS('Все игры'!D$3:D897,'Все игры'!A$3:A897,A5,'Все игры'!B$3:B897,"Шериф")</f>
        <v>7.75</v>
      </c>
      <c r="AC5" s="238">
        <f>SUMIFS('Все игры'!D$3:D897,'Все игры'!A$3:A897,A5,'Все игры'!B$3:B897,"Дон")</f>
        <v>3</v>
      </c>
      <c r="AD5" s="238">
        <f>SUMIFS('Все игры'!D$3:D897,'Все игры'!A$3:A897,A5,'Все игры'!B$3:B897,"Мирный")</f>
        <v>31.5</v>
      </c>
      <c r="AE5" s="238">
        <f t="shared" ref="AE5:AE40" si="12">IFERROR(Z5/B5,0)</f>
        <v>2.714285714</v>
      </c>
      <c r="AF5" s="238">
        <f t="shared" ref="AF5:AF40" si="13">IFERROR(AA5/(K5+L5),0)</f>
        <v>3.6875</v>
      </c>
      <c r="AG5" s="238">
        <f t="shared" ref="AG5:AG40" si="14">IFERROR(AB5/(M5+N5),0)</f>
        <v>2.583333333</v>
      </c>
      <c r="AH5" s="238">
        <f t="shared" ref="AH5:AH40" si="15">IFERROR(AC5/(O5+P5),0)</f>
        <v>3</v>
      </c>
      <c r="AI5" s="238">
        <f t="shared" ref="AI5:AI40" si="16">IFERROR(AD5/(Q5+R5),0)</f>
        <v>2.423076923</v>
      </c>
    </row>
    <row r="6">
      <c r="A6" s="241" t="s">
        <v>52</v>
      </c>
      <c r="B6" s="129">
        <f t="shared" si="1"/>
        <v>7</v>
      </c>
      <c r="C6" s="128" t="str">
        <f>IF(COUNTIFS('Все игры'!A$3:A897,A6,'Все игры'!F$3:F897,"=1")=0, "", COUNTIFS('Все игры'!A$3:A897,A6,'Все игры'!F$3:F897,"=1"))</f>
        <v/>
      </c>
      <c r="D6" s="233" t="str">
        <f>IF(COUNTIFS('Все игры'!A$3:A897,A6,'Все игры'!F$3:F897,"=0,50")=0, "", COUNTIFS('Все игры'!A$3:A897,A6,'Все игры'!F$3:F897,"=0,50"))</f>
        <v/>
      </c>
      <c r="E6" s="234">
        <f>IF(COUNTIFS('Все игры'!A$3:A897,A6,'Все игры'!E$3:E897,"ПУ")=0, "", COUNTIFS('Все игры'!A$3:A897,A6,'Все игры'!E$3:E897,"ПУ"))</f>
        <v>1</v>
      </c>
      <c r="F6" s="235">
        <f t="shared" si="2"/>
        <v>0.1666666667</v>
      </c>
      <c r="G6" s="234" t="str">
        <f>IF(COUNTIFS('Все игры'!A$3:A897,A6,'Все игры'!E$3:E897,"У/Победа")=0, "",COUNTIFS('Все игры'!A$3:A897,A6,'Все игры'!E$3:E897,"У/Победа") )</f>
        <v/>
      </c>
      <c r="H6" s="234" t="str">
        <f>IF(COUNTIFS('Все игры'!A$3:A897,A6,'Все игры'!E$3:E897,"У/Проигрыш")=0, "",COUNTIFS('Все игры'!A$3:A897,A6,'Все игры'!E$3:E897,"У/Проигрыш") )</f>
        <v/>
      </c>
      <c r="I6" s="129">
        <f t="shared" si="3"/>
        <v>6</v>
      </c>
      <c r="J6" s="129">
        <f t="shared" si="4"/>
        <v>1</v>
      </c>
      <c r="K6" s="129">
        <f>COUNTIFS('Все игры'!A$3:A897,A6,'Все игры'!C$3:C897,"&gt;0",'Все игры'!B$3:B897,"Мафия")</f>
        <v>1</v>
      </c>
      <c r="L6" s="129">
        <f>IFERROR(__xludf.DUMMYFUNCTION("COUNTBLANK(FILTER('Все игры'!A$3:C897,'Все игры'!A$3:A897=A6,'Все игры'!C$3:C897 &lt; 1,'Все игры'!B$3:B897=""Мафия""))"),0.0)</f>
        <v>0</v>
      </c>
      <c r="M6" s="129">
        <f>COUNTIFS('Все игры'!A$3:A897,A6,'Все игры'!C$3:C897,"&gt;0",'Все игры'!B$3:B897,"Шериф")</f>
        <v>1</v>
      </c>
      <c r="N6" s="129">
        <f>IFERROR(__xludf.DUMMYFUNCTION("COUNTBLANK(FILTER('Все игры'!A$3:C897,'Все игры'!A$3:A897=A6,'Все игры'!C$3:C897 &lt; 1,'Все игры'!B$3:B897=""Шериф""))"),0.0)</f>
        <v>0</v>
      </c>
      <c r="O6" s="129">
        <f>COUNTIFS('Все игры'!A$3:A897,A6,'Все игры'!C$3:C897,"&gt;0",'Все игры'!B$3:B897,"Дон")</f>
        <v>0</v>
      </c>
      <c r="P6" s="236">
        <f>IFERROR(__xludf.DUMMYFUNCTION("COUNTBLANK(FILTER('Все игры'!A$3:C897,'Все игры'!A$3:A897=A6,'Все игры'!C$3:C897 &lt; 1,'Все игры'!B$3:B897=""Дон""))"),0.0)</f>
        <v>0</v>
      </c>
      <c r="Q6" s="129">
        <f>COUNTIFS('Все игры'!A$3:A897,A6,'Все игры'!C$3:C897,"&gt;0",'Все игры'!B$3:B897,"Мирный")</f>
        <v>2</v>
      </c>
      <c r="R6" s="129">
        <f>IFERROR(__xludf.DUMMYFUNCTION("COUNTBLANK(FILTER('Все игры'!A$3:C897,'Все игры'!A$3:A897=A6,'Все игры'!C$3:C897 &lt; 1,'Все игры'!B$3:B897=""Мирный""))"),3.0)</f>
        <v>3</v>
      </c>
      <c r="S6" s="237">
        <f t="shared" si="5"/>
        <v>0.5714285714</v>
      </c>
      <c r="T6" s="237">
        <f t="shared" si="6"/>
        <v>0.5</v>
      </c>
      <c r="U6" s="237">
        <f t="shared" si="7"/>
        <v>1</v>
      </c>
      <c r="V6" s="237">
        <f t="shared" si="8"/>
        <v>1</v>
      </c>
      <c r="W6" s="237">
        <f t="shared" si="9"/>
        <v>1</v>
      </c>
      <c r="X6" s="237" t="str">
        <f t="shared" si="10"/>
        <v/>
      </c>
      <c r="Y6" s="237">
        <f t="shared" si="11"/>
        <v>0.4</v>
      </c>
      <c r="Z6" s="238">
        <f>SUMIFS('Все игры'!D$3:D897,'Все игры'!A$3:A897,A6)</f>
        <v>18.5</v>
      </c>
      <c r="AA6" s="238">
        <f>SUMIFS('Все игры'!D$3:D897,'Все игры'!A$3:A897,A6,'Все игры'!B$3:B897,"Мафия")</f>
        <v>4</v>
      </c>
      <c r="AB6" s="238">
        <f>SUMIFS('Все игры'!D$3:D897,'Все игры'!A$3:A897,A6,'Все игры'!B$3:B897,"Шериф")</f>
        <v>2</v>
      </c>
      <c r="AC6" s="238">
        <f>SUMIFS('Все игры'!D$3:D897,'Все игры'!A$3:A897,A6,'Все игры'!B$3:B897,"Дон")</f>
        <v>0</v>
      </c>
      <c r="AD6" s="238">
        <f>SUMIFS('Все игры'!D$3:D897,'Все игры'!A$3:A897,A6,'Все игры'!B$3:B897,"Мирный")</f>
        <v>12.5</v>
      </c>
      <c r="AE6" s="238">
        <f t="shared" si="12"/>
        <v>2.642857143</v>
      </c>
      <c r="AF6" s="238">
        <f t="shared" si="13"/>
        <v>4</v>
      </c>
      <c r="AG6" s="238">
        <f t="shared" si="14"/>
        <v>2</v>
      </c>
      <c r="AH6" s="238">
        <f t="shared" si="15"/>
        <v>0</v>
      </c>
      <c r="AI6" s="238">
        <f t="shared" si="16"/>
        <v>2.5</v>
      </c>
    </row>
    <row r="7">
      <c r="A7" s="241" t="s">
        <v>77</v>
      </c>
      <c r="B7" s="129">
        <f t="shared" si="1"/>
        <v>7</v>
      </c>
      <c r="C7" s="128" t="str">
        <f>IF(COUNTIFS('Все игры'!A$3:A897,A7,'Все игры'!F$3:F897,"=1")=0, "", COUNTIFS('Все игры'!A$3:A897,A7,'Все игры'!F$3:F897,"=1"))</f>
        <v/>
      </c>
      <c r="D7" s="233" t="str">
        <f>IF(COUNTIFS('Все игры'!A$3:A897,A7,'Все игры'!F$3:F897,"=0,50")=0, "", COUNTIFS('Все игры'!A$3:A897,A7,'Все игры'!F$3:F897,"=0,50"))</f>
        <v/>
      </c>
      <c r="E7" s="234" t="str">
        <f>IF(COUNTIFS('Все игры'!A$3:A897,A7,'Все игры'!E$3:E897,"ПУ")=0, "", COUNTIFS('Все игры'!A$3:A897,A7,'Все игры'!E$3:E897,"ПУ"))</f>
        <v/>
      </c>
      <c r="F7" s="235">
        <f t="shared" si="2"/>
        <v>0</v>
      </c>
      <c r="G7" s="234" t="str">
        <f>IF(COUNTIFS('Все игры'!A$3:A897,A7,'Все игры'!E$3:E897,"У/Победа")=0, "",COUNTIFS('Все игры'!A$3:A897,A7,'Все игры'!E$3:E897,"У/Победа") )</f>
        <v/>
      </c>
      <c r="H7" s="234" t="str">
        <f>IF(COUNTIFS('Все игры'!A$3:A897,A7,'Все игры'!E$3:E897,"У/Проигрыш")=0, "",COUNTIFS('Все игры'!A$3:A897,A7,'Все игры'!E$3:E897,"У/Проигрыш") )</f>
        <v/>
      </c>
      <c r="I7" s="129">
        <f t="shared" si="3"/>
        <v>5</v>
      </c>
      <c r="J7" s="129">
        <f t="shared" si="4"/>
        <v>2</v>
      </c>
      <c r="K7" s="129">
        <f>COUNTIFS('Все игры'!A$3:A897,A7,'Все игры'!C$3:C897,"&gt;0",'Все игры'!B$3:B897,"Мафия")</f>
        <v>1</v>
      </c>
      <c r="L7" s="129">
        <f>IFERROR(__xludf.DUMMYFUNCTION("COUNTBLANK(FILTER('Все игры'!A$3:C897,'Все игры'!A$3:A897=A7,'Все игры'!C$3:C897 &lt; 1,'Все игры'!B$3:B897=""Мафия""))"),1.0)</f>
        <v>1</v>
      </c>
      <c r="M7" s="129">
        <f>COUNTIFS('Все игры'!A$3:A897,A7,'Все игры'!C$3:C897,"&gt;0",'Все игры'!B$3:B897,"Шериф")</f>
        <v>0</v>
      </c>
      <c r="N7" s="129">
        <f>IFERROR(__xludf.DUMMYFUNCTION("COUNTBLANK(FILTER('Все игры'!A$3:C897,'Все игры'!A$3:A897=A7,'Все игры'!C$3:C897 &lt; 1,'Все игры'!B$3:B897=""Шериф""))"),1.0)</f>
        <v>1</v>
      </c>
      <c r="O7" s="129">
        <f>COUNTIFS('Все игры'!A$3:A897,A7,'Все игры'!C$3:C897,"&gt;0",'Все игры'!B$3:B897,"Дон")</f>
        <v>0</v>
      </c>
      <c r="P7" s="236">
        <f>IFERROR(__xludf.DUMMYFUNCTION("COUNTBLANK(FILTER('Все игры'!A$3:C897,'Все игры'!A$3:A897=A7,'Все игры'!C$3:C897 &lt; 1,'Все игры'!B$3:B897=""Дон""))"),0.0)</f>
        <v>0</v>
      </c>
      <c r="Q7" s="129">
        <f>COUNTIFS('Все игры'!A$3:A897,A7,'Все игры'!C$3:C897,"&gt;0",'Все игры'!B$3:B897,"Мирный")</f>
        <v>2</v>
      </c>
      <c r="R7" s="129">
        <f>IFERROR(__xludf.DUMMYFUNCTION("COUNTBLANK(FILTER('Все игры'!A$3:C897,'Все игры'!A$3:A897=A7,'Все игры'!C$3:C897 &lt; 1,'Все игры'!B$3:B897=""Мирный""))"),2.0)</f>
        <v>2</v>
      </c>
      <c r="S7" s="237">
        <f t="shared" si="5"/>
        <v>0.4285714286</v>
      </c>
      <c r="T7" s="237">
        <f t="shared" si="6"/>
        <v>0.4</v>
      </c>
      <c r="U7" s="237">
        <f t="shared" si="7"/>
        <v>0.5</v>
      </c>
      <c r="V7" s="237">
        <f t="shared" si="8"/>
        <v>0.5</v>
      </c>
      <c r="W7" s="237">
        <f t="shared" si="9"/>
        <v>0</v>
      </c>
      <c r="X7" s="237" t="str">
        <f t="shared" si="10"/>
        <v/>
      </c>
      <c r="Y7" s="237">
        <f t="shared" si="11"/>
        <v>0.5</v>
      </c>
      <c r="Z7" s="238">
        <f>SUMIFS('Все игры'!D$3:D897,'Все игры'!A$3:A897,A7)</f>
        <v>17.25</v>
      </c>
      <c r="AA7" s="238">
        <f>SUMIFS('Все игры'!D$3:D897,'Все игры'!A$3:A897,A7,'Все игры'!B$3:B897,"Мафия")</f>
        <v>5.5</v>
      </c>
      <c r="AB7" s="238">
        <f>SUMIFS('Все игры'!D$3:D897,'Все игры'!A$3:A897,A7,'Все игры'!B$3:B897,"Шериф")</f>
        <v>2</v>
      </c>
      <c r="AC7" s="238">
        <f>SUMIFS('Все игры'!D$3:D897,'Все игры'!A$3:A897,A7,'Все игры'!B$3:B897,"Дон")</f>
        <v>0</v>
      </c>
      <c r="AD7" s="238">
        <f>SUMIFS('Все игры'!D$3:D897,'Все игры'!A$3:A897,A7,'Все игры'!B$3:B897,"Мирный")</f>
        <v>9.75</v>
      </c>
      <c r="AE7" s="238">
        <f t="shared" si="12"/>
        <v>2.464285714</v>
      </c>
      <c r="AF7" s="238">
        <f t="shared" si="13"/>
        <v>2.75</v>
      </c>
      <c r="AG7" s="238">
        <f t="shared" si="14"/>
        <v>2</v>
      </c>
      <c r="AH7" s="238">
        <f t="shared" si="15"/>
        <v>0</v>
      </c>
      <c r="AI7" s="238">
        <f t="shared" si="16"/>
        <v>2.4375</v>
      </c>
    </row>
    <row r="8">
      <c r="A8" s="241" t="s">
        <v>71</v>
      </c>
      <c r="B8" s="129">
        <f t="shared" si="1"/>
        <v>7</v>
      </c>
      <c r="C8" s="128" t="str">
        <f>IF(COUNTIFS('Все игры'!A$3:A897,A8,'Все игры'!F$3:F897,"=1")=0, "", COUNTIFS('Все игры'!A$3:A897,A8,'Все игры'!F$3:F897,"=1"))</f>
        <v/>
      </c>
      <c r="D8" s="233" t="str">
        <f>IF(COUNTIFS('Все игры'!A$3:A897,A8,'Все игры'!F$3:F897,"=0,50")=0, "", COUNTIFS('Все игры'!A$3:A897,A8,'Все игры'!F$3:F897,"=0,50"))</f>
        <v/>
      </c>
      <c r="E8" s="234">
        <f>IF(COUNTIFS('Все игры'!A$3:A897,A8,'Все игры'!E$3:E897,"ПУ")=0, "", COUNTIFS('Все игры'!A$3:A897,A8,'Все игры'!E$3:E897,"ПУ"))</f>
        <v>1</v>
      </c>
      <c r="F8" s="235">
        <f t="shared" si="2"/>
        <v>0.3333333333</v>
      </c>
      <c r="G8" s="234" t="str">
        <f>IF(COUNTIFS('Все игры'!A$3:A897,A8,'Все игры'!E$3:E897,"У/Победа")=0, "",COUNTIFS('Все игры'!A$3:A897,A8,'Все игры'!E$3:E897,"У/Победа") )</f>
        <v/>
      </c>
      <c r="H8" s="234" t="str">
        <f>IF(COUNTIFS('Все игры'!A$3:A897,A8,'Все игры'!E$3:E897,"У/Проигрыш")=0, "",COUNTIFS('Все игры'!A$3:A897,A8,'Все игры'!E$3:E897,"У/Проигрыш") )</f>
        <v/>
      </c>
      <c r="I8" s="129">
        <f t="shared" si="3"/>
        <v>3</v>
      </c>
      <c r="J8" s="129">
        <f t="shared" si="4"/>
        <v>4</v>
      </c>
      <c r="K8" s="129">
        <f>COUNTIFS('Все игры'!A$3:A897,A8,'Все игры'!C$3:C897,"&gt;0",'Все игры'!B$3:B897,"Мафия")</f>
        <v>2</v>
      </c>
      <c r="L8" s="129">
        <f>IFERROR(__xludf.DUMMYFUNCTION("COUNTBLANK(FILTER('Все игры'!A$3:C897,'Все игры'!A$3:A897=A8,'Все игры'!C$3:C897 &lt; 1,'Все игры'!B$3:B897=""Мафия""))"),0.0)</f>
        <v>0</v>
      </c>
      <c r="M8" s="129">
        <f>COUNTIFS('Все игры'!A$3:A897,A8,'Все игры'!C$3:C897,"&gt;0",'Все игры'!B$3:B897,"Шериф")</f>
        <v>1</v>
      </c>
      <c r="N8" s="129">
        <f>IFERROR(__xludf.DUMMYFUNCTION("COUNTBLANK(FILTER('Все игры'!A$3:C897,'Все игры'!A$3:A897=A8,'Все игры'!C$3:C897 &lt; 1,'Все игры'!B$3:B897=""Шериф""))"),0.0)</f>
        <v>0</v>
      </c>
      <c r="O8" s="129">
        <f>COUNTIFS('Все игры'!A$3:A897,A8,'Все игры'!C$3:C897,"&gt;0",'Все игры'!B$3:B897,"Дон")</f>
        <v>2</v>
      </c>
      <c r="P8" s="236">
        <f>IFERROR(__xludf.DUMMYFUNCTION("COUNTBLANK(FILTER('Все игры'!A$3:C897,'Все игры'!A$3:A897=A8,'Все игры'!C$3:C897 &lt; 1,'Все игры'!B$3:B897=""Дон""))"),0.0)</f>
        <v>0</v>
      </c>
      <c r="Q8" s="129">
        <f>COUNTIFS('Все игры'!A$3:A897,A8,'Все игры'!C$3:C897,"&gt;0",'Все игры'!B$3:B897,"Мирный")</f>
        <v>0</v>
      </c>
      <c r="R8" s="129">
        <f>IFERROR(__xludf.DUMMYFUNCTION("COUNTBLANK(FILTER('Все игры'!A$3:C897,'Все игры'!A$3:A897=A8,'Все игры'!C$3:C897 &lt; 1,'Все игры'!B$3:B897=""Мирный""))"),2.0)</f>
        <v>2</v>
      </c>
      <c r="S8" s="237">
        <f t="shared" si="5"/>
        <v>0.7142857143</v>
      </c>
      <c r="T8" s="237">
        <f t="shared" si="6"/>
        <v>0.3333333333</v>
      </c>
      <c r="U8" s="237">
        <f t="shared" si="7"/>
        <v>1</v>
      </c>
      <c r="V8" s="237">
        <f t="shared" si="8"/>
        <v>1</v>
      </c>
      <c r="W8" s="237">
        <f t="shared" si="9"/>
        <v>1</v>
      </c>
      <c r="X8" s="237">
        <f t="shared" si="10"/>
        <v>1</v>
      </c>
      <c r="Y8" s="237">
        <f t="shared" si="11"/>
        <v>0</v>
      </c>
      <c r="Z8" s="238">
        <f>SUMIFS('Все игры'!D$3:D897,'Все игры'!A$3:A897,A8)</f>
        <v>21.75</v>
      </c>
      <c r="AA8" s="238">
        <f>SUMIFS('Все игры'!D$3:D897,'Все игры'!A$3:A897,A8,'Все игры'!B$3:B897,"Мафия")</f>
        <v>6</v>
      </c>
      <c r="AB8" s="238">
        <f>SUMIFS('Все игры'!D$3:D897,'Все игры'!A$3:A897,A8,'Все игры'!B$3:B897,"Шериф")</f>
        <v>4.25</v>
      </c>
      <c r="AC8" s="238">
        <f>SUMIFS('Все игры'!D$3:D897,'Все игры'!A$3:A897,A8,'Все игры'!B$3:B897,"Дон")</f>
        <v>6.25</v>
      </c>
      <c r="AD8" s="238">
        <f>SUMIFS('Все игры'!D$3:D897,'Все игры'!A$3:A897,A8,'Все игры'!B$3:B897,"Мирный")</f>
        <v>5.25</v>
      </c>
      <c r="AE8" s="238">
        <f t="shared" si="12"/>
        <v>3.107142857</v>
      </c>
      <c r="AF8" s="238">
        <f t="shared" si="13"/>
        <v>3</v>
      </c>
      <c r="AG8" s="238">
        <f t="shared" si="14"/>
        <v>4.25</v>
      </c>
      <c r="AH8" s="238">
        <f t="shared" si="15"/>
        <v>3.125</v>
      </c>
      <c r="AI8" s="238">
        <f t="shared" si="16"/>
        <v>2.625</v>
      </c>
    </row>
    <row r="9">
      <c r="A9" s="241" t="s">
        <v>66</v>
      </c>
      <c r="B9" s="129">
        <f t="shared" si="1"/>
        <v>7</v>
      </c>
      <c r="C9" s="128" t="str">
        <f>IF(COUNTIFS('Все игры'!A$3:A897,A9,'Все игры'!F$3:F897,"=1")=0, "", COUNTIFS('Все игры'!A$3:A897,A9,'Все игры'!F$3:F897,"=1"))</f>
        <v/>
      </c>
      <c r="D9" s="233" t="str">
        <f>IF(COUNTIFS('Все игры'!A$3:A897,A9,'Все игры'!F$3:F897,"=0,50")=0, "", COUNTIFS('Все игры'!A$3:A897,A9,'Все игры'!F$3:F897,"=0,50"))</f>
        <v/>
      </c>
      <c r="E9" s="234">
        <f>IF(COUNTIFS('Все игры'!A$3:A897,A9,'Все игры'!E$3:E897,"ПУ")=0, "", COUNTIFS('Все игры'!A$3:A897,A9,'Все игры'!E$3:E897,"ПУ"))</f>
        <v>1</v>
      </c>
      <c r="F9" s="235">
        <f t="shared" si="2"/>
        <v>0.2</v>
      </c>
      <c r="G9" s="234" t="str">
        <f>IF(COUNTIFS('Все игры'!A$3:A897,A9,'Все игры'!E$3:E897,"У/Победа")=0, "",COUNTIFS('Все игры'!A$3:A897,A9,'Все игры'!E$3:E897,"У/Победа") )</f>
        <v/>
      </c>
      <c r="H9" s="234" t="str">
        <f>IF(COUNTIFS('Все игры'!A$3:A897,A9,'Все игры'!E$3:E897,"У/Проигрыш")=0, "",COUNTIFS('Все игры'!A$3:A897,A9,'Все игры'!E$3:E897,"У/Проигрыш") )</f>
        <v/>
      </c>
      <c r="I9" s="129">
        <f t="shared" si="3"/>
        <v>5</v>
      </c>
      <c r="J9" s="129">
        <f t="shared" si="4"/>
        <v>2</v>
      </c>
      <c r="K9" s="129">
        <f>COUNTIFS('Все игры'!A$3:A897,A9,'Все игры'!C$3:C897,"&gt;0",'Все игры'!B$3:B897,"Мафия")</f>
        <v>2</v>
      </c>
      <c r="L9" s="129">
        <f>IFERROR(__xludf.DUMMYFUNCTION("COUNTBLANK(FILTER('Все игры'!A$3:C897,'Все игры'!A$3:A897=A9,'Все игры'!C$3:C897 &lt; 1,'Все игры'!B$3:B897=""Мафия""))"),0.0)</f>
        <v>0</v>
      </c>
      <c r="M9" s="129">
        <f>COUNTIFS('Все игры'!A$3:A897,A9,'Все игры'!C$3:C897,"&gt;0",'Все игры'!B$3:B897,"Шериф")</f>
        <v>0</v>
      </c>
      <c r="N9" s="129">
        <f>IFERROR(__xludf.DUMMYFUNCTION("COUNTBLANK(FILTER('Все игры'!A$3:C897,'Все игры'!A$3:A897=A9,'Все игры'!C$3:C897 &lt; 1,'Все игры'!B$3:B897=""Шериф""))"),0.0)</f>
        <v>0</v>
      </c>
      <c r="O9" s="129">
        <f>COUNTIFS('Все игры'!A$3:A897,A9,'Все игры'!C$3:C897,"&gt;0",'Все игры'!B$3:B897,"Дон")</f>
        <v>0</v>
      </c>
      <c r="P9" s="236">
        <f>IFERROR(__xludf.DUMMYFUNCTION("COUNTBLANK(FILTER('Все игры'!A$3:C897,'Все игры'!A$3:A897=A9,'Все игры'!C$3:C897 &lt; 1,'Все игры'!B$3:B897=""Дон""))"),0.0)</f>
        <v>0</v>
      </c>
      <c r="Q9" s="129">
        <f>COUNTIFS('Все игры'!A$3:A897,A9,'Все игры'!C$3:C897,"&gt;0",'Все игры'!B$3:B897,"Мирный")</f>
        <v>1</v>
      </c>
      <c r="R9" s="129">
        <f>IFERROR(__xludf.DUMMYFUNCTION("COUNTBLANK(FILTER('Все игры'!A$3:C897,'Все игры'!A$3:A897=A9,'Все игры'!C$3:C897 &lt; 1,'Все игры'!B$3:B897=""Мирный""))"),4.0)</f>
        <v>4</v>
      </c>
      <c r="S9" s="237">
        <f t="shared" si="5"/>
        <v>0.4285714286</v>
      </c>
      <c r="T9" s="237">
        <f t="shared" si="6"/>
        <v>0.2</v>
      </c>
      <c r="U9" s="237">
        <f t="shared" si="7"/>
        <v>1</v>
      </c>
      <c r="V9" s="237">
        <f t="shared" si="8"/>
        <v>1</v>
      </c>
      <c r="W9" s="237" t="str">
        <f t="shared" si="9"/>
        <v/>
      </c>
      <c r="X9" s="237" t="str">
        <f t="shared" si="10"/>
        <v/>
      </c>
      <c r="Y9" s="237">
        <f t="shared" si="11"/>
        <v>0.2</v>
      </c>
      <c r="Z9" s="238">
        <f>SUMIFS('Все игры'!D$3:D897,'Все игры'!A$3:A897,A9)</f>
        <v>22.75</v>
      </c>
      <c r="AA9" s="238">
        <f>SUMIFS('Все игры'!D$3:D897,'Все игры'!A$3:A897,A9,'Все игры'!B$3:B897,"Мафия")</f>
        <v>7.5</v>
      </c>
      <c r="AB9" s="238">
        <f>SUMIFS('Все игры'!D$3:D897,'Все игры'!A$3:A897,A9,'Все игры'!B$3:B897,"Шериф")</f>
        <v>0</v>
      </c>
      <c r="AC9" s="238">
        <f>SUMIFS('Все игры'!D$3:D897,'Все игры'!A$3:A897,A9,'Все игры'!B$3:B897,"Дон")</f>
        <v>0</v>
      </c>
      <c r="AD9" s="238">
        <f>SUMIFS('Все игры'!D$3:D897,'Все игры'!A$3:A897,A9,'Все игры'!B$3:B897,"Мирный")</f>
        <v>15.25</v>
      </c>
      <c r="AE9" s="238">
        <f t="shared" si="12"/>
        <v>3.25</v>
      </c>
      <c r="AF9" s="238">
        <f t="shared" si="13"/>
        <v>3.75</v>
      </c>
      <c r="AG9" s="238">
        <f t="shared" si="14"/>
        <v>0</v>
      </c>
      <c r="AH9" s="238">
        <f t="shared" si="15"/>
        <v>0</v>
      </c>
      <c r="AI9" s="238">
        <f t="shared" si="16"/>
        <v>3.05</v>
      </c>
    </row>
    <row r="10">
      <c r="A10" s="241" t="s">
        <v>69</v>
      </c>
      <c r="B10" s="129">
        <f t="shared" si="1"/>
        <v>14</v>
      </c>
      <c r="C10" s="128" t="str">
        <f>IF(COUNTIFS('Все игры'!A$3:A897,A10,'Все игры'!F$3:F897,"=1")=0, "", COUNTIFS('Все игры'!A$3:A897,A10,'Все игры'!F$3:F897,"=1"))</f>
        <v/>
      </c>
      <c r="D10" s="233" t="str">
        <f>IF(COUNTIFS('Все игры'!A$3:A897,A10,'Все игры'!F$3:F897,"=0,50")=0, "", COUNTIFS('Все игры'!A$3:A897,A10,'Все игры'!F$3:F897,"=0,50"))</f>
        <v/>
      </c>
      <c r="E10" s="234">
        <f>IF(COUNTIFS('Все игры'!A$3:A897,A10,'Все игры'!E$3:E897,"ПУ")=0, "", COUNTIFS('Все игры'!A$3:A897,A10,'Все игры'!E$3:E897,"ПУ"))</f>
        <v>1</v>
      </c>
      <c r="F10" s="235">
        <f t="shared" si="2"/>
        <v>0.07692307692</v>
      </c>
      <c r="G10" s="234" t="str">
        <f>IF(COUNTIFS('Все игры'!A$3:A897,A10,'Все игры'!E$3:E897,"У/Победа")=0, "",COUNTIFS('Все игры'!A$3:A897,A10,'Все игры'!E$3:E897,"У/Победа") )</f>
        <v/>
      </c>
      <c r="H10" s="234" t="str">
        <f>IF(COUNTIFS('Все игры'!A$3:A897,A10,'Все игры'!E$3:E897,"У/Проигрыш")=0, "",COUNTIFS('Все игры'!A$3:A897,A10,'Все игры'!E$3:E897,"У/Проигрыш") )</f>
        <v/>
      </c>
      <c r="I10" s="129">
        <f t="shared" si="3"/>
        <v>13</v>
      </c>
      <c r="J10" s="129">
        <f t="shared" si="4"/>
        <v>1</v>
      </c>
      <c r="K10" s="129">
        <f>COUNTIFS('Все игры'!A$3:A897,A10,'Все игры'!C$3:C897,"&gt;0",'Все игры'!B$3:B897,"Мафия")</f>
        <v>0</v>
      </c>
      <c r="L10" s="129">
        <f>IFERROR(__xludf.DUMMYFUNCTION("COUNTBLANK(FILTER('Все игры'!A$3:C897,'Все игры'!A$3:A897=A10,'Все игры'!C$3:C897 &lt; 1,'Все игры'!B$3:B897=""Мафия""))"),0.0)</f>
        <v>0</v>
      </c>
      <c r="M10" s="129">
        <f>COUNTIFS('Все игры'!A$3:A897,A10,'Все игры'!C$3:C897,"&gt;0",'Все игры'!B$3:B897,"Шериф")</f>
        <v>0</v>
      </c>
      <c r="N10" s="129">
        <f>IFERROR(__xludf.DUMMYFUNCTION("COUNTBLANK(FILTER('Все игры'!A$3:C897,'Все игры'!A$3:A897=A10,'Все игры'!C$3:C897 &lt; 1,'Все игры'!B$3:B897=""Шериф""))"),1.0)</f>
        <v>1</v>
      </c>
      <c r="O10" s="129">
        <f>COUNTIFS('Все игры'!A$3:A897,A10,'Все игры'!C$3:C897,"&gt;0",'Все игры'!B$3:B897,"Дон")</f>
        <v>1</v>
      </c>
      <c r="P10" s="236">
        <f>IFERROR(__xludf.DUMMYFUNCTION("COUNTBLANK(FILTER('Все игры'!A$3:C897,'Все игры'!A$3:A897=A10,'Все игры'!C$3:C897 &lt; 1,'Все игры'!B$3:B897=""Дон""))"),0.0)</f>
        <v>0</v>
      </c>
      <c r="Q10" s="129">
        <f>COUNTIFS('Все игры'!A$3:A897,A10,'Все игры'!C$3:C897,"&gt;0",'Все игры'!B$3:B897,"Мирный")</f>
        <v>4</v>
      </c>
      <c r="R10" s="129">
        <f>IFERROR(__xludf.DUMMYFUNCTION("COUNTBLANK(FILTER('Все игры'!A$3:C897,'Все игры'!A$3:A897=A10,'Все игры'!C$3:C897 &lt; 1,'Все игры'!B$3:B897=""Мирный""))"),8.0)</f>
        <v>8</v>
      </c>
      <c r="S10" s="237">
        <f t="shared" si="5"/>
        <v>0.3571428571</v>
      </c>
      <c r="T10" s="237">
        <f t="shared" si="6"/>
        <v>0.3076923077</v>
      </c>
      <c r="U10" s="237">
        <f t="shared" si="7"/>
        <v>1</v>
      </c>
      <c r="V10" s="237" t="str">
        <f t="shared" si="8"/>
        <v/>
      </c>
      <c r="W10" s="237">
        <f t="shared" si="9"/>
        <v>0</v>
      </c>
      <c r="X10" s="237">
        <f t="shared" si="10"/>
        <v>1</v>
      </c>
      <c r="Y10" s="237">
        <f t="shared" si="11"/>
        <v>0.3333333333</v>
      </c>
      <c r="Z10" s="238">
        <f>SUMIFS('Все игры'!D$3:D897,'Все игры'!A$3:A897,A10)</f>
        <v>34.5</v>
      </c>
      <c r="AA10" s="238">
        <f>SUMIFS('Все игры'!D$3:D897,'Все игры'!A$3:A897,A10,'Все игры'!B$3:B897,"Мафия")</f>
        <v>0</v>
      </c>
      <c r="AB10" s="238">
        <f>SUMIFS('Все игры'!D$3:D897,'Все игры'!A$3:A897,A10,'Все игры'!B$3:B897,"Шериф")</f>
        <v>2</v>
      </c>
      <c r="AC10" s="238">
        <f>SUMIFS('Все игры'!D$3:D897,'Все игры'!A$3:A897,A10,'Все игры'!B$3:B897,"Дон")</f>
        <v>4</v>
      </c>
      <c r="AD10" s="238">
        <f>SUMIFS('Все игры'!D$3:D897,'Все игры'!A$3:A897,A10,'Все игры'!B$3:B897,"Мирный")</f>
        <v>28.5</v>
      </c>
      <c r="AE10" s="238">
        <f t="shared" si="12"/>
        <v>2.464285714</v>
      </c>
      <c r="AF10" s="238">
        <f t="shared" si="13"/>
        <v>0</v>
      </c>
      <c r="AG10" s="238">
        <f t="shared" si="14"/>
        <v>2</v>
      </c>
      <c r="AH10" s="238">
        <f t="shared" si="15"/>
        <v>4</v>
      </c>
      <c r="AI10" s="238">
        <f t="shared" si="16"/>
        <v>2.375</v>
      </c>
    </row>
    <row r="11">
      <c r="A11" s="241" t="s">
        <v>51</v>
      </c>
      <c r="B11" s="129">
        <f t="shared" si="1"/>
        <v>7</v>
      </c>
      <c r="C11" s="128" t="str">
        <f>IF(COUNTIFS('Все игры'!A$3:A897,A11,'Все игры'!F$3:F897,"=1")=0, "", COUNTIFS('Все игры'!A$3:A897,A11,'Все игры'!F$3:F897,"=1"))</f>
        <v/>
      </c>
      <c r="D11" s="233" t="str">
        <f>IF(COUNTIFS('Все игры'!A$3:A897,A11,'Все игры'!F$3:F897,"=0,50")=0, "", COUNTIFS('Все игры'!A$3:A897,A11,'Все игры'!F$3:F897,"=0,50"))</f>
        <v/>
      </c>
      <c r="E11" s="234">
        <f>IF(COUNTIFS('Все игры'!A$3:A897,A11,'Все игры'!E$3:E897,"ПУ")=0, "", COUNTIFS('Все игры'!A$3:A897,A11,'Все игры'!E$3:E897,"ПУ"))</f>
        <v>1</v>
      </c>
      <c r="F11" s="235">
        <f t="shared" si="2"/>
        <v>0.25</v>
      </c>
      <c r="G11" s="234" t="str">
        <f>IF(COUNTIFS('Все игры'!A$3:A897,A11,'Все игры'!E$3:E897,"У/Победа")=0, "",COUNTIFS('Все игры'!A$3:A897,A11,'Все игры'!E$3:E897,"У/Победа") )</f>
        <v/>
      </c>
      <c r="H11" s="234" t="str">
        <f>IF(COUNTIFS('Все игры'!A$3:A897,A11,'Все игры'!E$3:E897,"У/Проигрыш")=0, "",COUNTIFS('Все игры'!A$3:A897,A11,'Все игры'!E$3:E897,"У/Проигрыш") )</f>
        <v/>
      </c>
      <c r="I11" s="129">
        <f t="shared" si="3"/>
        <v>4</v>
      </c>
      <c r="J11" s="129">
        <f t="shared" si="4"/>
        <v>3</v>
      </c>
      <c r="K11" s="129">
        <f>COUNTIFS('Все игры'!A$3:A897,A11,'Все игры'!C$3:C897,"&gt;0",'Все игры'!B$3:B897,"Мафия")</f>
        <v>0</v>
      </c>
      <c r="L11" s="129">
        <f>IFERROR(__xludf.DUMMYFUNCTION("COUNTBLANK(FILTER('Все игры'!A$3:C897,'Все игры'!A$3:A897=A11,'Все игры'!C$3:C897 &lt; 1,'Все игры'!B$3:B897=""Мафия""))"),3.0)</f>
        <v>3</v>
      </c>
      <c r="M11" s="129">
        <f>COUNTIFS('Все игры'!A$3:A897,A11,'Все игры'!C$3:C897,"&gt;0",'Все игры'!B$3:B897,"Шериф")</f>
        <v>0</v>
      </c>
      <c r="N11" s="129">
        <f>IFERROR(__xludf.DUMMYFUNCTION("COUNTBLANK(FILTER('Все игры'!A$3:C897,'Все игры'!A$3:A897=A11,'Все игры'!C$3:C897 &lt; 1,'Все игры'!B$3:B897=""Шериф""))"),1.0)</f>
        <v>1</v>
      </c>
      <c r="O11" s="129">
        <f>COUNTIFS('Все игры'!A$3:A897,A11,'Все игры'!C$3:C897,"&gt;0",'Все игры'!B$3:B897,"Дон")</f>
        <v>0</v>
      </c>
      <c r="P11" s="236">
        <f>IFERROR(__xludf.DUMMYFUNCTION("COUNTBLANK(FILTER('Все игры'!A$3:C897,'Все игры'!A$3:A897=A11,'Все игры'!C$3:C897 &lt; 1,'Все игры'!B$3:B897=""Дон""))"),0.0)</f>
        <v>0</v>
      </c>
      <c r="Q11" s="129">
        <f>COUNTIFS('Все игры'!A$3:A897,A11,'Все игры'!C$3:C897,"&gt;0",'Все игры'!B$3:B897,"Мирный")</f>
        <v>0</v>
      </c>
      <c r="R11" s="129">
        <f>IFERROR(__xludf.DUMMYFUNCTION("COUNTBLANK(FILTER('Все игры'!A$3:C897,'Все игры'!A$3:A897=A11,'Все игры'!C$3:C897 &lt; 1,'Все игры'!B$3:B897=""Мирный""))"),3.0)</f>
        <v>3</v>
      </c>
      <c r="S11" s="237">
        <f t="shared" si="5"/>
        <v>0</v>
      </c>
      <c r="T11" s="237">
        <f t="shared" si="6"/>
        <v>0</v>
      </c>
      <c r="U11" s="237">
        <f t="shared" si="7"/>
        <v>0</v>
      </c>
      <c r="V11" s="237">
        <f t="shared" si="8"/>
        <v>0</v>
      </c>
      <c r="W11" s="237">
        <f t="shared" si="9"/>
        <v>0</v>
      </c>
      <c r="X11" s="237" t="str">
        <f t="shared" si="10"/>
        <v/>
      </c>
      <c r="Y11" s="237">
        <f t="shared" si="11"/>
        <v>0</v>
      </c>
      <c r="Z11" s="238">
        <f>SUMIFS('Все игры'!D$3:D897,'Все игры'!A$3:A897,A11)</f>
        <v>12.75</v>
      </c>
      <c r="AA11" s="238">
        <f>SUMIFS('Все игры'!D$3:D897,'Все игры'!A$3:A897,A11,'Все игры'!B$3:B897,"Мафия")</f>
        <v>5.25</v>
      </c>
      <c r="AB11" s="238">
        <f>SUMIFS('Все игры'!D$3:D897,'Все игры'!A$3:A897,A11,'Все игры'!B$3:B897,"Шериф")</f>
        <v>1.5</v>
      </c>
      <c r="AC11" s="238">
        <f>SUMIFS('Все игры'!D$3:D897,'Все игры'!A$3:A897,A11,'Все игры'!B$3:B897,"Дон")</f>
        <v>0</v>
      </c>
      <c r="AD11" s="238">
        <f>SUMIFS('Все игры'!D$3:D897,'Все игры'!A$3:A897,A11,'Все игры'!B$3:B897,"Мирный")</f>
        <v>6</v>
      </c>
      <c r="AE11" s="238">
        <f t="shared" si="12"/>
        <v>1.821428571</v>
      </c>
      <c r="AF11" s="238">
        <f t="shared" si="13"/>
        <v>1.75</v>
      </c>
      <c r="AG11" s="238">
        <f t="shared" si="14"/>
        <v>1.5</v>
      </c>
      <c r="AH11" s="238">
        <f t="shared" si="15"/>
        <v>0</v>
      </c>
      <c r="AI11" s="238">
        <f t="shared" si="16"/>
        <v>2</v>
      </c>
    </row>
    <row r="12">
      <c r="A12" s="241" t="s">
        <v>48</v>
      </c>
      <c r="B12" s="129">
        <f t="shared" si="1"/>
        <v>21</v>
      </c>
      <c r="C12" s="128" t="str">
        <f>IF(COUNTIFS('Все игры'!A$3:A897,A12,'Все игры'!F$3:F897,"=1")=0, "", COUNTIFS('Все игры'!A$3:A897,A12,'Все игры'!F$3:F897,"=1"))</f>
        <v/>
      </c>
      <c r="D12" s="233">
        <f>IF(COUNTIFS('Все игры'!A$3:A897,A12,'Все игры'!F$3:F897,"=0,50")=0, "", COUNTIFS('Все игры'!A$3:A897,A12,'Все игры'!F$3:F897,"=0,50"))</f>
        <v>1</v>
      </c>
      <c r="E12" s="234">
        <f>IF(COUNTIFS('Все игры'!A$3:A897,A12,'Все игры'!E$3:E897,"ПУ")=0, "", COUNTIFS('Все игры'!A$3:A897,A12,'Все игры'!E$3:E897,"ПУ"))</f>
        <v>2</v>
      </c>
      <c r="F12" s="235">
        <f t="shared" si="2"/>
        <v>0.1428571429</v>
      </c>
      <c r="G12" s="234" t="str">
        <f>IF(COUNTIFS('Все игры'!A$3:A897,A12,'Все игры'!E$3:E897,"У/Победа")=0, "",COUNTIFS('Все игры'!A$3:A897,A12,'Все игры'!E$3:E897,"У/Победа") )</f>
        <v/>
      </c>
      <c r="H12" s="234" t="str">
        <f>IF(COUNTIFS('Все игры'!A$3:A897,A12,'Все игры'!E$3:E897,"У/Проигрыш")=0, "",COUNTIFS('Все игры'!A$3:A897,A12,'Все игры'!E$3:E897,"У/Проигрыш") )</f>
        <v/>
      </c>
      <c r="I12" s="129">
        <f t="shared" si="3"/>
        <v>14</v>
      </c>
      <c r="J12" s="129">
        <f t="shared" si="4"/>
        <v>7</v>
      </c>
      <c r="K12" s="129">
        <f>COUNTIFS('Все игры'!A$3:A897,A12,'Все игры'!C$3:C897,"&gt;0",'Все игры'!B$3:B897,"Мафия")</f>
        <v>3</v>
      </c>
      <c r="L12" s="129">
        <f>IFERROR(__xludf.DUMMYFUNCTION("COUNTBLANK(FILTER('Все игры'!A$3:C897,'Все игры'!A$3:A897=A12,'Все игры'!C$3:C897 &lt; 1,'Все игры'!B$3:B897=""Мафия""))"),2.0)</f>
        <v>2</v>
      </c>
      <c r="M12" s="129">
        <f>COUNTIFS('Все игры'!A$3:A897,A12,'Все игры'!C$3:C897,"&gt;0",'Все игры'!B$3:B897,"Шериф")</f>
        <v>0</v>
      </c>
      <c r="N12" s="129">
        <f>IFERROR(__xludf.DUMMYFUNCTION("COUNTBLANK(FILTER('Все игры'!A$3:C897,'Все игры'!A$3:A897=A12,'Все игры'!C$3:C897 &lt; 1,'Все игры'!B$3:B897=""Шериф""))"),1.0)</f>
        <v>1</v>
      </c>
      <c r="O12" s="129">
        <f>COUNTIFS('Все игры'!A$3:A897,A12,'Все игры'!C$3:C897,"&gt;0",'Все игры'!B$3:B897,"Дон")</f>
        <v>0</v>
      </c>
      <c r="P12" s="236">
        <f>IFERROR(__xludf.DUMMYFUNCTION("COUNTBLANK(FILTER('Все игры'!A$3:C897,'Все игры'!A$3:A897=A12,'Все игры'!C$3:C897 &lt; 1,'Все игры'!B$3:B897=""Дон""))"),2.0)</f>
        <v>2</v>
      </c>
      <c r="Q12" s="129">
        <f>COUNTIFS('Все игры'!A$3:A897,A12,'Все игры'!C$3:C897,"&gt;0",'Все игры'!B$3:B897,"Мирный")</f>
        <v>3</v>
      </c>
      <c r="R12" s="129">
        <f>IFERROR(__xludf.DUMMYFUNCTION("COUNTBLANK(FILTER('Все игры'!A$3:C897,'Все игры'!A$3:A897=A12,'Все игры'!C$3:C897 &lt; 1,'Все игры'!B$3:B897=""Мирный""))"),10.0)</f>
        <v>10</v>
      </c>
      <c r="S12" s="237">
        <f t="shared" si="5"/>
        <v>0.2857142857</v>
      </c>
      <c r="T12" s="237">
        <f t="shared" si="6"/>
        <v>0.2142857143</v>
      </c>
      <c r="U12" s="237">
        <f t="shared" si="7"/>
        <v>0.4285714286</v>
      </c>
      <c r="V12" s="237">
        <f t="shared" si="8"/>
        <v>0.6</v>
      </c>
      <c r="W12" s="237">
        <f t="shared" si="9"/>
        <v>0</v>
      </c>
      <c r="X12" s="237">
        <f t="shared" si="10"/>
        <v>0</v>
      </c>
      <c r="Y12" s="237">
        <f t="shared" si="11"/>
        <v>0.2307692308</v>
      </c>
      <c r="Z12" s="238">
        <f>SUMIFS('Все игры'!D$3:D897,'Все игры'!A$3:A897,A12)</f>
        <v>52.25</v>
      </c>
      <c r="AA12" s="238">
        <f>SUMIFS('Все игры'!D$3:D897,'Все игры'!A$3:A897,A12,'Все игры'!B$3:B897,"Мафия")</f>
        <v>13.75</v>
      </c>
      <c r="AB12" s="238">
        <f>SUMIFS('Все игры'!D$3:D897,'Все игры'!A$3:A897,A12,'Все игры'!B$3:B897,"Шериф")</f>
        <v>2.25</v>
      </c>
      <c r="AC12" s="238">
        <f>SUMIFS('Все игры'!D$3:D897,'Все игры'!A$3:A897,A12,'Все игры'!B$3:B897,"Дон")</f>
        <v>3.75</v>
      </c>
      <c r="AD12" s="238">
        <f>SUMIFS('Все игры'!D$3:D897,'Все игры'!A$3:A897,A12,'Все игры'!B$3:B897,"Мирный")</f>
        <v>32.5</v>
      </c>
      <c r="AE12" s="238">
        <f t="shared" si="12"/>
        <v>2.488095238</v>
      </c>
      <c r="AF12" s="238">
        <f t="shared" si="13"/>
        <v>2.75</v>
      </c>
      <c r="AG12" s="238">
        <f t="shared" si="14"/>
        <v>2.25</v>
      </c>
      <c r="AH12" s="238">
        <f t="shared" si="15"/>
        <v>1.875</v>
      </c>
      <c r="AI12" s="238">
        <f t="shared" si="16"/>
        <v>2.5</v>
      </c>
    </row>
    <row r="13">
      <c r="A13" s="241" t="s">
        <v>74</v>
      </c>
      <c r="B13" s="129">
        <f t="shared" si="1"/>
        <v>7</v>
      </c>
      <c r="C13" s="128" t="str">
        <f>IF(COUNTIFS('Все игры'!A$3:A897,A13,'Все игры'!F$3:F897,"=1")=0, "", COUNTIFS('Все игры'!A$3:A897,A13,'Все игры'!F$3:F897,"=1"))</f>
        <v/>
      </c>
      <c r="D13" s="233" t="str">
        <f>IF(COUNTIFS('Все игры'!A$3:A897,A13,'Все игры'!F$3:F897,"=0,50")=0, "", COUNTIFS('Все игры'!A$3:A897,A13,'Все игры'!F$3:F897,"=0,50"))</f>
        <v/>
      </c>
      <c r="E13" s="234">
        <f>IF(COUNTIFS('Все игры'!A$3:A897,A13,'Все игры'!E$3:E897,"ПУ")=0, "", COUNTIFS('Все игры'!A$3:A897,A13,'Все игры'!E$3:E897,"ПУ"))</f>
        <v>1</v>
      </c>
      <c r="F13" s="235">
        <f t="shared" si="2"/>
        <v>0.2</v>
      </c>
      <c r="G13" s="234" t="str">
        <f>IF(COUNTIFS('Все игры'!A$3:A897,A13,'Все игры'!E$3:E897,"У/Победа")=0, "",COUNTIFS('Все игры'!A$3:A897,A13,'Все игры'!E$3:E897,"У/Победа") )</f>
        <v/>
      </c>
      <c r="H13" s="234" t="str">
        <f>IF(COUNTIFS('Все игры'!A$3:A897,A13,'Все игры'!E$3:E897,"У/Проигрыш")=0, "",COUNTIFS('Все игры'!A$3:A897,A13,'Все игры'!E$3:E897,"У/Проигрыш") )</f>
        <v/>
      </c>
      <c r="I13" s="129">
        <f t="shared" si="3"/>
        <v>5</v>
      </c>
      <c r="J13" s="129">
        <f t="shared" si="4"/>
        <v>2</v>
      </c>
      <c r="K13" s="129">
        <f>COUNTIFS('Все игры'!A$3:A897,A13,'Все игры'!C$3:C897,"&gt;0",'Все игры'!B$3:B897,"Мафия")</f>
        <v>0</v>
      </c>
      <c r="L13" s="129">
        <f>IFERROR(__xludf.DUMMYFUNCTION("COUNTBLANK(FILTER('Все игры'!A$3:C897,'Все игры'!A$3:A897=A13,'Все игры'!C$3:C897 &lt; 1,'Все игры'!B$3:B897=""Мафия""))"),1.0)</f>
        <v>1</v>
      </c>
      <c r="M13" s="129">
        <f>COUNTIFS('Все игры'!A$3:A897,A13,'Все игры'!C$3:C897,"&gt;0",'Все игры'!B$3:B897,"Шериф")</f>
        <v>0</v>
      </c>
      <c r="N13" s="129">
        <f>IFERROR(__xludf.DUMMYFUNCTION("COUNTBLANK(FILTER('Все игры'!A$3:C897,'Все игры'!A$3:A897=A13,'Все игры'!C$3:C897 &lt; 1,'Все игры'!B$3:B897=""Шериф""))"),0.0)</f>
        <v>0</v>
      </c>
      <c r="O13" s="129">
        <f>COUNTIFS('Все игры'!A$3:A897,A13,'Все игры'!C$3:C897,"&gt;0",'Все игры'!B$3:B897,"Дон")</f>
        <v>0</v>
      </c>
      <c r="P13" s="236">
        <f>IFERROR(__xludf.DUMMYFUNCTION("COUNTBLANK(FILTER('Все игры'!A$3:C897,'Все игры'!A$3:A897=A13,'Все игры'!C$3:C897 &lt; 1,'Все игры'!B$3:B897=""Дон""))"),1.0)</f>
        <v>1</v>
      </c>
      <c r="Q13" s="129">
        <f>COUNTIFS('Все игры'!A$3:A897,A13,'Все игры'!C$3:C897,"&gt;0",'Все игры'!B$3:B897,"Мирный")</f>
        <v>1</v>
      </c>
      <c r="R13" s="129">
        <f>IFERROR(__xludf.DUMMYFUNCTION("COUNTBLANK(FILTER('Все игры'!A$3:C897,'Все игры'!A$3:A897=A13,'Все игры'!C$3:C897 &lt; 1,'Все игры'!B$3:B897=""Мирный""))"),4.0)</f>
        <v>4</v>
      </c>
      <c r="S13" s="237">
        <f t="shared" si="5"/>
        <v>0.1428571429</v>
      </c>
      <c r="T13" s="237">
        <f t="shared" si="6"/>
        <v>0.2</v>
      </c>
      <c r="U13" s="237">
        <f t="shared" si="7"/>
        <v>0</v>
      </c>
      <c r="V13" s="237">
        <f t="shared" si="8"/>
        <v>0</v>
      </c>
      <c r="W13" s="237" t="str">
        <f t="shared" si="9"/>
        <v/>
      </c>
      <c r="X13" s="237">
        <f t="shared" si="10"/>
        <v>0</v>
      </c>
      <c r="Y13" s="237">
        <f t="shared" si="11"/>
        <v>0.2</v>
      </c>
      <c r="Z13" s="238">
        <f>SUMIFS('Все игры'!D$3:D897,'Все игры'!A$3:A897,A13)</f>
        <v>11.75</v>
      </c>
      <c r="AA13" s="238">
        <f>SUMIFS('Все игры'!D$3:D897,'Все игры'!A$3:A897,A13,'Все игры'!B$3:B897,"Мафия")</f>
        <v>1</v>
      </c>
      <c r="AB13" s="238">
        <f>SUMIFS('Все игры'!D$3:D897,'Все игры'!A$3:A897,A13,'Все игры'!B$3:B897,"Шериф")</f>
        <v>0</v>
      </c>
      <c r="AC13" s="238">
        <f>SUMIFS('Все игры'!D$3:D897,'Все игры'!A$3:A897,A13,'Все игры'!B$3:B897,"Дон")</f>
        <v>1.25</v>
      </c>
      <c r="AD13" s="238">
        <f>SUMIFS('Все игры'!D$3:D897,'Все игры'!A$3:A897,A13,'Все игры'!B$3:B897,"Мирный")</f>
        <v>9.5</v>
      </c>
      <c r="AE13" s="238">
        <f t="shared" si="12"/>
        <v>1.678571429</v>
      </c>
      <c r="AF13" s="238">
        <f t="shared" si="13"/>
        <v>1</v>
      </c>
      <c r="AG13" s="238">
        <f t="shared" si="14"/>
        <v>0</v>
      </c>
      <c r="AH13" s="238">
        <f t="shared" si="15"/>
        <v>1.25</v>
      </c>
      <c r="AI13" s="238">
        <f t="shared" si="16"/>
        <v>1.9</v>
      </c>
    </row>
    <row r="14">
      <c r="A14" s="241" t="s">
        <v>75</v>
      </c>
      <c r="B14" s="129">
        <f t="shared" si="1"/>
        <v>7</v>
      </c>
      <c r="C14" s="128" t="str">
        <f>IF(COUNTIFS('Все игры'!A$3:A897,A14,'Все игры'!F$3:F897,"=1")=0, "", COUNTIFS('Все игры'!A$3:A897,A14,'Все игры'!F$3:F897,"=1"))</f>
        <v/>
      </c>
      <c r="D14" s="233">
        <f>IF(COUNTIFS('Все игры'!A$3:A897,A14,'Все игры'!F$3:F897,"=0,50")=0, "", COUNTIFS('Все игры'!A$3:A897,A14,'Все игры'!F$3:F897,"=0,50"))</f>
        <v>1</v>
      </c>
      <c r="E14" s="234">
        <f>IF(COUNTIFS('Все игры'!A$3:A897,A14,'Все игры'!E$3:E897,"ПУ")=0, "", COUNTIFS('Все игры'!A$3:A897,A14,'Все игры'!E$3:E897,"ПУ"))</f>
        <v>2</v>
      </c>
      <c r="F14" s="235">
        <f t="shared" si="2"/>
        <v>0.4</v>
      </c>
      <c r="G14" s="234" t="str">
        <f>IF(COUNTIFS('Все игры'!A$3:A897,A14,'Все игры'!E$3:E897,"У/Победа")=0, "",COUNTIFS('Все игры'!A$3:A897,A14,'Все игры'!E$3:E897,"У/Победа") )</f>
        <v/>
      </c>
      <c r="H14" s="234" t="str">
        <f>IF(COUNTIFS('Все игры'!A$3:A897,A14,'Все игры'!E$3:E897,"У/Проигрыш")=0, "",COUNTIFS('Все игры'!A$3:A897,A14,'Все игры'!E$3:E897,"У/Проигрыш") )</f>
        <v/>
      </c>
      <c r="I14" s="129">
        <f t="shared" si="3"/>
        <v>5</v>
      </c>
      <c r="J14" s="129">
        <f t="shared" si="4"/>
        <v>2</v>
      </c>
      <c r="K14" s="129">
        <f>COUNTIFS('Все игры'!A$3:A897,A14,'Все игры'!C$3:C897,"&gt;0",'Все игры'!B$3:B897,"Мафия")</f>
        <v>0</v>
      </c>
      <c r="L14" s="129">
        <f>IFERROR(__xludf.DUMMYFUNCTION("COUNTBLANK(FILTER('Все игры'!A$3:C897,'Все игры'!A$3:A897=A14,'Все игры'!C$3:C897 &lt; 1,'Все игры'!B$3:B897=""Мафия""))"),1.0)</f>
        <v>1</v>
      </c>
      <c r="M14" s="129">
        <f>COUNTIFS('Все игры'!A$3:A897,A14,'Все игры'!C$3:C897,"&gt;0",'Все игры'!B$3:B897,"Шериф")</f>
        <v>1</v>
      </c>
      <c r="N14" s="129">
        <f>IFERROR(__xludf.DUMMYFUNCTION("COUNTBLANK(FILTER('Все игры'!A$3:C897,'Все игры'!A$3:A897=A14,'Все игры'!C$3:C897 &lt; 1,'Все игры'!B$3:B897=""Шериф""))"),0.0)</f>
        <v>0</v>
      </c>
      <c r="O14" s="129">
        <f>COUNTIFS('Все игры'!A$3:A897,A14,'Все игры'!C$3:C897,"&gt;0",'Все игры'!B$3:B897,"Дон")</f>
        <v>1</v>
      </c>
      <c r="P14" s="236">
        <f>IFERROR(__xludf.DUMMYFUNCTION("COUNTBLANK(FILTER('Все игры'!A$3:C897,'Все игры'!A$3:A897=A14,'Все игры'!C$3:C897 &lt; 1,'Все игры'!B$3:B897=""Дон""))"),0.0)</f>
        <v>0</v>
      </c>
      <c r="Q14" s="129">
        <f>COUNTIFS('Все игры'!A$3:A897,A14,'Все игры'!C$3:C897,"&gt;0",'Все игры'!B$3:B897,"Мирный")</f>
        <v>1</v>
      </c>
      <c r="R14" s="129">
        <f>IFERROR(__xludf.DUMMYFUNCTION("COUNTBLANK(FILTER('Все игры'!A$3:C897,'Все игры'!A$3:A897=A14,'Все игры'!C$3:C897 &lt; 1,'Все игры'!B$3:B897=""Мирный""))"),3.0)</f>
        <v>3</v>
      </c>
      <c r="S14" s="237">
        <f t="shared" si="5"/>
        <v>0.4285714286</v>
      </c>
      <c r="T14" s="237">
        <f t="shared" si="6"/>
        <v>0.4</v>
      </c>
      <c r="U14" s="237">
        <f t="shared" si="7"/>
        <v>0.5</v>
      </c>
      <c r="V14" s="237">
        <f t="shared" si="8"/>
        <v>0</v>
      </c>
      <c r="W14" s="237">
        <f t="shared" si="9"/>
        <v>1</v>
      </c>
      <c r="X14" s="237">
        <f t="shared" si="10"/>
        <v>1</v>
      </c>
      <c r="Y14" s="237">
        <f t="shared" si="11"/>
        <v>0.25</v>
      </c>
      <c r="Z14" s="238">
        <f>SUMIFS('Все игры'!D$3:D897,'Все игры'!A$3:A897,A14)</f>
        <v>17.25</v>
      </c>
      <c r="AA14" s="238">
        <f>SUMIFS('Все игры'!D$3:D897,'Все игры'!A$3:A897,A14,'Все игры'!B$3:B897,"Мафия")</f>
        <v>1.75</v>
      </c>
      <c r="AB14" s="238">
        <f>SUMIFS('Все игры'!D$3:D897,'Все игры'!A$3:A897,A14,'Все игры'!B$3:B897,"Шериф")</f>
        <v>2</v>
      </c>
      <c r="AC14" s="238">
        <f>SUMIFS('Все игры'!D$3:D897,'Все игры'!A$3:A897,A14,'Все игры'!B$3:B897,"Дон")</f>
        <v>3.75</v>
      </c>
      <c r="AD14" s="238">
        <f>SUMIFS('Все игры'!D$3:D897,'Все игры'!A$3:A897,A14,'Все игры'!B$3:B897,"Мирный")</f>
        <v>9.75</v>
      </c>
      <c r="AE14" s="238">
        <f t="shared" si="12"/>
        <v>2.464285714</v>
      </c>
      <c r="AF14" s="238">
        <f t="shared" si="13"/>
        <v>1.75</v>
      </c>
      <c r="AG14" s="238">
        <f t="shared" si="14"/>
        <v>2</v>
      </c>
      <c r="AH14" s="238">
        <f t="shared" si="15"/>
        <v>3.75</v>
      </c>
      <c r="AI14" s="238">
        <f t="shared" si="16"/>
        <v>2.4375</v>
      </c>
    </row>
    <row r="15">
      <c r="A15" s="241" t="s">
        <v>45</v>
      </c>
      <c r="B15" s="129">
        <f t="shared" si="1"/>
        <v>21</v>
      </c>
      <c r="C15" s="128" t="str">
        <f>IF(COUNTIFS('Все игры'!A$3:A897,A15,'Все игры'!F$3:F897,"=1")=0, "", COUNTIFS('Все игры'!A$3:A897,A15,'Все игры'!F$3:F897,"=1"))</f>
        <v/>
      </c>
      <c r="D15" s="233">
        <f>IF(COUNTIFS('Все игры'!A$3:A897,A15,'Все игры'!F$3:F897,"=0,50")=0, "", COUNTIFS('Все игры'!A$3:A897,A15,'Все игры'!F$3:F897,"=0,50"))</f>
        <v>1</v>
      </c>
      <c r="E15" s="234">
        <f>IF(COUNTIFS('Все игры'!A$3:A897,A15,'Все игры'!E$3:E897,"ПУ")=0, "", COUNTIFS('Все игры'!A$3:A897,A15,'Все игры'!E$3:E897,"ПУ"))</f>
        <v>3</v>
      </c>
      <c r="F15" s="235">
        <f t="shared" si="2"/>
        <v>0.2307692308</v>
      </c>
      <c r="G15" s="234" t="str">
        <f>IF(COUNTIFS('Все игры'!A$3:A897,A15,'Все игры'!E$3:E897,"У/Победа")=0, "",COUNTIFS('Все игры'!A$3:A897,A15,'Все игры'!E$3:E897,"У/Победа") )</f>
        <v/>
      </c>
      <c r="H15" s="234" t="str">
        <f>IF(COUNTIFS('Все игры'!A$3:A897,A15,'Все игры'!E$3:E897,"У/Проигрыш")=0, "",COUNTIFS('Все игры'!A$3:A897,A15,'Все игры'!E$3:E897,"У/Проигрыш") )</f>
        <v/>
      </c>
      <c r="I15" s="129">
        <f t="shared" si="3"/>
        <v>13</v>
      </c>
      <c r="J15" s="129">
        <f t="shared" si="4"/>
        <v>8</v>
      </c>
      <c r="K15" s="129">
        <f>COUNTIFS('Все игры'!A$3:A897,A15,'Все игры'!C$3:C897,"&gt;0",'Все игры'!B$3:B897,"Мафия")</f>
        <v>4</v>
      </c>
      <c r="L15" s="129">
        <f>IFERROR(__xludf.DUMMYFUNCTION("COUNTBLANK(FILTER('Все игры'!A$3:C897,'Все игры'!A$3:A897=A15,'Все игры'!C$3:C897 &lt; 1,'Все игры'!B$3:B897=""Мафия""))"),0.0)</f>
        <v>0</v>
      </c>
      <c r="M15" s="129">
        <f>COUNTIFS('Все игры'!A$3:A897,A15,'Все игры'!C$3:C897,"&gt;0",'Все игры'!B$3:B897,"Шериф")</f>
        <v>1</v>
      </c>
      <c r="N15" s="129">
        <f>IFERROR(__xludf.DUMMYFUNCTION("COUNTBLANK(FILTER('Все игры'!A$3:C897,'Все игры'!A$3:A897=A15,'Все игры'!C$3:C897 &lt; 1,'Все игры'!B$3:B897=""Шериф""))"),1.0)</f>
        <v>1</v>
      </c>
      <c r="O15" s="129">
        <f>COUNTIFS('Все игры'!A$3:A897,A15,'Все игры'!C$3:C897,"&gt;0",'Все игры'!B$3:B897,"Дон")</f>
        <v>3</v>
      </c>
      <c r="P15" s="236">
        <f>IFERROR(__xludf.DUMMYFUNCTION("COUNTBLANK(FILTER('Все игры'!A$3:C897,'Все игры'!A$3:A897=A15,'Все игры'!C$3:C897 &lt; 1,'Все игры'!B$3:B897=""Дон""))"),1.0)</f>
        <v>1</v>
      </c>
      <c r="Q15" s="129">
        <f>COUNTIFS('Все игры'!A$3:A897,A15,'Все игры'!C$3:C897,"&gt;0",'Все игры'!B$3:B897,"Мирный")</f>
        <v>5</v>
      </c>
      <c r="R15" s="129">
        <f>IFERROR(__xludf.DUMMYFUNCTION("COUNTBLANK(FILTER('Все игры'!A$3:C897,'Все игры'!A$3:A897=A15,'Все игры'!C$3:C897 &lt; 1,'Все игры'!B$3:B897=""Мирный""))"),6.0)</f>
        <v>6</v>
      </c>
      <c r="S15" s="237">
        <f t="shared" si="5"/>
        <v>0.619047619</v>
      </c>
      <c r="T15" s="237">
        <f t="shared" si="6"/>
        <v>0.4615384615</v>
      </c>
      <c r="U15" s="237">
        <f t="shared" si="7"/>
        <v>0.875</v>
      </c>
      <c r="V15" s="237">
        <f t="shared" si="8"/>
        <v>1</v>
      </c>
      <c r="W15" s="237">
        <f t="shared" si="9"/>
        <v>0.5</v>
      </c>
      <c r="X15" s="237">
        <f t="shared" si="10"/>
        <v>0.75</v>
      </c>
      <c r="Y15" s="237">
        <f t="shared" si="11"/>
        <v>0.4545454545</v>
      </c>
      <c r="Z15" s="238">
        <f>SUMIFS('Все игры'!D$3:D897,'Все игры'!A$3:A897,A15)</f>
        <v>66.5</v>
      </c>
      <c r="AA15" s="238">
        <f>SUMIFS('Все игры'!D$3:D897,'Все игры'!A$3:A897,A15,'Все игры'!B$3:B897,"Мафия")</f>
        <v>14.25</v>
      </c>
      <c r="AB15" s="238">
        <f>SUMIFS('Все игры'!D$3:D897,'Все игры'!A$3:A897,A15,'Все игры'!B$3:B897,"Шериф")</f>
        <v>6.75</v>
      </c>
      <c r="AC15" s="238">
        <f>SUMIFS('Все игры'!D$3:D897,'Все игры'!A$3:A897,A15,'Все игры'!B$3:B897,"Дон")</f>
        <v>13.5</v>
      </c>
      <c r="AD15" s="238">
        <f>SUMIFS('Все игры'!D$3:D897,'Все игры'!A$3:A897,A15,'Все игры'!B$3:B897,"Мирный")</f>
        <v>32</v>
      </c>
      <c r="AE15" s="238">
        <f t="shared" si="12"/>
        <v>3.166666667</v>
      </c>
      <c r="AF15" s="238">
        <f t="shared" si="13"/>
        <v>3.5625</v>
      </c>
      <c r="AG15" s="238">
        <f t="shared" si="14"/>
        <v>3.375</v>
      </c>
      <c r="AH15" s="238">
        <f t="shared" si="15"/>
        <v>3.375</v>
      </c>
      <c r="AI15" s="238">
        <f t="shared" si="16"/>
        <v>2.909090909</v>
      </c>
    </row>
    <row r="16">
      <c r="A16" s="241" t="s">
        <v>46</v>
      </c>
      <c r="B16" s="129">
        <f t="shared" si="1"/>
        <v>7</v>
      </c>
      <c r="C16" s="128" t="str">
        <f>IF(COUNTIFS('Все игры'!A$3:A897,A16,'Все игры'!F$3:F897,"=1")=0, "", COUNTIFS('Все игры'!A$3:A897,A16,'Все игры'!F$3:F897,"=1"))</f>
        <v/>
      </c>
      <c r="D16" s="233" t="str">
        <f>IF(COUNTIFS('Все игры'!A$3:A897,A16,'Все игры'!F$3:F897,"=0,50")=0, "", COUNTIFS('Все игры'!A$3:A897,A16,'Все игры'!F$3:F897,"=0,50"))</f>
        <v/>
      </c>
      <c r="E16" s="234">
        <f>IF(COUNTIFS('Все игры'!A$3:A897,A16,'Все игры'!E$3:E897,"ПУ")=0, "", COUNTIFS('Все игры'!A$3:A897,A16,'Все игры'!E$3:E897,"ПУ"))</f>
        <v>1</v>
      </c>
      <c r="F16" s="235">
        <f t="shared" si="2"/>
        <v>0.2</v>
      </c>
      <c r="G16" s="234" t="str">
        <f>IF(COUNTIFS('Все игры'!A$3:A897,A16,'Все игры'!E$3:E897,"У/Победа")=0, "",COUNTIFS('Все игры'!A$3:A897,A16,'Все игры'!E$3:E897,"У/Победа") )</f>
        <v/>
      </c>
      <c r="H16" s="234" t="str">
        <f>IF(COUNTIFS('Все игры'!A$3:A897,A16,'Все игры'!E$3:E897,"У/Проигрыш")=0, "",COUNTIFS('Все игры'!A$3:A897,A16,'Все игры'!E$3:E897,"У/Проигрыш") )</f>
        <v/>
      </c>
      <c r="I16" s="129">
        <f t="shared" si="3"/>
        <v>5</v>
      </c>
      <c r="J16" s="129">
        <f t="shared" si="4"/>
        <v>2</v>
      </c>
      <c r="K16" s="129">
        <f>COUNTIFS('Все игры'!A$3:A897,A16,'Все игры'!C$3:C897,"&gt;0",'Все игры'!B$3:B897,"Мафия")</f>
        <v>2</v>
      </c>
      <c r="L16" s="129">
        <f>IFERROR(__xludf.DUMMYFUNCTION("COUNTBLANK(FILTER('Все игры'!A$3:C897,'Все игры'!A$3:A897=A16,'Все игры'!C$3:C897 &lt; 1,'Все игры'!B$3:B897=""Мафия""))"),0.0)</f>
        <v>0</v>
      </c>
      <c r="M16" s="129">
        <f>COUNTIFS('Все игры'!A$3:A897,A16,'Все игры'!C$3:C897,"&gt;0",'Все игры'!B$3:B897,"Шериф")</f>
        <v>0</v>
      </c>
      <c r="N16" s="129">
        <f>IFERROR(__xludf.DUMMYFUNCTION("COUNTBLANK(FILTER('Все игры'!A$3:C897,'Все игры'!A$3:A897=A16,'Все игры'!C$3:C897 &lt; 1,'Все игры'!B$3:B897=""Шериф""))"),0.0)</f>
        <v>0</v>
      </c>
      <c r="O16" s="129">
        <f>COUNTIFS('Все игры'!A$3:A897,A16,'Все игры'!C$3:C897,"&gt;0",'Все игры'!B$3:B897,"Дон")</f>
        <v>0</v>
      </c>
      <c r="P16" s="236">
        <f>IFERROR(__xludf.DUMMYFUNCTION("COUNTBLANK(FILTER('Все игры'!A$3:C897,'Все игры'!A$3:A897=A16,'Все игры'!C$3:C897 &lt; 1,'Все игры'!B$3:B897=""Дон""))"),0.0)</f>
        <v>0</v>
      </c>
      <c r="Q16" s="129">
        <f>COUNTIFS('Все игры'!A$3:A897,A16,'Все игры'!C$3:C897,"&gt;0",'Все игры'!B$3:B897,"Мирный")</f>
        <v>3</v>
      </c>
      <c r="R16" s="129">
        <f>IFERROR(__xludf.DUMMYFUNCTION("COUNTBLANK(FILTER('Все игры'!A$3:C897,'Все игры'!A$3:A897=A16,'Все игры'!C$3:C897 &lt; 1,'Все игры'!B$3:B897=""Мирный""))"),2.0)</f>
        <v>2</v>
      </c>
      <c r="S16" s="237">
        <f t="shared" si="5"/>
        <v>0.7142857143</v>
      </c>
      <c r="T16" s="237">
        <f t="shared" si="6"/>
        <v>0.6</v>
      </c>
      <c r="U16" s="237">
        <f t="shared" si="7"/>
        <v>1</v>
      </c>
      <c r="V16" s="237">
        <f t="shared" si="8"/>
        <v>1</v>
      </c>
      <c r="W16" s="237" t="str">
        <f t="shared" si="9"/>
        <v/>
      </c>
      <c r="X16" s="237" t="str">
        <f t="shared" si="10"/>
        <v/>
      </c>
      <c r="Y16" s="237">
        <f t="shared" si="11"/>
        <v>0.6</v>
      </c>
      <c r="Z16" s="238">
        <f>SUMIFS('Все игры'!D$3:D897,'Все игры'!A$3:A897,A16)</f>
        <v>20</v>
      </c>
      <c r="AA16" s="238">
        <f>SUMIFS('Все игры'!D$3:D897,'Все игры'!A$3:A897,A16,'Все игры'!B$3:B897,"Мафия")</f>
        <v>6.25</v>
      </c>
      <c r="AB16" s="238">
        <f>SUMIFS('Все игры'!D$3:D897,'Все игры'!A$3:A897,A16,'Все игры'!B$3:B897,"Шериф")</f>
        <v>0</v>
      </c>
      <c r="AC16" s="238">
        <f>SUMIFS('Все игры'!D$3:D897,'Все игры'!A$3:A897,A16,'Все игры'!B$3:B897,"Дон")</f>
        <v>0</v>
      </c>
      <c r="AD16" s="238">
        <f>SUMIFS('Все игры'!D$3:D897,'Все игры'!A$3:A897,A16,'Все игры'!B$3:B897,"Мирный")</f>
        <v>13.75</v>
      </c>
      <c r="AE16" s="238">
        <f t="shared" si="12"/>
        <v>2.857142857</v>
      </c>
      <c r="AF16" s="238">
        <f t="shared" si="13"/>
        <v>3.125</v>
      </c>
      <c r="AG16" s="238">
        <f t="shared" si="14"/>
        <v>0</v>
      </c>
      <c r="AH16" s="238">
        <f t="shared" si="15"/>
        <v>0</v>
      </c>
      <c r="AI16" s="238">
        <f t="shared" si="16"/>
        <v>2.75</v>
      </c>
    </row>
    <row r="17">
      <c r="A17" s="241" t="s">
        <v>68</v>
      </c>
      <c r="B17" s="129">
        <f t="shared" si="1"/>
        <v>14</v>
      </c>
      <c r="C17" s="128" t="str">
        <f>IF(COUNTIFS('Все игры'!A$3:A897,A17,'Все игры'!F$3:F897,"=1")=0, "", COUNTIFS('Все игры'!A$3:A897,A17,'Все игры'!F$3:F897,"=1"))</f>
        <v/>
      </c>
      <c r="D17" s="233" t="str">
        <f>IF(COUNTIFS('Все игры'!A$3:A897,A17,'Все игры'!F$3:F897,"=0,50")=0, "", COUNTIFS('Все игры'!A$3:A897,A17,'Все игры'!F$3:F897,"=0,50"))</f>
        <v/>
      </c>
      <c r="E17" s="234" t="str">
        <f>IF(COUNTIFS('Все игры'!A$3:A897,A17,'Все игры'!E$3:E897,"ПУ")=0, "", COUNTIFS('Все игры'!A$3:A897,A17,'Все игры'!E$3:E897,"ПУ"))</f>
        <v/>
      </c>
      <c r="F17" s="235">
        <f t="shared" si="2"/>
        <v>0</v>
      </c>
      <c r="G17" s="234" t="str">
        <f>IF(COUNTIFS('Все игры'!A$3:A897,A17,'Все игры'!E$3:E897,"У/Победа")=0, "",COUNTIFS('Все игры'!A$3:A897,A17,'Все игры'!E$3:E897,"У/Победа") )</f>
        <v/>
      </c>
      <c r="H17" s="234" t="str">
        <f>IF(COUNTIFS('Все игры'!A$3:A897,A17,'Все игры'!E$3:E897,"У/Проигрыш")=0, "",COUNTIFS('Все игры'!A$3:A897,A17,'Все игры'!E$3:E897,"У/Проигрыш") )</f>
        <v/>
      </c>
      <c r="I17" s="129">
        <f t="shared" si="3"/>
        <v>10</v>
      </c>
      <c r="J17" s="129">
        <f t="shared" si="4"/>
        <v>4</v>
      </c>
      <c r="K17" s="129">
        <f>COUNTIFS('Все игры'!A$3:A897,A17,'Все игры'!C$3:C897,"&gt;0",'Все игры'!B$3:B897,"Мафия")</f>
        <v>2</v>
      </c>
      <c r="L17" s="129">
        <f>IFERROR(__xludf.DUMMYFUNCTION("COUNTBLANK(FILTER('Все игры'!A$3:C897,'Все игры'!A$3:A897=A17,'Все игры'!C$3:C897 &lt; 1,'Все игры'!B$3:B897=""Мафия""))"),1.0)</f>
        <v>1</v>
      </c>
      <c r="M17" s="129">
        <f>COUNTIFS('Все игры'!A$3:A897,A17,'Все игры'!C$3:C897,"&gt;0",'Все игры'!B$3:B897,"Шериф")</f>
        <v>0</v>
      </c>
      <c r="N17" s="129">
        <f>IFERROR(__xludf.DUMMYFUNCTION("COUNTBLANK(FILTER('Все игры'!A$3:C897,'Все игры'!A$3:A897=A17,'Все игры'!C$3:C897 &lt; 1,'Все игры'!B$3:B897=""Шериф""))"),0.0)</f>
        <v>0</v>
      </c>
      <c r="O17" s="129">
        <f>COUNTIFS('Все игры'!A$3:A897,A17,'Все игры'!C$3:C897,"&gt;0",'Все игры'!B$3:B897,"Дон")</f>
        <v>1</v>
      </c>
      <c r="P17" s="236">
        <f>IFERROR(__xludf.DUMMYFUNCTION("COUNTBLANK(FILTER('Все игры'!A$3:C897,'Все игры'!A$3:A897=A17,'Все игры'!C$3:C897 &lt; 1,'Все игры'!B$3:B897=""Дон""))"),0.0)</f>
        <v>0</v>
      </c>
      <c r="Q17" s="129">
        <f>COUNTIFS('Все игры'!A$3:A897,A17,'Все игры'!C$3:C897,"&gt;0",'Все игры'!B$3:B897,"Мирный")</f>
        <v>3</v>
      </c>
      <c r="R17" s="129">
        <f>IFERROR(__xludf.DUMMYFUNCTION("COUNTBLANK(FILTER('Все игры'!A$3:C897,'Все игры'!A$3:A897=A17,'Все игры'!C$3:C897 &lt; 1,'Все игры'!B$3:B897=""Мирный""))"),7.0)</f>
        <v>7</v>
      </c>
      <c r="S17" s="237">
        <f t="shared" si="5"/>
        <v>0.4285714286</v>
      </c>
      <c r="T17" s="237">
        <f t="shared" si="6"/>
        <v>0.3</v>
      </c>
      <c r="U17" s="237">
        <f t="shared" si="7"/>
        <v>0.75</v>
      </c>
      <c r="V17" s="237">
        <f t="shared" si="8"/>
        <v>0.6666666667</v>
      </c>
      <c r="W17" s="237" t="str">
        <f t="shared" si="9"/>
        <v/>
      </c>
      <c r="X17" s="237">
        <f t="shared" si="10"/>
        <v>1</v>
      </c>
      <c r="Y17" s="237">
        <f t="shared" si="11"/>
        <v>0.3</v>
      </c>
      <c r="Z17" s="238">
        <f>SUMIFS('Все игры'!D$3:D897,'Все игры'!A$3:A897,A17)</f>
        <v>31.75</v>
      </c>
      <c r="AA17" s="238">
        <f>SUMIFS('Все игры'!D$3:D897,'Все игры'!A$3:A897,A17,'Все игры'!B$3:B897,"Мафия")</f>
        <v>7.75</v>
      </c>
      <c r="AB17" s="238">
        <f>SUMIFS('Все игры'!D$3:D897,'Все игры'!A$3:A897,A17,'Все игры'!B$3:B897,"Шериф")</f>
        <v>0</v>
      </c>
      <c r="AC17" s="238">
        <f>SUMIFS('Все игры'!D$3:D897,'Все игры'!A$3:A897,A17,'Все игры'!B$3:B897,"Дон")</f>
        <v>2.75</v>
      </c>
      <c r="AD17" s="238">
        <f>SUMIFS('Все игры'!D$3:D897,'Все игры'!A$3:A897,A17,'Все игры'!B$3:B897,"Мирный")</f>
        <v>21.25</v>
      </c>
      <c r="AE17" s="238">
        <f t="shared" si="12"/>
        <v>2.267857143</v>
      </c>
      <c r="AF17" s="238">
        <f t="shared" si="13"/>
        <v>2.583333333</v>
      </c>
      <c r="AG17" s="238">
        <f t="shared" si="14"/>
        <v>0</v>
      </c>
      <c r="AH17" s="238">
        <f t="shared" si="15"/>
        <v>2.75</v>
      </c>
      <c r="AI17" s="238">
        <f t="shared" si="16"/>
        <v>2.125</v>
      </c>
    </row>
    <row r="18">
      <c r="A18" s="241" t="s">
        <v>43</v>
      </c>
      <c r="B18" s="129">
        <f t="shared" si="1"/>
        <v>21</v>
      </c>
      <c r="C18" s="128" t="str">
        <f>IF(COUNTIFS('Все игры'!A$3:A897,A18,'Все игры'!F$3:F897,"=1")=0, "", COUNTIFS('Все игры'!A$3:A897,A18,'Все игры'!F$3:F897,"=1"))</f>
        <v/>
      </c>
      <c r="D18" s="233">
        <f>IF(COUNTIFS('Все игры'!A$3:A897,A18,'Все игры'!F$3:F897,"=0,50")=0, "", COUNTIFS('Все игры'!A$3:A897,A18,'Все игры'!F$3:F897,"=0,50"))</f>
        <v>1</v>
      </c>
      <c r="E18" s="234">
        <f>IF(COUNTIFS('Все игры'!A$3:A897,A18,'Все игры'!E$3:E897,"ПУ")=0, "", COUNTIFS('Все игры'!A$3:A897,A18,'Все игры'!E$3:E897,"ПУ"))</f>
        <v>2</v>
      </c>
      <c r="F18" s="235">
        <f t="shared" si="2"/>
        <v>0.1333333333</v>
      </c>
      <c r="G18" s="234" t="str">
        <f>IF(COUNTIFS('Все игры'!A$3:A897,A18,'Все игры'!E$3:E897,"У/Победа")=0, "",COUNTIFS('Все игры'!A$3:A897,A18,'Все игры'!E$3:E897,"У/Победа") )</f>
        <v/>
      </c>
      <c r="H18" s="234" t="str">
        <f>IF(COUNTIFS('Все игры'!A$3:A897,A18,'Все игры'!E$3:E897,"У/Проигрыш")=0, "",COUNTIFS('Все игры'!A$3:A897,A18,'Все игры'!E$3:E897,"У/Проигрыш") )</f>
        <v/>
      </c>
      <c r="I18" s="129">
        <f t="shared" si="3"/>
        <v>15</v>
      </c>
      <c r="J18" s="129">
        <f t="shared" si="4"/>
        <v>6</v>
      </c>
      <c r="K18" s="129">
        <f>COUNTIFS('Все игры'!A$3:A897,A18,'Все игры'!C$3:C897,"&gt;0",'Все игры'!B$3:B897,"Мафия")</f>
        <v>2</v>
      </c>
      <c r="L18" s="129">
        <f>IFERROR(__xludf.DUMMYFUNCTION("COUNTBLANK(FILTER('Все игры'!A$3:C897,'Все игры'!A$3:A897=A18,'Все игры'!C$3:C897 &lt; 1,'Все игры'!B$3:B897=""Мафия""))"),2.0)</f>
        <v>2</v>
      </c>
      <c r="M18" s="129">
        <f>COUNTIFS('Все игры'!A$3:A897,A18,'Все игры'!C$3:C897,"&gt;0",'Все игры'!B$3:B897,"Шериф")</f>
        <v>1</v>
      </c>
      <c r="N18" s="129">
        <f>IFERROR(__xludf.DUMMYFUNCTION("COUNTBLANK(FILTER('Все игры'!A$3:C897,'Все игры'!A$3:A897=A18,'Все игры'!C$3:C897 &lt; 1,'Все игры'!B$3:B897=""Шериф""))"),2.0)</f>
        <v>2</v>
      </c>
      <c r="O18" s="129">
        <f>COUNTIFS('Все игры'!A$3:A897,A18,'Все игры'!C$3:C897,"&gt;0",'Все игры'!B$3:B897,"Дон")</f>
        <v>1</v>
      </c>
      <c r="P18" s="236">
        <f>IFERROR(__xludf.DUMMYFUNCTION("COUNTBLANK(FILTER('Все игры'!A$3:C897,'Все игры'!A$3:A897=A18,'Все игры'!C$3:C897 &lt; 1,'Все игры'!B$3:B897=""Дон""))"),1.0)</f>
        <v>1</v>
      </c>
      <c r="Q18" s="129">
        <f>COUNTIFS('Все игры'!A$3:A897,A18,'Все игры'!C$3:C897,"&gt;0",'Все игры'!B$3:B897,"Мирный")</f>
        <v>3</v>
      </c>
      <c r="R18" s="129">
        <f>IFERROR(__xludf.DUMMYFUNCTION("COUNTBLANK(FILTER('Все игры'!A$3:C897,'Все игры'!A$3:A897=A18,'Все игры'!C$3:C897 &lt; 1,'Все игры'!B$3:B897=""Мирный""))"),9.0)</f>
        <v>9</v>
      </c>
      <c r="S18" s="237">
        <f t="shared" si="5"/>
        <v>0.3333333333</v>
      </c>
      <c r="T18" s="237">
        <f t="shared" si="6"/>
        <v>0.2666666667</v>
      </c>
      <c r="U18" s="237">
        <f t="shared" si="7"/>
        <v>0.5</v>
      </c>
      <c r="V18" s="237">
        <f t="shared" si="8"/>
        <v>0.5</v>
      </c>
      <c r="W18" s="237">
        <f t="shared" si="9"/>
        <v>0.3333333333</v>
      </c>
      <c r="X18" s="237">
        <f t="shared" si="10"/>
        <v>0.5</v>
      </c>
      <c r="Y18" s="237">
        <f t="shared" si="11"/>
        <v>0.25</v>
      </c>
      <c r="Z18" s="238">
        <f>SUMIFS('Все игры'!D$3:D897,'Все игры'!A$3:A897,A18)</f>
        <v>53.25</v>
      </c>
      <c r="AA18" s="238">
        <f>SUMIFS('Все игры'!D$3:D897,'Все игры'!A$3:A897,A18,'Все игры'!B$3:B897,"Мафия")</f>
        <v>11.5</v>
      </c>
      <c r="AB18" s="238">
        <f>SUMIFS('Все игры'!D$3:D897,'Все игры'!A$3:A897,A18,'Все игры'!B$3:B897,"Шериф")</f>
        <v>7.75</v>
      </c>
      <c r="AC18" s="238">
        <f>SUMIFS('Все игры'!D$3:D897,'Все игры'!A$3:A897,A18,'Все игры'!B$3:B897,"Дон")</f>
        <v>7</v>
      </c>
      <c r="AD18" s="238">
        <f>SUMIFS('Все игры'!D$3:D897,'Все игры'!A$3:A897,A18,'Все игры'!B$3:B897,"Мирный")</f>
        <v>27</v>
      </c>
      <c r="AE18" s="238">
        <f t="shared" si="12"/>
        <v>2.535714286</v>
      </c>
      <c r="AF18" s="238">
        <f t="shared" si="13"/>
        <v>2.875</v>
      </c>
      <c r="AG18" s="238">
        <f t="shared" si="14"/>
        <v>2.583333333</v>
      </c>
      <c r="AH18" s="238">
        <f t="shared" si="15"/>
        <v>3.5</v>
      </c>
      <c r="AI18" s="238">
        <f t="shared" si="16"/>
        <v>2.25</v>
      </c>
    </row>
    <row r="19">
      <c r="A19" s="241" t="s">
        <v>70</v>
      </c>
      <c r="B19" s="129">
        <f t="shared" si="1"/>
        <v>7</v>
      </c>
      <c r="C19" s="128" t="str">
        <f>IF(COUNTIFS('Все игры'!A$3:A897,A19,'Все игры'!F$3:F897,"=1")=0, "", COUNTIFS('Все игры'!A$3:A897,A19,'Все игры'!F$3:F897,"=1"))</f>
        <v/>
      </c>
      <c r="D19" s="233">
        <f>IF(COUNTIFS('Все игры'!A$3:A897,A19,'Все игры'!F$3:F897,"=0,50")=0, "", COUNTIFS('Все игры'!A$3:A897,A19,'Все игры'!F$3:F897,"=0,50"))</f>
        <v>1</v>
      </c>
      <c r="E19" s="234">
        <f>IF(COUNTIFS('Все игры'!A$3:A897,A19,'Все игры'!E$3:E897,"ПУ")=0, "", COUNTIFS('Все игры'!A$3:A897,A19,'Все игры'!E$3:E897,"ПУ"))</f>
        <v>1</v>
      </c>
      <c r="F19" s="235">
        <f t="shared" si="2"/>
        <v>0.1666666667</v>
      </c>
      <c r="G19" s="234" t="str">
        <f>IF(COUNTIFS('Все игры'!A$3:A897,A19,'Все игры'!E$3:E897,"У/Победа")=0, "",COUNTIFS('Все игры'!A$3:A897,A19,'Все игры'!E$3:E897,"У/Победа") )</f>
        <v/>
      </c>
      <c r="H19" s="234" t="str">
        <f>IF(COUNTIFS('Все игры'!A$3:A897,A19,'Все игры'!E$3:E897,"У/Проигрыш")=0, "",COUNTIFS('Все игры'!A$3:A897,A19,'Все игры'!E$3:E897,"У/Проигрыш") )</f>
        <v/>
      </c>
      <c r="I19" s="129">
        <f t="shared" si="3"/>
        <v>6</v>
      </c>
      <c r="J19" s="129">
        <f t="shared" si="4"/>
        <v>1</v>
      </c>
      <c r="K19" s="129">
        <f>COUNTIFS('Все игры'!A$3:A897,A19,'Все игры'!C$3:C897,"&gt;0",'Все игры'!B$3:B897,"Мафия")</f>
        <v>0</v>
      </c>
      <c r="L19" s="129">
        <f>IFERROR(__xludf.DUMMYFUNCTION("COUNTBLANK(FILTER('Все игры'!A$3:C897,'Все игры'!A$3:A897=A19,'Все игры'!C$3:C897 &lt; 1,'Все игры'!B$3:B897=""Мафия""))"),0.0)</f>
        <v>0</v>
      </c>
      <c r="M19" s="129">
        <f>COUNTIFS('Все игры'!A$3:A897,A19,'Все игры'!C$3:C897,"&gt;0",'Все игры'!B$3:B897,"Шериф")</f>
        <v>0</v>
      </c>
      <c r="N19" s="129">
        <f>IFERROR(__xludf.DUMMYFUNCTION("COUNTBLANK(FILTER('Все игры'!A$3:C897,'Все игры'!A$3:A897=A19,'Все игры'!C$3:C897 &lt; 1,'Все игры'!B$3:B897=""Шериф""))"),1.0)</f>
        <v>1</v>
      </c>
      <c r="O19" s="129">
        <f>COUNTIFS('Все игры'!A$3:A897,A19,'Все игры'!C$3:C897,"&gt;0",'Все игры'!B$3:B897,"Дон")</f>
        <v>0</v>
      </c>
      <c r="P19" s="236">
        <f>IFERROR(__xludf.DUMMYFUNCTION("COUNTBLANK(FILTER('Все игры'!A$3:C897,'Все игры'!A$3:A897=A19,'Все игры'!C$3:C897 &lt; 1,'Все игры'!B$3:B897=""Дон""))"),1.0)</f>
        <v>1</v>
      </c>
      <c r="Q19" s="129">
        <f>COUNTIFS('Все игры'!A$3:A897,A19,'Все игры'!C$3:C897,"&gt;0",'Все игры'!B$3:B897,"Мирный")</f>
        <v>0</v>
      </c>
      <c r="R19" s="129">
        <f>IFERROR(__xludf.DUMMYFUNCTION("COUNTBLANK(FILTER('Все игры'!A$3:C897,'Все игры'!A$3:A897=A19,'Все игры'!C$3:C897 &lt; 1,'Все игры'!B$3:B897=""Мирный""))"),5.0)</f>
        <v>5</v>
      </c>
      <c r="S19" s="237">
        <f t="shared" si="5"/>
        <v>0</v>
      </c>
      <c r="T19" s="237">
        <f t="shared" si="6"/>
        <v>0</v>
      </c>
      <c r="U19" s="237">
        <f t="shared" si="7"/>
        <v>0</v>
      </c>
      <c r="V19" s="237" t="str">
        <f t="shared" si="8"/>
        <v/>
      </c>
      <c r="W19" s="237">
        <f t="shared" si="9"/>
        <v>0</v>
      </c>
      <c r="X19" s="237">
        <f t="shared" si="10"/>
        <v>0</v>
      </c>
      <c r="Y19" s="237">
        <f t="shared" si="11"/>
        <v>0</v>
      </c>
      <c r="Z19" s="238">
        <f>SUMIFS('Все игры'!D$3:D897,'Все игры'!A$3:A897,A19)</f>
        <v>14.5</v>
      </c>
      <c r="AA19" s="238">
        <f>SUMIFS('Все игры'!D$3:D897,'Все игры'!A$3:A897,A19,'Все игры'!B$3:B897,"Мафия")</f>
        <v>0</v>
      </c>
      <c r="AB19" s="238">
        <f>SUMIFS('Все игры'!D$3:D897,'Все игры'!A$3:A897,A19,'Все игры'!B$3:B897,"Шериф")</f>
        <v>1.75</v>
      </c>
      <c r="AC19" s="238">
        <f>SUMIFS('Все игры'!D$3:D897,'Все игры'!A$3:A897,A19,'Все игры'!B$3:B897,"Дон")</f>
        <v>1.5</v>
      </c>
      <c r="AD19" s="238">
        <f>SUMIFS('Все игры'!D$3:D897,'Все игры'!A$3:A897,A19,'Все игры'!B$3:B897,"Мирный")</f>
        <v>11.25</v>
      </c>
      <c r="AE19" s="238">
        <f t="shared" si="12"/>
        <v>2.071428571</v>
      </c>
      <c r="AF19" s="238">
        <f t="shared" si="13"/>
        <v>0</v>
      </c>
      <c r="AG19" s="238">
        <f t="shared" si="14"/>
        <v>1.75</v>
      </c>
      <c r="AH19" s="238">
        <f t="shared" si="15"/>
        <v>1.5</v>
      </c>
      <c r="AI19" s="238">
        <f t="shared" si="16"/>
        <v>2.25</v>
      </c>
    </row>
    <row r="20">
      <c r="A20" s="241" t="s">
        <v>49</v>
      </c>
      <c r="B20" s="129">
        <f t="shared" si="1"/>
        <v>7</v>
      </c>
      <c r="C20" s="128" t="str">
        <f>IF(COUNTIFS('Все игры'!A$3:A897,A20,'Все игры'!F$3:F897,"=1")=0, "", COUNTIFS('Все игры'!A$3:A897,A20,'Все игры'!F$3:F897,"=1"))</f>
        <v/>
      </c>
      <c r="D20" s="233" t="str">
        <f>IF(COUNTIFS('Все игры'!A$3:A897,A20,'Все игры'!F$3:F897,"=0,50")=0, "", COUNTIFS('Все игры'!A$3:A897,A20,'Все игры'!F$3:F897,"=0,50"))</f>
        <v/>
      </c>
      <c r="E20" s="234" t="str">
        <f>IF(COUNTIFS('Все игры'!A$3:A897,A20,'Все игры'!E$3:E897,"ПУ")=0, "", COUNTIFS('Все игры'!A$3:A897,A20,'Все игры'!E$3:E897,"ПУ"))</f>
        <v/>
      </c>
      <c r="F20" s="235">
        <f t="shared" si="2"/>
        <v>0</v>
      </c>
      <c r="G20" s="234" t="str">
        <f>IF(COUNTIFS('Все игры'!A$3:A897,A20,'Все игры'!E$3:E897,"У/Победа")=0, "",COUNTIFS('Все игры'!A$3:A897,A20,'Все игры'!E$3:E897,"У/Победа") )</f>
        <v/>
      </c>
      <c r="H20" s="234" t="str">
        <f>IF(COUNTIFS('Все игры'!A$3:A897,A20,'Все игры'!E$3:E897,"У/Проигрыш")=0, "",COUNTIFS('Все игры'!A$3:A897,A20,'Все игры'!E$3:E897,"У/Проигрыш") )</f>
        <v/>
      </c>
      <c r="I20" s="129">
        <f t="shared" si="3"/>
        <v>3</v>
      </c>
      <c r="J20" s="129">
        <f t="shared" si="4"/>
        <v>4</v>
      </c>
      <c r="K20" s="129">
        <f>COUNTIFS('Все игры'!A$3:A897,A20,'Все игры'!C$3:C897,"&gt;0",'Все игры'!B$3:B897,"Мафия")</f>
        <v>1</v>
      </c>
      <c r="L20" s="129">
        <f>IFERROR(__xludf.DUMMYFUNCTION("COUNTBLANK(FILTER('Все игры'!A$3:C897,'Все игры'!A$3:A897=A20,'Все игры'!C$3:C897 &lt; 1,'Все игры'!B$3:B897=""Мафия""))"),0.0)</f>
        <v>0</v>
      </c>
      <c r="M20" s="129">
        <f>COUNTIFS('Все игры'!A$3:A897,A20,'Все игры'!C$3:C897,"&gt;0",'Все игры'!B$3:B897,"Шериф")</f>
        <v>0</v>
      </c>
      <c r="N20" s="129">
        <f>IFERROR(__xludf.DUMMYFUNCTION("COUNTBLANK(FILTER('Все игры'!A$3:C897,'Все игры'!A$3:A897=A20,'Все игры'!C$3:C897 &lt; 1,'Все игры'!B$3:B897=""Шериф""))"),0.0)</f>
        <v>0</v>
      </c>
      <c r="O20" s="129">
        <f>COUNTIFS('Все игры'!A$3:A897,A20,'Все игры'!C$3:C897,"&gt;0",'Все игры'!B$3:B897,"Дон")</f>
        <v>3</v>
      </c>
      <c r="P20" s="236">
        <f>IFERROR(__xludf.DUMMYFUNCTION("COUNTBLANK(FILTER('Все игры'!A$3:C897,'Все игры'!A$3:A897=A20,'Все игры'!C$3:C897 &lt; 1,'Все игры'!B$3:B897=""Дон""))"),0.0)</f>
        <v>0</v>
      </c>
      <c r="Q20" s="129">
        <f>COUNTIFS('Все игры'!A$3:A897,A20,'Все игры'!C$3:C897,"&gt;0",'Все игры'!B$3:B897,"Мирный")</f>
        <v>3</v>
      </c>
      <c r="R20" s="129">
        <f>IFERROR(__xludf.DUMMYFUNCTION("COUNTBLANK(FILTER('Все игры'!A$3:C897,'Все игры'!A$3:A897=A20,'Все игры'!C$3:C897 &lt; 1,'Все игры'!B$3:B897=""Мирный""))"),0.0)</f>
        <v>0</v>
      </c>
      <c r="S20" s="237">
        <f t="shared" si="5"/>
        <v>1</v>
      </c>
      <c r="T20" s="237">
        <f t="shared" si="6"/>
        <v>1</v>
      </c>
      <c r="U20" s="237">
        <f t="shared" si="7"/>
        <v>1</v>
      </c>
      <c r="V20" s="237">
        <f t="shared" si="8"/>
        <v>1</v>
      </c>
      <c r="W20" s="237" t="str">
        <f t="shared" si="9"/>
        <v/>
      </c>
      <c r="X20" s="237">
        <f t="shared" si="10"/>
        <v>1</v>
      </c>
      <c r="Y20" s="237">
        <f t="shared" si="11"/>
        <v>1</v>
      </c>
      <c r="Z20" s="238">
        <f>SUMIFS('Все игры'!D$3:D897,'Все игры'!A$3:A897,A20)</f>
        <v>24.75</v>
      </c>
      <c r="AA20" s="238">
        <f>SUMIFS('Все игры'!D$3:D897,'Все игры'!A$3:A897,A20,'Все игры'!B$3:B897,"Мафия")</f>
        <v>3.5</v>
      </c>
      <c r="AB20" s="238">
        <f>SUMIFS('Все игры'!D$3:D897,'Все игры'!A$3:A897,A20,'Все игры'!B$3:B897,"Шериф")</f>
        <v>0</v>
      </c>
      <c r="AC20" s="238">
        <f>SUMIFS('Все игры'!D$3:D897,'Все игры'!A$3:A897,A20,'Все игры'!B$3:B897,"Дон")</f>
        <v>10.75</v>
      </c>
      <c r="AD20" s="238">
        <f>SUMIFS('Все игры'!D$3:D897,'Все игры'!A$3:A897,A20,'Все игры'!B$3:B897,"Мирный")</f>
        <v>10.5</v>
      </c>
      <c r="AE20" s="238">
        <f t="shared" si="12"/>
        <v>3.535714286</v>
      </c>
      <c r="AF20" s="238">
        <f t="shared" si="13"/>
        <v>3.5</v>
      </c>
      <c r="AG20" s="238">
        <f t="shared" si="14"/>
        <v>0</v>
      </c>
      <c r="AH20" s="238">
        <f t="shared" si="15"/>
        <v>3.583333333</v>
      </c>
      <c r="AI20" s="238">
        <f t="shared" si="16"/>
        <v>3.5</v>
      </c>
    </row>
    <row r="21">
      <c r="A21" s="241" t="s">
        <v>53</v>
      </c>
      <c r="B21" s="129">
        <f t="shared" si="1"/>
        <v>7</v>
      </c>
      <c r="C21" s="128" t="str">
        <f>IF(COUNTIFS('Все игры'!A$3:A897,A21,'Все игры'!F$3:F897,"=1")=0, "", COUNTIFS('Все игры'!A$3:A897,A21,'Все игры'!F$3:F897,"=1"))</f>
        <v/>
      </c>
      <c r="D21" s="233" t="str">
        <f>IF(COUNTIFS('Все игры'!A$3:A897,A21,'Все игры'!F$3:F897,"=0,50")=0, "", COUNTIFS('Все игры'!A$3:A897,A21,'Все игры'!F$3:F897,"=0,50"))</f>
        <v/>
      </c>
      <c r="E21" s="234" t="str">
        <f>IF(COUNTIFS('Все игры'!A$3:A897,A21,'Все игры'!E$3:E897,"ПУ")=0, "", COUNTIFS('Все игры'!A$3:A897,A21,'Все игры'!E$3:E897,"ПУ"))</f>
        <v/>
      </c>
      <c r="F21" s="235">
        <f t="shared" si="2"/>
        <v>0</v>
      </c>
      <c r="G21" s="234" t="str">
        <f>IF(COUNTIFS('Все игры'!A$3:A897,A21,'Все игры'!E$3:E897,"У/Победа")=0, "",COUNTIFS('Все игры'!A$3:A897,A21,'Все игры'!E$3:E897,"У/Победа") )</f>
        <v/>
      </c>
      <c r="H21" s="234" t="str">
        <f>IF(COUNTIFS('Все игры'!A$3:A897,A21,'Все игры'!E$3:E897,"У/Проигрыш")=0, "",COUNTIFS('Все игры'!A$3:A897,A21,'Все игры'!E$3:E897,"У/Проигрыш") )</f>
        <v/>
      </c>
      <c r="I21" s="129">
        <f t="shared" si="3"/>
        <v>6</v>
      </c>
      <c r="J21" s="129">
        <f t="shared" si="4"/>
        <v>1</v>
      </c>
      <c r="K21" s="129">
        <f>COUNTIFS('Все игры'!A$3:A897,A21,'Все игры'!C$3:C897,"&gt;0",'Все игры'!B$3:B897,"Мафия")</f>
        <v>1</v>
      </c>
      <c r="L21" s="129">
        <f>IFERROR(__xludf.DUMMYFUNCTION("COUNTBLANK(FILTER('Все игры'!A$3:C897,'Все игры'!A$3:A897=A21,'Все игры'!C$3:C897 &lt; 1,'Все игры'!B$3:B897=""Мафия""))"),0.0)</f>
        <v>0</v>
      </c>
      <c r="M21" s="129">
        <f>COUNTIFS('Все игры'!A$3:A897,A21,'Все игры'!C$3:C897,"&gt;0",'Все игры'!B$3:B897,"Шериф")</f>
        <v>0</v>
      </c>
      <c r="N21" s="129">
        <f>IFERROR(__xludf.DUMMYFUNCTION("COUNTBLANK(FILTER('Все игры'!A$3:C897,'Все игры'!A$3:A897=A21,'Все игры'!C$3:C897 &lt; 1,'Все игры'!B$3:B897=""Шериф""))"),0.0)</f>
        <v>0</v>
      </c>
      <c r="O21" s="129">
        <f>COUNTIFS('Все игры'!A$3:A897,A21,'Все игры'!C$3:C897,"&gt;0",'Все игры'!B$3:B897,"Дон")</f>
        <v>0</v>
      </c>
      <c r="P21" s="236">
        <f>IFERROR(__xludf.DUMMYFUNCTION("COUNTBLANK(FILTER('Все игры'!A$3:C897,'Все игры'!A$3:A897=A21,'Все игры'!C$3:C897 &lt; 1,'Все игры'!B$3:B897=""Дон""))"),0.0)</f>
        <v>0</v>
      </c>
      <c r="Q21" s="129">
        <f>COUNTIFS('Все игры'!A$3:A897,A21,'Все игры'!C$3:C897,"&gt;0",'Все игры'!B$3:B897,"Мирный")</f>
        <v>3</v>
      </c>
      <c r="R21" s="129">
        <f>IFERROR(__xludf.DUMMYFUNCTION("COUNTBLANK(FILTER('Все игры'!A$3:C897,'Все игры'!A$3:A897=A21,'Все игры'!C$3:C897 &lt; 1,'Все игры'!B$3:B897=""Мирный""))"),3.0)</f>
        <v>3</v>
      </c>
      <c r="S21" s="237">
        <f t="shared" si="5"/>
        <v>0.5714285714</v>
      </c>
      <c r="T21" s="237">
        <f t="shared" si="6"/>
        <v>0.5</v>
      </c>
      <c r="U21" s="237">
        <f t="shared" si="7"/>
        <v>1</v>
      </c>
      <c r="V21" s="237">
        <f t="shared" si="8"/>
        <v>1</v>
      </c>
      <c r="W21" s="237" t="str">
        <f t="shared" si="9"/>
        <v/>
      </c>
      <c r="X21" s="237" t="str">
        <f t="shared" si="10"/>
        <v/>
      </c>
      <c r="Y21" s="237">
        <f t="shared" si="11"/>
        <v>0.5</v>
      </c>
      <c r="Z21" s="238">
        <f>SUMIFS('Все игры'!D$3:D897,'Все игры'!A$3:A897,A21)</f>
        <v>19.75</v>
      </c>
      <c r="AA21" s="238">
        <f>SUMIFS('Все игры'!D$3:D897,'Все игры'!A$3:A897,A21,'Все игры'!B$3:B897,"Мафия")</f>
        <v>3</v>
      </c>
      <c r="AB21" s="238">
        <f>SUMIFS('Все игры'!D$3:D897,'Все игры'!A$3:A897,A21,'Все игры'!B$3:B897,"Шериф")</f>
        <v>0</v>
      </c>
      <c r="AC21" s="238">
        <f>SUMIFS('Все игры'!D$3:D897,'Все игры'!A$3:A897,A21,'Все игры'!B$3:B897,"Дон")</f>
        <v>0</v>
      </c>
      <c r="AD21" s="238">
        <f>SUMIFS('Все игры'!D$3:D897,'Все игры'!A$3:A897,A21,'Все игры'!B$3:B897,"Мирный")</f>
        <v>16.75</v>
      </c>
      <c r="AE21" s="238">
        <f t="shared" si="12"/>
        <v>2.821428571</v>
      </c>
      <c r="AF21" s="238">
        <f t="shared" si="13"/>
        <v>3</v>
      </c>
      <c r="AG21" s="238">
        <f t="shared" si="14"/>
        <v>0</v>
      </c>
      <c r="AH21" s="238">
        <f t="shared" si="15"/>
        <v>0</v>
      </c>
      <c r="AI21" s="238">
        <f t="shared" si="16"/>
        <v>2.791666667</v>
      </c>
    </row>
    <row r="22">
      <c r="A22" s="241" t="s">
        <v>67</v>
      </c>
      <c r="B22" s="129">
        <f t="shared" si="1"/>
        <v>7</v>
      </c>
      <c r="C22" s="128" t="str">
        <f>IF(COUNTIFS('Все игры'!A$3:A897,A22,'Все игры'!F$3:F897,"=1")=0, "", COUNTIFS('Все игры'!A$3:A897,A22,'Все игры'!F$3:F897,"=1"))</f>
        <v/>
      </c>
      <c r="D22" s="233" t="str">
        <f>IF(COUNTIFS('Все игры'!A$3:A897,A22,'Все игры'!F$3:F897,"=0,50")=0, "", COUNTIFS('Все игры'!A$3:A897,A22,'Все игры'!F$3:F897,"=0,50"))</f>
        <v/>
      </c>
      <c r="E22" s="234" t="str">
        <f>IF(COUNTIFS('Все игры'!A$3:A897,A22,'Все игры'!E$3:E897,"ПУ")=0, "", COUNTIFS('Все игры'!A$3:A897,A22,'Все игры'!E$3:E897,"ПУ"))</f>
        <v/>
      </c>
      <c r="F22" s="235">
        <f t="shared" si="2"/>
        <v>0</v>
      </c>
      <c r="G22" s="234" t="str">
        <f>IF(COUNTIFS('Все игры'!A$3:A897,A22,'Все игры'!E$3:E897,"У/Победа")=0, "",COUNTIFS('Все игры'!A$3:A897,A22,'Все игры'!E$3:E897,"У/Победа") )</f>
        <v/>
      </c>
      <c r="H22" s="234" t="str">
        <f>IF(COUNTIFS('Все игры'!A$3:A897,A22,'Все игры'!E$3:E897,"У/Проигрыш")=0, "",COUNTIFS('Все игры'!A$3:A897,A22,'Все игры'!E$3:E897,"У/Проигрыш") )</f>
        <v/>
      </c>
      <c r="I22" s="129">
        <f t="shared" si="3"/>
        <v>5</v>
      </c>
      <c r="J22" s="129">
        <f t="shared" si="4"/>
        <v>2</v>
      </c>
      <c r="K22" s="129">
        <f>COUNTIFS('Все игры'!A$3:A897,A22,'Все игры'!C$3:C897,"&gt;0",'Все игры'!B$3:B897,"Мафия")</f>
        <v>1</v>
      </c>
      <c r="L22" s="129">
        <f>IFERROR(__xludf.DUMMYFUNCTION("COUNTBLANK(FILTER('Все игры'!A$3:C897,'Все игры'!A$3:A897=A22,'Все игры'!C$3:C897 &lt; 1,'Все игры'!B$3:B897=""Мафия""))"),1.0)</f>
        <v>1</v>
      </c>
      <c r="M22" s="129">
        <f>COUNTIFS('Все игры'!A$3:A897,A22,'Все игры'!C$3:C897,"&gt;0",'Все игры'!B$3:B897,"Шериф")</f>
        <v>0</v>
      </c>
      <c r="N22" s="129">
        <f>IFERROR(__xludf.DUMMYFUNCTION("COUNTBLANK(FILTER('Все игры'!A$3:C897,'Все игры'!A$3:A897=A22,'Все игры'!C$3:C897 &lt; 1,'Все игры'!B$3:B897=""Шериф""))"),3.0)</f>
        <v>3</v>
      </c>
      <c r="O22" s="129">
        <f>COUNTIFS('Все игры'!A$3:A897,A22,'Все игры'!C$3:C897,"&gt;0",'Все игры'!B$3:B897,"Дон")</f>
        <v>0</v>
      </c>
      <c r="P22" s="236">
        <f>IFERROR(__xludf.DUMMYFUNCTION("COUNTBLANK(FILTER('Все игры'!A$3:C897,'Все игры'!A$3:A897=A22,'Все игры'!C$3:C897 &lt; 1,'Все игры'!B$3:B897=""Дон""))"),0.0)</f>
        <v>0</v>
      </c>
      <c r="Q22" s="129">
        <f>COUNTIFS('Все игры'!A$3:A897,A22,'Все игры'!C$3:C897,"&gt;0",'Все игры'!B$3:B897,"Мирный")</f>
        <v>0</v>
      </c>
      <c r="R22" s="129">
        <f>IFERROR(__xludf.DUMMYFUNCTION("COUNTBLANK(FILTER('Все игры'!A$3:C897,'Все игры'!A$3:A897=A22,'Все игры'!C$3:C897 &lt; 1,'Все игры'!B$3:B897=""Мирный""))"),2.0)</f>
        <v>2</v>
      </c>
      <c r="S22" s="237">
        <f t="shared" si="5"/>
        <v>0.1428571429</v>
      </c>
      <c r="T22" s="237">
        <f t="shared" si="6"/>
        <v>0</v>
      </c>
      <c r="U22" s="237">
        <f t="shared" si="7"/>
        <v>0.5</v>
      </c>
      <c r="V22" s="237">
        <f t="shared" si="8"/>
        <v>0.5</v>
      </c>
      <c r="W22" s="237">
        <f t="shared" si="9"/>
        <v>0</v>
      </c>
      <c r="X22" s="237" t="str">
        <f t="shared" si="10"/>
        <v/>
      </c>
      <c r="Y22" s="237">
        <f t="shared" si="11"/>
        <v>0</v>
      </c>
      <c r="Z22" s="238">
        <f>SUMIFS('Все игры'!D$3:D897,'Все игры'!A$3:A897,A22)</f>
        <v>13.5</v>
      </c>
      <c r="AA22" s="238">
        <f>SUMIFS('Все игры'!D$3:D897,'Все игры'!A$3:A897,A22,'Все игры'!B$3:B897,"Мафия")</f>
        <v>6</v>
      </c>
      <c r="AB22" s="238">
        <f>SUMIFS('Все игры'!D$3:D897,'Все игры'!A$3:A897,A22,'Все игры'!B$3:B897,"Шериф")</f>
        <v>4.25</v>
      </c>
      <c r="AC22" s="238">
        <f>SUMIFS('Все игры'!D$3:D897,'Все игры'!A$3:A897,A22,'Все игры'!B$3:B897,"Дон")</f>
        <v>0</v>
      </c>
      <c r="AD22" s="238">
        <f>SUMIFS('Все игры'!D$3:D897,'Все игры'!A$3:A897,A22,'Все игры'!B$3:B897,"Мирный")</f>
        <v>3.25</v>
      </c>
      <c r="AE22" s="238">
        <f t="shared" si="12"/>
        <v>1.928571429</v>
      </c>
      <c r="AF22" s="238">
        <f t="shared" si="13"/>
        <v>3</v>
      </c>
      <c r="AG22" s="238">
        <f t="shared" si="14"/>
        <v>1.416666667</v>
      </c>
      <c r="AH22" s="238">
        <f t="shared" si="15"/>
        <v>0</v>
      </c>
      <c r="AI22" s="238">
        <f t="shared" si="16"/>
        <v>1.625</v>
      </c>
    </row>
    <row r="23">
      <c r="A23" s="241" t="s">
        <v>47</v>
      </c>
      <c r="B23" s="129">
        <f t="shared" si="1"/>
        <v>7</v>
      </c>
      <c r="C23" s="128" t="str">
        <f>IF(COUNTIFS('Все игры'!A$3:A897,A23,'Все игры'!F$3:F897,"=1")=0, "", COUNTIFS('Все игры'!A$3:A897,A23,'Все игры'!F$3:F897,"=1"))</f>
        <v/>
      </c>
      <c r="D23" s="233" t="str">
        <f>IF(COUNTIFS('Все игры'!A$3:A897,A23,'Все игры'!F$3:F897,"=0,50")=0, "", COUNTIFS('Все игры'!A$3:A897,A23,'Все игры'!F$3:F897,"=0,50"))</f>
        <v/>
      </c>
      <c r="E23" s="234" t="str">
        <f>IF(COUNTIFS('Все игры'!A$3:A897,A23,'Все игры'!E$3:E897,"ПУ")=0, "", COUNTIFS('Все игры'!A$3:A897,A23,'Все игры'!E$3:E897,"ПУ"))</f>
        <v/>
      </c>
      <c r="F23" s="235">
        <f t="shared" si="2"/>
        <v>0</v>
      </c>
      <c r="G23" s="234" t="str">
        <f>IF(COUNTIFS('Все игры'!A$3:A897,A23,'Все игры'!E$3:E897,"У/Победа")=0, "",COUNTIFS('Все игры'!A$3:A897,A23,'Все игры'!E$3:E897,"У/Победа") )</f>
        <v/>
      </c>
      <c r="H23" s="234" t="str">
        <f>IF(COUNTIFS('Все игры'!A$3:A897,A23,'Все игры'!E$3:E897,"У/Проигрыш")=0, "",COUNTIFS('Все игры'!A$3:A897,A23,'Все игры'!E$3:E897,"У/Проигрыш") )</f>
        <v/>
      </c>
      <c r="I23" s="129">
        <f t="shared" si="3"/>
        <v>4</v>
      </c>
      <c r="J23" s="129">
        <f t="shared" si="4"/>
        <v>3</v>
      </c>
      <c r="K23" s="129">
        <f>COUNTIFS('Все игры'!A$3:A897,A23,'Все игры'!C$3:C897,"&gt;0",'Все игры'!B$3:B897,"Мафия")</f>
        <v>1</v>
      </c>
      <c r="L23" s="129">
        <f>IFERROR(__xludf.DUMMYFUNCTION("COUNTBLANK(FILTER('Все игры'!A$3:C897,'Все игры'!A$3:A897=A23,'Все игры'!C$3:C897 &lt; 1,'Все игры'!B$3:B897=""Мафия""))"),1.0)</f>
        <v>1</v>
      </c>
      <c r="M23" s="129">
        <f>COUNTIFS('Все игры'!A$3:A897,A23,'Все игры'!C$3:C897,"&gt;0",'Все игры'!B$3:B897,"Шериф")</f>
        <v>0</v>
      </c>
      <c r="N23" s="129">
        <f>IFERROR(__xludf.DUMMYFUNCTION("COUNTBLANK(FILTER('Все игры'!A$3:C897,'Все игры'!A$3:A897=A23,'Все игры'!C$3:C897 &lt; 1,'Все игры'!B$3:B897=""Шериф""))"),1.0)</f>
        <v>1</v>
      </c>
      <c r="O23" s="129">
        <f>COUNTIFS('Все игры'!A$3:A897,A23,'Все игры'!C$3:C897,"&gt;0",'Все игры'!B$3:B897,"Дон")</f>
        <v>0</v>
      </c>
      <c r="P23" s="236">
        <f>IFERROR(__xludf.DUMMYFUNCTION("COUNTBLANK(FILTER('Все игры'!A$3:C897,'Все игры'!A$3:A897=A23,'Все игры'!C$3:C897 &lt; 1,'Все игры'!B$3:B897=""Дон""))"),1.0)</f>
        <v>1</v>
      </c>
      <c r="Q23" s="129">
        <f>COUNTIFS('Все игры'!A$3:A897,A23,'Все игры'!C$3:C897,"&gt;0",'Все игры'!B$3:B897,"Мирный")</f>
        <v>1</v>
      </c>
      <c r="R23" s="129">
        <f>IFERROR(__xludf.DUMMYFUNCTION("COUNTBLANK(FILTER('Все игры'!A$3:C897,'Все игры'!A$3:A897=A23,'Все игры'!C$3:C897 &lt; 1,'Все игры'!B$3:B897=""Мирный""))"),2.0)</f>
        <v>2</v>
      </c>
      <c r="S23" s="237">
        <f t="shared" si="5"/>
        <v>0.2857142857</v>
      </c>
      <c r="T23" s="237">
        <f t="shared" si="6"/>
        <v>0.25</v>
      </c>
      <c r="U23" s="237">
        <f t="shared" si="7"/>
        <v>0.3333333333</v>
      </c>
      <c r="V23" s="237">
        <f t="shared" si="8"/>
        <v>0.5</v>
      </c>
      <c r="W23" s="237">
        <f t="shared" si="9"/>
        <v>0</v>
      </c>
      <c r="X23" s="237">
        <f t="shared" si="10"/>
        <v>0</v>
      </c>
      <c r="Y23" s="237">
        <f t="shared" si="11"/>
        <v>0.3333333333</v>
      </c>
      <c r="Z23" s="238">
        <f>SUMIFS('Все игры'!D$3:D897,'Все игры'!A$3:A897,A23)</f>
        <v>15</v>
      </c>
      <c r="AA23" s="238">
        <f>SUMIFS('Все игры'!D$3:D897,'Все игры'!A$3:A897,A23,'Все игры'!B$3:B897,"Мафия")</f>
        <v>5.5</v>
      </c>
      <c r="AB23" s="238">
        <f>SUMIFS('Все игры'!D$3:D897,'Все игры'!A$3:A897,A23,'Все игры'!B$3:B897,"Шериф")</f>
        <v>2.25</v>
      </c>
      <c r="AC23" s="238">
        <f>SUMIFS('Все игры'!D$3:D897,'Все игры'!A$3:A897,A23,'Все игры'!B$3:B897,"Дон")</f>
        <v>1.75</v>
      </c>
      <c r="AD23" s="238">
        <f>SUMIFS('Все игры'!D$3:D897,'Все игры'!A$3:A897,A23,'Все игры'!B$3:B897,"Мирный")</f>
        <v>5.5</v>
      </c>
      <c r="AE23" s="238">
        <f t="shared" si="12"/>
        <v>2.142857143</v>
      </c>
      <c r="AF23" s="238">
        <f t="shared" si="13"/>
        <v>2.75</v>
      </c>
      <c r="AG23" s="238">
        <f t="shared" si="14"/>
        <v>2.25</v>
      </c>
      <c r="AH23" s="238">
        <f t="shared" si="15"/>
        <v>1.75</v>
      </c>
      <c r="AI23" s="238">
        <f t="shared" si="16"/>
        <v>1.833333333</v>
      </c>
    </row>
    <row r="24">
      <c r="A24" s="241" t="s">
        <v>76</v>
      </c>
      <c r="B24" s="129">
        <f t="shared" si="1"/>
        <v>7</v>
      </c>
      <c r="C24" s="128" t="str">
        <f>IF(COUNTIFS('Все игры'!A$3:A897,A24,'Все игры'!F$3:F897,"=1")=0, "", COUNTIFS('Все игры'!A$3:A897,A24,'Все игры'!F$3:F897,"=1"))</f>
        <v/>
      </c>
      <c r="D24" s="233" t="str">
        <f>IF(COUNTIFS('Все игры'!A$3:A897,A24,'Все игры'!F$3:F897,"=0,50")=0, "", COUNTIFS('Все игры'!A$3:A897,A24,'Все игры'!F$3:F897,"=0,50"))</f>
        <v/>
      </c>
      <c r="E24" s="234" t="str">
        <f>IF(COUNTIFS('Все игры'!A$3:A897,A24,'Все игры'!E$3:E897,"ПУ")=0, "", COUNTIFS('Все игры'!A$3:A897,A24,'Все игры'!E$3:E897,"ПУ"))</f>
        <v/>
      </c>
      <c r="F24" s="235">
        <f t="shared" si="2"/>
        <v>0</v>
      </c>
      <c r="G24" s="234" t="str">
        <f>IF(COUNTIFS('Все игры'!A$3:A897,A24,'Все игры'!E$3:E897,"У/Победа")=0, "",COUNTIFS('Все игры'!A$3:A897,A24,'Все игры'!E$3:E897,"У/Победа") )</f>
        <v/>
      </c>
      <c r="H24" s="234" t="str">
        <f>IF(COUNTIFS('Все игры'!A$3:A897,A24,'Все игры'!E$3:E897,"У/Проигрыш")=0, "",COUNTIFS('Все игры'!A$3:A897,A24,'Все игры'!E$3:E897,"У/Проигрыш") )</f>
        <v/>
      </c>
      <c r="I24" s="129">
        <f t="shared" si="3"/>
        <v>4</v>
      </c>
      <c r="J24" s="129">
        <f t="shared" si="4"/>
        <v>3</v>
      </c>
      <c r="K24" s="129">
        <f>COUNTIFS('Все игры'!A$3:A897,A24,'Все игры'!C$3:C897,"&gt;0",'Все игры'!B$3:B897,"Мафия")</f>
        <v>1</v>
      </c>
      <c r="L24" s="129">
        <f>IFERROR(__xludf.DUMMYFUNCTION("COUNTBLANK(FILTER('Все игры'!A$3:C897,'Все игры'!A$3:A897=A24,'Все игры'!C$3:C897 &lt; 1,'Все игры'!B$3:B897=""Мафия""))"),1.0)</f>
        <v>1</v>
      </c>
      <c r="M24" s="129">
        <f>COUNTIFS('Все игры'!A$3:A897,A24,'Все игры'!C$3:C897,"&gt;0",'Все игры'!B$3:B897,"Шериф")</f>
        <v>1</v>
      </c>
      <c r="N24" s="129">
        <f>IFERROR(__xludf.DUMMYFUNCTION("COUNTBLANK(FILTER('Все игры'!A$3:C897,'Все игры'!A$3:A897=A24,'Все игры'!C$3:C897 &lt; 1,'Все игры'!B$3:B897=""Шериф""))"),0.0)</f>
        <v>0</v>
      </c>
      <c r="O24" s="129">
        <f>COUNTIFS('Все игры'!A$3:A897,A24,'Все игры'!C$3:C897,"&gt;0",'Все игры'!B$3:B897,"Дон")</f>
        <v>1</v>
      </c>
      <c r="P24" s="236">
        <f>IFERROR(__xludf.DUMMYFUNCTION("COUNTBLANK(FILTER('Все игры'!A$3:C897,'Все игры'!A$3:A897=A24,'Все игры'!C$3:C897 &lt; 1,'Все игры'!B$3:B897=""Дон""))"),0.0)</f>
        <v>0</v>
      </c>
      <c r="Q24" s="129">
        <f>COUNTIFS('Все игры'!A$3:A897,A24,'Все игры'!C$3:C897,"&gt;0",'Все игры'!B$3:B897,"Мирный")</f>
        <v>1</v>
      </c>
      <c r="R24" s="129">
        <f>IFERROR(__xludf.DUMMYFUNCTION("COUNTBLANK(FILTER('Все игры'!A$3:C897,'Все игры'!A$3:A897=A24,'Все игры'!C$3:C897 &lt; 1,'Все игры'!B$3:B897=""Мирный""))"),2.0)</f>
        <v>2</v>
      </c>
      <c r="S24" s="237">
        <f t="shared" si="5"/>
        <v>0.5714285714</v>
      </c>
      <c r="T24" s="237">
        <f t="shared" si="6"/>
        <v>0.5</v>
      </c>
      <c r="U24" s="237">
        <f t="shared" si="7"/>
        <v>0.6666666667</v>
      </c>
      <c r="V24" s="237">
        <f t="shared" si="8"/>
        <v>0.5</v>
      </c>
      <c r="W24" s="237">
        <f t="shared" si="9"/>
        <v>1</v>
      </c>
      <c r="X24" s="237">
        <f t="shared" si="10"/>
        <v>1</v>
      </c>
      <c r="Y24" s="237">
        <f t="shared" si="11"/>
        <v>0.3333333333</v>
      </c>
      <c r="Z24" s="238">
        <f>SUMIFS('Все игры'!D$3:D897,'Все игры'!A$3:A897,A24)</f>
        <v>19</v>
      </c>
      <c r="AA24" s="238">
        <f>SUMIFS('Все игры'!D$3:D897,'Все игры'!A$3:A897,A24,'Все игры'!B$3:B897,"Мафия")</f>
        <v>6</v>
      </c>
      <c r="AB24" s="238">
        <f>SUMIFS('Все игры'!D$3:D897,'Все игры'!A$3:A897,A24,'Все игры'!B$3:B897,"Шериф")</f>
        <v>3.75</v>
      </c>
      <c r="AC24" s="238">
        <f>SUMIFS('Все игры'!D$3:D897,'Все игры'!A$3:A897,A24,'Все игры'!B$3:B897,"Дон")</f>
        <v>3.5</v>
      </c>
      <c r="AD24" s="238">
        <f>SUMIFS('Все игры'!D$3:D897,'Все игры'!A$3:A897,A24,'Все игры'!B$3:B897,"Мирный")</f>
        <v>5.75</v>
      </c>
      <c r="AE24" s="238">
        <f t="shared" si="12"/>
        <v>2.714285714</v>
      </c>
      <c r="AF24" s="238">
        <f t="shared" si="13"/>
        <v>3</v>
      </c>
      <c r="AG24" s="238">
        <f t="shared" si="14"/>
        <v>3.75</v>
      </c>
      <c r="AH24" s="238">
        <f t="shared" si="15"/>
        <v>3.5</v>
      </c>
      <c r="AI24" s="238">
        <f t="shared" si="16"/>
        <v>1.916666667</v>
      </c>
    </row>
    <row r="25">
      <c r="A25" s="242" t="s">
        <v>79</v>
      </c>
      <c r="B25" s="129">
        <f t="shared" si="1"/>
        <v>0</v>
      </c>
      <c r="C25" s="128" t="str">
        <f>IF(COUNTIFS('Все игры'!A$3:A897,A25,'Все игры'!F$3:F897,"=1")=0, "", COUNTIFS('Все игры'!A$3:A897,A25,'Все игры'!F$3:F897,"=1"))</f>
        <v/>
      </c>
      <c r="D25" s="233" t="str">
        <f>IF(COUNTIFS('Все игры'!A$3:A897,A25,'Все игры'!F$3:F897,"=0,50")=0, "", COUNTIFS('Все игры'!A$3:A897,A25,'Все игры'!F$3:F897,"=0,50"))</f>
        <v/>
      </c>
      <c r="E25" s="234" t="str">
        <f>IF(COUNTIFS('Все игры'!A$3:A897,A25,'Все игры'!E$3:E897,"ПУ")=0, "", COUNTIFS('Все игры'!A$3:A897,A25,'Все игры'!E$3:E897,"ПУ"))</f>
        <v/>
      </c>
      <c r="F25" s="235">
        <f t="shared" si="2"/>
        <v>0</v>
      </c>
      <c r="G25" s="234" t="str">
        <f>IF(COUNTIFS('Все игры'!A$3:A897,A25,'Все игры'!E$3:E897,"У/Победа")=0, "",COUNTIFS('Все игры'!A$3:A897,A25,'Все игры'!E$3:E897,"У/Победа") )</f>
        <v/>
      </c>
      <c r="H25" s="234" t="str">
        <f>IF(COUNTIFS('Все игры'!A$3:A897,A25,'Все игры'!E$3:E897,"У/Проигрыш")=0, "",COUNTIFS('Все игры'!A$3:A897,A25,'Все игры'!E$3:E897,"У/Проигрыш") )</f>
        <v/>
      </c>
      <c r="I25" s="129">
        <f t="shared" si="3"/>
        <v>0</v>
      </c>
      <c r="J25" s="129">
        <f t="shared" si="4"/>
        <v>0</v>
      </c>
      <c r="K25" s="129">
        <f>COUNTIFS('Все игры'!A$3:A897,A25,'Все игры'!C$3:C897,"&gt;0",'Все игры'!B$3:B897,"Мафия")</f>
        <v>0</v>
      </c>
      <c r="L25" s="129">
        <f>IFERROR(__xludf.DUMMYFUNCTION("COUNTBLANK(FILTER('Все игры'!A$3:C897,'Все игры'!A$3:A897=A25,'Все игры'!C$3:C897 &lt; 1,'Все игры'!B$3:B897=""Мафия""))"),0.0)</f>
        <v>0</v>
      </c>
      <c r="M25" s="129">
        <f>COUNTIFS('Все игры'!A$3:A897,A25,'Все игры'!C$3:C897,"&gt;0",'Все игры'!B$3:B897,"Шериф")</f>
        <v>0</v>
      </c>
      <c r="N25" s="129">
        <f>IFERROR(__xludf.DUMMYFUNCTION("COUNTBLANK(FILTER('Все игры'!A$3:C897,'Все игры'!A$3:A897=A25,'Все игры'!C$3:C897 &lt; 1,'Все игры'!B$3:B897=""Шериф""))"),0.0)</f>
        <v>0</v>
      </c>
      <c r="O25" s="129">
        <f>COUNTIFS('Все игры'!A$3:A897,A25,'Все игры'!C$3:C897,"&gt;0",'Все игры'!B$3:B897,"Дон")</f>
        <v>0</v>
      </c>
      <c r="P25" s="236">
        <f>IFERROR(__xludf.DUMMYFUNCTION("COUNTBLANK(FILTER('Все игры'!A$3:C897,'Все игры'!A$3:A897=A25,'Все игры'!C$3:C897 &lt; 1,'Все игры'!B$3:B897=""Дон""))"),0.0)</f>
        <v>0</v>
      </c>
      <c r="Q25" s="129">
        <f>COUNTIFS('Все игры'!A$3:A897,A25,'Все игры'!C$3:C897,"&gt;0",'Все игры'!B$3:B897,"Мирный")</f>
        <v>0</v>
      </c>
      <c r="R25" s="129">
        <f>IFERROR(__xludf.DUMMYFUNCTION("COUNTBLANK(FILTER('Все игры'!A$3:C897,'Все игры'!A$3:A897=A25,'Все игры'!C$3:C897 &lt; 1,'Все игры'!B$3:B897=""Мирный""))"),0.0)</f>
        <v>0</v>
      </c>
      <c r="S25" s="237" t="str">
        <f t="shared" si="5"/>
        <v/>
      </c>
      <c r="T25" s="237" t="str">
        <f t="shared" si="6"/>
        <v/>
      </c>
      <c r="U25" s="237" t="str">
        <f t="shared" si="7"/>
        <v/>
      </c>
      <c r="V25" s="237" t="str">
        <f t="shared" si="8"/>
        <v/>
      </c>
      <c r="W25" s="237" t="str">
        <f t="shared" si="9"/>
        <v/>
      </c>
      <c r="X25" s="237" t="str">
        <f t="shared" si="10"/>
        <v/>
      </c>
      <c r="Y25" s="237" t="str">
        <f t="shared" si="11"/>
        <v/>
      </c>
      <c r="Z25" s="238">
        <f>SUMIFS('Все игры'!D$3:D897,'Все игры'!A$3:A897,A25)</f>
        <v>0</v>
      </c>
      <c r="AA25" s="238">
        <f>SUMIFS('Все игры'!D$3:D897,'Все игры'!A$3:A897,A25,'Все игры'!B$3:B897,"Мафия")</f>
        <v>0</v>
      </c>
      <c r="AB25" s="238">
        <f>SUMIFS('Все игры'!D$3:D897,'Все игры'!A$3:A897,A25,'Все игры'!B$3:B897,"Шериф")</f>
        <v>0</v>
      </c>
      <c r="AC25" s="238">
        <f>SUMIFS('Все игры'!D$3:D897,'Все игры'!A$3:A897,A25,'Все игры'!B$3:B897,"Дон")</f>
        <v>0</v>
      </c>
      <c r="AD25" s="238">
        <f>SUMIFS('Все игры'!D$3:D897,'Все игры'!A$3:A897,A25,'Все игры'!B$3:B897,"Мирный")</f>
        <v>0</v>
      </c>
      <c r="AE25" s="238">
        <f t="shared" si="12"/>
        <v>0</v>
      </c>
      <c r="AF25" s="238">
        <f t="shared" si="13"/>
        <v>0</v>
      </c>
      <c r="AG25" s="238">
        <f t="shared" si="14"/>
        <v>0</v>
      </c>
      <c r="AH25" s="238">
        <f t="shared" si="15"/>
        <v>0</v>
      </c>
      <c r="AI25" s="238">
        <f t="shared" si="16"/>
        <v>0</v>
      </c>
    </row>
    <row r="26">
      <c r="A26" s="242" t="s">
        <v>80</v>
      </c>
      <c r="B26" s="129">
        <f t="shared" si="1"/>
        <v>0</v>
      </c>
      <c r="C26" s="128" t="str">
        <f>IF(COUNTIFS('Все игры'!A$3:A897,A26,'Все игры'!F$3:F897,"=1")=0, "", COUNTIFS('Все игры'!A$3:A897,A26,'Все игры'!F$3:F897,"=1"))</f>
        <v/>
      </c>
      <c r="D26" s="233" t="str">
        <f>IF(COUNTIFS('Все игры'!A$3:A897,A26,'Все игры'!F$3:F897,"=0,50")=0, "", COUNTIFS('Все игры'!A$3:A897,A26,'Все игры'!F$3:F897,"=0,50"))</f>
        <v/>
      </c>
      <c r="E26" s="234" t="str">
        <f>IF(COUNTIFS('Все игры'!A$3:A897,A26,'Все игры'!E$3:E897,"ПУ")=0, "", COUNTIFS('Все игры'!A$3:A897,A26,'Все игры'!E$3:E897,"ПУ"))</f>
        <v/>
      </c>
      <c r="F26" s="235">
        <f t="shared" si="2"/>
        <v>0</v>
      </c>
      <c r="G26" s="234" t="str">
        <f>IF(COUNTIFS('Все игры'!A$3:A897,A26,'Все игры'!E$3:E897,"У/Победа")=0, "",COUNTIFS('Все игры'!A$3:A897,A26,'Все игры'!E$3:E897,"У/Победа") )</f>
        <v/>
      </c>
      <c r="H26" s="234" t="str">
        <f>IF(COUNTIFS('Все игры'!A$3:A897,A26,'Все игры'!E$3:E897,"У/Проигрыш")=0, "",COUNTIFS('Все игры'!A$3:A897,A26,'Все игры'!E$3:E897,"У/Проигрыш") )</f>
        <v/>
      </c>
      <c r="I26" s="129">
        <f t="shared" si="3"/>
        <v>0</v>
      </c>
      <c r="J26" s="129">
        <f t="shared" si="4"/>
        <v>0</v>
      </c>
      <c r="K26" s="129">
        <f>COUNTIFS('Все игры'!A$3:A897,A26,'Все игры'!C$3:C897,"&gt;0",'Все игры'!B$3:B897,"Мафия")</f>
        <v>0</v>
      </c>
      <c r="L26" s="129">
        <f>IFERROR(__xludf.DUMMYFUNCTION("COUNTBLANK(FILTER('Все игры'!A$3:C897,'Все игры'!A$3:A897=A26,'Все игры'!C$3:C897 &lt; 1,'Все игры'!B$3:B897=""Мафия""))"),0.0)</f>
        <v>0</v>
      </c>
      <c r="M26" s="129">
        <f>COUNTIFS('Все игры'!A$3:A897,A26,'Все игры'!C$3:C897,"&gt;0",'Все игры'!B$3:B897,"Шериф")</f>
        <v>0</v>
      </c>
      <c r="N26" s="129">
        <f>IFERROR(__xludf.DUMMYFUNCTION("COUNTBLANK(FILTER('Все игры'!A$3:C897,'Все игры'!A$3:A897=A26,'Все игры'!C$3:C897 &lt; 1,'Все игры'!B$3:B897=""Шериф""))"),0.0)</f>
        <v>0</v>
      </c>
      <c r="O26" s="129">
        <f>COUNTIFS('Все игры'!A$3:A897,A26,'Все игры'!C$3:C897,"&gt;0",'Все игры'!B$3:B897,"Дон")</f>
        <v>0</v>
      </c>
      <c r="P26" s="236">
        <f>IFERROR(__xludf.DUMMYFUNCTION("COUNTBLANK(FILTER('Все игры'!A$3:C897,'Все игры'!A$3:A897=A26,'Все игры'!C$3:C897 &lt; 1,'Все игры'!B$3:B897=""Дон""))"),0.0)</f>
        <v>0</v>
      </c>
      <c r="Q26" s="129">
        <f>COUNTIFS('Все игры'!A$3:A897,A26,'Все игры'!C$3:C897,"&gt;0",'Все игры'!B$3:B897,"Мирный")</f>
        <v>0</v>
      </c>
      <c r="R26" s="129">
        <f>IFERROR(__xludf.DUMMYFUNCTION("COUNTBLANK(FILTER('Все игры'!A$3:C897,'Все игры'!A$3:A897=A26,'Все игры'!C$3:C897 &lt; 1,'Все игры'!B$3:B897=""Мирный""))"),0.0)</f>
        <v>0</v>
      </c>
      <c r="S26" s="237" t="str">
        <f t="shared" si="5"/>
        <v/>
      </c>
      <c r="T26" s="237" t="str">
        <f t="shared" si="6"/>
        <v/>
      </c>
      <c r="U26" s="237" t="str">
        <f t="shared" si="7"/>
        <v/>
      </c>
      <c r="V26" s="237" t="str">
        <f t="shared" si="8"/>
        <v/>
      </c>
      <c r="W26" s="237" t="str">
        <f t="shared" si="9"/>
        <v/>
      </c>
      <c r="X26" s="237" t="str">
        <f t="shared" si="10"/>
        <v/>
      </c>
      <c r="Y26" s="237" t="str">
        <f t="shared" si="11"/>
        <v/>
      </c>
      <c r="Z26" s="238">
        <f>SUMIFS('Все игры'!D$3:D897,'Все игры'!A$3:A897,A26)</f>
        <v>0</v>
      </c>
      <c r="AA26" s="238">
        <f>SUMIFS('Все игры'!D$3:D897,'Все игры'!A$3:A897,A26,'Все игры'!B$3:B897,"Мафия")</f>
        <v>0</v>
      </c>
      <c r="AB26" s="238">
        <f>SUMIFS('Все игры'!D$3:D897,'Все игры'!A$3:A897,A26,'Все игры'!B$3:B897,"Шериф")</f>
        <v>0</v>
      </c>
      <c r="AC26" s="238">
        <f>SUMIFS('Все игры'!D$3:D897,'Все игры'!A$3:A897,A26,'Все игры'!B$3:B897,"Дон")</f>
        <v>0</v>
      </c>
      <c r="AD26" s="238">
        <f>SUMIFS('Все игры'!D$3:D897,'Все игры'!A$3:A897,A26,'Все игры'!B$3:B897,"Мирный")</f>
        <v>0</v>
      </c>
      <c r="AE26" s="238">
        <f t="shared" si="12"/>
        <v>0</v>
      </c>
      <c r="AF26" s="238">
        <f t="shared" si="13"/>
        <v>0</v>
      </c>
      <c r="AG26" s="238">
        <f t="shared" si="14"/>
        <v>0</v>
      </c>
      <c r="AH26" s="238">
        <f t="shared" si="15"/>
        <v>0</v>
      </c>
      <c r="AI26" s="238">
        <f t="shared" si="16"/>
        <v>0</v>
      </c>
    </row>
    <row r="27">
      <c r="A27" s="242" t="s">
        <v>81</v>
      </c>
      <c r="B27" s="129">
        <f t="shared" si="1"/>
        <v>0</v>
      </c>
      <c r="C27" s="128" t="str">
        <f>IF(COUNTIFS('Все игры'!A$3:A897,A27,'Все игры'!F$3:F897,"=1")=0, "", COUNTIFS('Все игры'!A$3:A897,A27,'Все игры'!F$3:F897,"=1"))</f>
        <v/>
      </c>
      <c r="D27" s="233" t="str">
        <f>IF(COUNTIFS('Все игры'!A$3:A897,A27,'Все игры'!F$3:F897,"=0,50")=0, "", COUNTIFS('Все игры'!A$3:A897,A27,'Все игры'!F$3:F897,"=0,50"))</f>
        <v/>
      </c>
      <c r="E27" s="234" t="str">
        <f>IF(COUNTIFS('Все игры'!A$3:A897,A27,'Все игры'!E$3:E897,"ПУ")=0, "", COUNTIFS('Все игры'!A$3:A897,A27,'Все игры'!E$3:E897,"ПУ"))</f>
        <v/>
      </c>
      <c r="F27" s="235">
        <f t="shared" si="2"/>
        <v>0</v>
      </c>
      <c r="G27" s="234" t="str">
        <f>IF(COUNTIFS('Все игры'!A$3:A897,A27,'Все игры'!E$3:E897,"У/Победа")=0, "",COUNTIFS('Все игры'!A$3:A897,A27,'Все игры'!E$3:E897,"У/Победа") )</f>
        <v/>
      </c>
      <c r="H27" s="234" t="str">
        <f>IF(COUNTIFS('Все игры'!A$3:A897,A27,'Все игры'!E$3:E897,"У/Проигрыш")=0, "",COUNTIFS('Все игры'!A$3:A897,A27,'Все игры'!E$3:E897,"У/Проигрыш") )</f>
        <v/>
      </c>
      <c r="I27" s="129">
        <f t="shared" si="3"/>
        <v>0</v>
      </c>
      <c r="J27" s="129">
        <f t="shared" si="4"/>
        <v>0</v>
      </c>
      <c r="K27" s="129">
        <f>COUNTIFS('Все игры'!A$3:A897,A27,'Все игры'!C$3:C897,"&gt;0",'Все игры'!B$3:B897,"Мафия")</f>
        <v>0</v>
      </c>
      <c r="L27" s="129">
        <f>IFERROR(__xludf.DUMMYFUNCTION("COUNTBLANK(FILTER('Все игры'!A$3:C897,'Все игры'!A$3:A897=A27,'Все игры'!C$3:C897 &lt; 1,'Все игры'!B$3:B897=""Мафия""))"),0.0)</f>
        <v>0</v>
      </c>
      <c r="M27" s="129">
        <f>COUNTIFS('Все игры'!A$3:A897,A27,'Все игры'!C$3:C897,"&gt;0",'Все игры'!B$3:B897,"Шериф")</f>
        <v>0</v>
      </c>
      <c r="N27" s="129">
        <f>IFERROR(__xludf.DUMMYFUNCTION("COUNTBLANK(FILTER('Все игры'!A$3:C897,'Все игры'!A$3:A897=A27,'Все игры'!C$3:C897 &lt; 1,'Все игры'!B$3:B897=""Шериф""))"),0.0)</f>
        <v>0</v>
      </c>
      <c r="O27" s="129">
        <f>COUNTIFS('Все игры'!A$3:A897,A27,'Все игры'!C$3:C897,"&gt;0",'Все игры'!B$3:B897,"Дон")</f>
        <v>0</v>
      </c>
      <c r="P27" s="236">
        <f>IFERROR(__xludf.DUMMYFUNCTION("COUNTBLANK(FILTER('Все игры'!A$3:C897,'Все игры'!A$3:A897=A27,'Все игры'!C$3:C897 &lt; 1,'Все игры'!B$3:B897=""Дон""))"),0.0)</f>
        <v>0</v>
      </c>
      <c r="Q27" s="129">
        <f>COUNTIFS('Все игры'!A$3:A897,A27,'Все игры'!C$3:C897,"&gt;0",'Все игры'!B$3:B897,"Мирный")</f>
        <v>0</v>
      </c>
      <c r="R27" s="129">
        <f>IFERROR(__xludf.DUMMYFUNCTION("COUNTBLANK(FILTER('Все игры'!A$3:C897,'Все игры'!A$3:A897=A27,'Все игры'!C$3:C897 &lt; 1,'Все игры'!B$3:B897=""Мирный""))"),0.0)</f>
        <v>0</v>
      </c>
      <c r="S27" s="237" t="str">
        <f t="shared" si="5"/>
        <v/>
      </c>
      <c r="T27" s="237" t="str">
        <f t="shared" si="6"/>
        <v/>
      </c>
      <c r="U27" s="237" t="str">
        <f t="shared" si="7"/>
        <v/>
      </c>
      <c r="V27" s="237" t="str">
        <f t="shared" si="8"/>
        <v/>
      </c>
      <c r="W27" s="237" t="str">
        <f t="shared" si="9"/>
        <v/>
      </c>
      <c r="X27" s="237" t="str">
        <f t="shared" si="10"/>
        <v/>
      </c>
      <c r="Y27" s="237" t="str">
        <f t="shared" si="11"/>
        <v/>
      </c>
      <c r="Z27" s="238">
        <f>SUMIFS('Все игры'!D$3:D897,'Все игры'!A$3:A897,A27)</f>
        <v>0</v>
      </c>
      <c r="AA27" s="238">
        <f>SUMIFS('Все игры'!D$3:D897,'Все игры'!A$3:A897,A27,'Все игры'!B$3:B897,"Мафия")</f>
        <v>0</v>
      </c>
      <c r="AB27" s="238">
        <f>SUMIFS('Все игры'!D$3:D897,'Все игры'!A$3:A897,A27,'Все игры'!B$3:B897,"Шериф")</f>
        <v>0</v>
      </c>
      <c r="AC27" s="238">
        <f>SUMIFS('Все игры'!D$3:D897,'Все игры'!A$3:A897,A27,'Все игры'!B$3:B897,"Дон")</f>
        <v>0</v>
      </c>
      <c r="AD27" s="238">
        <f>SUMIFS('Все игры'!D$3:D897,'Все игры'!A$3:A897,A27,'Все игры'!B$3:B897,"Мирный")</f>
        <v>0</v>
      </c>
      <c r="AE27" s="238">
        <f t="shared" si="12"/>
        <v>0</v>
      </c>
      <c r="AF27" s="238">
        <f t="shared" si="13"/>
        <v>0</v>
      </c>
      <c r="AG27" s="238">
        <f t="shared" si="14"/>
        <v>0</v>
      </c>
      <c r="AH27" s="238">
        <f t="shared" si="15"/>
        <v>0</v>
      </c>
      <c r="AI27" s="238">
        <f t="shared" si="16"/>
        <v>0</v>
      </c>
    </row>
    <row r="28">
      <c r="A28" s="242" t="s">
        <v>82</v>
      </c>
      <c r="B28" s="129">
        <f t="shared" si="1"/>
        <v>0</v>
      </c>
      <c r="C28" s="128" t="str">
        <f>IF(COUNTIFS('Все игры'!A$3:A897,A28,'Все игры'!F$3:F897,"=1")=0, "", COUNTIFS('Все игры'!A$3:A897,A28,'Все игры'!F$3:F897,"=1"))</f>
        <v/>
      </c>
      <c r="D28" s="233" t="str">
        <f>IF(COUNTIFS('Все игры'!A$3:A897,A28,'Все игры'!F$3:F897,"=0,50")=0, "", COUNTIFS('Все игры'!A$3:A897,A28,'Все игры'!F$3:F897,"=0,50"))</f>
        <v/>
      </c>
      <c r="E28" s="234" t="str">
        <f>IF(COUNTIFS('Все игры'!A$3:A897,A28,'Все игры'!E$3:E897,"ПУ")=0, "", COUNTIFS('Все игры'!A$3:A897,A28,'Все игры'!E$3:E897,"ПУ"))</f>
        <v/>
      </c>
      <c r="F28" s="235">
        <f t="shared" si="2"/>
        <v>0</v>
      </c>
      <c r="G28" s="234" t="str">
        <f>IF(COUNTIFS('Все игры'!A$3:A897,A28,'Все игры'!E$3:E897,"У/Победа")=0, "",COUNTIFS('Все игры'!A$3:A897,A28,'Все игры'!E$3:E897,"У/Победа") )</f>
        <v/>
      </c>
      <c r="H28" s="234" t="str">
        <f>IF(COUNTIFS('Все игры'!A$3:A897,A28,'Все игры'!E$3:E897,"У/Проигрыш")=0, "",COUNTIFS('Все игры'!A$3:A897,A28,'Все игры'!E$3:E897,"У/Проигрыш") )</f>
        <v/>
      </c>
      <c r="I28" s="129">
        <f t="shared" si="3"/>
        <v>0</v>
      </c>
      <c r="J28" s="129">
        <f t="shared" si="4"/>
        <v>0</v>
      </c>
      <c r="K28" s="129">
        <f>COUNTIFS('Все игры'!A$3:A897,A28,'Все игры'!C$3:C897,"&gt;0",'Все игры'!B$3:B897,"Мафия")</f>
        <v>0</v>
      </c>
      <c r="L28" s="129">
        <f>IFERROR(__xludf.DUMMYFUNCTION("COUNTBLANK(FILTER('Все игры'!A$3:C897,'Все игры'!A$3:A897=A28,'Все игры'!C$3:C897 &lt; 1,'Все игры'!B$3:B897=""Мафия""))"),0.0)</f>
        <v>0</v>
      </c>
      <c r="M28" s="129">
        <f>COUNTIFS('Все игры'!A$3:A897,A28,'Все игры'!C$3:C897,"&gt;0",'Все игры'!B$3:B897,"Шериф")</f>
        <v>0</v>
      </c>
      <c r="N28" s="129">
        <f>IFERROR(__xludf.DUMMYFUNCTION("COUNTBLANK(FILTER('Все игры'!A$3:C897,'Все игры'!A$3:A897=A28,'Все игры'!C$3:C897 &lt; 1,'Все игры'!B$3:B897=""Шериф""))"),0.0)</f>
        <v>0</v>
      </c>
      <c r="O28" s="129">
        <f>COUNTIFS('Все игры'!A$3:A897,A28,'Все игры'!C$3:C897,"&gt;0",'Все игры'!B$3:B897,"Дон")</f>
        <v>0</v>
      </c>
      <c r="P28" s="236">
        <f>IFERROR(__xludf.DUMMYFUNCTION("COUNTBLANK(FILTER('Все игры'!A$3:C897,'Все игры'!A$3:A897=A28,'Все игры'!C$3:C897 &lt; 1,'Все игры'!B$3:B897=""Дон""))"),0.0)</f>
        <v>0</v>
      </c>
      <c r="Q28" s="129">
        <f>COUNTIFS('Все игры'!A$3:A897,A28,'Все игры'!C$3:C897,"&gt;0",'Все игры'!B$3:B897,"Мирный")</f>
        <v>0</v>
      </c>
      <c r="R28" s="129">
        <f>IFERROR(__xludf.DUMMYFUNCTION("COUNTBLANK(FILTER('Все игры'!A$3:C897,'Все игры'!A$3:A897=A28,'Все игры'!C$3:C897 &lt; 1,'Все игры'!B$3:B897=""Мирный""))"),0.0)</f>
        <v>0</v>
      </c>
      <c r="S28" s="237" t="str">
        <f t="shared" si="5"/>
        <v/>
      </c>
      <c r="T28" s="237" t="str">
        <f t="shared" si="6"/>
        <v/>
      </c>
      <c r="U28" s="237" t="str">
        <f t="shared" si="7"/>
        <v/>
      </c>
      <c r="V28" s="237" t="str">
        <f t="shared" si="8"/>
        <v/>
      </c>
      <c r="W28" s="237" t="str">
        <f t="shared" si="9"/>
        <v/>
      </c>
      <c r="X28" s="237" t="str">
        <f t="shared" si="10"/>
        <v/>
      </c>
      <c r="Y28" s="237" t="str">
        <f t="shared" si="11"/>
        <v/>
      </c>
      <c r="Z28" s="238">
        <f>SUMIFS('Все игры'!D$3:D897,'Все игры'!A$3:A897,A28)</f>
        <v>0</v>
      </c>
      <c r="AA28" s="238">
        <f>SUMIFS('Все игры'!D$3:D897,'Все игры'!A$3:A897,A28,'Все игры'!B$3:B897,"Мафия")</f>
        <v>0</v>
      </c>
      <c r="AB28" s="238">
        <f>SUMIFS('Все игры'!D$3:D897,'Все игры'!A$3:A897,A28,'Все игры'!B$3:B897,"Шериф")</f>
        <v>0</v>
      </c>
      <c r="AC28" s="238">
        <f>SUMIFS('Все игры'!D$3:D897,'Все игры'!A$3:A897,A28,'Все игры'!B$3:B897,"Дон")</f>
        <v>0</v>
      </c>
      <c r="AD28" s="238">
        <f>SUMIFS('Все игры'!D$3:D897,'Все игры'!A$3:A897,A28,'Все игры'!B$3:B897,"Мирный")</f>
        <v>0</v>
      </c>
      <c r="AE28" s="238">
        <f t="shared" si="12"/>
        <v>0</v>
      </c>
      <c r="AF28" s="238">
        <f t="shared" si="13"/>
        <v>0</v>
      </c>
      <c r="AG28" s="238">
        <f t="shared" si="14"/>
        <v>0</v>
      </c>
      <c r="AH28" s="238">
        <f t="shared" si="15"/>
        <v>0</v>
      </c>
      <c r="AI28" s="238">
        <f t="shared" si="16"/>
        <v>0</v>
      </c>
    </row>
    <row r="29">
      <c r="A29" s="242" t="s">
        <v>83</v>
      </c>
      <c r="B29" s="129">
        <f t="shared" si="1"/>
        <v>0</v>
      </c>
      <c r="C29" s="128" t="str">
        <f>IF(COUNTIFS('Все игры'!A$3:A897,A29,'Все игры'!F$3:F897,"=1")=0, "", COUNTIFS('Все игры'!A$3:A897,A29,'Все игры'!F$3:F897,"=1"))</f>
        <v/>
      </c>
      <c r="D29" s="233" t="str">
        <f>IF(COUNTIFS('Все игры'!A$3:A897,A29,'Все игры'!F$3:F897,"=0,50")=0, "", COUNTIFS('Все игры'!A$3:A897,A29,'Все игры'!F$3:F897,"=0,50"))</f>
        <v/>
      </c>
      <c r="E29" s="234" t="str">
        <f>IF(COUNTIFS('Все игры'!A$3:A897,A29,'Все игры'!E$3:E897,"ПУ")=0, "", COUNTIFS('Все игры'!A$3:A897,A29,'Все игры'!E$3:E897,"ПУ"))</f>
        <v/>
      </c>
      <c r="F29" s="235">
        <f t="shared" si="2"/>
        <v>0</v>
      </c>
      <c r="G29" s="234" t="str">
        <f>IF(COUNTIFS('Все игры'!A$3:A897,A29,'Все игры'!E$3:E897,"У/Победа")=0, "",COUNTIFS('Все игры'!A$3:A897,A29,'Все игры'!E$3:E897,"У/Победа") )</f>
        <v/>
      </c>
      <c r="H29" s="234" t="str">
        <f>IF(COUNTIFS('Все игры'!A$3:A897,A29,'Все игры'!E$3:E897,"У/Проигрыш")=0, "",COUNTIFS('Все игры'!A$3:A897,A29,'Все игры'!E$3:E897,"У/Проигрыш") )</f>
        <v/>
      </c>
      <c r="I29" s="129">
        <f t="shared" si="3"/>
        <v>0</v>
      </c>
      <c r="J29" s="129">
        <f t="shared" si="4"/>
        <v>0</v>
      </c>
      <c r="K29" s="129">
        <f>COUNTIFS('Все игры'!A$3:A897,A29,'Все игры'!C$3:C897,"&gt;0",'Все игры'!B$3:B897,"Мафия")</f>
        <v>0</v>
      </c>
      <c r="L29" s="129">
        <f>IFERROR(__xludf.DUMMYFUNCTION("COUNTBLANK(FILTER('Все игры'!A$3:C897,'Все игры'!A$3:A897=A29,'Все игры'!C$3:C897 &lt; 1,'Все игры'!B$3:B897=""Мафия""))"),0.0)</f>
        <v>0</v>
      </c>
      <c r="M29" s="129">
        <f>COUNTIFS('Все игры'!A$3:A897,A29,'Все игры'!C$3:C897,"&gt;0",'Все игры'!B$3:B897,"Шериф")</f>
        <v>0</v>
      </c>
      <c r="N29" s="129">
        <f>IFERROR(__xludf.DUMMYFUNCTION("COUNTBLANK(FILTER('Все игры'!A$3:C897,'Все игры'!A$3:A897=A29,'Все игры'!C$3:C897 &lt; 1,'Все игры'!B$3:B897=""Шериф""))"),0.0)</f>
        <v>0</v>
      </c>
      <c r="O29" s="129">
        <f>COUNTIFS('Все игры'!A$3:A897,A29,'Все игры'!C$3:C897,"&gt;0",'Все игры'!B$3:B897,"Дон")</f>
        <v>0</v>
      </c>
      <c r="P29" s="236">
        <f>IFERROR(__xludf.DUMMYFUNCTION("COUNTBLANK(FILTER('Все игры'!A$3:C897,'Все игры'!A$3:A897=A29,'Все игры'!C$3:C897 &lt; 1,'Все игры'!B$3:B897=""Дон""))"),0.0)</f>
        <v>0</v>
      </c>
      <c r="Q29" s="129">
        <f>COUNTIFS('Все игры'!A$3:A897,A29,'Все игры'!C$3:C897,"&gt;0",'Все игры'!B$3:B897,"Мирный")</f>
        <v>0</v>
      </c>
      <c r="R29" s="129">
        <f>IFERROR(__xludf.DUMMYFUNCTION("COUNTBLANK(FILTER('Все игры'!A$3:C897,'Все игры'!A$3:A897=A29,'Все игры'!C$3:C897 &lt; 1,'Все игры'!B$3:B897=""Мирный""))"),0.0)</f>
        <v>0</v>
      </c>
      <c r="S29" s="237" t="str">
        <f t="shared" si="5"/>
        <v/>
      </c>
      <c r="T29" s="237" t="str">
        <f t="shared" si="6"/>
        <v/>
      </c>
      <c r="U29" s="237" t="str">
        <f t="shared" si="7"/>
        <v/>
      </c>
      <c r="V29" s="237" t="str">
        <f t="shared" si="8"/>
        <v/>
      </c>
      <c r="W29" s="237" t="str">
        <f t="shared" si="9"/>
        <v/>
      </c>
      <c r="X29" s="237" t="str">
        <f t="shared" si="10"/>
        <v/>
      </c>
      <c r="Y29" s="237" t="str">
        <f t="shared" si="11"/>
        <v/>
      </c>
      <c r="Z29" s="238">
        <f>SUMIFS('Все игры'!D$3:D897,'Все игры'!A$3:A897,A29)</f>
        <v>0</v>
      </c>
      <c r="AA29" s="238">
        <f>SUMIFS('Все игры'!D$3:D897,'Все игры'!A$3:A897,A29,'Все игры'!B$3:B897,"Мафия")</f>
        <v>0</v>
      </c>
      <c r="AB29" s="238">
        <f>SUMIFS('Все игры'!D$3:D897,'Все игры'!A$3:A897,A29,'Все игры'!B$3:B897,"Шериф")</f>
        <v>0</v>
      </c>
      <c r="AC29" s="238">
        <f>SUMIFS('Все игры'!D$3:D897,'Все игры'!A$3:A897,A29,'Все игры'!B$3:B897,"Дон")</f>
        <v>0</v>
      </c>
      <c r="AD29" s="238">
        <f>SUMIFS('Все игры'!D$3:D897,'Все игры'!A$3:A897,A29,'Все игры'!B$3:B897,"Мирный")</f>
        <v>0</v>
      </c>
      <c r="AE29" s="238">
        <f t="shared" si="12"/>
        <v>0</v>
      </c>
      <c r="AF29" s="238">
        <f t="shared" si="13"/>
        <v>0</v>
      </c>
      <c r="AG29" s="238">
        <f t="shared" si="14"/>
        <v>0</v>
      </c>
      <c r="AH29" s="238">
        <f t="shared" si="15"/>
        <v>0</v>
      </c>
      <c r="AI29" s="238">
        <f t="shared" si="16"/>
        <v>0</v>
      </c>
    </row>
    <row r="30">
      <c r="A30" s="242" t="s">
        <v>84</v>
      </c>
      <c r="B30" s="129">
        <f t="shared" si="1"/>
        <v>0</v>
      </c>
      <c r="C30" s="128" t="str">
        <f>IF(COUNTIFS('Все игры'!A$3:A897,A30,'Все игры'!F$3:F897,"=1")=0, "", COUNTIFS('Все игры'!A$3:A897,A30,'Все игры'!F$3:F897,"=1"))</f>
        <v/>
      </c>
      <c r="D30" s="233" t="str">
        <f>IF(COUNTIFS('Все игры'!A$3:A897,A30,'Все игры'!F$3:F897,"=0,50")=0, "", COUNTIFS('Все игры'!A$3:A897,A30,'Все игры'!F$3:F897,"=0,50"))</f>
        <v/>
      </c>
      <c r="E30" s="234" t="str">
        <f>IF(COUNTIFS('Все игры'!A$3:A897,A30,'Все игры'!E$3:E897,"ПУ")=0, "", COUNTIFS('Все игры'!A$3:A897,A30,'Все игры'!E$3:E897,"ПУ"))</f>
        <v/>
      </c>
      <c r="F30" s="235">
        <f t="shared" si="2"/>
        <v>0</v>
      </c>
      <c r="G30" s="234" t="str">
        <f>IF(COUNTIFS('Все игры'!A$3:A897,A30,'Все игры'!E$3:E897,"У/Победа")=0, "",COUNTIFS('Все игры'!A$3:A897,A30,'Все игры'!E$3:E897,"У/Победа") )</f>
        <v/>
      </c>
      <c r="H30" s="234" t="str">
        <f>IF(COUNTIFS('Все игры'!A$3:A897,A30,'Все игры'!E$3:E897,"У/Проигрыш")=0, "",COUNTIFS('Все игры'!A$3:A897,A30,'Все игры'!E$3:E897,"У/Проигрыш") )</f>
        <v/>
      </c>
      <c r="I30" s="129">
        <f t="shared" si="3"/>
        <v>0</v>
      </c>
      <c r="J30" s="129">
        <f t="shared" si="4"/>
        <v>0</v>
      </c>
      <c r="K30" s="129">
        <f>COUNTIFS('Все игры'!A$3:A897,A30,'Все игры'!C$3:C897,"&gt;0",'Все игры'!B$3:B897,"Мафия")</f>
        <v>0</v>
      </c>
      <c r="L30" s="129">
        <f>IFERROR(__xludf.DUMMYFUNCTION("COUNTBLANK(FILTER('Все игры'!A$3:C897,'Все игры'!A$3:A897=A30,'Все игры'!C$3:C897 &lt; 1,'Все игры'!B$3:B897=""Мафия""))"),0.0)</f>
        <v>0</v>
      </c>
      <c r="M30" s="129">
        <f>COUNTIFS('Все игры'!A$3:A897,A30,'Все игры'!C$3:C897,"&gt;0",'Все игры'!B$3:B897,"Шериф")</f>
        <v>0</v>
      </c>
      <c r="N30" s="129">
        <f>IFERROR(__xludf.DUMMYFUNCTION("COUNTBLANK(FILTER('Все игры'!A$3:C897,'Все игры'!A$3:A897=A30,'Все игры'!C$3:C897 &lt; 1,'Все игры'!B$3:B897=""Шериф""))"),0.0)</f>
        <v>0</v>
      </c>
      <c r="O30" s="129">
        <f>COUNTIFS('Все игры'!A$3:A897,A30,'Все игры'!C$3:C897,"&gt;0",'Все игры'!B$3:B897,"Дон")</f>
        <v>0</v>
      </c>
      <c r="P30" s="236">
        <f>IFERROR(__xludf.DUMMYFUNCTION("COUNTBLANK(FILTER('Все игры'!A$3:C897,'Все игры'!A$3:A897=A30,'Все игры'!C$3:C897 &lt; 1,'Все игры'!B$3:B897=""Дон""))"),0.0)</f>
        <v>0</v>
      </c>
      <c r="Q30" s="129">
        <f>COUNTIFS('Все игры'!A$3:A897,A30,'Все игры'!C$3:C897,"&gt;0",'Все игры'!B$3:B897,"Мирный")</f>
        <v>0</v>
      </c>
      <c r="R30" s="129">
        <f>IFERROR(__xludf.DUMMYFUNCTION("COUNTBLANK(FILTER('Все игры'!A$3:C897,'Все игры'!A$3:A897=A30,'Все игры'!C$3:C897 &lt; 1,'Все игры'!B$3:B897=""Мирный""))"),0.0)</f>
        <v>0</v>
      </c>
      <c r="S30" s="237" t="str">
        <f t="shared" si="5"/>
        <v/>
      </c>
      <c r="T30" s="237" t="str">
        <f t="shared" si="6"/>
        <v/>
      </c>
      <c r="U30" s="237" t="str">
        <f t="shared" si="7"/>
        <v/>
      </c>
      <c r="V30" s="237" t="str">
        <f t="shared" si="8"/>
        <v/>
      </c>
      <c r="W30" s="237" t="str">
        <f t="shared" si="9"/>
        <v/>
      </c>
      <c r="X30" s="237" t="str">
        <f t="shared" si="10"/>
        <v/>
      </c>
      <c r="Y30" s="237" t="str">
        <f t="shared" si="11"/>
        <v/>
      </c>
      <c r="Z30" s="238">
        <f>SUMIFS('Все игры'!D$3:D897,'Все игры'!A$3:A897,A30)</f>
        <v>0</v>
      </c>
      <c r="AA30" s="238">
        <f>SUMIFS('Все игры'!D$3:D897,'Все игры'!A$3:A897,A30,'Все игры'!B$3:B897,"Мафия")</f>
        <v>0</v>
      </c>
      <c r="AB30" s="238">
        <f>SUMIFS('Все игры'!D$3:D897,'Все игры'!A$3:A897,A30,'Все игры'!B$3:B897,"Шериф")</f>
        <v>0</v>
      </c>
      <c r="AC30" s="238">
        <f>SUMIFS('Все игры'!D$3:D897,'Все игры'!A$3:A897,A30,'Все игры'!B$3:B897,"Дон")</f>
        <v>0</v>
      </c>
      <c r="AD30" s="238">
        <f>SUMIFS('Все игры'!D$3:D897,'Все игры'!A$3:A897,A30,'Все игры'!B$3:B897,"Мирный")</f>
        <v>0</v>
      </c>
      <c r="AE30" s="238">
        <f t="shared" si="12"/>
        <v>0</v>
      </c>
      <c r="AF30" s="238">
        <f t="shared" si="13"/>
        <v>0</v>
      </c>
      <c r="AG30" s="238">
        <f t="shared" si="14"/>
        <v>0</v>
      </c>
      <c r="AH30" s="238">
        <f t="shared" si="15"/>
        <v>0</v>
      </c>
      <c r="AI30" s="238">
        <f t="shared" si="16"/>
        <v>0</v>
      </c>
    </row>
    <row r="31">
      <c r="A31" s="242" t="s">
        <v>85</v>
      </c>
      <c r="B31" s="129">
        <f t="shared" si="1"/>
        <v>0</v>
      </c>
      <c r="C31" s="128" t="str">
        <f>IF(COUNTIFS('Все игры'!A$3:A897,A31,'Все игры'!F$3:F897,"=1")=0, "", COUNTIFS('Все игры'!A$3:A897,A31,'Все игры'!F$3:F897,"=1"))</f>
        <v/>
      </c>
      <c r="D31" s="233" t="str">
        <f>IF(COUNTIFS('Все игры'!A$3:A897,A31,'Все игры'!F$3:F897,"=0,50")=0, "", COUNTIFS('Все игры'!A$3:A897,A31,'Все игры'!F$3:F897,"=0,50"))</f>
        <v/>
      </c>
      <c r="E31" s="234" t="str">
        <f>IF(COUNTIFS('Все игры'!A$3:A897,A31,'Все игры'!E$3:E897,"ПУ")=0, "", COUNTIFS('Все игры'!A$3:A897,A31,'Все игры'!E$3:E897,"ПУ"))</f>
        <v/>
      </c>
      <c r="F31" s="235">
        <f t="shared" si="2"/>
        <v>0</v>
      </c>
      <c r="G31" s="234" t="str">
        <f>IF(COUNTIFS('Все игры'!A$3:A897,A31,'Все игры'!E$3:E897,"У/Победа")=0, "",COUNTIFS('Все игры'!A$3:A897,A31,'Все игры'!E$3:E897,"У/Победа") )</f>
        <v/>
      </c>
      <c r="H31" s="234" t="str">
        <f>IF(COUNTIFS('Все игры'!A$3:A897,A31,'Все игры'!E$3:E897,"У/Проигрыш")=0, "",COUNTIFS('Все игры'!A$3:A897,A31,'Все игры'!E$3:E897,"У/Проигрыш") )</f>
        <v/>
      </c>
      <c r="I31" s="129">
        <f t="shared" si="3"/>
        <v>0</v>
      </c>
      <c r="J31" s="129">
        <f t="shared" si="4"/>
        <v>0</v>
      </c>
      <c r="K31" s="129">
        <f>COUNTIFS('Все игры'!A$3:A897,A31,'Все игры'!C$3:C897,"&gt;0",'Все игры'!B$3:B897,"Мафия")</f>
        <v>0</v>
      </c>
      <c r="L31" s="129">
        <f>IFERROR(__xludf.DUMMYFUNCTION("COUNTBLANK(FILTER('Все игры'!A$3:C897,'Все игры'!A$3:A897=A31,'Все игры'!C$3:C897 &lt; 1,'Все игры'!B$3:B897=""Мафия""))"),0.0)</f>
        <v>0</v>
      </c>
      <c r="M31" s="129">
        <f>COUNTIFS('Все игры'!A$3:A897,A31,'Все игры'!C$3:C897,"&gt;0",'Все игры'!B$3:B897,"Шериф")</f>
        <v>0</v>
      </c>
      <c r="N31" s="129">
        <f>IFERROR(__xludf.DUMMYFUNCTION("COUNTBLANK(FILTER('Все игры'!A$3:C897,'Все игры'!A$3:A897=A31,'Все игры'!C$3:C897 &lt; 1,'Все игры'!B$3:B897=""Шериф""))"),0.0)</f>
        <v>0</v>
      </c>
      <c r="O31" s="129">
        <f>COUNTIFS('Все игры'!A$3:A897,A31,'Все игры'!C$3:C897,"&gt;0",'Все игры'!B$3:B897,"Дон")</f>
        <v>0</v>
      </c>
      <c r="P31" s="236">
        <f>IFERROR(__xludf.DUMMYFUNCTION("COUNTBLANK(FILTER('Все игры'!A$3:C897,'Все игры'!A$3:A897=A31,'Все игры'!C$3:C897 &lt; 1,'Все игры'!B$3:B897=""Дон""))"),0.0)</f>
        <v>0</v>
      </c>
      <c r="Q31" s="129">
        <f>COUNTIFS('Все игры'!A$3:A897,A31,'Все игры'!C$3:C897,"&gt;0",'Все игры'!B$3:B897,"Мирный")</f>
        <v>0</v>
      </c>
      <c r="R31" s="129">
        <f>IFERROR(__xludf.DUMMYFUNCTION("COUNTBLANK(FILTER('Все игры'!A$3:C897,'Все игры'!A$3:A897=A31,'Все игры'!C$3:C897 &lt; 1,'Все игры'!B$3:B897=""Мирный""))"),0.0)</f>
        <v>0</v>
      </c>
      <c r="S31" s="237" t="str">
        <f t="shared" si="5"/>
        <v/>
      </c>
      <c r="T31" s="237" t="str">
        <f t="shared" si="6"/>
        <v/>
      </c>
      <c r="U31" s="237" t="str">
        <f t="shared" si="7"/>
        <v/>
      </c>
      <c r="V31" s="237" t="str">
        <f t="shared" si="8"/>
        <v/>
      </c>
      <c r="W31" s="237" t="str">
        <f t="shared" si="9"/>
        <v/>
      </c>
      <c r="X31" s="237" t="str">
        <f t="shared" si="10"/>
        <v/>
      </c>
      <c r="Y31" s="237" t="str">
        <f t="shared" si="11"/>
        <v/>
      </c>
      <c r="Z31" s="238">
        <f>SUMIFS('Все игры'!D$3:D897,'Все игры'!A$3:A897,A31)</f>
        <v>0</v>
      </c>
      <c r="AA31" s="238">
        <f>SUMIFS('Все игры'!D$3:D897,'Все игры'!A$3:A897,A31,'Все игры'!B$3:B897,"Мафия")</f>
        <v>0</v>
      </c>
      <c r="AB31" s="238">
        <f>SUMIFS('Все игры'!D$3:D897,'Все игры'!A$3:A897,A31,'Все игры'!B$3:B897,"Шериф")</f>
        <v>0</v>
      </c>
      <c r="AC31" s="238">
        <f>SUMIFS('Все игры'!D$3:D897,'Все игры'!A$3:A897,A31,'Все игры'!B$3:B897,"Дон")</f>
        <v>0</v>
      </c>
      <c r="AD31" s="238">
        <f>SUMIFS('Все игры'!D$3:D897,'Все игры'!A$3:A897,A31,'Все игры'!B$3:B897,"Мирный")</f>
        <v>0</v>
      </c>
      <c r="AE31" s="238">
        <f t="shared" si="12"/>
        <v>0</v>
      </c>
      <c r="AF31" s="238">
        <f t="shared" si="13"/>
        <v>0</v>
      </c>
      <c r="AG31" s="238">
        <f t="shared" si="14"/>
        <v>0</v>
      </c>
      <c r="AH31" s="238">
        <f t="shared" si="15"/>
        <v>0</v>
      </c>
      <c r="AI31" s="238">
        <f t="shared" si="16"/>
        <v>0</v>
      </c>
    </row>
    <row r="32">
      <c r="A32" s="242" t="s">
        <v>86</v>
      </c>
      <c r="B32" s="129">
        <f t="shared" si="1"/>
        <v>0</v>
      </c>
      <c r="C32" s="128" t="str">
        <f>IF(COUNTIFS('Все игры'!A$3:A897,A32,'Все игры'!F$3:F897,"=1")=0, "", COUNTIFS('Все игры'!A$3:A897,A32,'Все игры'!F$3:F897,"=1"))</f>
        <v/>
      </c>
      <c r="D32" s="233" t="str">
        <f>IF(COUNTIFS('Все игры'!A$3:A897,A32,'Все игры'!F$3:F897,"=0,50")=0, "", COUNTIFS('Все игры'!A$3:A897,A32,'Все игры'!F$3:F897,"=0,50"))</f>
        <v/>
      </c>
      <c r="E32" s="234" t="str">
        <f>IF(COUNTIFS('Все игры'!A$3:A897,A32,'Все игры'!E$3:E897,"ПУ")=0, "", COUNTIFS('Все игры'!A$3:A897,A32,'Все игры'!E$3:E897,"ПУ"))</f>
        <v/>
      </c>
      <c r="F32" s="235">
        <f t="shared" si="2"/>
        <v>0</v>
      </c>
      <c r="G32" s="234" t="str">
        <f>IF(COUNTIFS('Все игры'!A$3:A897,A32,'Все игры'!E$3:E897,"У/Победа")=0, "",COUNTIFS('Все игры'!A$3:A897,A32,'Все игры'!E$3:E897,"У/Победа") )</f>
        <v/>
      </c>
      <c r="H32" s="234" t="str">
        <f>IF(COUNTIFS('Все игры'!A$3:A897,A32,'Все игры'!E$3:E897,"У/Проигрыш")=0, "",COUNTIFS('Все игры'!A$3:A897,A32,'Все игры'!E$3:E897,"У/Проигрыш") )</f>
        <v/>
      </c>
      <c r="I32" s="129">
        <f t="shared" si="3"/>
        <v>0</v>
      </c>
      <c r="J32" s="129">
        <f t="shared" si="4"/>
        <v>0</v>
      </c>
      <c r="K32" s="129">
        <f>COUNTIFS('Все игры'!A$3:A897,A32,'Все игры'!C$3:C897,"&gt;0",'Все игры'!B$3:B897,"Мафия")</f>
        <v>0</v>
      </c>
      <c r="L32" s="129">
        <f>IFERROR(__xludf.DUMMYFUNCTION("COUNTBLANK(FILTER('Все игры'!A$3:C897,'Все игры'!A$3:A897=A32,'Все игры'!C$3:C897 &lt; 1,'Все игры'!B$3:B897=""Мафия""))"),0.0)</f>
        <v>0</v>
      </c>
      <c r="M32" s="129">
        <f>COUNTIFS('Все игры'!A$3:A897,A32,'Все игры'!C$3:C897,"&gt;0",'Все игры'!B$3:B897,"Шериф")</f>
        <v>0</v>
      </c>
      <c r="N32" s="129">
        <f>IFERROR(__xludf.DUMMYFUNCTION("COUNTBLANK(FILTER('Все игры'!A$3:C897,'Все игры'!A$3:A897=A32,'Все игры'!C$3:C897 &lt; 1,'Все игры'!B$3:B897=""Шериф""))"),0.0)</f>
        <v>0</v>
      </c>
      <c r="O32" s="129">
        <f>COUNTIFS('Все игры'!A$3:A897,A32,'Все игры'!C$3:C897,"&gt;0",'Все игры'!B$3:B897,"Дон")</f>
        <v>0</v>
      </c>
      <c r="P32" s="236">
        <f>IFERROR(__xludf.DUMMYFUNCTION("COUNTBLANK(FILTER('Все игры'!A$3:C897,'Все игры'!A$3:A897=A32,'Все игры'!C$3:C897 &lt; 1,'Все игры'!B$3:B897=""Дон""))"),0.0)</f>
        <v>0</v>
      </c>
      <c r="Q32" s="129">
        <f>COUNTIFS('Все игры'!A$3:A897,A32,'Все игры'!C$3:C897,"&gt;0",'Все игры'!B$3:B897,"Мирный")</f>
        <v>0</v>
      </c>
      <c r="R32" s="129">
        <f>IFERROR(__xludf.DUMMYFUNCTION("COUNTBLANK(FILTER('Все игры'!A$3:C897,'Все игры'!A$3:A897=A32,'Все игры'!C$3:C897 &lt; 1,'Все игры'!B$3:B897=""Мирный""))"),0.0)</f>
        <v>0</v>
      </c>
      <c r="S32" s="237" t="str">
        <f t="shared" si="5"/>
        <v/>
      </c>
      <c r="T32" s="237" t="str">
        <f t="shared" si="6"/>
        <v/>
      </c>
      <c r="U32" s="237" t="str">
        <f t="shared" si="7"/>
        <v/>
      </c>
      <c r="V32" s="237" t="str">
        <f t="shared" si="8"/>
        <v/>
      </c>
      <c r="W32" s="237" t="str">
        <f t="shared" si="9"/>
        <v/>
      </c>
      <c r="X32" s="237" t="str">
        <f t="shared" si="10"/>
        <v/>
      </c>
      <c r="Y32" s="237" t="str">
        <f t="shared" si="11"/>
        <v/>
      </c>
      <c r="Z32" s="238">
        <f>SUMIFS('Все игры'!D$3:D897,'Все игры'!A$3:A897,A32)</f>
        <v>0</v>
      </c>
      <c r="AA32" s="238">
        <f>SUMIFS('Все игры'!D$3:D897,'Все игры'!A$3:A897,A32,'Все игры'!B$3:B897,"Мафия")</f>
        <v>0</v>
      </c>
      <c r="AB32" s="238">
        <f>SUMIFS('Все игры'!D$3:D897,'Все игры'!A$3:A897,A32,'Все игры'!B$3:B897,"Шериф")</f>
        <v>0</v>
      </c>
      <c r="AC32" s="238">
        <f>SUMIFS('Все игры'!D$3:D897,'Все игры'!A$3:A897,A32,'Все игры'!B$3:B897,"Дон")</f>
        <v>0</v>
      </c>
      <c r="AD32" s="238">
        <f>SUMIFS('Все игры'!D$3:D897,'Все игры'!A$3:A897,A32,'Все игры'!B$3:B897,"Мирный")</f>
        <v>0</v>
      </c>
      <c r="AE32" s="238">
        <f t="shared" si="12"/>
        <v>0</v>
      </c>
      <c r="AF32" s="238">
        <f t="shared" si="13"/>
        <v>0</v>
      </c>
      <c r="AG32" s="238">
        <f t="shared" si="14"/>
        <v>0</v>
      </c>
      <c r="AH32" s="238">
        <f t="shared" si="15"/>
        <v>0</v>
      </c>
      <c r="AI32" s="238">
        <f t="shared" si="16"/>
        <v>0</v>
      </c>
    </row>
    <row r="33">
      <c r="A33" s="242" t="s">
        <v>87</v>
      </c>
      <c r="B33" s="129">
        <f t="shared" si="1"/>
        <v>0</v>
      </c>
      <c r="C33" s="128" t="str">
        <f>IF(COUNTIFS('Все игры'!A$3:A897,A33,'Все игры'!F$3:F897,"=1")=0, "", COUNTIFS('Все игры'!A$3:A897,A33,'Все игры'!F$3:F897,"=1"))</f>
        <v/>
      </c>
      <c r="D33" s="233" t="str">
        <f>IF(COUNTIFS('Все игры'!A$3:A897,A33,'Все игры'!F$3:F897,"=0,50")=0, "", COUNTIFS('Все игры'!A$3:A897,A33,'Все игры'!F$3:F897,"=0,50"))</f>
        <v/>
      </c>
      <c r="E33" s="234" t="str">
        <f>IF(COUNTIFS('Все игры'!A$3:A897,A33,'Все игры'!E$3:E897,"ПУ")=0, "", COUNTIFS('Все игры'!A$3:A897,A33,'Все игры'!E$3:E897,"ПУ"))</f>
        <v/>
      </c>
      <c r="F33" s="235">
        <f t="shared" si="2"/>
        <v>0</v>
      </c>
      <c r="G33" s="234" t="str">
        <f>IF(COUNTIFS('Все игры'!A$3:A897,A33,'Все игры'!E$3:E897,"У/Победа")=0, "",COUNTIFS('Все игры'!A$3:A897,A33,'Все игры'!E$3:E897,"У/Победа") )</f>
        <v/>
      </c>
      <c r="H33" s="234" t="str">
        <f>IF(COUNTIFS('Все игры'!A$3:A897,A33,'Все игры'!E$3:E897,"У/Проигрыш")=0, "",COUNTIFS('Все игры'!A$3:A897,A33,'Все игры'!E$3:E897,"У/Проигрыш") )</f>
        <v/>
      </c>
      <c r="I33" s="129">
        <f t="shared" si="3"/>
        <v>0</v>
      </c>
      <c r="J33" s="129">
        <f t="shared" si="4"/>
        <v>0</v>
      </c>
      <c r="K33" s="129">
        <f>COUNTIFS('Все игры'!A$3:A897,A33,'Все игры'!C$3:C897,"&gt;0",'Все игры'!B$3:B897,"Мафия")</f>
        <v>0</v>
      </c>
      <c r="L33" s="129">
        <f>IFERROR(__xludf.DUMMYFUNCTION("COUNTBLANK(FILTER('Все игры'!A$3:C897,'Все игры'!A$3:A897=A33,'Все игры'!C$3:C897 &lt; 1,'Все игры'!B$3:B897=""Мафия""))"),0.0)</f>
        <v>0</v>
      </c>
      <c r="M33" s="129">
        <f>COUNTIFS('Все игры'!A$3:A897,A33,'Все игры'!C$3:C897,"&gt;0",'Все игры'!B$3:B897,"Шериф")</f>
        <v>0</v>
      </c>
      <c r="N33" s="129">
        <f>IFERROR(__xludf.DUMMYFUNCTION("COUNTBLANK(FILTER('Все игры'!A$3:C897,'Все игры'!A$3:A897=A33,'Все игры'!C$3:C897 &lt; 1,'Все игры'!B$3:B897=""Шериф""))"),0.0)</f>
        <v>0</v>
      </c>
      <c r="O33" s="129">
        <f>COUNTIFS('Все игры'!A$3:A897,A33,'Все игры'!C$3:C897,"&gt;0",'Все игры'!B$3:B897,"Дон")</f>
        <v>0</v>
      </c>
      <c r="P33" s="236">
        <f>IFERROR(__xludf.DUMMYFUNCTION("COUNTBLANK(FILTER('Все игры'!A$3:C897,'Все игры'!A$3:A897=A33,'Все игры'!C$3:C897 &lt; 1,'Все игры'!B$3:B897=""Дон""))"),0.0)</f>
        <v>0</v>
      </c>
      <c r="Q33" s="129">
        <f>COUNTIFS('Все игры'!A$3:A897,A33,'Все игры'!C$3:C897,"&gt;0",'Все игры'!B$3:B897,"Мирный")</f>
        <v>0</v>
      </c>
      <c r="R33" s="129">
        <f>IFERROR(__xludf.DUMMYFUNCTION("COUNTBLANK(FILTER('Все игры'!A$3:C897,'Все игры'!A$3:A897=A33,'Все игры'!C$3:C897 &lt; 1,'Все игры'!B$3:B897=""Мирный""))"),0.0)</f>
        <v>0</v>
      </c>
      <c r="S33" s="237" t="str">
        <f t="shared" si="5"/>
        <v/>
      </c>
      <c r="T33" s="237" t="str">
        <f t="shared" si="6"/>
        <v/>
      </c>
      <c r="U33" s="237" t="str">
        <f t="shared" si="7"/>
        <v/>
      </c>
      <c r="V33" s="237" t="str">
        <f t="shared" si="8"/>
        <v/>
      </c>
      <c r="W33" s="237" t="str">
        <f t="shared" si="9"/>
        <v/>
      </c>
      <c r="X33" s="237" t="str">
        <f t="shared" si="10"/>
        <v/>
      </c>
      <c r="Y33" s="237" t="str">
        <f t="shared" si="11"/>
        <v/>
      </c>
      <c r="Z33" s="238">
        <f>SUMIFS('Все игры'!D$3:D897,'Все игры'!A$3:A897,A33)</f>
        <v>0</v>
      </c>
      <c r="AA33" s="238">
        <f>SUMIFS('Все игры'!D$3:D897,'Все игры'!A$3:A897,A33,'Все игры'!B$3:B897,"Мафия")</f>
        <v>0</v>
      </c>
      <c r="AB33" s="238">
        <f>SUMIFS('Все игры'!D$3:D897,'Все игры'!A$3:A897,A33,'Все игры'!B$3:B897,"Шериф")</f>
        <v>0</v>
      </c>
      <c r="AC33" s="238">
        <f>SUMIFS('Все игры'!D$3:D897,'Все игры'!A$3:A897,A33,'Все игры'!B$3:B897,"Дон")</f>
        <v>0</v>
      </c>
      <c r="AD33" s="238">
        <f>SUMIFS('Все игры'!D$3:D897,'Все игры'!A$3:A897,A33,'Все игры'!B$3:B897,"Мирный")</f>
        <v>0</v>
      </c>
      <c r="AE33" s="238">
        <f t="shared" si="12"/>
        <v>0</v>
      </c>
      <c r="AF33" s="238">
        <f t="shared" si="13"/>
        <v>0</v>
      </c>
      <c r="AG33" s="238">
        <f t="shared" si="14"/>
        <v>0</v>
      </c>
      <c r="AH33" s="238">
        <f t="shared" si="15"/>
        <v>0</v>
      </c>
      <c r="AI33" s="238">
        <f t="shared" si="16"/>
        <v>0</v>
      </c>
    </row>
    <row r="34">
      <c r="A34" s="242" t="s">
        <v>88</v>
      </c>
      <c r="B34" s="129">
        <f t="shared" si="1"/>
        <v>0</v>
      </c>
      <c r="C34" s="128" t="str">
        <f>IF(COUNTIFS('Все игры'!A$3:A897,A34,'Все игры'!F$3:F897,"=1")=0, "", COUNTIFS('Все игры'!A$3:A897,A34,'Все игры'!F$3:F897,"=1"))</f>
        <v/>
      </c>
      <c r="D34" s="233" t="str">
        <f>IF(COUNTIFS('Все игры'!A$3:A897,A34,'Все игры'!F$3:F897,"=0,50")=0, "", COUNTIFS('Все игры'!A$3:A897,A34,'Все игры'!F$3:F897,"=0,50"))</f>
        <v/>
      </c>
      <c r="E34" s="234" t="str">
        <f>IF(COUNTIFS('Все игры'!A$3:A897,A34,'Все игры'!E$3:E897,"ПУ")=0, "", COUNTIFS('Все игры'!A$3:A897,A34,'Все игры'!E$3:E897,"ПУ"))</f>
        <v/>
      </c>
      <c r="F34" s="235">
        <f t="shared" si="2"/>
        <v>0</v>
      </c>
      <c r="G34" s="234" t="str">
        <f>IF(COUNTIFS('Все игры'!A$3:A897,A34,'Все игры'!E$3:E897,"У/Победа")=0, "",COUNTIFS('Все игры'!A$3:A897,A34,'Все игры'!E$3:E897,"У/Победа") )</f>
        <v/>
      </c>
      <c r="H34" s="234" t="str">
        <f>IF(COUNTIFS('Все игры'!A$3:A897,A34,'Все игры'!E$3:E897,"У/Проигрыш")=0, "",COUNTIFS('Все игры'!A$3:A897,A34,'Все игры'!E$3:E897,"У/Проигрыш") )</f>
        <v/>
      </c>
      <c r="I34" s="129">
        <f t="shared" si="3"/>
        <v>0</v>
      </c>
      <c r="J34" s="129">
        <f t="shared" si="4"/>
        <v>0</v>
      </c>
      <c r="K34" s="129">
        <f>COUNTIFS('Все игры'!A$3:A897,A34,'Все игры'!C$3:C897,"&gt;0",'Все игры'!B$3:B897,"Мафия")</f>
        <v>0</v>
      </c>
      <c r="L34" s="129">
        <f>IFERROR(__xludf.DUMMYFUNCTION("COUNTBLANK(FILTER('Все игры'!A$3:C897,'Все игры'!A$3:A897=A34,'Все игры'!C$3:C897 &lt; 1,'Все игры'!B$3:B897=""Мафия""))"),0.0)</f>
        <v>0</v>
      </c>
      <c r="M34" s="129">
        <f>COUNTIFS('Все игры'!A$3:A897,A34,'Все игры'!C$3:C897,"&gt;0",'Все игры'!B$3:B897,"Шериф")</f>
        <v>0</v>
      </c>
      <c r="N34" s="129">
        <f>IFERROR(__xludf.DUMMYFUNCTION("COUNTBLANK(FILTER('Все игры'!A$3:C897,'Все игры'!A$3:A897=A34,'Все игры'!C$3:C897 &lt; 1,'Все игры'!B$3:B897=""Шериф""))"),0.0)</f>
        <v>0</v>
      </c>
      <c r="O34" s="129">
        <f>COUNTIFS('Все игры'!A$3:A897,A34,'Все игры'!C$3:C897,"&gt;0",'Все игры'!B$3:B897,"Дон")</f>
        <v>0</v>
      </c>
      <c r="P34" s="236">
        <f>IFERROR(__xludf.DUMMYFUNCTION("COUNTBLANK(FILTER('Все игры'!A$3:C897,'Все игры'!A$3:A897=A34,'Все игры'!C$3:C897 &lt; 1,'Все игры'!B$3:B897=""Дон""))"),0.0)</f>
        <v>0</v>
      </c>
      <c r="Q34" s="129">
        <f>COUNTIFS('Все игры'!A$3:A897,A34,'Все игры'!C$3:C897,"&gt;0",'Все игры'!B$3:B897,"Мирный")</f>
        <v>0</v>
      </c>
      <c r="R34" s="129">
        <f>IFERROR(__xludf.DUMMYFUNCTION("COUNTBLANK(FILTER('Все игры'!A$3:C897,'Все игры'!A$3:A897=A34,'Все игры'!C$3:C897 &lt; 1,'Все игры'!B$3:B897=""Мирный""))"),0.0)</f>
        <v>0</v>
      </c>
      <c r="S34" s="237" t="str">
        <f t="shared" si="5"/>
        <v/>
      </c>
      <c r="T34" s="237" t="str">
        <f t="shared" si="6"/>
        <v/>
      </c>
      <c r="U34" s="237" t="str">
        <f t="shared" si="7"/>
        <v/>
      </c>
      <c r="V34" s="237" t="str">
        <f t="shared" si="8"/>
        <v/>
      </c>
      <c r="W34" s="237" t="str">
        <f t="shared" si="9"/>
        <v/>
      </c>
      <c r="X34" s="237" t="str">
        <f t="shared" si="10"/>
        <v/>
      </c>
      <c r="Y34" s="237" t="str">
        <f t="shared" si="11"/>
        <v/>
      </c>
      <c r="Z34" s="238">
        <f>SUMIFS('Все игры'!D$3:D897,'Все игры'!A$3:A897,A34)</f>
        <v>0</v>
      </c>
      <c r="AA34" s="238">
        <f>SUMIFS('Все игры'!D$3:D897,'Все игры'!A$3:A897,A34,'Все игры'!B$3:B897,"Мафия")</f>
        <v>0</v>
      </c>
      <c r="AB34" s="238">
        <f>SUMIFS('Все игры'!D$3:D897,'Все игры'!A$3:A897,A34,'Все игры'!B$3:B897,"Шериф")</f>
        <v>0</v>
      </c>
      <c r="AC34" s="238">
        <f>SUMIFS('Все игры'!D$3:D897,'Все игры'!A$3:A897,A34,'Все игры'!B$3:B897,"Дон")</f>
        <v>0</v>
      </c>
      <c r="AD34" s="238">
        <f>SUMIFS('Все игры'!D$3:D897,'Все игры'!A$3:A897,A34,'Все игры'!B$3:B897,"Мирный")</f>
        <v>0</v>
      </c>
      <c r="AE34" s="238">
        <f t="shared" si="12"/>
        <v>0</v>
      </c>
      <c r="AF34" s="238">
        <f t="shared" si="13"/>
        <v>0</v>
      </c>
      <c r="AG34" s="238">
        <f t="shared" si="14"/>
        <v>0</v>
      </c>
      <c r="AH34" s="238">
        <f t="shared" si="15"/>
        <v>0</v>
      </c>
      <c r="AI34" s="238">
        <f t="shared" si="16"/>
        <v>0</v>
      </c>
    </row>
    <row r="35">
      <c r="A35" s="242" t="s">
        <v>90</v>
      </c>
      <c r="B35" s="129">
        <f t="shared" si="1"/>
        <v>0</v>
      </c>
      <c r="C35" s="128" t="str">
        <f>IF(COUNTIFS('Все игры'!A$3:A897,A35,'Все игры'!F$3:F897,"=1")=0, "", COUNTIFS('Все игры'!A$3:A897,A35,'Все игры'!F$3:F897,"=1"))</f>
        <v/>
      </c>
      <c r="D35" s="233" t="str">
        <f>IF(COUNTIFS('Все игры'!A$3:A897,A35,'Все игры'!F$3:F897,"=0,50")=0, "", COUNTIFS('Все игры'!A$3:A897,A35,'Все игры'!F$3:F897,"=0,50"))</f>
        <v/>
      </c>
      <c r="E35" s="234" t="str">
        <f>IF(COUNTIFS('Все игры'!A$3:A897,A35,'Все игры'!E$3:E897,"ПУ")=0, "", COUNTIFS('Все игры'!A$3:A897,A35,'Все игры'!E$3:E897,"ПУ"))</f>
        <v/>
      </c>
      <c r="F35" s="235">
        <f t="shared" si="2"/>
        <v>0</v>
      </c>
      <c r="G35" s="234" t="str">
        <f>IF(COUNTIFS('Все игры'!A$3:A897,A35,'Все игры'!E$3:E897,"У/Победа")=0, "",COUNTIFS('Все игры'!A$3:A897,A35,'Все игры'!E$3:E897,"У/Победа") )</f>
        <v/>
      </c>
      <c r="H35" s="234" t="str">
        <f>IF(COUNTIFS('Все игры'!A$3:A897,A35,'Все игры'!E$3:E897,"У/Проигрыш")=0, "",COUNTIFS('Все игры'!A$3:A897,A35,'Все игры'!E$3:E897,"У/Проигрыш") )</f>
        <v/>
      </c>
      <c r="I35" s="129">
        <f t="shared" si="3"/>
        <v>0</v>
      </c>
      <c r="J35" s="129">
        <f t="shared" si="4"/>
        <v>0</v>
      </c>
      <c r="K35" s="129">
        <f>COUNTIFS('Все игры'!A$3:A897,A35,'Все игры'!C$3:C897,"&gt;0",'Все игры'!B$3:B897,"Мафия")</f>
        <v>0</v>
      </c>
      <c r="L35" s="129">
        <f>IFERROR(__xludf.DUMMYFUNCTION("COUNTBLANK(FILTER('Все игры'!A$3:C897,'Все игры'!A$3:A897=A35,'Все игры'!C$3:C897 &lt; 1,'Все игры'!B$3:B897=""Мафия""))"),0.0)</f>
        <v>0</v>
      </c>
      <c r="M35" s="129">
        <f>COUNTIFS('Все игры'!A$3:A897,A35,'Все игры'!C$3:C897,"&gt;0",'Все игры'!B$3:B897,"Шериф")</f>
        <v>0</v>
      </c>
      <c r="N35" s="129">
        <f>IFERROR(__xludf.DUMMYFUNCTION("COUNTBLANK(FILTER('Все игры'!A$3:C897,'Все игры'!A$3:A897=A35,'Все игры'!C$3:C897 &lt; 1,'Все игры'!B$3:B897=""Шериф""))"),0.0)</f>
        <v>0</v>
      </c>
      <c r="O35" s="129">
        <f>COUNTIFS('Все игры'!A$3:A897,A35,'Все игры'!C$3:C897,"&gt;0",'Все игры'!B$3:B897,"Дон")</f>
        <v>0</v>
      </c>
      <c r="P35" s="236">
        <f>IFERROR(__xludf.DUMMYFUNCTION("COUNTBLANK(FILTER('Все игры'!A$3:C897,'Все игры'!A$3:A897=A35,'Все игры'!C$3:C897 &lt; 1,'Все игры'!B$3:B897=""Дон""))"),0.0)</f>
        <v>0</v>
      </c>
      <c r="Q35" s="129">
        <f>COUNTIFS('Все игры'!A$3:A897,A35,'Все игры'!C$3:C897,"&gt;0",'Все игры'!B$3:B897,"Мирный")</f>
        <v>0</v>
      </c>
      <c r="R35" s="129">
        <f>IFERROR(__xludf.DUMMYFUNCTION("COUNTBLANK(FILTER('Все игры'!A$3:C897,'Все игры'!A$3:A897=A35,'Все игры'!C$3:C897 &lt; 1,'Все игры'!B$3:B897=""Мирный""))"),0.0)</f>
        <v>0</v>
      </c>
      <c r="S35" s="237" t="str">
        <f t="shared" si="5"/>
        <v/>
      </c>
      <c r="T35" s="237" t="str">
        <f t="shared" si="6"/>
        <v/>
      </c>
      <c r="U35" s="237" t="str">
        <f t="shared" si="7"/>
        <v/>
      </c>
      <c r="V35" s="237" t="str">
        <f t="shared" si="8"/>
        <v/>
      </c>
      <c r="W35" s="237" t="str">
        <f t="shared" si="9"/>
        <v/>
      </c>
      <c r="X35" s="237" t="str">
        <f t="shared" si="10"/>
        <v/>
      </c>
      <c r="Y35" s="237" t="str">
        <f t="shared" si="11"/>
        <v/>
      </c>
      <c r="Z35" s="238">
        <f>SUMIFS('Все игры'!D$3:D897,'Все игры'!A$3:A897,A35)</f>
        <v>0</v>
      </c>
      <c r="AA35" s="238">
        <f>SUMIFS('Все игры'!D$3:D897,'Все игры'!A$3:A897,A35,'Все игры'!B$3:B897,"Мафия")</f>
        <v>0</v>
      </c>
      <c r="AB35" s="238">
        <f>SUMIFS('Все игры'!D$3:D897,'Все игры'!A$3:A897,A35,'Все игры'!B$3:B897,"Шериф")</f>
        <v>0</v>
      </c>
      <c r="AC35" s="238">
        <f>SUMIFS('Все игры'!D$3:D897,'Все игры'!A$3:A897,A35,'Все игры'!B$3:B897,"Дон")</f>
        <v>0</v>
      </c>
      <c r="AD35" s="238">
        <f>SUMIFS('Все игры'!D$3:D897,'Все игры'!A$3:A897,A35,'Все игры'!B$3:B897,"Мирный")</f>
        <v>0</v>
      </c>
      <c r="AE35" s="238">
        <f t="shared" si="12"/>
        <v>0</v>
      </c>
      <c r="AF35" s="238">
        <f t="shared" si="13"/>
        <v>0</v>
      </c>
      <c r="AG35" s="238">
        <f t="shared" si="14"/>
        <v>0</v>
      </c>
      <c r="AH35" s="238">
        <f t="shared" si="15"/>
        <v>0</v>
      </c>
      <c r="AI35" s="238">
        <f t="shared" si="16"/>
        <v>0</v>
      </c>
    </row>
    <row r="36">
      <c r="A36" s="242" t="s">
        <v>91</v>
      </c>
      <c r="B36" s="129">
        <f t="shared" si="1"/>
        <v>0</v>
      </c>
      <c r="C36" s="128" t="str">
        <f>IF(COUNTIFS('Все игры'!A$3:A897,A36,'Все игры'!F$3:F897,"=1")=0, "", COUNTIFS('Все игры'!A$3:A897,A36,'Все игры'!F$3:F897,"=1"))</f>
        <v/>
      </c>
      <c r="D36" s="233" t="str">
        <f>IF(COUNTIFS('Все игры'!A$3:A897,A36,'Все игры'!F$3:F897,"=0,50")=0, "", COUNTIFS('Все игры'!A$3:A897,A36,'Все игры'!F$3:F897,"=0,50"))</f>
        <v/>
      </c>
      <c r="E36" s="234" t="str">
        <f>IF(COUNTIFS('Все игры'!A$3:A897,A36,'Все игры'!E$3:E897,"ПУ")=0, "", COUNTIFS('Все игры'!A$3:A897,A36,'Все игры'!E$3:E897,"ПУ"))</f>
        <v/>
      </c>
      <c r="F36" s="235">
        <f t="shared" si="2"/>
        <v>0</v>
      </c>
      <c r="G36" s="234" t="str">
        <f>IF(COUNTIFS('Все игры'!A$3:A897,A36,'Все игры'!E$3:E897,"У/Победа")=0, "",COUNTIFS('Все игры'!A$3:A897,A36,'Все игры'!E$3:E897,"У/Победа") )</f>
        <v/>
      </c>
      <c r="H36" s="234" t="str">
        <f>IF(COUNTIFS('Все игры'!A$3:A897,A36,'Все игры'!E$3:E897,"У/Проигрыш")=0, "",COUNTIFS('Все игры'!A$3:A897,A36,'Все игры'!E$3:E897,"У/Проигрыш") )</f>
        <v/>
      </c>
      <c r="I36" s="129">
        <f t="shared" si="3"/>
        <v>0</v>
      </c>
      <c r="J36" s="129">
        <f t="shared" si="4"/>
        <v>0</v>
      </c>
      <c r="K36" s="129">
        <f>COUNTIFS('Все игры'!A$3:A897,A36,'Все игры'!C$3:C897,"&gt;0",'Все игры'!B$3:B897,"Мафия")</f>
        <v>0</v>
      </c>
      <c r="L36" s="129">
        <f>IFERROR(__xludf.DUMMYFUNCTION("COUNTBLANK(FILTER('Все игры'!A$3:C897,'Все игры'!A$3:A897=A36,'Все игры'!C$3:C897 &lt; 1,'Все игры'!B$3:B897=""Мафия""))"),0.0)</f>
        <v>0</v>
      </c>
      <c r="M36" s="129">
        <f>COUNTIFS('Все игры'!A$3:A897,A36,'Все игры'!C$3:C897,"&gt;0",'Все игры'!B$3:B897,"Шериф")</f>
        <v>0</v>
      </c>
      <c r="N36" s="129">
        <f>IFERROR(__xludf.DUMMYFUNCTION("COUNTBLANK(FILTER('Все игры'!A$3:C897,'Все игры'!A$3:A897=A36,'Все игры'!C$3:C897 &lt; 1,'Все игры'!B$3:B897=""Шериф""))"),0.0)</f>
        <v>0</v>
      </c>
      <c r="O36" s="129">
        <f>COUNTIFS('Все игры'!A$3:A897,A36,'Все игры'!C$3:C897,"&gt;0",'Все игры'!B$3:B897,"Дон")</f>
        <v>0</v>
      </c>
      <c r="P36" s="236">
        <f>IFERROR(__xludf.DUMMYFUNCTION("COUNTBLANK(FILTER('Все игры'!A$3:C897,'Все игры'!A$3:A897=A36,'Все игры'!C$3:C897 &lt; 1,'Все игры'!B$3:B897=""Дон""))"),0.0)</f>
        <v>0</v>
      </c>
      <c r="Q36" s="129">
        <f>COUNTIFS('Все игры'!A$3:A897,A36,'Все игры'!C$3:C897,"&gt;0",'Все игры'!B$3:B897,"Мирный")</f>
        <v>0</v>
      </c>
      <c r="R36" s="129">
        <f>IFERROR(__xludf.DUMMYFUNCTION("COUNTBLANK(FILTER('Все игры'!A$3:C897,'Все игры'!A$3:A897=A36,'Все игры'!C$3:C897 &lt; 1,'Все игры'!B$3:B897=""Мирный""))"),0.0)</f>
        <v>0</v>
      </c>
      <c r="S36" s="237" t="str">
        <f t="shared" si="5"/>
        <v/>
      </c>
      <c r="T36" s="237" t="str">
        <f t="shared" si="6"/>
        <v/>
      </c>
      <c r="U36" s="237" t="str">
        <f t="shared" si="7"/>
        <v/>
      </c>
      <c r="V36" s="237" t="str">
        <f t="shared" si="8"/>
        <v/>
      </c>
      <c r="W36" s="237" t="str">
        <f t="shared" si="9"/>
        <v/>
      </c>
      <c r="X36" s="237" t="str">
        <f t="shared" si="10"/>
        <v/>
      </c>
      <c r="Y36" s="237" t="str">
        <f t="shared" si="11"/>
        <v/>
      </c>
      <c r="Z36" s="238">
        <f>SUMIFS('Все игры'!D$3:D897,'Все игры'!A$3:A897,A36)</f>
        <v>0</v>
      </c>
      <c r="AA36" s="238">
        <f>SUMIFS('Все игры'!D$3:D897,'Все игры'!A$3:A897,A36,'Все игры'!B$3:B897,"Мафия")</f>
        <v>0</v>
      </c>
      <c r="AB36" s="238">
        <f>SUMIFS('Все игры'!D$3:D897,'Все игры'!A$3:A897,A36,'Все игры'!B$3:B897,"Шериф")</f>
        <v>0</v>
      </c>
      <c r="AC36" s="238">
        <f>SUMIFS('Все игры'!D$3:D897,'Все игры'!A$3:A897,A36,'Все игры'!B$3:B897,"Дон")</f>
        <v>0</v>
      </c>
      <c r="AD36" s="238">
        <f>SUMIFS('Все игры'!D$3:D897,'Все игры'!A$3:A897,A36,'Все игры'!B$3:B897,"Мирный")</f>
        <v>0</v>
      </c>
      <c r="AE36" s="238">
        <f t="shared" si="12"/>
        <v>0</v>
      </c>
      <c r="AF36" s="238">
        <f t="shared" si="13"/>
        <v>0</v>
      </c>
      <c r="AG36" s="238">
        <f t="shared" si="14"/>
        <v>0</v>
      </c>
      <c r="AH36" s="238">
        <f t="shared" si="15"/>
        <v>0</v>
      </c>
      <c r="AI36" s="238">
        <f t="shared" si="16"/>
        <v>0</v>
      </c>
    </row>
    <row r="37">
      <c r="A37" s="242" t="s">
        <v>92</v>
      </c>
      <c r="B37" s="129">
        <f t="shared" si="1"/>
        <v>0</v>
      </c>
      <c r="C37" s="128" t="str">
        <f>IF(COUNTIFS('Все игры'!A$3:A897,A37,'Все игры'!F$3:F897,"=1")=0, "", COUNTIFS('Все игры'!A$3:A897,A37,'Все игры'!F$3:F897,"=1"))</f>
        <v/>
      </c>
      <c r="D37" s="233" t="str">
        <f>IF(COUNTIFS('Все игры'!A$3:A897,A37,'Все игры'!F$3:F897,"=0,50")=0, "", COUNTIFS('Все игры'!A$3:A897,A37,'Все игры'!F$3:F897,"=0,50"))</f>
        <v/>
      </c>
      <c r="E37" s="234" t="str">
        <f>IF(COUNTIFS('Все игры'!A$3:A897,A37,'Все игры'!E$3:E897,"ПУ")=0, "", COUNTIFS('Все игры'!A$3:A897,A37,'Все игры'!E$3:E897,"ПУ"))</f>
        <v/>
      </c>
      <c r="F37" s="235">
        <f t="shared" si="2"/>
        <v>0</v>
      </c>
      <c r="G37" s="234" t="str">
        <f>IF(COUNTIFS('Все игры'!A$3:A897,A37,'Все игры'!E$3:E897,"У/Победа")=0, "",COUNTIFS('Все игры'!A$3:A897,A37,'Все игры'!E$3:E897,"У/Победа") )</f>
        <v/>
      </c>
      <c r="H37" s="234" t="str">
        <f>IF(COUNTIFS('Все игры'!A$3:A897,A37,'Все игры'!E$3:E897,"У/Проигрыш")=0, "",COUNTIFS('Все игры'!A$3:A897,A37,'Все игры'!E$3:E897,"У/Проигрыш") )</f>
        <v/>
      </c>
      <c r="I37" s="129">
        <f t="shared" si="3"/>
        <v>0</v>
      </c>
      <c r="J37" s="129">
        <f t="shared" si="4"/>
        <v>0</v>
      </c>
      <c r="K37" s="129">
        <f>COUNTIFS('Все игры'!A$3:A897,A37,'Все игры'!C$3:C897,"&gt;0",'Все игры'!B$3:B897,"Мафия")</f>
        <v>0</v>
      </c>
      <c r="L37" s="129">
        <f>IFERROR(__xludf.DUMMYFUNCTION("COUNTBLANK(FILTER('Все игры'!A$3:C897,'Все игры'!A$3:A897=A37,'Все игры'!C$3:C897 &lt; 1,'Все игры'!B$3:B897=""Мафия""))"),0.0)</f>
        <v>0</v>
      </c>
      <c r="M37" s="129">
        <f>COUNTIFS('Все игры'!A$3:A897,A37,'Все игры'!C$3:C897,"&gt;0",'Все игры'!B$3:B897,"Шериф")</f>
        <v>0</v>
      </c>
      <c r="N37" s="129">
        <f>IFERROR(__xludf.DUMMYFUNCTION("COUNTBLANK(FILTER('Все игры'!A$3:C897,'Все игры'!A$3:A897=A37,'Все игры'!C$3:C897 &lt; 1,'Все игры'!B$3:B897=""Шериф""))"),0.0)</f>
        <v>0</v>
      </c>
      <c r="O37" s="129">
        <f>COUNTIFS('Все игры'!A$3:A897,A37,'Все игры'!C$3:C897,"&gt;0",'Все игры'!B$3:B897,"Дон")</f>
        <v>0</v>
      </c>
      <c r="P37" s="236">
        <f>IFERROR(__xludf.DUMMYFUNCTION("COUNTBLANK(FILTER('Все игры'!A$3:C897,'Все игры'!A$3:A897=A37,'Все игры'!C$3:C897 &lt; 1,'Все игры'!B$3:B897=""Дон""))"),0.0)</f>
        <v>0</v>
      </c>
      <c r="Q37" s="129">
        <f>COUNTIFS('Все игры'!A$3:A897,A37,'Все игры'!C$3:C897,"&gt;0",'Все игры'!B$3:B897,"Мирный")</f>
        <v>0</v>
      </c>
      <c r="R37" s="129">
        <f>IFERROR(__xludf.DUMMYFUNCTION("COUNTBLANK(FILTER('Все игры'!A$3:C897,'Все игры'!A$3:A897=A37,'Все игры'!C$3:C897 &lt; 1,'Все игры'!B$3:B897=""Мирный""))"),0.0)</f>
        <v>0</v>
      </c>
      <c r="S37" s="237" t="str">
        <f t="shared" si="5"/>
        <v/>
      </c>
      <c r="T37" s="237" t="str">
        <f t="shared" si="6"/>
        <v/>
      </c>
      <c r="U37" s="237" t="str">
        <f t="shared" si="7"/>
        <v/>
      </c>
      <c r="V37" s="237" t="str">
        <f t="shared" si="8"/>
        <v/>
      </c>
      <c r="W37" s="237" t="str">
        <f t="shared" si="9"/>
        <v/>
      </c>
      <c r="X37" s="237" t="str">
        <f t="shared" si="10"/>
        <v/>
      </c>
      <c r="Y37" s="237" t="str">
        <f t="shared" si="11"/>
        <v/>
      </c>
      <c r="Z37" s="238">
        <f>SUMIFS('Все игры'!D$3:D897,'Все игры'!A$3:A897,A37)</f>
        <v>0</v>
      </c>
      <c r="AA37" s="238">
        <f>SUMIFS('Все игры'!D$3:D897,'Все игры'!A$3:A897,A37,'Все игры'!B$3:B897,"Мафия")</f>
        <v>0</v>
      </c>
      <c r="AB37" s="238">
        <f>SUMIFS('Все игры'!D$3:D897,'Все игры'!A$3:A897,A37,'Все игры'!B$3:B897,"Шериф")</f>
        <v>0</v>
      </c>
      <c r="AC37" s="238">
        <f>SUMIFS('Все игры'!D$3:D897,'Все игры'!A$3:A897,A37,'Все игры'!B$3:B897,"Дон")</f>
        <v>0</v>
      </c>
      <c r="AD37" s="238">
        <f>SUMIFS('Все игры'!D$3:D897,'Все игры'!A$3:A897,A37,'Все игры'!B$3:B897,"Мирный")</f>
        <v>0</v>
      </c>
      <c r="AE37" s="238">
        <f t="shared" si="12"/>
        <v>0</v>
      </c>
      <c r="AF37" s="238">
        <f t="shared" si="13"/>
        <v>0</v>
      </c>
      <c r="AG37" s="238">
        <f t="shared" si="14"/>
        <v>0</v>
      </c>
      <c r="AH37" s="238">
        <f t="shared" si="15"/>
        <v>0</v>
      </c>
      <c r="AI37" s="238">
        <f t="shared" si="16"/>
        <v>0</v>
      </c>
    </row>
    <row r="38">
      <c r="A38" s="242" t="s">
        <v>93</v>
      </c>
      <c r="B38" s="129">
        <f t="shared" si="1"/>
        <v>0</v>
      </c>
      <c r="C38" s="128" t="str">
        <f>IF(COUNTIFS('Все игры'!A$3:A897,A38,'Все игры'!F$3:F897,"=1")=0, "", COUNTIFS('Все игры'!A$3:A897,A38,'Все игры'!F$3:F897,"=1"))</f>
        <v/>
      </c>
      <c r="D38" s="233" t="str">
        <f>IF(COUNTIFS('Все игры'!A$3:A897,A38,'Все игры'!F$3:F897,"=0,50")=0, "", COUNTIFS('Все игры'!A$3:A897,A38,'Все игры'!F$3:F897,"=0,50"))</f>
        <v/>
      </c>
      <c r="E38" s="234" t="str">
        <f>IF(COUNTIFS('Все игры'!A$3:A897,A38,'Все игры'!E$3:E897,"ПУ")=0, "", COUNTIFS('Все игры'!A$3:A897,A38,'Все игры'!E$3:E897,"ПУ"))</f>
        <v/>
      </c>
      <c r="F38" s="235">
        <f t="shared" si="2"/>
        <v>0</v>
      </c>
      <c r="G38" s="234" t="str">
        <f>IF(COUNTIFS('Все игры'!A$3:A897,A38,'Все игры'!E$3:E897,"У/Победа")=0, "",COUNTIFS('Все игры'!A$3:A897,A38,'Все игры'!E$3:E897,"У/Победа") )</f>
        <v/>
      </c>
      <c r="H38" s="234" t="str">
        <f>IF(COUNTIFS('Все игры'!A$3:A897,A38,'Все игры'!E$3:E897,"У/Проигрыш")=0, "",COUNTIFS('Все игры'!A$3:A897,A38,'Все игры'!E$3:E897,"У/Проигрыш") )</f>
        <v/>
      </c>
      <c r="I38" s="129">
        <f t="shared" si="3"/>
        <v>0</v>
      </c>
      <c r="J38" s="129">
        <f t="shared" si="4"/>
        <v>0</v>
      </c>
      <c r="K38" s="129">
        <f>COUNTIFS('Все игры'!A$3:A897,A38,'Все игры'!C$3:C897,"&gt;0",'Все игры'!B$3:B897,"Мафия")</f>
        <v>0</v>
      </c>
      <c r="L38" s="129">
        <f>IFERROR(__xludf.DUMMYFUNCTION("COUNTBLANK(FILTER('Все игры'!A$3:C897,'Все игры'!A$3:A897=A38,'Все игры'!C$3:C897 &lt; 1,'Все игры'!B$3:B897=""Мафия""))"),0.0)</f>
        <v>0</v>
      </c>
      <c r="M38" s="129">
        <f>COUNTIFS('Все игры'!A$3:A897,A38,'Все игры'!C$3:C897,"&gt;0",'Все игры'!B$3:B897,"Шериф")</f>
        <v>0</v>
      </c>
      <c r="N38" s="129">
        <f>IFERROR(__xludf.DUMMYFUNCTION("COUNTBLANK(FILTER('Все игры'!A$3:C897,'Все игры'!A$3:A897=A38,'Все игры'!C$3:C897 &lt; 1,'Все игры'!B$3:B897=""Шериф""))"),0.0)</f>
        <v>0</v>
      </c>
      <c r="O38" s="129">
        <f>COUNTIFS('Все игры'!A$3:A897,A38,'Все игры'!C$3:C897,"&gt;0",'Все игры'!B$3:B897,"Дон")</f>
        <v>0</v>
      </c>
      <c r="P38" s="236">
        <f>IFERROR(__xludf.DUMMYFUNCTION("COUNTBLANK(FILTER('Все игры'!A$3:C897,'Все игры'!A$3:A897=A38,'Все игры'!C$3:C897 &lt; 1,'Все игры'!B$3:B897=""Дон""))"),0.0)</f>
        <v>0</v>
      </c>
      <c r="Q38" s="129">
        <f>COUNTIFS('Все игры'!A$3:A897,A38,'Все игры'!C$3:C897,"&gt;0",'Все игры'!B$3:B897,"Мирный")</f>
        <v>0</v>
      </c>
      <c r="R38" s="129">
        <f>IFERROR(__xludf.DUMMYFUNCTION("COUNTBLANK(FILTER('Все игры'!A$3:C897,'Все игры'!A$3:A897=A38,'Все игры'!C$3:C897 &lt; 1,'Все игры'!B$3:B897=""Мирный""))"),0.0)</f>
        <v>0</v>
      </c>
      <c r="S38" s="237" t="str">
        <f t="shared" si="5"/>
        <v/>
      </c>
      <c r="T38" s="237" t="str">
        <f t="shared" si="6"/>
        <v/>
      </c>
      <c r="U38" s="237" t="str">
        <f t="shared" si="7"/>
        <v/>
      </c>
      <c r="V38" s="237" t="str">
        <f t="shared" si="8"/>
        <v/>
      </c>
      <c r="W38" s="237" t="str">
        <f t="shared" si="9"/>
        <v/>
      </c>
      <c r="X38" s="237" t="str">
        <f t="shared" si="10"/>
        <v/>
      </c>
      <c r="Y38" s="237" t="str">
        <f t="shared" si="11"/>
        <v/>
      </c>
      <c r="Z38" s="238">
        <f>SUMIFS('Все игры'!D$3:D897,'Все игры'!A$3:A897,A38)</f>
        <v>0</v>
      </c>
      <c r="AA38" s="238">
        <f>SUMIFS('Все игры'!D$3:D897,'Все игры'!A$3:A897,A38,'Все игры'!B$3:B897,"Мафия")</f>
        <v>0</v>
      </c>
      <c r="AB38" s="238">
        <f>SUMIFS('Все игры'!D$3:D897,'Все игры'!A$3:A897,A38,'Все игры'!B$3:B897,"Шериф")</f>
        <v>0</v>
      </c>
      <c r="AC38" s="238">
        <f>SUMIFS('Все игры'!D$3:D897,'Все игры'!A$3:A897,A38,'Все игры'!B$3:B897,"Дон")</f>
        <v>0</v>
      </c>
      <c r="AD38" s="238">
        <f>SUMIFS('Все игры'!D$3:D897,'Все игры'!A$3:A897,A38,'Все игры'!B$3:B897,"Мирный")</f>
        <v>0</v>
      </c>
      <c r="AE38" s="238">
        <f t="shared" si="12"/>
        <v>0</v>
      </c>
      <c r="AF38" s="238">
        <f t="shared" si="13"/>
        <v>0</v>
      </c>
      <c r="AG38" s="238">
        <f t="shared" si="14"/>
        <v>0</v>
      </c>
      <c r="AH38" s="238">
        <f t="shared" si="15"/>
        <v>0</v>
      </c>
      <c r="AI38" s="238">
        <f t="shared" si="16"/>
        <v>0</v>
      </c>
    </row>
    <row r="39">
      <c r="A39" s="242" t="s">
        <v>94</v>
      </c>
      <c r="B39" s="129">
        <f t="shared" si="1"/>
        <v>0</v>
      </c>
      <c r="C39" s="128" t="str">
        <f>IF(COUNTIFS('Все игры'!A$3:A897,A39,'Все игры'!F$3:F897,"=1")=0, "", COUNTIFS('Все игры'!A$3:A897,A39,'Все игры'!F$3:F897,"=1"))</f>
        <v/>
      </c>
      <c r="D39" s="233" t="str">
        <f>IF(COUNTIFS('Все игры'!A$3:A897,A39,'Все игры'!F$3:F897,"=0,50")=0, "", COUNTIFS('Все игры'!A$3:A897,A39,'Все игры'!F$3:F897,"=0,50"))</f>
        <v/>
      </c>
      <c r="E39" s="234" t="str">
        <f>IF(COUNTIFS('Все игры'!A$3:A897,A39,'Все игры'!E$3:E897,"ПУ")=0, "", COUNTIFS('Все игры'!A$3:A897,A39,'Все игры'!E$3:E897,"ПУ"))</f>
        <v/>
      </c>
      <c r="F39" s="235">
        <f t="shared" si="2"/>
        <v>0</v>
      </c>
      <c r="G39" s="234" t="str">
        <f>IF(COUNTIFS('Все игры'!A$3:A897,A39,'Все игры'!E$3:E897,"У/Победа")=0, "",COUNTIFS('Все игры'!A$3:A897,A39,'Все игры'!E$3:E897,"У/Победа") )</f>
        <v/>
      </c>
      <c r="H39" s="234" t="str">
        <f>IF(COUNTIFS('Все игры'!A$3:A897,A39,'Все игры'!E$3:E897,"У/Проигрыш")=0, "",COUNTIFS('Все игры'!A$3:A897,A39,'Все игры'!E$3:E897,"У/Проигрыш") )</f>
        <v/>
      </c>
      <c r="I39" s="129">
        <f t="shared" si="3"/>
        <v>0</v>
      </c>
      <c r="J39" s="129">
        <f t="shared" si="4"/>
        <v>0</v>
      </c>
      <c r="K39" s="129">
        <f>COUNTIFS('Все игры'!A$3:A897,A39,'Все игры'!C$3:C897,"&gt;0",'Все игры'!B$3:B897,"Мафия")</f>
        <v>0</v>
      </c>
      <c r="L39" s="129">
        <f>IFERROR(__xludf.DUMMYFUNCTION("COUNTBLANK(FILTER('Все игры'!A$3:C897,'Все игры'!A$3:A897=A39,'Все игры'!C$3:C897 &lt; 1,'Все игры'!B$3:B897=""Мафия""))"),0.0)</f>
        <v>0</v>
      </c>
      <c r="M39" s="129">
        <f>COUNTIFS('Все игры'!A$3:A897,A39,'Все игры'!C$3:C897,"&gt;0",'Все игры'!B$3:B897,"Шериф")</f>
        <v>0</v>
      </c>
      <c r="N39" s="129">
        <f>IFERROR(__xludf.DUMMYFUNCTION("COUNTBLANK(FILTER('Все игры'!A$3:C897,'Все игры'!A$3:A897=A39,'Все игры'!C$3:C897 &lt; 1,'Все игры'!B$3:B897=""Шериф""))"),0.0)</f>
        <v>0</v>
      </c>
      <c r="O39" s="129">
        <f>COUNTIFS('Все игры'!A$3:A897,A39,'Все игры'!C$3:C897,"&gt;0",'Все игры'!B$3:B897,"Дон")</f>
        <v>0</v>
      </c>
      <c r="P39" s="236">
        <f>IFERROR(__xludf.DUMMYFUNCTION("COUNTBLANK(FILTER('Все игры'!A$3:C897,'Все игры'!A$3:A897=A39,'Все игры'!C$3:C897 &lt; 1,'Все игры'!B$3:B897=""Дон""))"),0.0)</f>
        <v>0</v>
      </c>
      <c r="Q39" s="129">
        <f>COUNTIFS('Все игры'!A$3:A897,A39,'Все игры'!C$3:C897,"&gt;0",'Все игры'!B$3:B897,"Мирный")</f>
        <v>0</v>
      </c>
      <c r="R39" s="129">
        <f>IFERROR(__xludf.DUMMYFUNCTION("COUNTBLANK(FILTER('Все игры'!A$3:C897,'Все игры'!A$3:A897=A39,'Все игры'!C$3:C897 &lt; 1,'Все игры'!B$3:B897=""Мирный""))"),0.0)</f>
        <v>0</v>
      </c>
      <c r="S39" s="237" t="str">
        <f t="shared" si="5"/>
        <v/>
      </c>
      <c r="T39" s="237" t="str">
        <f t="shared" si="6"/>
        <v/>
      </c>
      <c r="U39" s="237" t="str">
        <f t="shared" si="7"/>
        <v/>
      </c>
      <c r="V39" s="237" t="str">
        <f t="shared" si="8"/>
        <v/>
      </c>
      <c r="W39" s="237" t="str">
        <f t="shared" si="9"/>
        <v/>
      </c>
      <c r="X39" s="237" t="str">
        <f t="shared" si="10"/>
        <v/>
      </c>
      <c r="Y39" s="237" t="str">
        <f t="shared" si="11"/>
        <v/>
      </c>
      <c r="Z39" s="238">
        <f>SUMIFS('Все игры'!D$3:D897,'Все игры'!A$3:A897,A39)</f>
        <v>0</v>
      </c>
      <c r="AA39" s="238">
        <f>SUMIFS('Все игры'!D$3:D897,'Все игры'!A$3:A897,A39,'Все игры'!B$3:B897,"Мафия")</f>
        <v>0</v>
      </c>
      <c r="AB39" s="238">
        <f>SUMIFS('Все игры'!D$3:D897,'Все игры'!A$3:A897,A39,'Все игры'!B$3:B897,"Шериф")</f>
        <v>0</v>
      </c>
      <c r="AC39" s="238">
        <f>SUMIFS('Все игры'!D$3:D897,'Все игры'!A$3:A897,A39,'Все игры'!B$3:B897,"Дон")</f>
        <v>0</v>
      </c>
      <c r="AD39" s="238">
        <f>SUMIFS('Все игры'!D$3:D897,'Все игры'!A$3:A897,A39,'Все игры'!B$3:B897,"Мирный")</f>
        <v>0</v>
      </c>
      <c r="AE39" s="238">
        <f t="shared" si="12"/>
        <v>0</v>
      </c>
      <c r="AF39" s="238">
        <f t="shared" si="13"/>
        <v>0</v>
      </c>
      <c r="AG39" s="238">
        <f t="shared" si="14"/>
        <v>0</v>
      </c>
      <c r="AH39" s="238">
        <f t="shared" si="15"/>
        <v>0</v>
      </c>
      <c r="AI39" s="238">
        <f t="shared" si="16"/>
        <v>0</v>
      </c>
    </row>
    <row r="40">
      <c r="A40" s="242" t="s">
        <v>95</v>
      </c>
      <c r="B40" s="129">
        <f t="shared" si="1"/>
        <v>0</v>
      </c>
      <c r="C40" s="128" t="str">
        <f>IF(COUNTIFS('Все игры'!A$3:A897,A40,'Все игры'!F$3:F897,"=1")=0, "", COUNTIFS('Все игры'!A$3:A897,A40,'Все игры'!F$3:F897,"=1"))</f>
        <v/>
      </c>
      <c r="D40" s="233" t="str">
        <f>IF(COUNTIFS('Все игры'!A$3:A897,A40,'Все игры'!F$3:F897,"=0,50")=0, "", COUNTIFS('Все игры'!A$3:A897,A40,'Все игры'!F$3:F897,"=0,50"))</f>
        <v/>
      </c>
      <c r="E40" s="234" t="str">
        <f>IF(COUNTIFS('Все игры'!A$3:A897,A40,'Все игры'!E$3:E897,"ПУ")=0, "", COUNTIFS('Все игры'!A$3:A897,A40,'Все игры'!E$3:E897,"ПУ"))</f>
        <v/>
      </c>
      <c r="F40" s="235">
        <f t="shared" si="2"/>
        <v>0</v>
      </c>
      <c r="G40" s="234" t="str">
        <f>IF(COUNTIFS('Все игры'!A$3:A897,A40,'Все игры'!E$3:E897,"У/Победа")=0, "",COUNTIFS('Все игры'!A$3:A897,A40,'Все игры'!E$3:E897,"У/Победа") )</f>
        <v/>
      </c>
      <c r="H40" s="234" t="str">
        <f>IF(COUNTIFS('Все игры'!A$3:A897,A40,'Все игры'!E$3:E897,"У/Проигрыш")=0, "",COUNTIFS('Все игры'!A$3:A897,A40,'Все игры'!E$3:E897,"У/Проигрыш") )</f>
        <v/>
      </c>
      <c r="I40" s="129">
        <f t="shared" si="3"/>
        <v>0</v>
      </c>
      <c r="J40" s="129">
        <f t="shared" si="4"/>
        <v>0</v>
      </c>
      <c r="K40" s="129">
        <f>COUNTIFS('Все игры'!A$3:A897,A40,'Все игры'!C$3:C897,"&gt;0",'Все игры'!B$3:B897,"Мафия")</f>
        <v>0</v>
      </c>
      <c r="L40" s="129">
        <f>IFERROR(__xludf.DUMMYFUNCTION("COUNTBLANK(FILTER('Все игры'!A$3:C897,'Все игры'!A$3:A897=A40,'Все игры'!C$3:C897 &lt; 1,'Все игры'!B$3:B897=""Мафия""))"),0.0)</f>
        <v>0</v>
      </c>
      <c r="M40" s="129">
        <f>COUNTIFS('Все игры'!A$3:A897,A40,'Все игры'!C$3:C897,"&gt;0",'Все игры'!B$3:B897,"Шериф")</f>
        <v>0</v>
      </c>
      <c r="N40" s="129">
        <f>IFERROR(__xludf.DUMMYFUNCTION("COUNTBLANK(FILTER('Все игры'!A$3:C897,'Все игры'!A$3:A897=A40,'Все игры'!C$3:C897 &lt; 1,'Все игры'!B$3:B897=""Шериф""))"),0.0)</f>
        <v>0</v>
      </c>
      <c r="O40" s="129">
        <f>COUNTIFS('Все игры'!A$3:A897,A40,'Все игры'!C$3:C897,"&gt;0",'Все игры'!B$3:B897,"Дон")</f>
        <v>0</v>
      </c>
      <c r="P40" s="236">
        <f>IFERROR(__xludf.DUMMYFUNCTION("COUNTBLANK(FILTER('Все игры'!A$3:C897,'Все игры'!A$3:A897=A40,'Все игры'!C$3:C897 &lt; 1,'Все игры'!B$3:B897=""Дон""))"),0.0)</f>
        <v>0</v>
      </c>
      <c r="Q40" s="129">
        <f>COUNTIFS('Все игры'!A$3:A897,A40,'Все игры'!C$3:C897,"&gt;0",'Все игры'!B$3:B897,"Мирный")</f>
        <v>0</v>
      </c>
      <c r="R40" s="129">
        <f>IFERROR(__xludf.DUMMYFUNCTION("COUNTBLANK(FILTER('Все игры'!A$3:C897,'Все игры'!A$3:A897=A40,'Все игры'!C$3:C897 &lt; 1,'Все игры'!B$3:B897=""Мирный""))"),0.0)</f>
        <v>0</v>
      </c>
      <c r="S40" s="237" t="str">
        <f t="shared" si="5"/>
        <v/>
      </c>
      <c r="T40" s="237" t="str">
        <f t="shared" si="6"/>
        <v/>
      </c>
      <c r="U40" s="237" t="str">
        <f t="shared" si="7"/>
        <v/>
      </c>
      <c r="V40" s="237" t="str">
        <f t="shared" si="8"/>
        <v/>
      </c>
      <c r="W40" s="237" t="str">
        <f t="shared" si="9"/>
        <v/>
      </c>
      <c r="X40" s="237" t="str">
        <f t="shared" si="10"/>
        <v/>
      </c>
      <c r="Y40" s="237" t="str">
        <f t="shared" si="11"/>
        <v/>
      </c>
      <c r="Z40" s="238">
        <f>SUMIFS('Все игры'!D$3:D897,'Все игры'!A$3:A897,A40)</f>
        <v>0</v>
      </c>
      <c r="AA40" s="238">
        <f>SUMIFS('Все игры'!D$3:D897,'Все игры'!A$3:A897,A40,'Все игры'!B$3:B897,"Мафия")</f>
        <v>0</v>
      </c>
      <c r="AB40" s="238">
        <f>SUMIFS('Все игры'!D$3:D897,'Все игры'!A$3:A897,A40,'Все игры'!B$3:B897,"Шериф")</f>
        <v>0</v>
      </c>
      <c r="AC40" s="238">
        <f>SUMIFS('Все игры'!D$3:D897,'Все игры'!A$3:A897,A40,'Все игры'!B$3:B897,"Дон")</f>
        <v>0</v>
      </c>
      <c r="AD40" s="238">
        <f>SUMIFS('Все игры'!D$3:D897,'Все игры'!A$3:A897,A40,'Все игры'!B$3:B897,"Мирный")</f>
        <v>0</v>
      </c>
      <c r="AE40" s="238">
        <f t="shared" si="12"/>
        <v>0</v>
      </c>
      <c r="AF40" s="238">
        <f t="shared" si="13"/>
        <v>0</v>
      </c>
      <c r="AG40" s="238">
        <f t="shared" si="14"/>
        <v>0</v>
      </c>
      <c r="AH40" s="238">
        <f t="shared" si="15"/>
        <v>0</v>
      </c>
      <c r="AI40" s="238">
        <f t="shared" si="16"/>
        <v>0</v>
      </c>
    </row>
    <row r="41">
      <c r="A41" s="243"/>
    </row>
    <row r="42">
      <c r="A42" s="243"/>
    </row>
  </sheetData>
  <mergeCells count="4">
    <mergeCell ref="I1:R3"/>
    <mergeCell ref="S1:Y3"/>
    <mergeCell ref="Z1:AD3"/>
    <mergeCell ref="AE1:AI3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5" max="5" width="16.63"/>
  </cols>
  <sheetData>
    <row r="1">
      <c r="A1" s="244" t="s">
        <v>173</v>
      </c>
      <c r="B1" s="244">
        <f>'Все игры'!J4</f>
        <v>18</v>
      </c>
      <c r="E1" s="245" t="s">
        <v>174</v>
      </c>
      <c r="F1" s="246"/>
    </row>
    <row r="2">
      <c r="A2" s="247" t="str">
        <f>'Все игры'!I2</f>
        <v>Победы красные</v>
      </c>
      <c r="B2" s="247">
        <f>'Все игры'!J2</f>
        <v>6</v>
      </c>
      <c r="E2" s="248" t="s">
        <v>175</v>
      </c>
      <c r="F2" s="249">
        <f>'Все игры'!O17</f>
        <v>0.3333333333</v>
      </c>
    </row>
    <row r="3">
      <c r="A3" s="250" t="str">
        <f>'Все игры'!I3</f>
        <v>Победы черные</v>
      </c>
      <c r="B3" s="250">
        <f>'Все игры'!J3</f>
        <v>12</v>
      </c>
      <c r="E3" s="251" t="s">
        <v>176</v>
      </c>
      <c r="F3" s="252">
        <f>'Все игры'!O18</f>
        <v>0.6666666667</v>
      </c>
    </row>
    <row r="5">
      <c r="E5" s="245" t="s">
        <v>177</v>
      </c>
      <c r="F5" s="246"/>
    </row>
    <row r="6">
      <c r="E6" s="248" t="s">
        <v>175</v>
      </c>
      <c r="F6" s="249">
        <f>'Все игры'!S17</f>
        <v>0.3333333333</v>
      </c>
    </row>
    <row r="7">
      <c r="E7" s="251" t="s">
        <v>176</v>
      </c>
      <c r="F7" s="252">
        <f>'Все игры'!S18</f>
        <v>0.6666666667</v>
      </c>
    </row>
    <row r="9">
      <c r="E9" s="245" t="s">
        <v>178</v>
      </c>
      <c r="F9" s="246"/>
    </row>
    <row r="10">
      <c r="E10" s="248" t="s">
        <v>175</v>
      </c>
      <c r="F10" s="249">
        <f>'Все игры'!W17</f>
        <v>0.6666666667</v>
      </c>
    </row>
    <row r="11">
      <c r="E11" s="251" t="s">
        <v>176</v>
      </c>
      <c r="F11" s="252">
        <f>'Все игры'!W18</f>
        <v>0.3333333333</v>
      </c>
    </row>
    <row r="13">
      <c r="E13" s="245" t="s">
        <v>179</v>
      </c>
      <c r="F13" s="246"/>
    </row>
    <row r="14">
      <c r="E14" s="248" t="s">
        <v>175</v>
      </c>
      <c r="F14" s="249">
        <f>'Все игры'!AA17</f>
        <v>0.3333333333</v>
      </c>
    </row>
    <row r="15">
      <c r="E15" s="251" t="s">
        <v>176</v>
      </c>
      <c r="F15" s="252">
        <f>'Все игры'!AA18</f>
        <v>0.6666666667</v>
      </c>
    </row>
    <row r="17">
      <c r="E17" s="245" t="s">
        <v>180</v>
      </c>
      <c r="F17" s="246"/>
    </row>
    <row r="18">
      <c r="E18" s="248" t="s">
        <v>175</v>
      </c>
      <c r="F18" s="249">
        <f>'Все игры'!AE17</f>
        <v>1</v>
      </c>
    </row>
    <row r="19">
      <c r="E19" s="251" t="s">
        <v>176</v>
      </c>
      <c r="F19" s="252">
        <f>'Все игры'!AE18</f>
        <v>0</v>
      </c>
    </row>
    <row r="21">
      <c r="E21" s="245" t="s">
        <v>181</v>
      </c>
      <c r="F21" s="246"/>
    </row>
    <row r="22">
      <c r="E22" s="248" t="s">
        <v>175</v>
      </c>
      <c r="F22" s="249">
        <f>'Все игры'!AI17</f>
        <v>0</v>
      </c>
    </row>
    <row r="23">
      <c r="E23" s="251" t="s">
        <v>176</v>
      </c>
      <c r="F23" s="252">
        <f>'Все игры'!AI18</f>
        <v>1</v>
      </c>
    </row>
    <row r="25">
      <c r="E25" s="245" t="s">
        <v>182</v>
      </c>
      <c r="F25" s="246"/>
    </row>
    <row r="26">
      <c r="E26" s="248" t="s">
        <v>175</v>
      </c>
      <c r="F26" s="249">
        <f>'Все игры'!AM17</f>
        <v>0</v>
      </c>
    </row>
    <row r="27">
      <c r="E27" s="251" t="s">
        <v>176</v>
      </c>
      <c r="F27" s="252">
        <f>'Все игры'!AM18</f>
        <v>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3.38"/>
    <col customWidth="1" min="12" max="12" width="18.13"/>
    <col customWidth="1" min="13" max="13" width="33.63"/>
    <col customWidth="1" min="17" max="17" width="16.88"/>
    <col customWidth="1" min="21" max="21" width="16.88"/>
    <col customWidth="1" min="25" max="25" width="16.88"/>
    <col customWidth="1" min="29" max="29" width="16.88"/>
    <col customWidth="1" min="33" max="33" width="16.88"/>
    <col customWidth="1" min="37" max="37" width="16.88"/>
  </cols>
  <sheetData>
    <row r="1">
      <c r="A1" s="253"/>
      <c r="B1" s="254" t="s">
        <v>7</v>
      </c>
      <c r="C1" s="20"/>
      <c r="D1" s="20"/>
      <c r="E1" s="20"/>
      <c r="F1" s="20"/>
      <c r="G1" s="21"/>
      <c r="I1" s="255" t="s">
        <v>183</v>
      </c>
      <c r="L1" s="128" t="s">
        <v>184</v>
      </c>
      <c r="P1" s="128" t="s">
        <v>177</v>
      </c>
      <c r="T1" s="128" t="s">
        <v>178</v>
      </c>
      <c r="X1" s="128" t="s">
        <v>179</v>
      </c>
      <c r="AB1" s="128" t="s">
        <v>180</v>
      </c>
      <c r="AF1" s="128" t="s">
        <v>181</v>
      </c>
      <c r="AJ1" s="128" t="s">
        <v>182</v>
      </c>
      <c r="AN1" s="253"/>
      <c r="AO1" s="254" t="s">
        <v>7</v>
      </c>
      <c r="AP1" s="20"/>
      <c r="AQ1" s="20"/>
      <c r="AR1" s="20"/>
      <c r="AS1" s="20"/>
      <c r="AT1" s="21"/>
      <c r="AV1" s="253"/>
      <c r="AW1" s="254" t="s">
        <v>7</v>
      </c>
      <c r="AX1" s="20"/>
      <c r="AY1" s="20"/>
      <c r="AZ1" s="20"/>
      <c r="BA1" s="20"/>
      <c r="BB1" s="21"/>
      <c r="BD1" s="253"/>
      <c r="BE1" s="254" t="s">
        <v>7</v>
      </c>
      <c r="BF1" s="20"/>
      <c r="BG1" s="20"/>
      <c r="BH1" s="20"/>
      <c r="BI1" s="20"/>
      <c r="BJ1" s="21"/>
    </row>
    <row r="2">
      <c r="A2" s="27"/>
      <c r="B2" s="256" t="s">
        <v>22</v>
      </c>
      <c r="C2" s="256" t="s">
        <v>5</v>
      </c>
      <c r="D2" s="256" t="s">
        <v>23</v>
      </c>
      <c r="E2" s="256" t="s">
        <v>24</v>
      </c>
      <c r="F2" s="256" t="s">
        <v>25</v>
      </c>
      <c r="G2" s="257" t="s">
        <v>26</v>
      </c>
      <c r="I2" s="258" t="s">
        <v>185</v>
      </c>
      <c r="J2" s="129">
        <f t="shared" ref="J2:J3" si="1">N17+R17+V17+Z17+AD17+AH17+AL17</f>
        <v>6</v>
      </c>
      <c r="K2" s="237">
        <f>J2/J4</f>
        <v>0.3333333333</v>
      </c>
      <c r="L2" s="129" t="str">
        <f t="array" ref="L2:L17">{'1 Серия'!G18;'2 Серия'!G18;'3 Серия'!G18;'4 Серия'!G18;'5 Серия'!G18;'6 Серия'!G18;'7 Серия'!G18;'8 Серия'!G18;'9 Серия'!G18;'10 Серия'!G18;'11 Серия'!G18;'12 Серия'!G18;'13 Серия'!G18;'14 Серия'!G18;'15 Серия'!G18;'16 Серия'!G18}</f>
        <v>Победа города в угадайке</v>
      </c>
      <c r="M2" s="259" t="s">
        <v>62</v>
      </c>
      <c r="N2" s="129">
        <f t="shared" ref="N2:N15" si="2">COUNTIF(L$2:L$26,M2)</f>
        <v>0</v>
      </c>
      <c r="P2" s="129" t="str">
        <f t="array" ref="P2:P17">{'1 Серия'!M18;'2 Серия'!M18;'3 Серия'!M18;'4 Серия'!M18;'5 Серия'!M18;'6 Серия'!M18;'7 Серия'!M18;'8 Серия'!M18;'9 Серия'!M18;'10 Серия'!M18;'11 Серия'!M18;'12 Серия'!M18;'13 Серия'!M18;'14 Серия'!M18;'15 Серия'!M18;'16 Серия'!M18}</f>
        <v>Победа мафии 2в2</v>
      </c>
      <c r="Q2" s="259" t="s">
        <v>62</v>
      </c>
      <c r="R2" s="129">
        <f t="shared" ref="R2:R10" si="3">COUNTIF(P$2:P$26,Q2)</f>
        <v>0</v>
      </c>
      <c r="T2" s="129" t="str">
        <f t="array" ref="T2:T17">{'1 Серия'!S18;'2 Серия'!S18;'3 Серия'!S18;'4 Серия'!S18;'5 Серия'!S18;'6 Серия'!S18;'7 Серия'!S18;'8 Серия'!S18;'9 Серия'!S18;'10 Серия'!S18;'11 Серия'!S18;'12 Серия'!S18;'13 Серия'!S18;'14 Серия'!S18;'15 Серия'!S18;'16 Серия'!S18}</f>
        <v>Победа города на круг при пятерых</v>
      </c>
      <c r="U2" s="259" t="s">
        <v>62</v>
      </c>
      <c r="V2" s="129">
        <f t="shared" ref="V2:V10" si="4">COUNTIF(T$2:T$26,U2)</f>
        <v>0</v>
      </c>
      <c r="X2" s="129" t="str">
        <f t="array" ref="X2:X17">{'1 Серия'!Y18;'2 Серия'!Y18;'3 Серия'!Y18;'4 Серия'!Y18;'5 Серия'!Y18;'6 Серия'!Y18;'7 Серия'!Y18;'8 Серия'!Y18;'9 Серия'!Y18;'10 Серия'!Y18;'11 Серия'!Y18;'12 Серия'!Y18;'13 Серия'!Y18;'14 Серия'!Y18;'15 Серия'!Y18;'16 Серия'!Y18}</f>
        <v>Победа мафии 1в1</v>
      </c>
      <c r="Y2" s="259" t="s">
        <v>62</v>
      </c>
      <c r="Z2" s="129">
        <f t="shared" ref="Z2:Z10" si="5">COUNTIF(X$2:X$26,Y2)</f>
        <v>0</v>
      </c>
      <c r="AB2" s="129" t="str">
        <f t="array" ref="AB2:AB17">{'1 Серия'!AE18;'2 Серия'!AE18;'3 Серия'!AE18;'4 Серия'!AE18;'5 Серия'!AE18;'6 Серия'!AE18;'7 Серия'!AE18;'8 Серия'!AE18;'9 Серия'!AE18;'10 Серия'!AE18;'11 Серия'!AE18;'12 Серия'!AE18;'13 Серия'!AE18;'14 Серия'!AE18;'15 Серия'!AE18;'16 Серия'!AE18}</f>
        <v>Сухая победа города</v>
      </c>
      <c r="AC2" s="259" t="s">
        <v>62</v>
      </c>
      <c r="AD2" s="129">
        <f t="shared" ref="AD2:AD10" si="6">COUNTIF(AB$2:AB$26,AC2)</f>
        <v>1</v>
      </c>
      <c r="AF2" s="129" t="str">
        <f t="array" ref="AF2:AF17">{'1 Серия'!AK18;'2 Серия'!AK18;'3 Серия'!AK18;'4 Серия'!AK18;'5 Серия'!AK18;'6 Серия'!AK18;'7 Серия'!AK18;'8 Серия'!AK18;'9 Серия'!AK18;'10 Серия'!AK18;'11 Серия'!AK18;'12 Серия'!AK18;'13 Серия'!AK18;'14 Серия'!AK18;'15 Серия'!AK18;'16 Серия'!AK18}</f>
        <v>Победа мафии 1в1</v>
      </c>
      <c r="AG2" s="259" t="s">
        <v>62</v>
      </c>
      <c r="AH2" s="129">
        <f t="shared" ref="AH2:AH10" si="7">COUNTIF(AF$2:AF$26,AG2)</f>
        <v>0</v>
      </c>
      <c r="AJ2" s="129" t="str">
        <f t="array" ref="AJ2:AJ17">{'1 Серия'!AQ18;'2 Серия'!AQ18;'3 Серия'!AQ18;'4 Серия'!AQ18;'5 Серия'!AQ18;'6 Серия'!AQ18;'7 Серия'!AQ18;'8 Серия'!AQ18;'9 Серия'!AQ18;'10 Серия'!AQ18;'11 Серия'!AQ18;'12 Серия'!AQ18;'13 Серия'!AQ18;'14 Серия'!AQ18;'15 Серия'!AQ18;'16 Серия'!AQ18}</f>
        <v>Победа мафии 3в3</v>
      </c>
      <c r="AK2" s="259" t="s">
        <v>62</v>
      </c>
      <c r="AL2" s="129">
        <f t="shared" ref="AL2:AL10" si="8">COUNTIF(AJ$2:AJ$26,AK2)</f>
        <v>0</v>
      </c>
      <c r="AN2" s="27"/>
      <c r="AO2" s="256" t="s">
        <v>22</v>
      </c>
      <c r="AP2" s="256" t="s">
        <v>5</v>
      </c>
      <c r="AQ2" s="256" t="s">
        <v>23</v>
      </c>
      <c r="AR2" s="256" t="s">
        <v>24</v>
      </c>
      <c r="AS2" s="256" t="s">
        <v>25</v>
      </c>
      <c r="AT2" s="257" t="s">
        <v>26</v>
      </c>
      <c r="AV2" s="27"/>
      <c r="AW2" s="256" t="s">
        <v>22</v>
      </c>
      <c r="AX2" s="256" t="s">
        <v>5</v>
      </c>
      <c r="AY2" s="256" t="s">
        <v>23</v>
      </c>
      <c r="AZ2" s="256" t="s">
        <v>24</v>
      </c>
      <c r="BA2" s="256" t="s">
        <v>25</v>
      </c>
      <c r="BB2" s="257" t="s">
        <v>26</v>
      </c>
      <c r="BD2" s="27"/>
      <c r="BE2" s="256" t="s">
        <v>22</v>
      </c>
      <c r="BF2" s="256" t="s">
        <v>5</v>
      </c>
      <c r="BG2" s="256" t="s">
        <v>23</v>
      </c>
      <c r="BH2" s="256" t="s">
        <v>24</v>
      </c>
      <c r="BI2" s="256" t="s">
        <v>25</v>
      </c>
      <c r="BJ2" s="257" t="s">
        <v>26</v>
      </c>
    </row>
    <row r="3">
      <c r="A3" s="195" t="str">
        <f t="array" ref="A3:A1122">{'1 Серия'!B6:B15;'1 Серия'!B6:B15;'1 Серия'!B6:B15;'1 Серия'!B6:B15;'1 Серия'!B6:B15;'1 Серия'!B6:B15;'1 Серия'!B6:B15;'2 Серия'!B6:B15;'2 Серия'!B6:B15;'2 Серия'!B6:B15;'2 Серия'!B6:B15;'2 Серия'!B6:B15;'2 Серия'!B6:B15;'2 Серия'!B6:B15;'3 Серия'!B6:B15;'3 Серия'!B6:B15;'3 Серия'!B6:B15;'3 Серия'!B6:B15;'3 Серия'!B6:B15;'3 Серия'!B6:B15;'3 Серия'!B6:B15;'4 Серия'!B6:B15;'4 Серия'!B6:B15;'4 Серия'!B6:B15;'4 Серия'!B6:B15;'4 Серия'!B6:B15;'4 Серия'!B6:B15;'4 Серия'!B6:B15;'5 Серия'!B6:B15;'5 Серия'!B6:B15;'5 Серия'!B6:B15;'5 Серия'!B6:B15;'5 Серия'!B6:B15;'5 Серия'!B6:B15;'5 Серия'!B6:B15;'6 Серия'!B6:B15;'6 Серия'!B6:B15;'6 Серия'!B6:B15;'6 Серия'!B6:B15;'6 Серия'!B6:B15;'6 Серия'!B6:B15;'6 Серия'!B6:B15;'7 Серия'!B6:B15;'7 Серия'!B6:B15;'7 Серия'!B6:B15;'7 Серия'!B6:B15;'7 Серия'!B6:B15;'7 Серия'!B6:B15;'7 Серия'!B6:B15;'8 Серия'!B6:B15;'8 Серия'!B6:B15;'8 Серия'!B6:B15;'8 Серия'!B6:B15;'8 Серия'!B6:B15;'8 Серия'!B6:B15;'8 Серия'!B6:B15;'9 Серия'!B6:B15;'9 Серия'!B6:B15;'9 Серия'!B6:B15;'9 Серия'!B6:B15;'9 Серия'!B6:B15;'9 Серия'!B6:B15;'9 Серия'!B6:B15;'10 Серия'!B6:B15;'10 Серия'!B6:B15;'10 Серия'!B6:B15;'10 Серия'!B6:B15;'10 Серия'!B6:B15;'10 Серия'!B6:B15;'10 Серия'!B6:B15;'11 Серия'!B6:B15;'11 Серия'!B6:B15;'11 Серия'!B6:B15;'11 Серия'!B6:B15;'11 Серия'!B6:B15;'11 Серия'!B6:B15;'11 Серия'!B6:B15;'12 Серия'!B6:B15;'12 Серия'!B6:B15;'12 Серия'!B6:B15;'12 Серия'!B6:B15;'12 Серия'!B6:B15;'12 Серия'!B6:B15;'12 Серия'!B6:B15;'13 Серия'!B6:B15;'13 Серия'!B6:B15;'13 Серия'!B6:B15;'13 Серия'!B6:B15;'13 Серия'!B6:B15;'13 Серия'!B6:B15;'13 Серия'!B6:B15;'14 Серия'!B6:B15;'14 Серия'!B6:B15;'14 Серия'!B6:B15;'14 Серия'!B6:B15;'14 Серия'!B6:B15;'14 Серия'!B6:B15;'14 Серия'!B6:B15;'15 Серия'!B6:B15;'15 Серия'!B6:B15;'15 Серия'!B6:B15;'15 Серия'!B6:B15;'15 Серия'!B6:B15;'15 Серия'!B6:B15;'15 Серия'!B6:B15;'16 Серия'!B6:B15;'16 Серия'!B6:B15;'16 Серия'!B6:B15;'16 Серия'!B6:B15;'16 Серия'!B6:B15;'16 Серия'!B6:B15;'16 Серия'!B6:B15}</f>
        <v>Хрум</v>
      </c>
      <c r="B3" s="129" t="str">
        <f t="array" ref="B3:G1122">{'1 Серия'!G6:L15;'1 Серия'!M6:R15;'1 Серия'!S6:X15;'1 Серия'!Y6:AD15;'1 Серия'!AE6:AJ15;'1 Серия'!AK6:AP15;'1 Серия'!AQ6:AV15;'2 Серия'!G6:L15;'2 Серия'!M6:R15;'2 Серия'!S6:X15;'2 Серия'!Y6:AD15;'2 Серия'!AE6:AJ15;'2 Серия'!AK6:AP15;'2 Серия'!AQ6:AV15;'3 Серия'!G6:L15;'3 Серия'!M6:R15;'3 Серия'!S6:X15;'3 Серия'!Y6:AD15;'3 Серия'!AE6:AJ15;'3 Серия'!AK6:AP15;'3 Серия'!AQ6:AV15;'4 Серия'!G6:L15;'4 Серия'!M6:R15;'4 Серия'!S6:X15;'4 Серия'!Y6:AD15;'4 Серия'!AE6:AJ15;'4 Серия'!AK6:AP15;'4 Серия'!AQ6:AV15;'5 Серия'!G6:L15;'5 Серия'!M6:R15;'5 Серия'!S6:X15;'5 Серия'!Y6:AD15;'5 Серия'!AE6:AJ15;'5 Серия'!AK6:AP15;'5 Серия'!AQ6:AV15;'6 Серия'!G6:L15;'6 Серия'!M6:R15;'6 Серия'!S6:X15;'6 Серия'!Y6:AD15;'6 Серия'!AE6:AJ15;'6 Серия'!AK6:AP15;'6 Серия'!AQ6:AV15;'7 Серия'!G6:L15;'7 Серия'!M6:R15;'7 Серия'!S6:X15;'7 Серия'!Y6:AD15;'7 Серия'!AE6:AJ15;'7 Серия'!AK6:AP15;'7 Серия'!AQ6:AV15;'8 Серия'!G6:L15;'8 Серия'!M6:R15;'8 Серия'!S6:X15;'8 Серия'!Y6:AD15;'8 Серия'!AE6:AJ15;'8 Серия'!AK6:AP15;'8 Серия'!AQ6:AV15;'9 Серия'!G6:L15;'9 Серия'!M6:R15;'9 Серия'!S6:X15;'9 Серия'!Y6:AD15;'9 Серия'!AE6:AJ15;'9 Серия'!AK6:AP15;'9 Серия'!AQ6:AV15;'10 Серия'!G6:L15;'10 Серия'!M6:R15;'10 Серия'!S6:X15;'10 Серия'!Y6:AD15;'10 Серия'!AE6:AJ15;'10 Серия'!AK6:AP15;'10 Серия'!AQ6:AV15;'11 Серия'!G6:L15;'11 Серия'!M6:R15;'11 Серия'!S6:X15;'11 Серия'!Y6:AD15;'11 Серия'!AE6:AJ15;'11 Серия'!AK6:AP15;'11 Серия'!AQ6:AV15;'12 Серия'!G6:L15;'12 Серия'!M6:R15;'12 Серия'!S6:X15;'12 Серия'!Y6:AD15;'12 Серия'!AE6:AJ15;'12 Серия'!AK6:AP15;'12 Серия'!AQ6:AV15;'13 Серия'!G6:L15;'13 Серия'!M6:R15;'13 Серия'!S6:X15;'13 Серия'!Y6:AD15;'13 Серия'!AE6:AJ15;'13 Серия'!AK6:AP15;'13 Серия'!AQ6:AV15;'14 Серия'!G6:L15;'14 Серия'!M6:R15;'14 Серия'!S6:X15;'14 Серия'!Y6:AD15;'14 Серия'!AE6:AJ15;'14 Серия'!AK6:AP15;'14 Серия'!AQ6:AV15;'15 Серия'!G6:L15;'15 Серия'!M6:R15;'15 Серия'!S6:X15;'15 Серия'!Y6:AD15;'15 Серия'!AE6:AJ15;'15 Серия'!AK6:AP15;'15 Серия'!AQ6:AV15;'16 Серия'!G6:L15;'16 Серия'!M6:R15;'16 Серия'!S6:X15;'16 Серия'!Y6:AD15;'16 Серия'!AE6:AJ15;'16 Серия'!AK6:AP15;'16 Серия'!AQ6:AV15}</f>
        <v>Дон</v>
      </c>
      <c r="C3" s="195"/>
      <c r="D3" s="195">
        <v>3.0</v>
      </c>
      <c r="E3" s="129"/>
      <c r="F3" s="195"/>
      <c r="G3" s="195"/>
      <c r="I3" s="258" t="s">
        <v>186</v>
      </c>
      <c r="J3" s="129">
        <f t="shared" si="1"/>
        <v>12</v>
      </c>
      <c r="K3" s="237">
        <f>J3/J4</f>
        <v>0.6666666667</v>
      </c>
      <c r="L3" s="129" t="s">
        <v>63</v>
      </c>
      <c r="M3" s="259" t="s">
        <v>187</v>
      </c>
      <c r="N3" s="129">
        <f t="shared" si="2"/>
        <v>0</v>
      </c>
      <c r="P3" s="129" t="s">
        <v>59</v>
      </c>
      <c r="Q3" s="259" t="s">
        <v>187</v>
      </c>
      <c r="R3" s="129">
        <f t="shared" si="3"/>
        <v>0</v>
      </c>
      <c r="T3" s="129" t="s">
        <v>60</v>
      </c>
      <c r="U3" s="259" t="s">
        <v>187</v>
      </c>
      <c r="V3" s="129">
        <f t="shared" si="4"/>
        <v>0</v>
      </c>
      <c r="X3" s="129" t="s">
        <v>61</v>
      </c>
      <c r="Y3" s="259" t="s">
        <v>187</v>
      </c>
      <c r="Z3" s="129">
        <f t="shared" si="5"/>
        <v>0</v>
      </c>
      <c r="AB3" s="129"/>
      <c r="AC3" s="259" t="s">
        <v>187</v>
      </c>
      <c r="AD3" s="129">
        <f t="shared" si="6"/>
        <v>0</v>
      </c>
      <c r="AF3" s="129" t="s">
        <v>63</v>
      </c>
      <c r="AG3" s="259" t="s">
        <v>187</v>
      </c>
      <c r="AH3" s="129">
        <f t="shared" si="7"/>
        <v>0</v>
      </c>
      <c r="AJ3" s="129"/>
      <c r="AK3" s="259" t="s">
        <v>187</v>
      </c>
      <c r="AL3" s="129">
        <f t="shared" si="8"/>
        <v>0</v>
      </c>
      <c r="AN3" s="195" t="str">
        <f t="array" ref="AN3:AN82">{'1 Полуфинал'!B6:B15;'1 Полуфинал'!B6:B15;'1 Полуфинал'!B6:B15;'1 Полуфинал'!B6:B15;'1 Полуфинал'!B6:B15;'1 Полуфинал'!B6:B15;'1 Полуфинал'!B6:B15;'1 Полуфинал'!B6:B15}</f>
        <v/>
      </c>
      <c r="AO3" s="129" t="str">
        <f t="array" ref="AO3:AT82">{'1 Полуфинал'!G6:L15;'1 Полуфинал'!M6:R15;'1 Полуфинал'!S6:X15;'1 Полуфинал'!Y6:AD15;'1 Полуфинал'!AE6:AJ15;'1 Полуфинал'!AK6:AP15;'1 Полуфинал'!AQ6:AV15;'1 Полуфинал'!AW6:BB15}</f>
        <v/>
      </c>
      <c r="AP3" s="195"/>
      <c r="AQ3" s="195"/>
      <c r="AR3" s="129"/>
      <c r="AS3" s="195"/>
      <c r="AT3" s="195"/>
      <c r="AV3" s="195" t="str">
        <f t="array" ref="AV3:AV82">{'2 Полуфинал'!B6:B15;'2 Полуфинал'!B6:B15;'2 Полуфинал'!B6:B15;'2 Полуфинал'!B6:B15;'2 Полуфинал'!B6:B15;'2 Полуфинал'!B6:B15;'2 Полуфинал'!B6:B15;'2 Полуфинал'!B6:B15}</f>
        <v/>
      </c>
      <c r="AW3" s="129" t="str">
        <f t="array" ref="AW3:BB82">{'2 Полуфинал'!G6:L15;'2 Полуфинал'!M6:R15;'2 Полуфинал'!S6:X15;'2 Полуфинал'!Y6:AD15;'2 Полуфинал'!AE6:AJ15;'2 Полуфинал'!AK6:AP15;'2 Полуфинал'!AQ6:AV15;'2 Полуфинал'!AW6:BB15}</f>
        <v/>
      </c>
      <c r="AX3" s="195"/>
      <c r="AY3" s="195"/>
      <c r="AZ3" s="129"/>
      <c r="BA3" s="195"/>
      <c r="BB3" s="195"/>
      <c r="BD3" s="195" t="str">
        <f t="array" ref="BD3:BD142">{'Финал'!B6:B15;'Финал'!B6:B15;'Финал'!B6:B15;'Финал'!B6:B15;'Финал'!B6:B15;'Финал'!B6:B15;'Финал'!B6:B15;'Финал'!B6:B15;'Финал'!B6:B15;'Финал'!B6:B15;'Финал'!B6:B15;'Финал'!B6:B15;'Финал'!B6:B15;'Финал'!B6:B15}</f>
        <v/>
      </c>
      <c r="BE3" s="129" t="str">
        <f t="array" ref="BE3:BJ142">{'Финал'!G6:L15;'Финал'!M6:R15;'Финал'!S6:X15;'Финал'!Y6:AD15;'Финал'!AE6:AJ15;'Финал'!AK6:AP15;'Финал'!AQ6:AV15;'Финал'!AW6:BB15;'Финал'!BC6:BH15;'Финал'!BI6:BN15;'Финал'!BO6:BT15;'Финал'!BU6:BZ15;'Финал'!CA6:CF15;'Финал'!CG6:CL15}</f>
        <v/>
      </c>
      <c r="BF3" s="195"/>
      <c r="BG3" s="195"/>
      <c r="BH3" s="129"/>
      <c r="BI3" s="195"/>
      <c r="BJ3" s="195"/>
    </row>
    <row r="4">
      <c r="A4" s="195" t="s">
        <v>45</v>
      </c>
      <c r="B4" s="129" t="s">
        <v>44</v>
      </c>
      <c r="C4" s="195">
        <v>2.5</v>
      </c>
      <c r="D4" s="195">
        <v>3.0</v>
      </c>
      <c r="E4" s="129" t="s">
        <v>31</v>
      </c>
      <c r="F4" s="195">
        <v>0.5</v>
      </c>
      <c r="G4" s="195">
        <v>0.5</v>
      </c>
      <c r="I4" s="258" t="s">
        <v>188</v>
      </c>
      <c r="J4" s="129">
        <f>SUM(J2:J3)</f>
        <v>18</v>
      </c>
      <c r="L4" s="129" t="s">
        <v>63</v>
      </c>
      <c r="M4" s="259" t="s">
        <v>60</v>
      </c>
      <c r="N4" s="129">
        <f t="shared" si="2"/>
        <v>0</v>
      </c>
      <c r="P4" s="129" t="s">
        <v>58</v>
      </c>
      <c r="Q4" s="259" t="s">
        <v>60</v>
      </c>
      <c r="R4" s="129">
        <f t="shared" si="3"/>
        <v>0</v>
      </c>
      <c r="T4" s="129" t="s">
        <v>59</v>
      </c>
      <c r="U4" s="259" t="s">
        <v>60</v>
      </c>
      <c r="V4" s="129">
        <f t="shared" si="4"/>
        <v>2</v>
      </c>
      <c r="X4" s="129" t="s">
        <v>58</v>
      </c>
      <c r="Y4" s="259" t="s">
        <v>60</v>
      </c>
      <c r="Z4" s="129">
        <f t="shared" si="5"/>
        <v>0</v>
      </c>
      <c r="AB4" s="129"/>
      <c r="AC4" s="259" t="s">
        <v>60</v>
      </c>
      <c r="AD4" s="129">
        <f t="shared" si="6"/>
        <v>0</v>
      </c>
      <c r="AF4" s="129" t="s">
        <v>61</v>
      </c>
      <c r="AG4" s="259" t="s">
        <v>60</v>
      </c>
      <c r="AH4" s="129">
        <f t="shared" si="7"/>
        <v>0</v>
      </c>
      <c r="AJ4" s="129" t="s">
        <v>61</v>
      </c>
      <c r="AK4" s="259" t="s">
        <v>60</v>
      </c>
      <c r="AL4" s="129">
        <f t="shared" si="8"/>
        <v>0</v>
      </c>
      <c r="AN4" s="195"/>
      <c r="AO4" s="129"/>
      <c r="AP4" s="195"/>
      <c r="AQ4" s="195"/>
      <c r="AR4" s="129"/>
      <c r="AS4" s="195"/>
      <c r="AT4" s="195"/>
      <c r="AV4" s="195"/>
      <c r="AW4" s="129"/>
      <c r="AX4" s="195"/>
      <c r="AY4" s="195"/>
      <c r="AZ4" s="129"/>
      <c r="BA4" s="195"/>
      <c r="BB4" s="195"/>
      <c r="BD4" s="195"/>
      <c r="BE4" s="129"/>
      <c r="BF4" s="195"/>
      <c r="BG4" s="195"/>
      <c r="BH4" s="129"/>
      <c r="BI4" s="195"/>
      <c r="BJ4" s="195"/>
    </row>
    <row r="5">
      <c r="A5" s="195" t="s">
        <v>46</v>
      </c>
      <c r="B5" s="129" t="s">
        <v>44</v>
      </c>
      <c r="C5" s="195">
        <v>2.5</v>
      </c>
      <c r="D5" s="195">
        <v>3.75</v>
      </c>
      <c r="E5" s="129"/>
      <c r="F5" s="195"/>
      <c r="G5" s="195"/>
      <c r="I5" s="258"/>
      <c r="L5" s="129"/>
      <c r="M5" s="259" t="s">
        <v>189</v>
      </c>
      <c r="N5" s="129">
        <f t="shared" si="2"/>
        <v>0</v>
      </c>
      <c r="P5" s="129"/>
      <c r="Q5" s="259" t="s">
        <v>189</v>
      </c>
      <c r="R5" s="129">
        <f t="shared" si="3"/>
        <v>0</v>
      </c>
      <c r="T5" s="129"/>
      <c r="U5" s="259" t="s">
        <v>189</v>
      </c>
      <c r="V5" s="129">
        <f t="shared" si="4"/>
        <v>0</v>
      </c>
      <c r="X5" s="129"/>
      <c r="Y5" s="259" t="s">
        <v>189</v>
      </c>
      <c r="Z5" s="129">
        <f t="shared" si="5"/>
        <v>0</v>
      </c>
      <c r="AB5" s="129"/>
      <c r="AC5" s="259" t="s">
        <v>189</v>
      </c>
      <c r="AD5" s="129">
        <f t="shared" si="6"/>
        <v>0</v>
      </c>
      <c r="AF5" s="129"/>
      <c r="AG5" s="259" t="s">
        <v>189</v>
      </c>
      <c r="AH5" s="129">
        <f t="shared" si="7"/>
        <v>0</v>
      </c>
      <c r="AJ5" s="129"/>
      <c r="AK5" s="259" t="s">
        <v>189</v>
      </c>
      <c r="AL5" s="129">
        <f t="shared" si="8"/>
        <v>0</v>
      </c>
      <c r="AN5" s="195"/>
      <c r="AO5" s="129"/>
      <c r="AP5" s="195"/>
      <c r="AQ5" s="195"/>
      <c r="AR5" s="129"/>
      <c r="AS5" s="195"/>
      <c r="AT5" s="195"/>
      <c r="AV5" s="195"/>
      <c r="AW5" s="129"/>
      <c r="AX5" s="195"/>
      <c r="AY5" s="195"/>
      <c r="AZ5" s="129"/>
      <c r="BA5" s="195"/>
      <c r="BB5" s="195"/>
      <c r="BD5" s="195"/>
      <c r="BE5" s="129"/>
      <c r="BF5" s="195"/>
      <c r="BG5" s="195"/>
      <c r="BH5" s="129"/>
      <c r="BI5" s="195"/>
      <c r="BJ5" s="195"/>
    </row>
    <row r="6">
      <c r="A6" s="195" t="s">
        <v>47</v>
      </c>
      <c r="B6" s="129" t="s">
        <v>44</v>
      </c>
      <c r="C6" s="195">
        <v>2.5</v>
      </c>
      <c r="D6" s="195">
        <v>2.5</v>
      </c>
      <c r="E6" s="129"/>
      <c r="F6" s="195"/>
      <c r="G6" s="195"/>
      <c r="I6" s="258"/>
      <c r="L6" s="129"/>
      <c r="M6" s="259" t="s">
        <v>58</v>
      </c>
      <c r="N6" s="129">
        <f t="shared" si="2"/>
        <v>1</v>
      </c>
      <c r="P6" s="129"/>
      <c r="Q6" s="259" t="s">
        <v>58</v>
      </c>
      <c r="R6" s="129">
        <f t="shared" si="3"/>
        <v>1</v>
      </c>
      <c r="T6" s="129"/>
      <c r="U6" s="259" t="s">
        <v>58</v>
      </c>
      <c r="V6" s="129">
        <f t="shared" si="4"/>
        <v>0</v>
      </c>
      <c r="X6" s="129"/>
      <c r="Y6" s="259" t="s">
        <v>58</v>
      </c>
      <c r="Z6" s="129">
        <f t="shared" si="5"/>
        <v>1</v>
      </c>
      <c r="AB6" s="129"/>
      <c r="AC6" s="259" t="s">
        <v>58</v>
      </c>
      <c r="AD6" s="129">
        <f t="shared" si="6"/>
        <v>0</v>
      </c>
      <c r="AF6" s="129"/>
      <c r="AG6" s="259" t="s">
        <v>58</v>
      </c>
      <c r="AH6" s="129">
        <f t="shared" si="7"/>
        <v>0</v>
      </c>
      <c r="AJ6" s="129"/>
      <c r="AK6" s="259" t="s">
        <v>58</v>
      </c>
      <c r="AL6" s="129">
        <f t="shared" si="8"/>
        <v>0</v>
      </c>
      <c r="AN6" s="195"/>
      <c r="AO6" s="129"/>
      <c r="AP6" s="195"/>
      <c r="AQ6" s="195"/>
      <c r="AR6" s="129"/>
      <c r="AS6" s="195"/>
      <c r="AT6" s="195"/>
      <c r="AV6" s="195"/>
      <c r="AW6" s="129"/>
      <c r="AX6" s="195"/>
      <c r="AY6" s="195"/>
      <c r="AZ6" s="129"/>
      <c r="BA6" s="195"/>
      <c r="BB6" s="195"/>
      <c r="BD6" s="195"/>
      <c r="BE6" s="129"/>
      <c r="BF6" s="195"/>
      <c r="BG6" s="195"/>
      <c r="BH6" s="129"/>
      <c r="BI6" s="195"/>
      <c r="BJ6" s="195"/>
    </row>
    <row r="7">
      <c r="A7" s="195" t="s">
        <v>48</v>
      </c>
      <c r="B7" s="129" t="s">
        <v>28</v>
      </c>
      <c r="C7" s="195"/>
      <c r="D7" s="195">
        <v>1.75</v>
      </c>
      <c r="E7" s="129"/>
      <c r="F7" s="195"/>
      <c r="G7" s="195"/>
      <c r="I7" s="258" t="s">
        <v>190</v>
      </c>
      <c r="L7" s="129"/>
      <c r="M7" s="259" t="s">
        <v>191</v>
      </c>
      <c r="N7" s="129">
        <f t="shared" si="2"/>
        <v>0</v>
      </c>
      <c r="P7" s="129"/>
      <c r="Q7" s="259" t="s">
        <v>191</v>
      </c>
      <c r="R7" s="129">
        <f t="shared" si="3"/>
        <v>0</v>
      </c>
      <c r="T7" s="129"/>
      <c r="U7" s="259" t="s">
        <v>191</v>
      </c>
      <c r="V7" s="129">
        <f t="shared" si="4"/>
        <v>0</v>
      </c>
      <c r="X7" s="129"/>
      <c r="Y7" s="259" t="s">
        <v>191</v>
      </c>
      <c r="Z7" s="129">
        <f t="shared" si="5"/>
        <v>0</v>
      </c>
      <c r="AB7" s="129"/>
      <c r="AC7" s="259" t="s">
        <v>191</v>
      </c>
      <c r="AD7" s="129">
        <f t="shared" si="6"/>
        <v>0</v>
      </c>
      <c r="AF7" s="129"/>
      <c r="AG7" s="259" t="s">
        <v>191</v>
      </c>
      <c r="AH7" s="129">
        <f t="shared" si="7"/>
        <v>0</v>
      </c>
      <c r="AJ7" s="129"/>
      <c r="AK7" s="259" t="s">
        <v>191</v>
      </c>
      <c r="AL7" s="129">
        <f t="shared" si="8"/>
        <v>0</v>
      </c>
      <c r="AN7" s="195"/>
      <c r="AO7" s="129"/>
      <c r="AP7" s="195"/>
      <c r="AQ7" s="195"/>
      <c r="AR7" s="129"/>
      <c r="AS7" s="195"/>
      <c r="AT7" s="195"/>
      <c r="AV7" s="195"/>
      <c r="AW7" s="129"/>
      <c r="AX7" s="195"/>
      <c r="AY7" s="195"/>
      <c r="AZ7" s="129"/>
      <c r="BA7" s="195"/>
      <c r="BB7" s="195"/>
      <c r="BD7" s="195"/>
      <c r="BE7" s="129"/>
      <c r="BF7" s="195"/>
      <c r="BG7" s="195"/>
      <c r="BH7" s="129"/>
      <c r="BI7" s="195"/>
      <c r="BJ7" s="195"/>
    </row>
    <row r="8">
      <c r="A8" s="195" t="s">
        <v>49</v>
      </c>
      <c r="B8" s="129" t="s">
        <v>44</v>
      </c>
      <c r="C8" s="195">
        <v>2.5</v>
      </c>
      <c r="D8" s="195">
        <v>4.0</v>
      </c>
      <c r="E8" s="129"/>
      <c r="F8" s="195"/>
      <c r="G8" s="195"/>
      <c r="I8" s="258" t="s">
        <v>192</v>
      </c>
      <c r="L8" s="129"/>
      <c r="M8" s="259" t="s">
        <v>59</v>
      </c>
      <c r="N8" s="129">
        <f t="shared" si="2"/>
        <v>0</v>
      </c>
      <c r="P8" s="129"/>
      <c r="Q8" s="259" t="s">
        <v>59</v>
      </c>
      <c r="R8" s="129">
        <f t="shared" si="3"/>
        <v>2</v>
      </c>
      <c r="T8" s="129"/>
      <c r="U8" s="259" t="s">
        <v>59</v>
      </c>
      <c r="V8" s="129">
        <f t="shared" si="4"/>
        <v>1</v>
      </c>
      <c r="X8" s="129"/>
      <c r="Y8" s="259" t="s">
        <v>59</v>
      </c>
      <c r="Z8" s="129">
        <f t="shared" si="5"/>
        <v>0</v>
      </c>
      <c r="AB8" s="129"/>
      <c r="AC8" s="259" t="s">
        <v>59</v>
      </c>
      <c r="AD8" s="129">
        <f t="shared" si="6"/>
        <v>0</v>
      </c>
      <c r="AF8" s="129"/>
      <c r="AG8" s="259" t="s">
        <v>59</v>
      </c>
      <c r="AH8" s="129">
        <f t="shared" si="7"/>
        <v>0</v>
      </c>
      <c r="AJ8" s="129"/>
      <c r="AK8" s="259" t="s">
        <v>59</v>
      </c>
      <c r="AL8" s="129">
        <f t="shared" si="8"/>
        <v>0</v>
      </c>
      <c r="AN8" s="195"/>
      <c r="AO8" s="129"/>
      <c r="AP8" s="195"/>
      <c r="AQ8" s="195"/>
      <c r="AR8" s="129"/>
      <c r="AS8" s="195"/>
      <c r="AT8" s="195"/>
      <c r="AV8" s="195"/>
      <c r="AW8" s="129"/>
      <c r="AX8" s="195"/>
      <c r="AY8" s="195"/>
      <c r="AZ8" s="129"/>
      <c r="BA8" s="195"/>
      <c r="BB8" s="195"/>
      <c r="BD8" s="195"/>
      <c r="BE8" s="129"/>
      <c r="BF8" s="195"/>
      <c r="BG8" s="195"/>
      <c r="BH8" s="129"/>
      <c r="BI8" s="195"/>
      <c r="BJ8" s="195"/>
    </row>
    <row r="9">
      <c r="A9" s="195" t="s">
        <v>50</v>
      </c>
      <c r="B9" s="129" t="s">
        <v>44</v>
      </c>
      <c r="C9" s="195">
        <v>2.5</v>
      </c>
      <c r="D9" s="195">
        <v>2.0</v>
      </c>
      <c r="E9" s="129"/>
      <c r="F9" s="195"/>
      <c r="G9" s="195"/>
      <c r="I9" s="258" t="s">
        <v>193</v>
      </c>
      <c r="L9" s="129"/>
      <c r="M9" s="259" t="s">
        <v>61</v>
      </c>
      <c r="N9" s="129">
        <f t="shared" si="2"/>
        <v>0</v>
      </c>
      <c r="P9" s="129"/>
      <c r="Q9" s="259" t="s">
        <v>61</v>
      </c>
      <c r="R9" s="129">
        <f t="shared" si="3"/>
        <v>0</v>
      </c>
      <c r="T9" s="129"/>
      <c r="U9" s="259" t="s">
        <v>61</v>
      </c>
      <c r="V9" s="129">
        <f t="shared" si="4"/>
        <v>0</v>
      </c>
      <c r="X9" s="129"/>
      <c r="Y9" s="259" t="s">
        <v>61</v>
      </c>
      <c r="Z9" s="129">
        <f t="shared" si="5"/>
        <v>2</v>
      </c>
      <c r="AB9" s="129"/>
      <c r="AC9" s="259" t="s">
        <v>61</v>
      </c>
      <c r="AD9" s="129">
        <f t="shared" si="6"/>
        <v>0</v>
      </c>
      <c r="AF9" s="129"/>
      <c r="AG9" s="259" t="s">
        <v>61</v>
      </c>
      <c r="AH9" s="129">
        <f t="shared" si="7"/>
        <v>2</v>
      </c>
      <c r="AJ9" s="129"/>
      <c r="AK9" s="259" t="s">
        <v>61</v>
      </c>
      <c r="AL9" s="129">
        <f t="shared" si="8"/>
        <v>1</v>
      </c>
      <c r="AN9" s="195"/>
      <c r="AO9" s="129"/>
      <c r="AP9" s="195"/>
      <c r="AQ9" s="195"/>
      <c r="AR9" s="129"/>
      <c r="AS9" s="195"/>
      <c r="AT9" s="195"/>
      <c r="AV9" s="195"/>
      <c r="AW9" s="129"/>
      <c r="AX9" s="195"/>
      <c r="AY9" s="195"/>
      <c r="AZ9" s="129"/>
      <c r="BA9" s="195"/>
      <c r="BB9" s="195"/>
      <c r="BD9" s="195"/>
      <c r="BE9" s="129"/>
      <c r="BF9" s="195"/>
      <c r="BG9" s="195"/>
      <c r="BH9" s="129"/>
      <c r="BI9" s="195"/>
      <c r="BJ9" s="195"/>
    </row>
    <row r="10">
      <c r="A10" s="195" t="s">
        <v>51</v>
      </c>
      <c r="B10" s="129" t="s">
        <v>28</v>
      </c>
      <c r="C10" s="195"/>
      <c r="D10" s="195">
        <v>2.25</v>
      </c>
      <c r="E10" s="129"/>
      <c r="F10" s="195"/>
      <c r="G10" s="195"/>
      <c r="I10" s="258" t="s">
        <v>194</v>
      </c>
      <c r="L10" s="129"/>
      <c r="M10" s="259" t="s">
        <v>195</v>
      </c>
      <c r="N10" s="129">
        <f t="shared" si="2"/>
        <v>0</v>
      </c>
      <c r="P10" s="129"/>
      <c r="Q10" s="259" t="s">
        <v>195</v>
      </c>
      <c r="R10" s="129">
        <f t="shared" si="3"/>
        <v>0</v>
      </c>
      <c r="T10" s="129"/>
      <c r="U10" s="259" t="s">
        <v>195</v>
      </c>
      <c r="V10" s="129">
        <f t="shared" si="4"/>
        <v>0</v>
      </c>
      <c r="X10" s="129"/>
      <c r="Y10" s="259" t="s">
        <v>195</v>
      </c>
      <c r="Z10" s="129">
        <f t="shared" si="5"/>
        <v>0</v>
      </c>
      <c r="AB10" s="129"/>
      <c r="AC10" s="259" t="s">
        <v>195</v>
      </c>
      <c r="AD10" s="129">
        <f t="shared" si="6"/>
        <v>0</v>
      </c>
      <c r="AF10" s="129"/>
      <c r="AG10" s="259" t="s">
        <v>195</v>
      </c>
      <c r="AH10" s="129">
        <f t="shared" si="7"/>
        <v>0</v>
      </c>
      <c r="AJ10" s="129"/>
      <c r="AK10" s="259" t="s">
        <v>195</v>
      </c>
      <c r="AL10" s="129">
        <f t="shared" si="8"/>
        <v>0</v>
      </c>
      <c r="AN10" s="195"/>
      <c r="AO10" s="129"/>
      <c r="AP10" s="195"/>
      <c r="AQ10" s="195"/>
      <c r="AR10" s="129"/>
      <c r="AS10" s="195"/>
      <c r="AT10" s="195"/>
      <c r="AV10" s="195"/>
      <c r="AW10" s="129"/>
      <c r="AX10" s="195"/>
      <c r="AY10" s="195"/>
      <c r="AZ10" s="129"/>
      <c r="BA10" s="195"/>
      <c r="BB10" s="195"/>
      <c r="BD10" s="195"/>
      <c r="BE10" s="129"/>
      <c r="BF10" s="195"/>
      <c r="BG10" s="195"/>
      <c r="BH10" s="129"/>
      <c r="BI10" s="195"/>
      <c r="BJ10" s="195"/>
    </row>
    <row r="11">
      <c r="A11" s="195" t="s">
        <v>52</v>
      </c>
      <c r="B11" s="129" t="s">
        <v>29</v>
      </c>
      <c r="C11" s="195">
        <v>2.5</v>
      </c>
      <c r="D11" s="195">
        <v>2.0</v>
      </c>
      <c r="E11" s="129"/>
      <c r="F11" s="195"/>
      <c r="G11" s="195"/>
      <c r="I11" s="258" t="s">
        <v>196</v>
      </c>
      <c r="L11" s="129"/>
      <c r="M11" s="129" t="s">
        <v>197</v>
      </c>
      <c r="N11" s="129">
        <f t="shared" si="2"/>
        <v>0</v>
      </c>
      <c r="P11" s="129"/>
      <c r="Q11" s="5"/>
      <c r="T11" s="129"/>
      <c r="U11" s="5"/>
      <c r="X11" s="129"/>
      <c r="Y11" s="5"/>
      <c r="AB11" s="129"/>
      <c r="AC11" s="5"/>
      <c r="AF11" s="129"/>
      <c r="AG11" s="5"/>
      <c r="AJ11" s="129"/>
      <c r="AK11" s="5"/>
      <c r="AN11" s="195"/>
      <c r="AO11" s="129"/>
      <c r="AP11" s="195"/>
      <c r="AQ11" s="195"/>
      <c r="AR11" s="129"/>
      <c r="AS11" s="195"/>
      <c r="AT11" s="195"/>
      <c r="AV11" s="195"/>
      <c r="AW11" s="129"/>
      <c r="AX11" s="195"/>
      <c r="AY11" s="195"/>
      <c r="AZ11" s="129"/>
      <c r="BA11" s="195"/>
      <c r="BB11" s="195"/>
      <c r="BD11" s="195"/>
      <c r="BE11" s="129"/>
      <c r="BF11" s="195"/>
      <c r="BG11" s="195"/>
      <c r="BH11" s="129"/>
      <c r="BI11" s="195"/>
      <c r="BJ11" s="195"/>
    </row>
    <row r="12">
      <c r="A12" s="195" t="s">
        <v>53</v>
      </c>
      <c r="B12" s="129" t="s">
        <v>44</v>
      </c>
      <c r="C12" s="195">
        <v>2.5</v>
      </c>
      <c r="D12" s="195">
        <v>2.25</v>
      </c>
      <c r="E12" s="129"/>
      <c r="F12" s="195"/>
      <c r="G12" s="195"/>
      <c r="I12" s="258"/>
      <c r="L12" s="129"/>
      <c r="M12" s="259" t="s">
        <v>198</v>
      </c>
      <c r="N12" s="129">
        <f t="shared" si="2"/>
        <v>0</v>
      </c>
      <c r="P12" s="129"/>
      <c r="Q12" s="259" t="s">
        <v>198</v>
      </c>
      <c r="R12" s="129">
        <f t="shared" ref="R12:R15" si="9">COUNTIF(P$2:P$26,Q12)</f>
        <v>0</v>
      </c>
      <c r="T12" s="129"/>
      <c r="U12" s="259" t="s">
        <v>198</v>
      </c>
      <c r="V12" s="129">
        <f t="shared" ref="V12:V15" si="10">COUNTIF(T$2:T$26,U12)</f>
        <v>0</v>
      </c>
      <c r="X12" s="129"/>
      <c r="Y12" s="259" t="s">
        <v>198</v>
      </c>
      <c r="Z12" s="129">
        <f t="shared" ref="Z12:Z15" si="11">COUNTIF(X$2:X$26,Y12)</f>
        <v>0</v>
      </c>
      <c r="AB12" s="129"/>
      <c r="AC12" s="259" t="s">
        <v>198</v>
      </c>
      <c r="AD12" s="129">
        <f t="shared" ref="AD12:AD15" si="12">COUNTIF(AB$2:AB$26,AC12)</f>
        <v>0</v>
      </c>
      <c r="AF12" s="129"/>
      <c r="AG12" s="259" t="s">
        <v>198</v>
      </c>
      <c r="AH12" s="129">
        <f t="shared" ref="AH12:AH15" si="13">COUNTIF(AF$2:AF$26,AG12)</f>
        <v>0</v>
      </c>
      <c r="AJ12" s="129"/>
      <c r="AK12" s="259" t="s">
        <v>198</v>
      </c>
      <c r="AL12" s="129">
        <f t="shared" ref="AL12:AL15" si="14">COUNTIF(AJ$2:AJ$26,AK12)</f>
        <v>0</v>
      </c>
      <c r="AN12" s="195"/>
      <c r="AO12" s="129"/>
      <c r="AP12" s="195"/>
      <c r="AQ12" s="195"/>
      <c r="AR12" s="129"/>
      <c r="AS12" s="195"/>
      <c r="AT12" s="195"/>
      <c r="AV12" s="195"/>
      <c r="AW12" s="129"/>
      <c r="AX12" s="195"/>
      <c r="AY12" s="195"/>
      <c r="AZ12" s="129"/>
      <c r="BA12" s="195"/>
      <c r="BB12" s="195"/>
      <c r="BD12" s="195"/>
      <c r="BE12" s="129"/>
      <c r="BF12" s="195"/>
      <c r="BG12" s="195"/>
      <c r="BH12" s="129"/>
      <c r="BI12" s="195"/>
      <c r="BJ12" s="195"/>
    </row>
    <row r="13">
      <c r="A13" s="195" t="s">
        <v>43</v>
      </c>
      <c r="B13" s="129" t="s">
        <v>44</v>
      </c>
      <c r="C13" s="195"/>
      <c r="D13" s="195">
        <v>2.0</v>
      </c>
      <c r="E13" s="129"/>
      <c r="F13" s="195"/>
      <c r="G13" s="195"/>
      <c r="I13" s="258"/>
      <c r="L13" s="129"/>
      <c r="M13" s="259" t="s">
        <v>63</v>
      </c>
      <c r="N13" s="129">
        <f t="shared" si="2"/>
        <v>2</v>
      </c>
      <c r="P13" s="129"/>
      <c r="Q13" s="259" t="s">
        <v>63</v>
      </c>
      <c r="R13" s="129">
        <f t="shared" si="9"/>
        <v>0</v>
      </c>
      <c r="T13" s="129"/>
      <c r="U13" s="259" t="s">
        <v>63</v>
      </c>
      <c r="V13" s="129">
        <f t="shared" si="10"/>
        <v>0</v>
      </c>
      <c r="X13" s="129"/>
      <c r="Y13" s="259" t="s">
        <v>63</v>
      </c>
      <c r="Z13" s="129">
        <f t="shared" si="11"/>
        <v>0</v>
      </c>
      <c r="AB13" s="129"/>
      <c r="AC13" s="259" t="s">
        <v>63</v>
      </c>
      <c r="AD13" s="129">
        <f t="shared" si="12"/>
        <v>0</v>
      </c>
      <c r="AF13" s="129"/>
      <c r="AG13" s="259" t="s">
        <v>63</v>
      </c>
      <c r="AH13" s="129">
        <f t="shared" si="13"/>
        <v>1</v>
      </c>
      <c r="AJ13" s="129"/>
      <c r="AK13" s="259" t="s">
        <v>63</v>
      </c>
      <c r="AL13" s="129">
        <f t="shared" si="14"/>
        <v>1</v>
      </c>
      <c r="AN13" s="195"/>
      <c r="AO13" s="129"/>
      <c r="AP13" s="195"/>
      <c r="AQ13" s="195"/>
      <c r="AR13" s="129"/>
      <c r="AS13" s="195"/>
      <c r="AT13" s="195"/>
      <c r="AV13" s="195"/>
      <c r="AW13" s="129"/>
      <c r="AX13" s="195"/>
      <c r="AY13" s="195"/>
      <c r="AZ13" s="129"/>
      <c r="BA13" s="195"/>
      <c r="BB13" s="195"/>
      <c r="BD13" s="195"/>
      <c r="BE13" s="129"/>
      <c r="BF13" s="195"/>
      <c r="BG13" s="195"/>
      <c r="BH13" s="129"/>
      <c r="BI13" s="195"/>
      <c r="BJ13" s="195"/>
    </row>
    <row r="14">
      <c r="A14" s="195" t="s">
        <v>45</v>
      </c>
      <c r="B14" s="129" t="s">
        <v>28</v>
      </c>
      <c r="C14" s="195">
        <v>2.5</v>
      </c>
      <c r="D14" s="195">
        <v>3.75</v>
      </c>
      <c r="E14" s="129"/>
      <c r="F14" s="195"/>
      <c r="G14" s="195"/>
      <c r="I14" s="258"/>
      <c r="L14" s="129"/>
      <c r="M14" s="259" t="s">
        <v>199</v>
      </c>
      <c r="N14" s="129">
        <f t="shared" si="2"/>
        <v>0</v>
      </c>
      <c r="P14" s="129"/>
      <c r="Q14" s="259" t="s">
        <v>199</v>
      </c>
      <c r="R14" s="129">
        <f t="shared" si="9"/>
        <v>0</v>
      </c>
      <c r="T14" s="129"/>
      <c r="U14" s="259" t="s">
        <v>199</v>
      </c>
      <c r="V14" s="129">
        <f t="shared" si="10"/>
        <v>0</v>
      </c>
      <c r="X14" s="129"/>
      <c r="Y14" s="259" t="s">
        <v>199</v>
      </c>
      <c r="Z14" s="129">
        <f t="shared" si="11"/>
        <v>0</v>
      </c>
      <c r="AB14" s="129"/>
      <c r="AC14" s="259" t="s">
        <v>199</v>
      </c>
      <c r="AD14" s="129">
        <f t="shared" si="12"/>
        <v>0</v>
      </c>
      <c r="AF14" s="129"/>
      <c r="AG14" s="259" t="s">
        <v>199</v>
      </c>
      <c r="AH14" s="129">
        <f t="shared" si="13"/>
        <v>0</v>
      </c>
      <c r="AJ14" s="129"/>
      <c r="AK14" s="259" t="s">
        <v>199</v>
      </c>
      <c r="AL14" s="129">
        <f t="shared" si="14"/>
        <v>0</v>
      </c>
      <c r="AN14" s="195"/>
      <c r="AO14" s="129"/>
      <c r="AP14" s="195"/>
      <c r="AQ14" s="195"/>
      <c r="AR14" s="129"/>
      <c r="AS14" s="195"/>
      <c r="AT14" s="195"/>
      <c r="AV14" s="195"/>
      <c r="AW14" s="129"/>
      <c r="AX14" s="195"/>
      <c r="AY14" s="195"/>
      <c r="AZ14" s="129"/>
      <c r="BA14" s="195"/>
      <c r="BB14" s="195"/>
      <c r="BD14" s="195"/>
      <c r="BE14" s="129"/>
      <c r="BF14" s="195"/>
      <c r="BG14" s="195"/>
      <c r="BH14" s="129"/>
      <c r="BI14" s="195"/>
      <c r="BJ14" s="195"/>
    </row>
    <row r="15">
      <c r="A15" s="195" t="s">
        <v>46</v>
      </c>
      <c r="B15" s="129" t="s">
        <v>28</v>
      </c>
      <c r="C15" s="195">
        <v>2.5</v>
      </c>
      <c r="D15" s="195">
        <v>3.25</v>
      </c>
      <c r="E15" s="129"/>
      <c r="F15" s="195"/>
      <c r="G15" s="195"/>
      <c r="I15" s="258"/>
      <c r="L15" s="129"/>
      <c r="M15" s="259" t="s">
        <v>200</v>
      </c>
      <c r="N15" s="129">
        <f t="shared" si="2"/>
        <v>0</v>
      </c>
      <c r="P15" s="129"/>
      <c r="Q15" s="259" t="s">
        <v>200</v>
      </c>
      <c r="R15" s="129">
        <f t="shared" si="9"/>
        <v>0</v>
      </c>
      <c r="T15" s="129"/>
      <c r="U15" s="259" t="s">
        <v>200</v>
      </c>
      <c r="V15" s="129">
        <f t="shared" si="10"/>
        <v>0</v>
      </c>
      <c r="X15" s="129"/>
      <c r="Y15" s="259" t="s">
        <v>200</v>
      </c>
      <c r="Z15" s="129">
        <f t="shared" si="11"/>
        <v>0</v>
      </c>
      <c r="AB15" s="129"/>
      <c r="AC15" s="259" t="s">
        <v>200</v>
      </c>
      <c r="AD15" s="129">
        <f t="shared" si="12"/>
        <v>0</v>
      </c>
      <c r="AF15" s="129"/>
      <c r="AG15" s="259" t="s">
        <v>200</v>
      </c>
      <c r="AH15" s="129">
        <f t="shared" si="13"/>
        <v>0</v>
      </c>
      <c r="AJ15" s="129"/>
      <c r="AK15" s="259" t="s">
        <v>200</v>
      </c>
      <c r="AL15" s="129">
        <f t="shared" si="14"/>
        <v>0</v>
      </c>
      <c r="AN15" s="195"/>
      <c r="AO15" s="129"/>
      <c r="AP15" s="195"/>
      <c r="AQ15" s="195"/>
      <c r="AR15" s="129"/>
      <c r="AS15" s="195"/>
      <c r="AT15" s="195"/>
      <c r="AV15" s="195"/>
      <c r="AW15" s="129"/>
      <c r="AX15" s="195"/>
      <c r="AY15" s="195"/>
      <c r="AZ15" s="129"/>
      <c r="BA15" s="195"/>
      <c r="BB15" s="195"/>
      <c r="BD15" s="195"/>
      <c r="BE15" s="129"/>
      <c r="BF15" s="195"/>
      <c r="BG15" s="195"/>
      <c r="BH15" s="129"/>
      <c r="BI15" s="195"/>
      <c r="BJ15" s="195"/>
    </row>
    <row r="16">
      <c r="A16" s="195" t="s">
        <v>47</v>
      </c>
      <c r="B16" s="129" t="s">
        <v>29</v>
      </c>
      <c r="C16" s="195"/>
      <c r="D16" s="195">
        <v>2.25</v>
      </c>
      <c r="E16" s="129"/>
      <c r="F16" s="195"/>
      <c r="G16" s="195"/>
      <c r="I16" s="258"/>
      <c r="L16" s="129"/>
      <c r="M16" s="5"/>
      <c r="P16" s="129"/>
      <c r="Q16" s="5"/>
      <c r="T16" s="129"/>
      <c r="U16" s="5"/>
      <c r="X16" s="129"/>
      <c r="Y16" s="5"/>
      <c r="AB16" s="129"/>
      <c r="AC16" s="5"/>
      <c r="AF16" s="129"/>
      <c r="AG16" s="5"/>
      <c r="AJ16" s="129"/>
      <c r="AK16" s="5"/>
      <c r="AN16" s="195"/>
      <c r="AO16" s="129"/>
      <c r="AP16" s="195"/>
      <c r="AQ16" s="195"/>
      <c r="AR16" s="129"/>
      <c r="AS16" s="195"/>
      <c r="AT16" s="195"/>
      <c r="AV16" s="195"/>
      <c r="AW16" s="129"/>
      <c r="AX16" s="195"/>
      <c r="AY16" s="195"/>
      <c r="AZ16" s="129"/>
      <c r="BA16" s="195"/>
      <c r="BB16" s="195"/>
      <c r="BD16" s="195"/>
      <c r="BE16" s="129"/>
      <c r="BF16" s="195"/>
      <c r="BG16" s="195"/>
      <c r="BH16" s="129"/>
      <c r="BI16" s="195"/>
      <c r="BJ16" s="195"/>
    </row>
    <row r="17">
      <c r="A17" s="195" t="s">
        <v>48</v>
      </c>
      <c r="B17" s="129" t="s">
        <v>44</v>
      </c>
      <c r="C17" s="195"/>
      <c r="D17" s="195">
        <v>2.5</v>
      </c>
      <c r="E17" s="129"/>
      <c r="F17" s="195"/>
      <c r="G17" s="195"/>
      <c r="L17" s="129"/>
      <c r="M17" s="259" t="s">
        <v>185</v>
      </c>
      <c r="N17" s="129">
        <f>SUM(N2:N7)</f>
        <v>1</v>
      </c>
      <c r="O17" s="237">
        <f>IFERROR(N17/N19, )</f>
        <v>0.3333333333</v>
      </c>
      <c r="P17" s="129"/>
      <c r="Q17" s="259" t="s">
        <v>185</v>
      </c>
      <c r="R17" s="129">
        <f>SUM(R2:R7)</f>
        <v>1</v>
      </c>
      <c r="S17" s="237">
        <f>IFERROR(R17/R19, )</f>
        <v>0.3333333333</v>
      </c>
      <c r="T17" s="129"/>
      <c r="U17" s="259" t="s">
        <v>185</v>
      </c>
      <c r="V17" s="129">
        <f>SUM(V2:V7)</f>
        <v>2</v>
      </c>
      <c r="W17" s="237">
        <f>IFERROR(V17/V19, )</f>
        <v>0.6666666667</v>
      </c>
      <c r="X17" s="129"/>
      <c r="Y17" s="259" t="s">
        <v>185</v>
      </c>
      <c r="Z17" s="129">
        <f>SUM(Z2:Z7)</f>
        <v>1</v>
      </c>
      <c r="AA17" s="237">
        <f>IFERROR(Z17/Z19, )</f>
        <v>0.3333333333</v>
      </c>
      <c r="AB17" s="129"/>
      <c r="AC17" s="259" t="s">
        <v>185</v>
      </c>
      <c r="AD17" s="129">
        <f>SUM(AD2:AD7)</f>
        <v>1</v>
      </c>
      <c r="AE17" s="237">
        <f>IFERROR(AD17/AD19, )</f>
        <v>1</v>
      </c>
      <c r="AF17" s="129"/>
      <c r="AG17" s="259" t="s">
        <v>185</v>
      </c>
      <c r="AH17" s="129">
        <f>SUM(AH2:AH7)</f>
        <v>0</v>
      </c>
      <c r="AI17" s="237">
        <f>IFERROR(AH17/AH19, )</f>
        <v>0</v>
      </c>
      <c r="AJ17" s="129"/>
      <c r="AK17" s="259" t="s">
        <v>185</v>
      </c>
      <c r="AL17" s="129">
        <f>SUM(AL2:AL7)</f>
        <v>0</v>
      </c>
      <c r="AM17" s="237">
        <f>IFERROR(AL17/AL19, )</f>
        <v>0</v>
      </c>
      <c r="AN17" s="195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</row>
    <row r="18">
      <c r="A18" s="195" t="s">
        <v>49</v>
      </c>
      <c r="B18" s="129" t="s">
        <v>30</v>
      </c>
      <c r="C18" s="195">
        <v>2.5</v>
      </c>
      <c r="D18" s="195">
        <v>3.25</v>
      </c>
      <c r="E18" s="129"/>
      <c r="F18" s="195"/>
      <c r="G18" s="195"/>
      <c r="M18" s="259" t="s">
        <v>186</v>
      </c>
      <c r="N18" s="129">
        <f>SUM(N8:N15)</f>
        <v>2</v>
      </c>
      <c r="O18" s="237">
        <f>IFERROR(N18/N19, )</f>
        <v>0.6666666667</v>
      </c>
      <c r="Q18" s="259" t="s">
        <v>186</v>
      </c>
      <c r="R18" s="129">
        <f>SUM(R8:R15)</f>
        <v>2</v>
      </c>
      <c r="S18" s="237">
        <f>IFERROR(R18/R19, )</f>
        <v>0.6666666667</v>
      </c>
      <c r="U18" s="259" t="s">
        <v>186</v>
      </c>
      <c r="V18" s="129">
        <f>SUM(V8:V15)</f>
        <v>1</v>
      </c>
      <c r="W18" s="237">
        <f>IFERROR(V18/V19, )</f>
        <v>0.3333333333</v>
      </c>
      <c r="Y18" s="259" t="s">
        <v>186</v>
      </c>
      <c r="Z18" s="129">
        <f>SUM(Z8:Z15)</f>
        <v>2</v>
      </c>
      <c r="AA18" s="237">
        <f>IFERROR(Z18/Z19, )</f>
        <v>0.6666666667</v>
      </c>
      <c r="AC18" s="259" t="s">
        <v>186</v>
      </c>
      <c r="AD18" s="129">
        <f>SUM(AD8:AD15)</f>
        <v>0</v>
      </c>
      <c r="AE18" s="237">
        <f>IFERROR(AD18/AD19, )</f>
        <v>0</v>
      </c>
      <c r="AG18" s="259" t="s">
        <v>186</v>
      </c>
      <c r="AH18" s="129">
        <f>SUM(AH8:AH15)</f>
        <v>3</v>
      </c>
      <c r="AI18" s="237">
        <f>IFERROR(AH18/AH19, )</f>
        <v>1</v>
      </c>
      <c r="AK18" s="259" t="s">
        <v>186</v>
      </c>
      <c r="AL18" s="129">
        <f>SUM(AL8:AL15)</f>
        <v>2</v>
      </c>
      <c r="AM18" s="237">
        <f>IFERROR(AL18/AL19, )</f>
        <v>1</v>
      </c>
      <c r="AN18" s="195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</row>
    <row r="19">
      <c r="A19" s="195" t="s">
        <v>50</v>
      </c>
      <c r="B19" s="129" t="s">
        <v>44</v>
      </c>
      <c r="C19" s="195"/>
      <c r="D19" s="195">
        <v>1.75</v>
      </c>
      <c r="E19" s="129"/>
      <c r="F19" s="195"/>
      <c r="G19" s="195"/>
      <c r="M19" s="5" t="s">
        <v>188</v>
      </c>
      <c r="N19" s="129">
        <f>SUM(N17:N18)</f>
        <v>3</v>
      </c>
      <c r="Q19" s="5" t="s">
        <v>188</v>
      </c>
      <c r="R19" s="129">
        <f>SUM(R17:R18)</f>
        <v>3</v>
      </c>
      <c r="U19" s="5" t="s">
        <v>188</v>
      </c>
      <c r="V19" s="129">
        <f>SUM(V17:V18)</f>
        <v>3</v>
      </c>
      <c r="Y19" s="5" t="s">
        <v>188</v>
      </c>
      <c r="Z19" s="129">
        <f>SUM(Z17:Z18)</f>
        <v>3</v>
      </c>
      <c r="AC19" s="5" t="s">
        <v>188</v>
      </c>
      <c r="AD19" s="129">
        <f>SUM(AD17:AD18)</f>
        <v>1</v>
      </c>
      <c r="AG19" s="5" t="s">
        <v>188</v>
      </c>
      <c r="AH19" s="129">
        <f>SUM(AH17:AH18)</f>
        <v>3</v>
      </c>
      <c r="AK19" s="5" t="s">
        <v>188</v>
      </c>
      <c r="AL19" s="129">
        <f>SUM(AL17:AL18)</f>
        <v>2</v>
      </c>
      <c r="AN19" s="195"/>
      <c r="AO19" s="129"/>
      <c r="AP19" s="195"/>
      <c r="AQ19" s="195"/>
      <c r="AR19" s="129"/>
      <c r="AS19" s="195"/>
      <c r="AT19" s="195"/>
      <c r="AV19" s="195"/>
      <c r="AW19" s="129"/>
      <c r="AX19" s="195"/>
      <c r="AY19" s="195"/>
      <c r="AZ19" s="129"/>
      <c r="BA19" s="195"/>
      <c r="BB19" s="195"/>
      <c r="BD19" s="195"/>
      <c r="BE19" s="129"/>
      <c r="BF19" s="195"/>
      <c r="BG19" s="195"/>
      <c r="BH19" s="129"/>
      <c r="BI19" s="195"/>
      <c r="BJ19" s="195"/>
    </row>
    <row r="20">
      <c r="A20" s="195" t="s">
        <v>51</v>
      </c>
      <c r="B20" s="129" t="s">
        <v>44</v>
      </c>
      <c r="C20" s="195"/>
      <c r="D20" s="195">
        <v>2.0</v>
      </c>
      <c r="E20" s="129" t="s">
        <v>31</v>
      </c>
      <c r="F20" s="195"/>
      <c r="G20" s="195">
        <v>0.5</v>
      </c>
      <c r="M20" s="5"/>
      <c r="Q20" s="5"/>
      <c r="U20" s="5"/>
      <c r="Y20" s="5"/>
      <c r="AC20" s="5"/>
      <c r="AG20" s="5"/>
      <c r="AK20" s="5"/>
      <c r="AN20" s="195"/>
      <c r="AO20" s="129"/>
      <c r="AP20" s="195"/>
      <c r="AQ20" s="195"/>
      <c r="AR20" s="129"/>
      <c r="AS20" s="195"/>
      <c r="AT20" s="195"/>
      <c r="AV20" s="195"/>
      <c r="AW20" s="129"/>
      <c r="AX20" s="195"/>
      <c r="AY20" s="195"/>
      <c r="AZ20" s="129"/>
      <c r="BA20" s="195"/>
      <c r="BB20" s="195"/>
      <c r="BD20" s="195"/>
      <c r="BE20" s="129"/>
      <c r="BF20" s="195"/>
      <c r="BG20" s="195"/>
      <c r="BH20" s="129"/>
      <c r="BI20" s="195"/>
      <c r="BJ20" s="195"/>
    </row>
    <row r="21">
      <c r="A21" s="195" t="s">
        <v>52</v>
      </c>
      <c r="B21" s="129" t="s">
        <v>44</v>
      </c>
      <c r="C21" s="195"/>
      <c r="D21" s="195">
        <v>1.5</v>
      </c>
      <c r="E21" s="129"/>
      <c r="F21" s="195"/>
      <c r="G21" s="195"/>
      <c r="M21" s="5"/>
      <c r="Q21" s="5"/>
      <c r="U21" s="5"/>
      <c r="Y21" s="5"/>
      <c r="AC21" s="5"/>
      <c r="AG21" s="5"/>
      <c r="AK21" s="5"/>
      <c r="AN21" s="195"/>
      <c r="AO21" s="129"/>
      <c r="AP21" s="195"/>
      <c r="AQ21" s="195"/>
      <c r="AR21" s="129"/>
      <c r="AS21" s="195"/>
      <c r="AT21" s="195"/>
      <c r="AV21" s="195"/>
      <c r="AW21" s="129"/>
      <c r="AX21" s="195"/>
      <c r="AY21" s="195"/>
      <c r="AZ21" s="129"/>
      <c r="BA21" s="195"/>
      <c r="BB21" s="195"/>
      <c r="BD21" s="195"/>
      <c r="BE21" s="129"/>
      <c r="BF21" s="195"/>
      <c r="BG21" s="195"/>
      <c r="BH21" s="129"/>
      <c r="BI21" s="195"/>
      <c r="BJ21" s="195"/>
    </row>
    <row r="22">
      <c r="A22" s="195" t="s">
        <v>53</v>
      </c>
      <c r="B22" s="129" t="s">
        <v>44</v>
      </c>
      <c r="C22" s="195"/>
      <c r="D22" s="195">
        <v>2.5</v>
      </c>
      <c r="E22" s="129"/>
      <c r="F22" s="195"/>
      <c r="G22" s="195"/>
      <c r="M22" s="259" t="s">
        <v>190</v>
      </c>
      <c r="N22" s="129">
        <f>SUM(N12:N13)</f>
        <v>2</v>
      </c>
      <c r="Q22" s="259" t="s">
        <v>190</v>
      </c>
      <c r="R22" s="129">
        <f>SUM(R12:R13)</f>
        <v>0</v>
      </c>
      <c r="U22" s="259" t="s">
        <v>190</v>
      </c>
      <c r="V22" s="129">
        <f>SUM(V12:V13)</f>
        <v>0</v>
      </c>
      <c r="Y22" s="259" t="s">
        <v>190</v>
      </c>
      <c r="Z22" s="129">
        <f>SUM(Z12:Z13)</f>
        <v>0</v>
      </c>
      <c r="AC22" s="259" t="s">
        <v>190</v>
      </c>
      <c r="AD22" s="129">
        <f>SUM(AD12:AD13)</f>
        <v>0</v>
      </c>
      <c r="AG22" s="259" t="s">
        <v>190</v>
      </c>
      <c r="AH22" s="129">
        <f>SUM(AH12:AH13)</f>
        <v>1</v>
      </c>
      <c r="AK22" s="259" t="s">
        <v>190</v>
      </c>
      <c r="AL22" s="129">
        <f>SUM(AL12:AL13)</f>
        <v>1</v>
      </c>
      <c r="AN22" s="195"/>
      <c r="AO22" s="129"/>
      <c r="AP22" s="195"/>
      <c r="AQ22" s="195"/>
      <c r="AR22" s="129"/>
      <c r="AS22" s="195"/>
      <c r="AT22" s="195"/>
      <c r="AV22" s="195"/>
      <c r="AW22" s="129"/>
      <c r="AX22" s="195"/>
      <c r="AY22" s="195"/>
      <c r="AZ22" s="129"/>
      <c r="BA22" s="195"/>
      <c r="BB22" s="195"/>
      <c r="BD22" s="195"/>
      <c r="BE22" s="129"/>
      <c r="BF22" s="195"/>
      <c r="BG22" s="195"/>
      <c r="BH22" s="129"/>
      <c r="BI22" s="195"/>
      <c r="BJ22" s="195"/>
    </row>
    <row r="23">
      <c r="A23" s="195" t="s">
        <v>43</v>
      </c>
      <c r="B23" s="129" t="s">
        <v>29</v>
      </c>
      <c r="C23" s="195">
        <v>2.5</v>
      </c>
      <c r="D23" s="195">
        <v>3.25</v>
      </c>
      <c r="E23" s="129"/>
      <c r="F23" s="195"/>
      <c r="G23" s="195"/>
      <c r="M23" s="259" t="s">
        <v>192</v>
      </c>
      <c r="N23" s="129">
        <f>SUM(N12,N8)</f>
        <v>0</v>
      </c>
      <c r="Q23" s="259" t="s">
        <v>192</v>
      </c>
      <c r="R23" s="129">
        <f>SUM(R12,R8)</f>
        <v>2</v>
      </c>
      <c r="U23" s="259" t="s">
        <v>192</v>
      </c>
      <c r="V23" s="129">
        <f>SUM(V12,V8)</f>
        <v>1</v>
      </c>
      <c r="Y23" s="259" t="s">
        <v>192</v>
      </c>
      <c r="Z23" s="129">
        <f>SUM(Z12,Z8)</f>
        <v>0</v>
      </c>
      <c r="AC23" s="259" t="s">
        <v>192</v>
      </c>
      <c r="AD23" s="129">
        <f>SUM(AD12,AD8)</f>
        <v>0</v>
      </c>
      <c r="AG23" s="259" t="s">
        <v>192</v>
      </c>
      <c r="AH23" s="129">
        <f>SUM(AH12,AH8)</f>
        <v>0</v>
      </c>
      <c r="AK23" s="259" t="s">
        <v>192</v>
      </c>
      <c r="AL23" s="129">
        <f>SUM(AL12,AL8)</f>
        <v>0</v>
      </c>
      <c r="AN23" s="195"/>
      <c r="AO23" s="129"/>
      <c r="AP23" s="195"/>
      <c r="AQ23" s="195"/>
      <c r="AR23" s="129"/>
      <c r="AS23" s="195"/>
      <c r="AT23" s="195"/>
      <c r="AV23" s="195"/>
      <c r="AW23" s="129"/>
      <c r="AX23" s="195"/>
      <c r="AY23" s="195"/>
      <c r="AZ23" s="129"/>
      <c r="BA23" s="195"/>
      <c r="BB23" s="195"/>
      <c r="BD23" s="195"/>
      <c r="BE23" s="129"/>
      <c r="BF23" s="195"/>
      <c r="BG23" s="195"/>
      <c r="BH23" s="129"/>
      <c r="BI23" s="195"/>
      <c r="BJ23" s="195"/>
    </row>
    <row r="24">
      <c r="A24" s="195" t="s">
        <v>45</v>
      </c>
      <c r="B24" s="129" t="s">
        <v>44</v>
      </c>
      <c r="C24" s="195">
        <v>2.5</v>
      </c>
      <c r="D24" s="195">
        <v>3.0</v>
      </c>
      <c r="E24" s="129"/>
      <c r="F24" s="195"/>
      <c r="G24" s="195"/>
      <c r="M24" s="259" t="s">
        <v>193</v>
      </c>
      <c r="N24" s="129">
        <f>SUM(N9:N10)</f>
        <v>0</v>
      </c>
      <c r="Q24" s="259" t="s">
        <v>193</v>
      </c>
      <c r="R24" s="129">
        <f>SUM(R9:R10)</f>
        <v>0</v>
      </c>
      <c r="U24" s="259" t="s">
        <v>193</v>
      </c>
      <c r="V24" s="129">
        <f>SUM(V9:V10)</f>
        <v>0</v>
      </c>
      <c r="Y24" s="259" t="s">
        <v>193</v>
      </c>
      <c r="Z24" s="129">
        <f>SUM(Z9:Z10)</f>
        <v>2</v>
      </c>
      <c r="AC24" s="259" t="s">
        <v>193</v>
      </c>
      <c r="AD24" s="129">
        <f>SUM(AD9:AD10)</f>
        <v>0</v>
      </c>
      <c r="AG24" s="259" t="s">
        <v>193</v>
      </c>
      <c r="AH24" s="129">
        <f>SUM(AH9:AH10)</f>
        <v>2</v>
      </c>
      <c r="AK24" s="259" t="s">
        <v>193</v>
      </c>
      <c r="AL24" s="129">
        <f>SUM(AL9:AL10)</f>
        <v>1</v>
      </c>
      <c r="AN24" s="195"/>
      <c r="AO24" s="129"/>
      <c r="AP24" s="195"/>
      <c r="AQ24" s="195"/>
      <c r="AR24" s="129"/>
      <c r="AS24" s="195"/>
      <c r="AT24" s="195"/>
      <c r="AV24" s="195"/>
      <c r="AW24" s="129"/>
      <c r="AX24" s="195"/>
      <c r="AY24" s="195"/>
      <c r="AZ24" s="129"/>
      <c r="BA24" s="195"/>
      <c r="BB24" s="195"/>
      <c r="BD24" s="195"/>
      <c r="BE24" s="129"/>
      <c r="BF24" s="195"/>
      <c r="BG24" s="195"/>
      <c r="BH24" s="129"/>
      <c r="BI24" s="195"/>
      <c r="BJ24" s="195"/>
    </row>
    <row r="25">
      <c r="A25" s="195" t="s">
        <v>46</v>
      </c>
      <c r="B25" s="129" t="s">
        <v>44</v>
      </c>
      <c r="C25" s="195">
        <v>2.5</v>
      </c>
      <c r="D25" s="195">
        <v>2.5</v>
      </c>
      <c r="E25" s="129"/>
      <c r="F25" s="195"/>
      <c r="G25" s="195"/>
      <c r="M25" s="259" t="s">
        <v>194</v>
      </c>
      <c r="N25" s="129">
        <f>SUM(N2:N4)</f>
        <v>0</v>
      </c>
      <c r="Q25" s="259" t="s">
        <v>194</v>
      </c>
      <c r="R25" s="129">
        <f>SUM(R2:R4)</f>
        <v>0</v>
      </c>
      <c r="U25" s="259" t="s">
        <v>194</v>
      </c>
      <c r="V25" s="129">
        <f>SUM(V2:V4)</f>
        <v>2</v>
      </c>
      <c r="Y25" s="259" t="s">
        <v>194</v>
      </c>
      <c r="Z25" s="129">
        <f>SUM(Z2:Z4)</f>
        <v>0</v>
      </c>
      <c r="AC25" s="259" t="s">
        <v>194</v>
      </c>
      <c r="AD25" s="129">
        <f>SUM(AD2:AD4)</f>
        <v>1</v>
      </c>
      <c r="AG25" s="259" t="s">
        <v>194</v>
      </c>
      <c r="AH25" s="129">
        <f>SUM(AH2:AH4)</f>
        <v>0</v>
      </c>
      <c r="AK25" s="259" t="s">
        <v>194</v>
      </c>
      <c r="AL25" s="129">
        <f>SUM(AL2:AL4)</f>
        <v>0</v>
      </c>
      <c r="AN25" s="195"/>
      <c r="AO25" s="129"/>
      <c r="AP25" s="195"/>
      <c r="AQ25" s="195"/>
      <c r="AR25" s="129"/>
      <c r="AS25" s="195"/>
      <c r="AT25" s="195"/>
      <c r="AV25" s="195"/>
      <c r="AW25" s="129"/>
      <c r="AX25" s="195"/>
      <c r="AY25" s="195"/>
      <c r="AZ25" s="129"/>
      <c r="BA25" s="195"/>
      <c r="BB25" s="195"/>
      <c r="BD25" s="195"/>
      <c r="BE25" s="129"/>
      <c r="BF25" s="195"/>
      <c r="BG25" s="195"/>
      <c r="BH25" s="129"/>
      <c r="BI25" s="195"/>
      <c r="BJ25" s="195"/>
    </row>
    <row r="26">
      <c r="A26" s="195" t="s">
        <v>47</v>
      </c>
      <c r="B26" s="129" t="s">
        <v>28</v>
      </c>
      <c r="C26" s="195"/>
      <c r="D26" s="195">
        <v>2.5</v>
      </c>
      <c r="E26" s="129"/>
      <c r="F26" s="195"/>
      <c r="G26" s="195"/>
      <c r="M26" s="259" t="s">
        <v>196</v>
      </c>
      <c r="N26" s="129">
        <f>SUM(N5:N6)</f>
        <v>1</v>
      </c>
      <c r="Q26" s="259" t="s">
        <v>196</v>
      </c>
      <c r="R26" s="129">
        <f>SUM(R5:R6)</f>
        <v>1</v>
      </c>
      <c r="U26" s="259" t="s">
        <v>196</v>
      </c>
      <c r="V26" s="129">
        <f>SUM(V5:V6)</f>
        <v>0</v>
      </c>
      <c r="Y26" s="259" t="s">
        <v>196</v>
      </c>
      <c r="Z26" s="129">
        <f>SUM(Z5:Z6)</f>
        <v>1</v>
      </c>
      <c r="AC26" s="259" t="s">
        <v>196</v>
      </c>
      <c r="AD26" s="129">
        <f>SUM(AD5:AD6)</f>
        <v>0</v>
      </c>
      <c r="AG26" s="259" t="s">
        <v>196</v>
      </c>
      <c r="AH26" s="129">
        <f>SUM(AH5:AH6)</f>
        <v>0</v>
      </c>
      <c r="AK26" s="259" t="s">
        <v>196</v>
      </c>
      <c r="AL26" s="129">
        <f>SUM(AL5:AL6)</f>
        <v>0</v>
      </c>
      <c r="AN26" s="195"/>
      <c r="AO26" s="129"/>
      <c r="AP26" s="195"/>
      <c r="AQ26" s="195"/>
      <c r="AR26" s="129"/>
      <c r="AS26" s="195"/>
      <c r="AT26" s="195"/>
      <c r="AV26" s="195"/>
      <c r="AW26" s="129"/>
      <c r="AX26" s="195"/>
      <c r="AY26" s="195"/>
      <c r="AZ26" s="129"/>
      <c r="BA26" s="195"/>
      <c r="BB26" s="195"/>
      <c r="BD26" s="195"/>
      <c r="BE26" s="129"/>
      <c r="BF26" s="195"/>
      <c r="BG26" s="195"/>
      <c r="BH26" s="129"/>
      <c r="BI26" s="195"/>
      <c r="BJ26" s="195"/>
    </row>
    <row r="27">
      <c r="A27" s="195" t="s">
        <v>48</v>
      </c>
      <c r="B27" s="129" t="s">
        <v>30</v>
      </c>
      <c r="C27" s="195"/>
      <c r="D27" s="195">
        <v>1.0</v>
      </c>
      <c r="E27" s="129"/>
      <c r="F27" s="195"/>
      <c r="G27" s="195"/>
      <c r="AN27" s="195"/>
      <c r="AO27" s="129"/>
      <c r="AP27" s="195"/>
      <c r="AQ27" s="195"/>
      <c r="AR27" s="129"/>
      <c r="AS27" s="195"/>
      <c r="AT27" s="195"/>
      <c r="AV27" s="195"/>
      <c r="AW27" s="129"/>
      <c r="AX27" s="195"/>
      <c r="AY27" s="195"/>
      <c r="AZ27" s="129"/>
      <c r="BA27" s="195"/>
      <c r="BB27" s="195"/>
      <c r="BD27" s="195"/>
      <c r="BE27" s="129"/>
      <c r="BF27" s="195"/>
      <c r="BG27" s="195"/>
      <c r="BH27" s="129"/>
      <c r="BI27" s="195"/>
      <c r="BJ27" s="195"/>
    </row>
    <row r="28">
      <c r="A28" s="195" t="s">
        <v>49</v>
      </c>
      <c r="B28" s="129" t="s">
        <v>44</v>
      </c>
      <c r="C28" s="195">
        <v>2.5</v>
      </c>
      <c r="D28" s="195">
        <v>3.75</v>
      </c>
      <c r="E28" s="129"/>
      <c r="F28" s="195"/>
      <c r="G28" s="195"/>
      <c r="AN28" s="195"/>
      <c r="AO28" s="129"/>
      <c r="AP28" s="195"/>
      <c r="AQ28" s="195"/>
      <c r="AR28" s="129"/>
      <c r="AS28" s="195"/>
      <c r="AT28" s="195"/>
      <c r="AV28" s="195"/>
      <c r="AW28" s="129"/>
      <c r="AX28" s="195"/>
      <c r="AY28" s="195"/>
      <c r="AZ28" s="129"/>
      <c r="BA28" s="195"/>
      <c r="BB28" s="195"/>
      <c r="BD28" s="195"/>
      <c r="BE28" s="129"/>
      <c r="BF28" s="195"/>
      <c r="BG28" s="195"/>
      <c r="BH28" s="129"/>
      <c r="BI28" s="195"/>
      <c r="BJ28" s="195"/>
    </row>
    <row r="29">
      <c r="A29" s="195" t="s">
        <v>50</v>
      </c>
      <c r="B29" s="129" t="s">
        <v>44</v>
      </c>
      <c r="C29" s="195">
        <v>2.5</v>
      </c>
      <c r="D29" s="195">
        <v>2.5</v>
      </c>
      <c r="E29" s="129"/>
      <c r="F29" s="195"/>
      <c r="G29" s="195"/>
      <c r="AN29" s="195"/>
      <c r="AO29" s="129"/>
      <c r="AP29" s="195"/>
      <c r="AQ29" s="195"/>
      <c r="AR29" s="129"/>
      <c r="AS29" s="195"/>
      <c r="AT29" s="195"/>
      <c r="AV29" s="195"/>
      <c r="AW29" s="129"/>
      <c r="AX29" s="195"/>
      <c r="AY29" s="195"/>
      <c r="AZ29" s="129"/>
      <c r="BA29" s="195"/>
      <c r="BB29" s="195"/>
      <c r="BD29" s="195"/>
      <c r="BE29" s="129"/>
      <c r="BF29" s="195"/>
      <c r="BG29" s="195"/>
      <c r="BH29" s="129"/>
      <c r="BI29" s="195"/>
      <c r="BJ29" s="195"/>
    </row>
    <row r="30">
      <c r="A30" s="195" t="s">
        <v>51</v>
      </c>
      <c r="B30" s="129" t="s">
        <v>28</v>
      </c>
      <c r="C30" s="195"/>
      <c r="D30" s="195">
        <v>1.5</v>
      </c>
      <c r="E30" s="129"/>
      <c r="F30" s="195"/>
      <c r="G30" s="195"/>
      <c r="AN30" s="195"/>
      <c r="AO30" s="129"/>
      <c r="AP30" s="195"/>
      <c r="AQ30" s="195"/>
      <c r="AR30" s="129"/>
      <c r="AS30" s="195"/>
      <c r="AT30" s="195"/>
      <c r="AV30" s="195"/>
      <c r="AW30" s="129"/>
      <c r="AX30" s="195"/>
      <c r="AY30" s="195"/>
      <c r="AZ30" s="129"/>
      <c r="BA30" s="195"/>
      <c r="BB30" s="195"/>
      <c r="BD30" s="195"/>
      <c r="BE30" s="129"/>
      <c r="BF30" s="195"/>
      <c r="BG30" s="195"/>
      <c r="BH30" s="129"/>
      <c r="BI30" s="195"/>
      <c r="BJ30" s="195"/>
    </row>
    <row r="31">
      <c r="A31" s="195" t="s">
        <v>52</v>
      </c>
      <c r="B31" s="129" t="s">
        <v>44</v>
      </c>
      <c r="C31" s="195">
        <v>2.5</v>
      </c>
      <c r="D31" s="195">
        <v>2.5</v>
      </c>
      <c r="E31" s="129"/>
      <c r="F31" s="195"/>
      <c r="G31" s="195"/>
      <c r="AN31" s="195"/>
      <c r="AO31" s="129"/>
      <c r="AP31" s="195"/>
      <c r="AQ31" s="195"/>
      <c r="AR31" s="129"/>
      <c r="AS31" s="195"/>
      <c r="AT31" s="195"/>
      <c r="AV31" s="195"/>
      <c r="AW31" s="129"/>
      <c r="AX31" s="195"/>
      <c r="AY31" s="195"/>
      <c r="AZ31" s="129"/>
      <c r="BA31" s="195"/>
      <c r="BB31" s="195"/>
      <c r="BD31" s="195"/>
      <c r="BE31" s="129"/>
      <c r="BF31" s="195"/>
      <c r="BG31" s="195"/>
      <c r="BH31" s="129"/>
      <c r="BI31" s="195"/>
      <c r="BJ31" s="195"/>
    </row>
    <row r="32">
      <c r="A32" s="195" t="s">
        <v>53</v>
      </c>
      <c r="B32" s="129" t="s">
        <v>44</v>
      </c>
      <c r="C32" s="195">
        <v>2.5</v>
      </c>
      <c r="D32" s="195">
        <v>4.0</v>
      </c>
      <c r="E32" s="129"/>
      <c r="F32" s="195"/>
      <c r="G32" s="195"/>
      <c r="AN32" s="195"/>
      <c r="AO32" s="129"/>
      <c r="AP32" s="195"/>
      <c r="AQ32" s="195"/>
      <c r="AR32" s="129"/>
      <c r="AS32" s="195"/>
      <c r="AT32" s="195"/>
      <c r="AV32" s="195"/>
      <c r="AW32" s="129"/>
      <c r="AX32" s="195"/>
      <c r="AY32" s="195"/>
      <c r="AZ32" s="129"/>
      <c r="BA32" s="195"/>
      <c r="BB32" s="195"/>
      <c r="BD32" s="195"/>
      <c r="BE32" s="129"/>
      <c r="BF32" s="195"/>
      <c r="BG32" s="195"/>
      <c r="BH32" s="129"/>
      <c r="BI32" s="195"/>
      <c r="BJ32" s="195"/>
    </row>
    <row r="33">
      <c r="A33" s="195" t="s">
        <v>43</v>
      </c>
      <c r="B33" s="129" t="s">
        <v>44</v>
      </c>
      <c r="C33" s="195"/>
      <c r="D33" s="195">
        <v>3.25</v>
      </c>
      <c r="E33" s="129"/>
      <c r="F33" s="195"/>
      <c r="G33" s="195"/>
      <c r="AN33" s="195"/>
      <c r="AO33" s="129"/>
      <c r="AP33" s="195"/>
      <c r="AQ33" s="195"/>
      <c r="AR33" s="129"/>
      <c r="AS33" s="195"/>
      <c r="AT33" s="195"/>
      <c r="AV33" s="195"/>
      <c r="AW33" s="129"/>
      <c r="AX33" s="195"/>
      <c r="AY33" s="195"/>
      <c r="AZ33" s="129"/>
      <c r="BA33" s="195"/>
      <c r="BB33" s="195"/>
      <c r="BD33" s="195"/>
      <c r="BE33" s="129"/>
      <c r="BF33" s="195"/>
      <c r="BG33" s="195"/>
      <c r="BH33" s="129"/>
      <c r="BI33" s="195"/>
      <c r="BJ33" s="195"/>
    </row>
    <row r="34">
      <c r="A34" s="195" t="s">
        <v>45</v>
      </c>
      <c r="B34" s="129" t="s">
        <v>30</v>
      </c>
      <c r="C34" s="195">
        <v>2.5</v>
      </c>
      <c r="D34" s="195">
        <v>3.75</v>
      </c>
      <c r="E34" s="129"/>
      <c r="F34" s="195"/>
      <c r="G34" s="195"/>
      <c r="AN34" s="195"/>
      <c r="AO34" s="129"/>
      <c r="AP34" s="195"/>
      <c r="AQ34" s="195"/>
      <c r="AR34" s="129"/>
      <c r="AS34" s="195"/>
      <c r="AT34" s="195"/>
      <c r="AV34" s="195"/>
      <c r="AW34" s="129"/>
      <c r="AX34" s="195"/>
      <c r="AY34" s="195"/>
      <c r="AZ34" s="129"/>
      <c r="BA34" s="195"/>
      <c r="BB34" s="195"/>
      <c r="BD34" s="195"/>
      <c r="BE34" s="129"/>
      <c r="BF34" s="195"/>
      <c r="BG34" s="195"/>
      <c r="BH34" s="129"/>
      <c r="BI34" s="195"/>
      <c r="BJ34" s="195"/>
    </row>
    <row r="35">
      <c r="A35" s="195" t="s">
        <v>46</v>
      </c>
      <c r="B35" s="129" t="s">
        <v>28</v>
      </c>
      <c r="C35" s="195">
        <v>2.5</v>
      </c>
      <c r="D35" s="195">
        <v>3.0</v>
      </c>
      <c r="E35" s="129"/>
      <c r="F35" s="195"/>
      <c r="G35" s="195"/>
      <c r="AN35" s="195"/>
      <c r="AO35" s="129"/>
      <c r="AP35" s="195"/>
      <c r="AQ35" s="195"/>
      <c r="AR35" s="129"/>
      <c r="AS35" s="195"/>
      <c r="AT35" s="195"/>
      <c r="AV35" s="195"/>
      <c r="AW35" s="129"/>
      <c r="AX35" s="195"/>
      <c r="AY35" s="195"/>
      <c r="AZ35" s="129"/>
      <c r="BA35" s="195"/>
      <c r="BB35" s="195"/>
      <c r="BD35" s="195"/>
      <c r="BE35" s="129"/>
      <c r="BF35" s="195"/>
      <c r="BG35" s="195"/>
      <c r="BH35" s="129"/>
      <c r="BI35" s="195"/>
      <c r="BJ35" s="195"/>
    </row>
    <row r="36">
      <c r="A36" s="195" t="s">
        <v>47</v>
      </c>
      <c r="B36" s="129" t="s">
        <v>44</v>
      </c>
      <c r="C36" s="195"/>
      <c r="D36" s="195">
        <v>1.25</v>
      </c>
      <c r="E36" s="129"/>
      <c r="F36" s="195"/>
      <c r="G36" s="195"/>
      <c r="AN36" s="195"/>
      <c r="AO36" s="129"/>
      <c r="AP36" s="195"/>
      <c r="AQ36" s="195"/>
      <c r="AR36" s="129"/>
      <c r="AS36" s="195"/>
      <c r="AT36" s="195"/>
      <c r="AV36" s="195"/>
      <c r="AW36" s="129"/>
      <c r="AX36" s="195"/>
      <c r="AY36" s="195"/>
      <c r="AZ36" s="129"/>
      <c r="BA36" s="195"/>
      <c r="BB36" s="195"/>
      <c r="BD36" s="195"/>
      <c r="BE36" s="129"/>
      <c r="BF36" s="195"/>
      <c r="BG36" s="195"/>
      <c r="BH36" s="129"/>
      <c r="BI36" s="195"/>
      <c r="BJ36" s="195"/>
    </row>
    <row r="37">
      <c r="A37" s="195" t="s">
        <v>48</v>
      </c>
      <c r="B37" s="129" t="s">
        <v>44</v>
      </c>
      <c r="C37" s="195"/>
      <c r="D37" s="195">
        <v>2.25</v>
      </c>
      <c r="E37" s="129"/>
      <c r="F37" s="195"/>
      <c r="G37" s="195"/>
      <c r="AN37" s="195"/>
      <c r="AO37" s="129"/>
      <c r="AP37" s="195"/>
      <c r="AQ37" s="195"/>
      <c r="AR37" s="129"/>
      <c r="AS37" s="195"/>
      <c r="AT37" s="195"/>
      <c r="AV37" s="195"/>
      <c r="AW37" s="129"/>
      <c r="AX37" s="195"/>
      <c r="AY37" s="195"/>
      <c r="AZ37" s="129"/>
      <c r="BA37" s="195"/>
      <c r="BB37" s="195"/>
      <c r="BD37" s="195"/>
      <c r="BE37" s="129"/>
      <c r="BF37" s="195"/>
      <c r="BG37" s="195"/>
      <c r="BH37" s="129"/>
      <c r="BI37" s="195"/>
      <c r="BJ37" s="195"/>
    </row>
    <row r="38">
      <c r="A38" s="195" t="s">
        <v>49</v>
      </c>
      <c r="B38" s="129" t="s">
        <v>28</v>
      </c>
      <c r="C38" s="195">
        <v>2.5</v>
      </c>
      <c r="D38" s="195">
        <v>3.5</v>
      </c>
      <c r="E38" s="129"/>
      <c r="F38" s="195"/>
      <c r="G38" s="195"/>
      <c r="AN38" s="195"/>
      <c r="AO38" s="129"/>
      <c r="AP38" s="195"/>
      <c r="AQ38" s="195"/>
      <c r="AR38" s="129"/>
      <c r="AS38" s="195"/>
      <c r="AT38" s="195"/>
      <c r="AV38" s="195"/>
      <c r="AW38" s="129"/>
      <c r="AX38" s="195"/>
      <c r="AY38" s="195"/>
      <c r="AZ38" s="129"/>
      <c r="BA38" s="195"/>
      <c r="BB38" s="195"/>
      <c r="BD38" s="195"/>
      <c r="BE38" s="129"/>
      <c r="BF38" s="195"/>
      <c r="BG38" s="195"/>
      <c r="BH38" s="129"/>
      <c r="BI38" s="195"/>
      <c r="BJ38" s="195"/>
    </row>
    <row r="39">
      <c r="A39" s="195" t="s">
        <v>50</v>
      </c>
      <c r="B39" s="129" t="s">
        <v>29</v>
      </c>
      <c r="C39" s="195"/>
      <c r="D39" s="195">
        <v>1.75</v>
      </c>
      <c r="E39" s="129"/>
      <c r="F39" s="195"/>
      <c r="G39" s="195"/>
      <c r="AN39" s="195"/>
      <c r="AO39" s="129"/>
      <c r="AP39" s="195"/>
      <c r="AQ39" s="195"/>
      <c r="AR39" s="129"/>
      <c r="AS39" s="195"/>
      <c r="AT39" s="195"/>
      <c r="AV39" s="195"/>
      <c r="AW39" s="129"/>
      <c r="AX39" s="195"/>
      <c r="AY39" s="195"/>
      <c r="AZ39" s="129"/>
      <c r="BA39" s="195"/>
      <c r="BB39" s="195"/>
      <c r="BD39" s="195"/>
      <c r="BE39" s="129"/>
      <c r="BF39" s="195"/>
      <c r="BG39" s="195"/>
      <c r="BH39" s="129"/>
      <c r="BI39" s="195"/>
      <c r="BJ39" s="195"/>
    </row>
    <row r="40">
      <c r="A40" s="195" t="s">
        <v>51</v>
      </c>
      <c r="B40" s="129" t="s">
        <v>44</v>
      </c>
      <c r="C40" s="195"/>
      <c r="D40" s="195">
        <v>2.5</v>
      </c>
      <c r="E40" s="129"/>
      <c r="F40" s="195"/>
      <c r="G40" s="195"/>
      <c r="AN40" s="195"/>
      <c r="AO40" s="129"/>
      <c r="AP40" s="195"/>
      <c r="AQ40" s="195"/>
      <c r="AR40" s="129"/>
      <c r="AS40" s="195"/>
      <c r="AT40" s="195"/>
      <c r="AV40" s="195"/>
      <c r="AW40" s="129"/>
      <c r="AX40" s="195"/>
      <c r="AY40" s="195"/>
      <c r="AZ40" s="129"/>
      <c r="BA40" s="195"/>
      <c r="BB40" s="195"/>
      <c r="BD40" s="195"/>
      <c r="BE40" s="129"/>
      <c r="BF40" s="195"/>
      <c r="BG40" s="195"/>
      <c r="BH40" s="129"/>
      <c r="BI40" s="195"/>
      <c r="BJ40" s="195"/>
    </row>
    <row r="41">
      <c r="A41" s="195" t="s">
        <v>52</v>
      </c>
      <c r="B41" s="129" t="s">
        <v>44</v>
      </c>
      <c r="C41" s="195"/>
      <c r="D41" s="195">
        <v>2.0</v>
      </c>
      <c r="E41" s="129" t="s">
        <v>31</v>
      </c>
      <c r="F41" s="195"/>
      <c r="G41" s="195">
        <v>0.5</v>
      </c>
      <c r="AN41" s="195"/>
      <c r="AO41" s="129"/>
      <c r="AP41" s="195"/>
      <c r="AQ41" s="195"/>
      <c r="AR41" s="129"/>
      <c r="AS41" s="195"/>
      <c r="AT41" s="195"/>
      <c r="AV41" s="195"/>
      <c r="AW41" s="129"/>
      <c r="AX41" s="195"/>
      <c r="AY41" s="195"/>
      <c r="AZ41" s="129"/>
      <c r="BA41" s="195"/>
      <c r="BB41" s="195"/>
      <c r="BD41" s="195"/>
      <c r="BE41" s="129"/>
      <c r="BF41" s="195"/>
      <c r="BG41" s="195"/>
      <c r="BH41" s="129"/>
      <c r="BI41" s="195"/>
      <c r="BJ41" s="195"/>
    </row>
    <row r="42">
      <c r="A42" s="195" t="s">
        <v>53</v>
      </c>
      <c r="B42" s="129" t="s">
        <v>44</v>
      </c>
      <c r="C42" s="195"/>
      <c r="D42" s="195">
        <v>2.75</v>
      </c>
      <c r="E42" s="129"/>
      <c r="F42" s="195"/>
      <c r="G42" s="195"/>
      <c r="AN42" s="195"/>
      <c r="AO42" s="129"/>
      <c r="AP42" s="195"/>
      <c r="AQ42" s="195"/>
      <c r="AR42" s="129"/>
      <c r="AS42" s="195"/>
      <c r="AT42" s="195"/>
      <c r="AV42" s="195"/>
      <c r="AW42" s="129"/>
      <c r="AX42" s="195"/>
      <c r="AY42" s="195"/>
      <c r="AZ42" s="129"/>
      <c r="BA42" s="195"/>
      <c r="BB42" s="195"/>
      <c r="BD42" s="195"/>
      <c r="BE42" s="129"/>
      <c r="BF42" s="195"/>
      <c r="BG42" s="195"/>
      <c r="BH42" s="129"/>
      <c r="BI42" s="195"/>
      <c r="BJ42" s="195"/>
    </row>
    <row r="43">
      <c r="A43" s="195" t="s">
        <v>43</v>
      </c>
      <c r="B43" s="129" t="s">
        <v>44</v>
      </c>
      <c r="C43" s="195">
        <v>2.5</v>
      </c>
      <c r="D43" s="195">
        <v>2.5</v>
      </c>
      <c r="E43" s="129"/>
      <c r="F43" s="195"/>
      <c r="G43" s="195"/>
      <c r="AN43" s="195"/>
      <c r="AO43" s="129"/>
      <c r="AP43" s="195"/>
      <c r="AQ43" s="195"/>
      <c r="AR43" s="129"/>
      <c r="AS43" s="195"/>
      <c r="AT43" s="195"/>
      <c r="AV43" s="195"/>
      <c r="AW43" s="129"/>
      <c r="AX43" s="195"/>
      <c r="AY43" s="195"/>
      <c r="AZ43" s="129"/>
      <c r="BA43" s="195"/>
      <c r="BB43" s="195"/>
      <c r="BD43" s="195"/>
      <c r="BE43" s="129"/>
      <c r="BF43" s="195"/>
      <c r="BG43" s="195"/>
      <c r="BH43" s="129"/>
      <c r="BI43" s="195"/>
      <c r="BJ43" s="195"/>
    </row>
    <row r="44">
      <c r="A44" s="195" t="s">
        <v>45</v>
      </c>
      <c r="B44" s="129" t="s">
        <v>29</v>
      </c>
      <c r="C44" s="195">
        <v>2.5</v>
      </c>
      <c r="D44" s="195">
        <v>4.25</v>
      </c>
      <c r="E44" s="129"/>
      <c r="F44" s="195"/>
      <c r="G44" s="195"/>
      <c r="AN44" s="195"/>
      <c r="AO44" s="129"/>
      <c r="AP44" s="195"/>
      <c r="AQ44" s="195"/>
      <c r="AR44" s="129"/>
      <c r="AS44" s="195"/>
      <c r="AT44" s="195"/>
      <c r="AV44" s="195"/>
      <c r="AW44" s="129"/>
      <c r="AX44" s="195"/>
      <c r="AY44" s="195"/>
      <c r="AZ44" s="129"/>
      <c r="BA44" s="195"/>
      <c r="BB44" s="195"/>
      <c r="BD44" s="195"/>
      <c r="BE44" s="129"/>
      <c r="BF44" s="195"/>
      <c r="BG44" s="195"/>
      <c r="BH44" s="129"/>
      <c r="BI44" s="195"/>
      <c r="BJ44" s="195"/>
    </row>
    <row r="45">
      <c r="A45" s="195" t="s">
        <v>46</v>
      </c>
      <c r="B45" s="129" t="s">
        <v>44</v>
      </c>
      <c r="C45" s="195">
        <v>2.5</v>
      </c>
      <c r="D45" s="195">
        <v>2.75</v>
      </c>
      <c r="E45" s="129"/>
      <c r="F45" s="195"/>
      <c r="G45" s="195"/>
      <c r="AN45" s="195"/>
      <c r="AO45" s="129"/>
      <c r="AP45" s="195"/>
      <c r="AQ45" s="195"/>
      <c r="AR45" s="129"/>
      <c r="AS45" s="195"/>
      <c r="AT45" s="195"/>
      <c r="AV45" s="195"/>
      <c r="AW45" s="129"/>
      <c r="AX45" s="195"/>
      <c r="AY45" s="195"/>
      <c r="AZ45" s="129"/>
      <c r="BA45" s="195"/>
      <c r="BB45" s="195"/>
      <c r="BD45" s="195"/>
      <c r="BE45" s="129"/>
      <c r="BF45" s="195"/>
      <c r="BG45" s="195"/>
      <c r="BH45" s="129"/>
      <c r="BI45" s="195"/>
      <c r="BJ45" s="195"/>
    </row>
    <row r="46">
      <c r="A46" s="195" t="s">
        <v>47</v>
      </c>
      <c r="B46" s="129" t="s">
        <v>30</v>
      </c>
      <c r="C46" s="195"/>
      <c r="D46" s="195">
        <v>1.75</v>
      </c>
      <c r="E46" s="129"/>
      <c r="F46" s="195"/>
      <c r="G46" s="195"/>
      <c r="AN46" s="195"/>
      <c r="AO46" s="129"/>
      <c r="AP46" s="195"/>
      <c r="AQ46" s="195"/>
      <c r="AR46" s="129"/>
      <c r="AS46" s="195"/>
      <c r="AT46" s="195"/>
      <c r="AV46" s="195"/>
      <c r="AW46" s="129"/>
      <c r="AX46" s="195"/>
      <c r="AY46" s="195"/>
      <c r="AZ46" s="129"/>
      <c r="BA46" s="195"/>
      <c r="BB46" s="195"/>
      <c r="BD46" s="195"/>
      <c r="BE46" s="129"/>
      <c r="BF46" s="195"/>
      <c r="BG46" s="195"/>
      <c r="BH46" s="129"/>
      <c r="BI46" s="195"/>
      <c r="BJ46" s="195"/>
    </row>
    <row r="47">
      <c r="A47" s="195" t="s">
        <v>48</v>
      </c>
      <c r="B47" s="129" t="s">
        <v>28</v>
      </c>
      <c r="C47" s="195"/>
      <c r="D47" s="195">
        <v>2.0</v>
      </c>
      <c r="E47" s="129"/>
      <c r="F47" s="195"/>
      <c r="G47" s="195"/>
      <c r="AN47" s="195"/>
      <c r="AO47" s="129"/>
      <c r="AP47" s="195"/>
      <c r="AQ47" s="195"/>
      <c r="AR47" s="129"/>
      <c r="AS47" s="195"/>
      <c r="AT47" s="195"/>
      <c r="AV47" s="195"/>
      <c r="AW47" s="129"/>
      <c r="AX47" s="195"/>
      <c r="AY47" s="195"/>
      <c r="AZ47" s="129"/>
      <c r="BA47" s="195"/>
      <c r="BB47" s="195"/>
      <c r="BD47" s="195"/>
      <c r="BE47" s="129"/>
      <c r="BF47" s="195"/>
      <c r="BG47" s="195"/>
      <c r="BH47" s="129"/>
      <c r="BI47" s="195"/>
      <c r="BJ47" s="195"/>
    </row>
    <row r="48">
      <c r="A48" s="195" t="s">
        <v>49</v>
      </c>
      <c r="B48" s="129" t="s">
        <v>44</v>
      </c>
      <c r="C48" s="195">
        <v>2.5</v>
      </c>
      <c r="D48" s="195">
        <v>2.75</v>
      </c>
      <c r="E48" s="129"/>
      <c r="F48" s="195"/>
      <c r="G48" s="195"/>
      <c r="AN48" s="195"/>
      <c r="AO48" s="129"/>
      <c r="AP48" s="195"/>
      <c r="AQ48" s="195"/>
      <c r="AR48" s="129"/>
      <c r="AS48" s="195"/>
      <c r="AT48" s="195"/>
      <c r="AV48" s="195"/>
      <c r="AW48" s="129"/>
      <c r="AX48" s="195"/>
      <c r="AY48" s="195"/>
      <c r="AZ48" s="129"/>
      <c r="BA48" s="195"/>
      <c r="BB48" s="195"/>
      <c r="BD48" s="195"/>
      <c r="BE48" s="129"/>
      <c r="BF48" s="195"/>
      <c r="BG48" s="195"/>
      <c r="BH48" s="129"/>
      <c r="BI48" s="195"/>
      <c r="BJ48" s="195"/>
    </row>
    <row r="49">
      <c r="A49" s="195" t="s">
        <v>50</v>
      </c>
      <c r="B49" s="129" t="s">
        <v>44</v>
      </c>
      <c r="C49" s="195">
        <v>2.5</v>
      </c>
      <c r="D49" s="195">
        <v>3.5</v>
      </c>
      <c r="E49" s="129"/>
      <c r="F49" s="195"/>
      <c r="G49" s="195"/>
      <c r="AN49" s="195"/>
      <c r="AO49" s="129"/>
      <c r="AP49" s="195"/>
      <c r="AQ49" s="195"/>
      <c r="AR49" s="129"/>
      <c r="AS49" s="195"/>
      <c r="AT49" s="195"/>
      <c r="AV49" s="195"/>
      <c r="AW49" s="129"/>
      <c r="AX49" s="195"/>
      <c r="AY49" s="195"/>
      <c r="AZ49" s="129"/>
      <c r="BA49" s="195"/>
      <c r="BB49" s="195"/>
      <c r="BD49" s="195"/>
      <c r="BE49" s="129"/>
      <c r="BF49" s="195"/>
      <c r="BG49" s="195"/>
      <c r="BH49" s="129"/>
      <c r="BI49" s="195"/>
      <c r="BJ49" s="195"/>
    </row>
    <row r="50">
      <c r="A50" s="195" t="s">
        <v>51</v>
      </c>
      <c r="B50" s="129" t="s">
        <v>28</v>
      </c>
      <c r="C50" s="195"/>
      <c r="D50" s="195">
        <v>1.5</v>
      </c>
      <c r="E50" s="129"/>
      <c r="F50" s="195"/>
      <c r="G50" s="195"/>
      <c r="AN50" s="195"/>
      <c r="AO50" s="129"/>
      <c r="AP50" s="195"/>
      <c r="AQ50" s="195"/>
      <c r="AR50" s="129"/>
      <c r="AS50" s="195"/>
      <c r="AT50" s="195"/>
      <c r="AV50" s="195"/>
      <c r="AW50" s="129"/>
      <c r="AX50" s="195"/>
      <c r="AY50" s="195"/>
      <c r="AZ50" s="129"/>
      <c r="BA50" s="195"/>
      <c r="BB50" s="195"/>
      <c r="BD50" s="195"/>
      <c r="BE50" s="129"/>
      <c r="BF50" s="195"/>
      <c r="BG50" s="195"/>
      <c r="BH50" s="129"/>
      <c r="BI50" s="195"/>
      <c r="BJ50" s="195"/>
    </row>
    <row r="51">
      <c r="A51" s="195" t="s">
        <v>52</v>
      </c>
      <c r="B51" s="129" t="s">
        <v>44</v>
      </c>
      <c r="C51" s="195">
        <v>2.5</v>
      </c>
      <c r="D51" s="195">
        <v>3.25</v>
      </c>
      <c r="E51" s="129"/>
      <c r="F51" s="195"/>
      <c r="G51" s="195"/>
      <c r="AN51" s="195"/>
      <c r="AO51" s="129"/>
      <c r="AP51" s="195"/>
      <c r="AQ51" s="195"/>
      <c r="AR51" s="129"/>
      <c r="AS51" s="195"/>
      <c r="AT51" s="195"/>
      <c r="AV51" s="195"/>
      <c r="AW51" s="129"/>
      <c r="AX51" s="195"/>
      <c r="AY51" s="195"/>
      <c r="AZ51" s="129"/>
      <c r="BA51" s="195"/>
      <c r="BB51" s="195"/>
      <c r="BD51" s="195"/>
      <c r="BE51" s="129"/>
      <c r="BF51" s="195"/>
      <c r="BG51" s="195"/>
      <c r="BH51" s="129"/>
      <c r="BI51" s="195"/>
      <c r="BJ51" s="195"/>
    </row>
    <row r="52">
      <c r="A52" s="195" t="s">
        <v>53</v>
      </c>
      <c r="B52" s="129" t="s">
        <v>44</v>
      </c>
      <c r="C52" s="195">
        <v>2.5</v>
      </c>
      <c r="D52" s="195">
        <v>3.25</v>
      </c>
      <c r="E52" s="129"/>
      <c r="F52" s="195"/>
      <c r="G52" s="195"/>
      <c r="AN52" s="195"/>
      <c r="AO52" s="129"/>
      <c r="AP52" s="195"/>
      <c r="AQ52" s="195"/>
      <c r="AR52" s="129"/>
      <c r="AS52" s="195"/>
      <c r="AT52" s="195"/>
      <c r="AV52" s="195"/>
      <c r="AW52" s="129"/>
      <c r="AX52" s="195"/>
      <c r="AY52" s="195"/>
      <c r="AZ52" s="129"/>
      <c r="BA52" s="195"/>
      <c r="BB52" s="195"/>
      <c r="BD52" s="195"/>
      <c r="BE52" s="129"/>
      <c r="BF52" s="195"/>
      <c r="BG52" s="195"/>
      <c r="BH52" s="129"/>
      <c r="BI52" s="195"/>
      <c r="BJ52" s="195"/>
    </row>
    <row r="53">
      <c r="A53" s="195" t="s">
        <v>43</v>
      </c>
      <c r="B53" s="129" t="s">
        <v>44</v>
      </c>
      <c r="C53" s="195"/>
      <c r="D53" s="195">
        <v>3.25</v>
      </c>
      <c r="E53" s="129" t="s">
        <v>31</v>
      </c>
      <c r="F53" s="195">
        <v>0.5</v>
      </c>
      <c r="G53" s="195">
        <v>0.5</v>
      </c>
      <c r="AN53" s="195"/>
      <c r="AO53" s="129"/>
      <c r="AP53" s="195"/>
      <c r="AQ53" s="195"/>
      <c r="AR53" s="129"/>
      <c r="AS53" s="195"/>
      <c r="AT53" s="195"/>
      <c r="AV53" s="195"/>
      <c r="AW53" s="129"/>
      <c r="AX53" s="195"/>
      <c r="AY53" s="195"/>
      <c r="AZ53" s="129"/>
      <c r="BA53" s="195"/>
      <c r="BB53" s="195"/>
      <c r="BD53" s="195"/>
      <c r="BE53" s="129"/>
      <c r="BF53" s="195"/>
      <c r="BG53" s="195"/>
      <c r="BH53" s="129"/>
      <c r="BI53" s="195"/>
      <c r="BJ53" s="195"/>
    </row>
    <row r="54">
      <c r="A54" s="195" t="s">
        <v>45</v>
      </c>
      <c r="B54" s="129" t="s">
        <v>44</v>
      </c>
      <c r="C54" s="195"/>
      <c r="D54" s="195">
        <v>3.0</v>
      </c>
      <c r="E54" s="129"/>
      <c r="F54" s="195"/>
      <c r="G54" s="195"/>
      <c r="AN54" s="195"/>
      <c r="AO54" s="129"/>
      <c r="AP54" s="195"/>
      <c r="AQ54" s="195"/>
      <c r="AR54" s="129"/>
      <c r="AS54" s="195"/>
      <c r="AT54" s="195"/>
      <c r="AV54" s="195"/>
      <c r="AW54" s="129"/>
      <c r="AX54" s="195"/>
      <c r="AY54" s="195"/>
      <c r="AZ54" s="129"/>
      <c r="BA54" s="195"/>
      <c r="BB54" s="195"/>
      <c r="BD54" s="195"/>
      <c r="BE54" s="129"/>
      <c r="BF54" s="195"/>
      <c r="BG54" s="195"/>
      <c r="BH54" s="129"/>
      <c r="BI54" s="195"/>
      <c r="BJ54" s="195"/>
    </row>
    <row r="55">
      <c r="A55" s="195" t="s">
        <v>46</v>
      </c>
      <c r="B55" s="129" t="s">
        <v>44</v>
      </c>
      <c r="C55" s="195"/>
      <c r="D55" s="195">
        <v>2.0</v>
      </c>
      <c r="E55" s="129"/>
      <c r="F55" s="195"/>
      <c r="G55" s="195"/>
      <c r="AN55" s="195"/>
      <c r="AO55" s="129"/>
      <c r="AP55" s="195"/>
      <c r="AQ55" s="195"/>
      <c r="AR55" s="129"/>
      <c r="AS55" s="195"/>
      <c r="AT55" s="195"/>
      <c r="AV55" s="195"/>
      <c r="AW55" s="129"/>
      <c r="AX55" s="195"/>
      <c r="AY55" s="195"/>
      <c r="AZ55" s="129"/>
      <c r="BA55" s="195"/>
      <c r="BB55" s="195"/>
      <c r="BD55" s="195"/>
      <c r="BE55" s="129"/>
      <c r="BF55" s="195"/>
      <c r="BG55" s="195"/>
      <c r="BH55" s="129"/>
      <c r="BI55" s="195"/>
      <c r="BJ55" s="195"/>
    </row>
    <row r="56">
      <c r="A56" s="195" t="s">
        <v>47</v>
      </c>
      <c r="B56" s="129" t="s">
        <v>44</v>
      </c>
      <c r="C56" s="195"/>
      <c r="D56" s="195">
        <v>1.75</v>
      </c>
      <c r="E56" s="129"/>
      <c r="F56" s="195"/>
      <c r="G56" s="195"/>
      <c r="AN56" s="195"/>
      <c r="AO56" s="129"/>
      <c r="AP56" s="195"/>
      <c r="AQ56" s="195"/>
      <c r="AR56" s="129"/>
      <c r="AS56" s="195"/>
      <c r="AT56" s="195"/>
      <c r="AV56" s="195"/>
      <c r="AW56" s="129"/>
      <c r="AX56" s="195"/>
      <c r="AY56" s="195"/>
      <c r="AZ56" s="129"/>
      <c r="BA56" s="195"/>
      <c r="BB56" s="195"/>
      <c r="BD56" s="195"/>
      <c r="BE56" s="129"/>
      <c r="BF56" s="195"/>
      <c r="BG56" s="195"/>
      <c r="BH56" s="129"/>
      <c r="BI56" s="195"/>
      <c r="BJ56" s="195"/>
    </row>
    <row r="57">
      <c r="A57" s="195" t="s">
        <v>48</v>
      </c>
      <c r="B57" s="129" t="s">
        <v>29</v>
      </c>
      <c r="C57" s="195"/>
      <c r="D57" s="195">
        <v>2.25</v>
      </c>
      <c r="E57" s="129"/>
      <c r="F57" s="195"/>
      <c r="G57" s="195"/>
      <c r="AN57" s="195"/>
      <c r="AO57" s="129"/>
      <c r="AP57" s="195"/>
      <c r="AQ57" s="195"/>
      <c r="AR57" s="129"/>
      <c r="AS57" s="195"/>
      <c r="AT57" s="195"/>
      <c r="AV57" s="195"/>
      <c r="AW57" s="129"/>
      <c r="AX57" s="195"/>
      <c r="AY57" s="195"/>
      <c r="AZ57" s="129"/>
      <c r="BA57" s="195"/>
      <c r="BB57" s="195"/>
      <c r="BD57" s="195"/>
      <c r="BE57" s="129"/>
      <c r="BF57" s="195"/>
      <c r="BG57" s="195"/>
      <c r="BH57" s="129"/>
      <c r="BI57" s="195"/>
      <c r="BJ57" s="195"/>
    </row>
    <row r="58">
      <c r="A58" s="195" t="s">
        <v>49</v>
      </c>
      <c r="B58" s="129" t="s">
        <v>30</v>
      </c>
      <c r="C58" s="195">
        <v>2.5</v>
      </c>
      <c r="D58" s="195">
        <v>3.5</v>
      </c>
      <c r="E58" s="129"/>
      <c r="F58" s="195"/>
      <c r="G58" s="195"/>
      <c r="AN58" s="195"/>
      <c r="AO58" s="129"/>
      <c r="AP58" s="195"/>
      <c r="AQ58" s="195"/>
      <c r="AR58" s="129"/>
      <c r="AS58" s="195"/>
      <c r="AT58" s="195"/>
      <c r="AV58" s="195"/>
      <c r="AW58" s="129"/>
      <c r="AX58" s="195"/>
      <c r="AY58" s="195"/>
      <c r="AZ58" s="129"/>
      <c r="BA58" s="195"/>
      <c r="BB58" s="195"/>
      <c r="BD58" s="195"/>
      <c r="BE58" s="129"/>
      <c r="BF58" s="195"/>
      <c r="BG58" s="195"/>
      <c r="BH58" s="129"/>
      <c r="BI58" s="195"/>
      <c r="BJ58" s="195"/>
    </row>
    <row r="59">
      <c r="A59" s="195" t="s">
        <v>50</v>
      </c>
      <c r="B59" s="129" t="s">
        <v>28</v>
      </c>
      <c r="C59" s="195">
        <v>2.5</v>
      </c>
      <c r="D59" s="195">
        <v>3.0</v>
      </c>
      <c r="E59" s="129"/>
      <c r="F59" s="195"/>
      <c r="G59" s="195"/>
      <c r="AN59" s="195"/>
      <c r="AO59" s="129"/>
      <c r="AP59" s="195"/>
      <c r="AQ59" s="195"/>
      <c r="AR59" s="129"/>
      <c r="AS59" s="195"/>
      <c r="AT59" s="195"/>
      <c r="AV59" s="195"/>
      <c r="AW59" s="129"/>
      <c r="AX59" s="195"/>
      <c r="AY59" s="195"/>
      <c r="AZ59" s="129"/>
      <c r="BA59" s="195"/>
      <c r="BB59" s="195"/>
      <c r="BD59" s="195"/>
      <c r="BE59" s="129"/>
      <c r="BF59" s="195"/>
      <c r="BG59" s="195"/>
      <c r="BH59" s="129"/>
      <c r="BI59" s="195"/>
      <c r="BJ59" s="195"/>
    </row>
    <row r="60">
      <c r="A60" s="195" t="s">
        <v>51</v>
      </c>
      <c r="B60" s="129" t="s">
        <v>44</v>
      </c>
      <c r="C60" s="195"/>
      <c r="D60" s="195">
        <v>1.5</v>
      </c>
      <c r="E60" s="129"/>
      <c r="F60" s="195"/>
      <c r="G60" s="195"/>
      <c r="AN60" s="195"/>
      <c r="AO60" s="129"/>
      <c r="AP60" s="195"/>
      <c r="AQ60" s="195"/>
      <c r="AR60" s="129"/>
      <c r="AS60" s="195"/>
      <c r="AT60" s="195"/>
      <c r="AV60" s="195"/>
      <c r="AW60" s="129"/>
      <c r="AX60" s="195"/>
      <c r="AY60" s="195"/>
      <c r="AZ60" s="129"/>
      <c r="BA60" s="195"/>
      <c r="BB60" s="195"/>
      <c r="BD60" s="195"/>
      <c r="BE60" s="129"/>
      <c r="BF60" s="195"/>
      <c r="BG60" s="195"/>
      <c r="BH60" s="129"/>
      <c r="BI60" s="195"/>
      <c r="BJ60" s="195"/>
    </row>
    <row r="61">
      <c r="A61" s="195" t="s">
        <v>52</v>
      </c>
      <c r="B61" s="129" t="s">
        <v>28</v>
      </c>
      <c r="C61" s="195">
        <v>2.5</v>
      </c>
      <c r="D61" s="195">
        <v>4.0</v>
      </c>
      <c r="E61" s="129"/>
      <c r="F61" s="195"/>
      <c r="G61" s="195"/>
      <c r="AN61" s="195"/>
      <c r="AO61" s="129"/>
      <c r="AP61" s="195"/>
      <c r="AQ61" s="195"/>
      <c r="AR61" s="129"/>
      <c r="AS61" s="195"/>
      <c r="AT61" s="195"/>
      <c r="AV61" s="195"/>
      <c r="AW61" s="129"/>
      <c r="AX61" s="195"/>
      <c r="AY61" s="195"/>
      <c r="AZ61" s="129"/>
      <c r="BA61" s="195"/>
      <c r="BB61" s="195"/>
      <c r="BD61" s="195"/>
      <c r="BE61" s="129"/>
      <c r="BF61" s="195"/>
      <c r="BG61" s="195"/>
      <c r="BH61" s="129"/>
      <c r="BI61" s="195"/>
      <c r="BJ61" s="195"/>
    </row>
    <row r="62">
      <c r="A62" s="195" t="s">
        <v>53</v>
      </c>
      <c r="B62" s="129" t="s">
        <v>44</v>
      </c>
      <c r="C62" s="195"/>
      <c r="D62" s="195">
        <v>2.0</v>
      </c>
      <c r="E62" s="129"/>
      <c r="F62" s="195"/>
      <c r="G62" s="195"/>
      <c r="AN62" s="195"/>
      <c r="AO62" s="129"/>
      <c r="AP62" s="195"/>
      <c r="AQ62" s="195"/>
      <c r="AR62" s="129"/>
      <c r="AS62" s="195"/>
      <c r="AT62" s="195"/>
      <c r="AV62" s="195"/>
      <c r="AW62" s="129"/>
      <c r="AX62" s="195"/>
      <c r="AY62" s="195"/>
      <c r="AZ62" s="129"/>
      <c r="BA62" s="195"/>
      <c r="BB62" s="195"/>
      <c r="BD62" s="195"/>
      <c r="BE62" s="129"/>
      <c r="BF62" s="195"/>
      <c r="BG62" s="195"/>
      <c r="BH62" s="129"/>
      <c r="BI62" s="195"/>
      <c r="BJ62" s="195"/>
    </row>
    <row r="63">
      <c r="A63" s="195" t="s">
        <v>43</v>
      </c>
      <c r="B63" s="129" t="s">
        <v>44</v>
      </c>
      <c r="C63" s="195"/>
      <c r="D63" s="195">
        <v>1.75</v>
      </c>
      <c r="E63" s="129"/>
      <c r="F63" s="195"/>
      <c r="G63" s="195"/>
      <c r="AN63" s="195"/>
      <c r="AO63" s="129"/>
      <c r="AP63" s="195"/>
      <c r="AQ63" s="195"/>
      <c r="AR63" s="129"/>
      <c r="AS63" s="195"/>
      <c r="AT63" s="195"/>
      <c r="AV63" s="195"/>
      <c r="AW63" s="129"/>
      <c r="AX63" s="195"/>
      <c r="AY63" s="195"/>
      <c r="AZ63" s="129"/>
      <c r="BA63" s="195"/>
      <c r="BB63" s="195"/>
      <c r="BD63" s="195"/>
      <c r="BE63" s="129"/>
      <c r="BF63" s="195"/>
      <c r="BG63" s="195"/>
      <c r="BH63" s="129"/>
      <c r="BI63" s="195"/>
      <c r="BJ63" s="195"/>
    </row>
    <row r="64">
      <c r="A64" s="195" t="s">
        <v>45</v>
      </c>
      <c r="B64" s="129" t="s">
        <v>44</v>
      </c>
      <c r="C64" s="195"/>
      <c r="D64" s="195">
        <v>1.5</v>
      </c>
      <c r="E64" s="129"/>
      <c r="F64" s="195"/>
      <c r="G64" s="195"/>
      <c r="AN64" s="195"/>
      <c r="AO64" s="129"/>
      <c r="AP64" s="195"/>
      <c r="AQ64" s="195"/>
      <c r="AR64" s="129"/>
      <c r="AS64" s="195"/>
      <c r="AT64" s="195"/>
      <c r="AV64" s="195"/>
      <c r="AW64" s="129"/>
      <c r="AX64" s="195"/>
      <c r="AY64" s="195"/>
      <c r="AZ64" s="129"/>
      <c r="BA64" s="195"/>
      <c r="BB64" s="195"/>
      <c r="BD64" s="195"/>
      <c r="BE64" s="129"/>
      <c r="BF64" s="195"/>
      <c r="BG64" s="195"/>
      <c r="BH64" s="129"/>
      <c r="BI64" s="195"/>
      <c r="BJ64" s="195"/>
    </row>
    <row r="65">
      <c r="A65" s="195" t="s">
        <v>46</v>
      </c>
      <c r="B65" s="129" t="s">
        <v>44</v>
      </c>
      <c r="C65" s="195"/>
      <c r="D65" s="195">
        <v>2.75</v>
      </c>
      <c r="E65" s="129" t="s">
        <v>31</v>
      </c>
      <c r="F65" s="195"/>
      <c r="G65" s="195">
        <v>0.5</v>
      </c>
      <c r="AN65" s="195"/>
      <c r="AO65" s="129"/>
      <c r="AP65" s="195"/>
      <c r="AQ65" s="195"/>
      <c r="AR65" s="129"/>
      <c r="AS65" s="195"/>
      <c r="AT65" s="195"/>
      <c r="AV65" s="195"/>
      <c r="AW65" s="129"/>
      <c r="AX65" s="195"/>
      <c r="AY65" s="195"/>
      <c r="AZ65" s="129"/>
      <c r="BA65" s="195"/>
      <c r="BB65" s="195"/>
      <c r="BD65" s="195"/>
      <c r="BE65" s="129"/>
      <c r="BF65" s="195"/>
      <c r="BG65" s="195"/>
      <c r="BH65" s="129"/>
      <c r="BI65" s="195"/>
      <c r="BJ65" s="195"/>
    </row>
    <row r="66">
      <c r="A66" s="195" t="s">
        <v>47</v>
      </c>
      <c r="B66" s="129" t="s">
        <v>28</v>
      </c>
      <c r="C66" s="195">
        <v>2.5</v>
      </c>
      <c r="D66" s="195">
        <v>3.0</v>
      </c>
      <c r="E66" s="129"/>
      <c r="F66" s="195"/>
      <c r="G66" s="195"/>
      <c r="AN66" s="195"/>
      <c r="AO66" s="129"/>
      <c r="AP66" s="195"/>
      <c r="AQ66" s="195"/>
      <c r="AR66" s="129"/>
      <c r="AS66" s="195"/>
      <c r="AT66" s="195"/>
      <c r="AV66" s="195"/>
      <c r="AW66" s="129"/>
      <c r="AX66" s="195"/>
      <c r="AY66" s="195"/>
      <c r="AZ66" s="129"/>
      <c r="BA66" s="195"/>
      <c r="BB66" s="195"/>
      <c r="BD66" s="195"/>
      <c r="BE66" s="129"/>
      <c r="BF66" s="195"/>
      <c r="BG66" s="195"/>
      <c r="BH66" s="129"/>
      <c r="BI66" s="195"/>
      <c r="BJ66" s="195"/>
    </row>
    <row r="67">
      <c r="A67" s="195" t="s">
        <v>48</v>
      </c>
      <c r="B67" s="129" t="s">
        <v>44</v>
      </c>
      <c r="C67" s="195"/>
      <c r="D67" s="195">
        <v>2.75</v>
      </c>
      <c r="E67" s="129"/>
      <c r="F67" s="195"/>
      <c r="G67" s="195"/>
      <c r="AN67" s="195"/>
      <c r="AO67" s="129"/>
      <c r="AP67" s="195"/>
      <c r="AQ67" s="195"/>
      <c r="AR67" s="129"/>
      <c r="AS67" s="195"/>
      <c r="AT67" s="195"/>
      <c r="AV67" s="195"/>
      <c r="AW67" s="129"/>
      <c r="AX67" s="195"/>
      <c r="AY67" s="195"/>
      <c r="AZ67" s="129"/>
      <c r="BA67" s="195"/>
      <c r="BB67" s="195"/>
      <c r="BD67" s="195"/>
      <c r="BE67" s="129"/>
      <c r="BF67" s="195"/>
      <c r="BG67" s="195"/>
      <c r="BH67" s="129"/>
      <c r="BI67" s="195"/>
      <c r="BJ67" s="195"/>
    </row>
    <row r="68">
      <c r="A68" s="195" t="s">
        <v>49</v>
      </c>
      <c r="B68" s="129" t="s">
        <v>30</v>
      </c>
      <c r="C68" s="195">
        <v>2.5</v>
      </c>
      <c r="D68" s="195">
        <v>4.0</v>
      </c>
      <c r="E68" s="129"/>
      <c r="F68" s="195"/>
      <c r="G68" s="195"/>
      <c r="AN68" s="195"/>
      <c r="AO68" s="129"/>
      <c r="AP68" s="195"/>
      <c r="AQ68" s="195"/>
      <c r="AR68" s="129"/>
      <c r="AS68" s="195"/>
      <c r="AT68" s="195"/>
      <c r="AV68" s="195"/>
      <c r="AW68" s="129"/>
      <c r="AX68" s="195"/>
      <c r="AY68" s="195"/>
      <c r="AZ68" s="129"/>
      <c r="BA68" s="195"/>
      <c r="BB68" s="195"/>
      <c r="BD68" s="195"/>
      <c r="BE68" s="129"/>
      <c r="BF68" s="195"/>
      <c r="BG68" s="195"/>
      <c r="BH68" s="129"/>
      <c r="BI68" s="195"/>
      <c r="BJ68" s="195"/>
    </row>
    <row r="69">
      <c r="A69" s="195" t="s">
        <v>50</v>
      </c>
      <c r="B69" s="129" t="s">
        <v>44</v>
      </c>
      <c r="C69" s="195"/>
      <c r="D69" s="195">
        <v>2.0</v>
      </c>
      <c r="E69" s="129"/>
      <c r="F69" s="195"/>
      <c r="G69" s="195"/>
      <c r="AN69" s="195"/>
      <c r="AO69" s="129"/>
      <c r="AP69" s="195"/>
      <c r="AQ69" s="195"/>
      <c r="AR69" s="129"/>
      <c r="AS69" s="195"/>
      <c r="AT69" s="195"/>
      <c r="AV69" s="195"/>
      <c r="AW69" s="129"/>
      <c r="AX69" s="195"/>
      <c r="AY69" s="195"/>
      <c r="AZ69" s="129"/>
      <c r="BA69" s="195"/>
      <c r="BB69" s="195"/>
      <c r="BD69" s="195"/>
      <c r="BE69" s="129"/>
      <c r="BF69" s="195"/>
      <c r="BG69" s="195"/>
      <c r="BH69" s="129"/>
      <c r="BI69" s="195"/>
      <c r="BJ69" s="195"/>
    </row>
    <row r="70">
      <c r="A70" s="195" t="s">
        <v>51</v>
      </c>
      <c r="B70" s="129" t="s">
        <v>29</v>
      </c>
      <c r="C70" s="195"/>
      <c r="D70" s="195">
        <v>1.5</v>
      </c>
      <c r="E70" s="129"/>
      <c r="F70" s="195"/>
      <c r="G70" s="195"/>
      <c r="AN70" s="195"/>
      <c r="AO70" s="129"/>
      <c r="AP70" s="195"/>
      <c r="AQ70" s="195"/>
      <c r="AR70" s="129"/>
      <c r="AS70" s="195"/>
      <c r="AT70" s="195"/>
      <c r="AV70" s="195"/>
      <c r="AW70" s="129"/>
      <c r="AX70" s="195"/>
      <c r="AY70" s="195"/>
      <c r="AZ70" s="129"/>
      <c r="BA70" s="195"/>
      <c r="BB70" s="195"/>
      <c r="BD70" s="195"/>
      <c r="BE70" s="129"/>
      <c r="BF70" s="195"/>
      <c r="BG70" s="195"/>
      <c r="BH70" s="129"/>
      <c r="BI70" s="195"/>
      <c r="BJ70" s="195"/>
    </row>
    <row r="71">
      <c r="A71" s="195" t="s">
        <v>52</v>
      </c>
      <c r="B71" s="129" t="s">
        <v>44</v>
      </c>
      <c r="C71" s="195"/>
      <c r="D71" s="195">
        <v>3.25</v>
      </c>
      <c r="E71" s="129"/>
      <c r="F71" s="195"/>
      <c r="G71" s="195"/>
      <c r="AN71" s="195"/>
      <c r="AO71" s="129"/>
      <c r="AP71" s="195"/>
      <c r="AQ71" s="195"/>
      <c r="AR71" s="129"/>
      <c r="AS71" s="195"/>
      <c r="AT71" s="195"/>
      <c r="AV71" s="195"/>
      <c r="AW71" s="129"/>
      <c r="AX71" s="195"/>
      <c r="AY71" s="195"/>
      <c r="AZ71" s="129"/>
      <c r="BA71" s="195"/>
      <c r="BB71" s="195"/>
      <c r="BD71" s="195"/>
      <c r="BE71" s="129"/>
      <c r="BF71" s="195"/>
      <c r="BG71" s="195"/>
      <c r="BH71" s="129"/>
      <c r="BI71" s="195"/>
      <c r="BJ71" s="195"/>
    </row>
    <row r="72">
      <c r="A72" s="195" t="s">
        <v>53</v>
      </c>
      <c r="B72" s="129" t="s">
        <v>28</v>
      </c>
      <c r="C72" s="195">
        <v>2.5</v>
      </c>
      <c r="D72" s="195">
        <v>3.0</v>
      </c>
      <c r="E72" s="129"/>
      <c r="F72" s="195"/>
      <c r="G72" s="195"/>
      <c r="AN72" s="195"/>
      <c r="AO72" s="129"/>
      <c r="AP72" s="195"/>
      <c r="AQ72" s="195"/>
      <c r="AR72" s="129"/>
      <c r="AS72" s="195"/>
      <c r="AT72" s="195"/>
      <c r="AV72" s="195"/>
      <c r="AW72" s="129"/>
      <c r="AX72" s="195"/>
      <c r="AY72" s="195"/>
      <c r="AZ72" s="129"/>
      <c r="BA72" s="195"/>
      <c r="BB72" s="195"/>
      <c r="BD72" s="195"/>
      <c r="BE72" s="129"/>
      <c r="BF72" s="195"/>
      <c r="BG72" s="195"/>
      <c r="BH72" s="129"/>
      <c r="BI72" s="195"/>
      <c r="BJ72" s="195"/>
    </row>
    <row r="73">
      <c r="A73" s="195" t="s">
        <v>45</v>
      </c>
      <c r="B73" s="129" t="s">
        <v>44</v>
      </c>
      <c r="C73" s="195"/>
      <c r="D73" s="195">
        <v>2.5</v>
      </c>
      <c r="E73" s="129"/>
      <c r="F73" s="195"/>
      <c r="G73" s="195"/>
      <c r="AN73" s="195"/>
      <c r="AO73" s="129"/>
      <c r="AP73" s="195"/>
      <c r="AQ73" s="195"/>
      <c r="AR73" s="129"/>
      <c r="AS73" s="195"/>
      <c r="AT73" s="195"/>
      <c r="AV73" s="195"/>
      <c r="AW73" s="129"/>
      <c r="AX73" s="195"/>
      <c r="AY73" s="195"/>
      <c r="AZ73" s="129"/>
      <c r="BA73" s="195"/>
      <c r="BB73" s="195"/>
      <c r="BD73" s="195"/>
      <c r="BE73" s="129"/>
      <c r="BF73" s="195"/>
      <c r="BG73" s="195"/>
      <c r="BH73" s="129"/>
      <c r="BI73" s="195"/>
      <c r="BJ73" s="195"/>
    </row>
    <row r="74">
      <c r="A74" s="195" t="s">
        <v>50</v>
      </c>
      <c r="B74" s="129" t="s">
        <v>44</v>
      </c>
      <c r="C74" s="195"/>
      <c r="D74" s="195">
        <v>2.0</v>
      </c>
      <c r="E74" s="129"/>
      <c r="F74" s="195"/>
      <c r="G74" s="195"/>
      <c r="AN74" s="195"/>
      <c r="AO74" s="129"/>
      <c r="AP74" s="195"/>
      <c r="AQ74" s="195"/>
      <c r="AR74" s="129"/>
      <c r="AS74" s="195"/>
      <c r="AT74" s="195"/>
      <c r="AV74" s="195"/>
      <c r="AW74" s="129"/>
      <c r="AX74" s="195"/>
      <c r="AY74" s="195"/>
      <c r="AZ74" s="129"/>
      <c r="BA74" s="195"/>
      <c r="BB74" s="195"/>
      <c r="BD74" s="195"/>
      <c r="BE74" s="129"/>
      <c r="BF74" s="195"/>
      <c r="BG74" s="195"/>
      <c r="BH74" s="129"/>
      <c r="BI74" s="195"/>
      <c r="BJ74" s="195"/>
    </row>
    <row r="75">
      <c r="A75" s="195" t="s">
        <v>43</v>
      </c>
      <c r="B75" s="129" t="s">
        <v>28</v>
      </c>
      <c r="C75" s="195">
        <v>2.5</v>
      </c>
      <c r="D75" s="195">
        <v>4.0</v>
      </c>
      <c r="E75" s="129"/>
      <c r="F75" s="195"/>
      <c r="G75" s="195"/>
      <c r="AN75" s="195"/>
      <c r="AO75" s="129"/>
      <c r="AP75" s="195"/>
      <c r="AQ75" s="195"/>
      <c r="AR75" s="129"/>
      <c r="AS75" s="195"/>
      <c r="AT75" s="195"/>
      <c r="AV75" s="195"/>
      <c r="AW75" s="129"/>
      <c r="AX75" s="195"/>
      <c r="AY75" s="195"/>
      <c r="AZ75" s="129"/>
      <c r="BA75" s="195"/>
      <c r="BB75" s="195"/>
      <c r="BD75" s="195"/>
      <c r="BE75" s="129"/>
      <c r="BF75" s="195"/>
      <c r="BG75" s="195"/>
      <c r="BH75" s="129"/>
      <c r="BI75" s="195"/>
      <c r="BJ75" s="195"/>
    </row>
    <row r="76">
      <c r="A76" s="195" t="s">
        <v>66</v>
      </c>
      <c r="B76" s="129" t="s">
        <v>44</v>
      </c>
      <c r="C76" s="195"/>
      <c r="D76" s="195">
        <v>2.0</v>
      </c>
      <c r="E76" s="129" t="s">
        <v>31</v>
      </c>
      <c r="F76" s="195"/>
      <c r="G76" s="195">
        <v>0.5</v>
      </c>
      <c r="AN76" s="195"/>
      <c r="AO76" s="129"/>
      <c r="AP76" s="195"/>
      <c r="AQ76" s="195"/>
      <c r="AR76" s="129"/>
      <c r="AS76" s="195"/>
      <c r="AT76" s="195"/>
      <c r="AV76" s="195"/>
      <c r="AW76" s="129"/>
      <c r="AX76" s="195"/>
      <c r="AY76" s="195"/>
      <c r="AZ76" s="129"/>
      <c r="BA76" s="195"/>
      <c r="BB76" s="195"/>
      <c r="BD76" s="195"/>
      <c r="BE76" s="129"/>
      <c r="BF76" s="195"/>
      <c r="BG76" s="195"/>
      <c r="BH76" s="129"/>
      <c r="BI76" s="195"/>
      <c r="BJ76" s="195"/>
    </row>
    <row r="77">
      <c r="A77" s="195" t="s">
        <v>48</v>
      </c>
      <c r="B77" s="129" t="s">
        <v>44</v>
      </c>
      <c r="C77" s="195"/>
      <c r="D77" s="195">
        <v>2.0</v>
      </c>
      <c r="E77" s="129"/>
      <c r="F77" s="195"/>
      <c r="G77" s="195"/>
      <c r="AN77" s="195"/>
      <c r="AO77" s="129"/>
      <c r="AP77" s="195"/>
      <c r="AQ77" s="195"/>
      <c r="AR77" s="129"/>
      <c r="AS77" s="195"/>
      <c r="AT77" s="195"/>
      <c r="AV77" s="195"/>
      <c r="AW77" s="129"/>
      <c r="AX77" s="195"/>
      <c r="AY77" s="195"/>
      <c r="AZ77" s="129"/>
      <c r="BA77" s="195"/>
      <c r="BB77" s="195"/>
      <c r="BD77" s="195"/>
      <c r="BE77" s="129"/>
      <c r="BF77" s="195"/>
      <c r="BG77" s="195"/>
      <c r="BH77" s="129"/>
      <c r="BI77" s="195"/>
      <c r="BJ77" s="195"/>
    </row>
    <row r="78">
      <c r="A78" s="195" t="s">
        <v>67</v>
      </c>
      <c r="B78" s="129" t="s">
        <v>29</v>
      </c>
      <c r="C78" s="195"/>
      <c r="D78" s="195">
        <v>1.75</v>
      </c>
      <c r="E78" s="129"/>
      <c r="F78" s="195"/>
      <c r="G78" s="195"/>
      <c r="AN78" s="195"/>
      <c r="AO78" s="129"/>
      <c r="AP78" s="195"/>
      <c r="AQ78" s="195"/>
      <c r="AR78" s="129"/>
      <c r="AS78" s="195"/>
      <c r="AT78" s="195"/>
      <c r="AV78" s="195"/>
      <c r="AW78" s="129"/>
      <c r="AX78" s="195"/>
      <c r="AY78" s="195"/>
      <c r="AZ78" s="129"/>
      <c r="BA78" s="195"/>
      <c r="BB78" s="195"/>
      <c r="BD78" s="195"/>
      <c r="BE78" s="129"/>
      <c r="BF78" s="195"/>
      <c r="BG78" s="195"/>
      <c r="BH78" s="129"/>
      <c r="BI78" s="195"/>
      <c r="BJ78" s="195"/>
    </row>
    <row r="79">
      <c r="A79" s="195" t="s">
        <v>68</v>
      </c>
      <c r="B79" s="129" t="s">
        <v>30</v>
      </c>
      <c r="C79" s="195">
        <v>2.5</v>
      </c>
      <c r="D79" s="195">
        <v>2.75</v>
      </c>
      <c r="E79" s="129"/>
      <c r="F79" s="195"/>
      <c r="G79" s="195"/>
      <c r="AN79" s="195"/>
      <c r="AO79" s="129"/>
      <c r="AP79" s="195"/>
      <c r="AQ79" s="195"/>
      <c r="AR79" s="129"/>
      <c r="AS79" s="195"/>
      <c r="AT79" s="195"/>
      <c r="AV79" s="195"/>
      <c r="AW79" s="129"/>
      <c r="AX79" s="195"/>
      <c r="AY79" s="195"/>
      <c r="AZ79" s="129"/>
      <c r="BA79" s="195"/>
      <c r="BB79" s="195"/>
      <c r="BD79" s="195"/>
      <c r="BE79" s="129"/>
      <c r="BF79" s="195"/>
      <c r="BG79" s="195"/>
      <c r="BH79" s="129"/>
      <c r="BI79" s="195"/>
      <c r="BJ79" s="195"/>
    </row>
    <row r="80">
      <c r="A80" s="195" t="s">
        <v>69</v>
      </c>
      <c r="B80" s="129" t="s">
        <v>44</v>
      </c>
      <c r="C80" s="195"/>
      <c r="D80" s="195">
        <v>2.25</v>
      </c>
      <c r="E80" s="129"/>
      <c r="F80" s="195"/>
      <c r="G80" s="195"/>
      <c r="AN80" s="195"/>
      <c r="AO80" s="129"/>
      <c r="AP80" s="195"/>
      <c r="AQ80" s="195"/>
      <c r="AR80" s="129"/>
      <c r="AS80" s="195"/>
      <c r="AT80" s="195"/>
      <c r="AV80" s="195"/>
      <c r="AW80" s="129"/>
      <c r="AX80" s="195"/>
      <c r="AY80" s="195"/>
      <c r="AZ80" s="129"/>
      <c r="BA80" s="195"/>
      <c r="BB80" s="195"/>
      <c r="BD80" s="195"/>
      <c r="BE80" s="129"/>
      <c r="BF80" s="195"/>
      <c r="BG80" s="195"/>
      <c r="BH80" s="129"/>
      <c r="BI80" s="195"/>
      <c r="BJ80" s="195"/>
    </row>
    <row r="81">
      <c r="A81" s="195" t="s">
        <v>70</v>
      </c>
      <c r="B81" s="129" t="s">
        <v>44</v>
      </c>
      <c r="C81" s="195"/>
      <c r="D81" s="195">
        <v>1.5</v>
      </c>
      <c r="E81" s="129"/>
      <c r="F81" s="195"/>
      <c r="G81" s="195"/>
      <c r="AN81" s="195"/>
      <c r="AO81" s="129"/>
      <c r="AP81" s="195"/>
      <c r="AQ81" s="195"/>
      <c r="AR81" s="129"/>
      <c r="AS81" s="195"/>
      <c r="AT81" s="195"/>
      <c r="AV81" s="195"/>
      <c r="AW81" s="129"/>
      <c r="AX81" s="195"/>
      <c r="AY81" s="195"/>
      <c r="AZ81" s="129"/>
      <c r="BA81" s="195"/>
      <c r="BB81" s="195"/>
      <c r="BD81" s="195"/>
      <c r="BE81" s="129"/>
      <c r="BF81" s="195"/>
      <c r="BG81" s="195"/>
      <c r="BH81" s="129"/>
      <c r="BI81" s="195"/>
      <c r="BJ81" s="195"/>
    </row>
    <row r="82">
      <c r="A82" s="195" t="s">
        <v>71</v>
      </c>
      <c r="B82" s="129" t="s">
        <v>28</v>
      </c>
      <c r="C82" s="195">
        <v>2.5</v>
      </c>
      <c r="D82" s="195">
        <v>3.0</v>
      </c>
      <c r="E82" s="129"/>
      <c r="F82" s="195"/>
      <c r="G82" s="195"/>
      <c r="AN82" s="195"/>
      <c r="AO82" s="129"/>
      <c r="AP82" s="195"/>
      <c r="AQ82" s="195"/>
      <c r="AR82" s="129"/>
      <c r="AS82" s="195"/>
      <c r="AT82" s="195"/>
      <c r="AV82" s="195"/>
      <c r="AW82" s="129"/>
      <c r="AX82" s="195"/>
      <c r="AY82" s="195"/>
      <c r="AZ82" s="129"/>
      <c r="BA82" s="195"/>
      <c r="BB82" s="195"/>
      <c r="BD82" s="195"/>
      <c r="BE82" s="129"/>
      <c r="BF82" s="195"/>
      <c r="BG82" s="195"/>
      <c r="BH82" s="129"/>
      <c r="BI82" s="195"/>
      <c r="BJ82" s="195"/>
    </row>
    <row r="83">
      <c r="A83" s="195" t="s">
        <v>45</v>
      </c>
      <c r="B83" s="129" t="s">
        <v>28</v>
      </c>
      <c r="C83" s="195">
        <v>2.5</v>
      </c>
      <c r="D83" s="195">
        <v>3.5</v>
      </c>
      <c r="E83" s="129"/>
      <c r="F83" s="195"/>
      <c r="G83" s="195"/>
      <c r="BD83" s="195"/>
      <c r="BE83" s="129"/>
      <c r="BF83" s="195"/>
      <c r="BG83" s="195"/>
      <c r="BH83" s="129"/>
      <c r="BI83" s="195"/>
      <c r="BJ83" s="195"/>
    </row>
    <row r="84">
      <c r="A84" s="195" t="s">
        <v>50</v>
      </c>
      <c r="B84" s="129" t="s">
        <v>30</v>
      </c>
      <c r="C84" s="195">
        <v>2.5</v>
      </c>
      <c r="D84" s="195">
        <v>3.0</v>
      </c>
      <c r="E84" s="129"/>
      <c r="F84" s="195"/>
      <c r="G84" s="195"/>
      <c r="BD84" s="195"/>
      <c r="BE84" s="129"/>
      <c r="BF84" s="195"/>
      <c r="BG84" s="195"/>
      <c r="BH84" s="129"/>
      <c r="BI84" s="195"/>
      <c r="BJ84" s="195"/>
    </row>
    <row r="85">
      <c r="A85" s="195" t="s">
        <v>43</v>
      </c>
      <c r="B85" s="129" t="s">
        <v>29</v>
      </c>
      <c r="C85" s="195"/>
      <c r="D85" s="195">
        <v>2.25</v>
      </c>
      <c r="E85" s="129" t="s">
        <v>31</v>
      </c>
      <c r="F85" s="195"/>
      <c r="G85" s="195">
        <v>0.5</v>
      </c>
      <c r="BD85" s="195"/>
      <c r="BE85" s="129"/>
      <c r="BF85" s="195"/>
      <c r="BG85" s="195"/>
      <c r="BH85" s="129"/>
      <c r="BI85" s="195"/>
      <c r="BJ85" s="195"/>
    </row>
    <row r="86">
      <c r="A86" s="195" t="s">
        <v>66</v>
      </c>
      <c r="B86" s="129" t="s">
        <v>44</v>
      </c>
      <c r="C86" s="195"/>
      <c r="D86" s="195">
        <v>2.5</v>
      </c>
      <c r="E86" s="129"/>
      <c r="F86" s="195"/>
      <c r="G86" s="195"/>
      <c r="BD86" s="195"/>
      <c r="BE86" s="129"/>
      <c r="BF86" s="195"/>
      <c r="BG86" s="195"/>
      <c r="BH86" s="129"/>
      <c r="BI86" s="195"/>
      <c r="BJ86" s="195"/>
    </row>
    <row r="87">
      <c r="A87" s="195" t="s">
        <v>48</v>
      </c>
      <c r="B87" s="129" t="s">
        <v>44</v>
      </c>
      <c r="C87" s="195"/>
      <c r="D87" s="195">
        <v>2.25</v>
      </c>
      <c r="E87" s="129"/>
      <c r="F87" s="195"/>
      <c r="G87" s="195"/>
      <c r="BD87" s="195"/>
      <c r="BE87" s="129"/>
      <c r="BF87" s="195"/>
      <c r="BG87" s="195"/>
      <c r="BH87" s="129"/>
      <c r="BI87" s="195"/>
      <c r="BJ87" s="195"/>
    </row>
    <row r="88">
      <c r="A88" s="195" t="s">
        <v>67</v>
      </c>
      <c r="B88" s="129" t="s">
        <v>28</v>
      </c>
      <c r="C88" s="195">
        <v>2.5</v>
      </c>
      <c r="D88" s="195">
        <v>3.75</v>
      </c>
      <c r="E88" s="129"/>
      <c r="F88" s="195"/>
      <c r="G88" s="195"/>
      <c r="BD88" s="195"/>
      <c r="BE88" s="129"/>
      <c r="BF88" s="195"/>
      <c r="BG88" s="195"/>
      <c r="BH88" s="129"/>
      <c r="BI88" s="195"/>
      <c r="BJ88" s="195"/>
    </row>
    <row r="89">
      <c r="A89" s="195" t="s">
        <v>68</v>
      </c>
      <c r="B89" s="129" t="s">
        <v>44</v>
      </c>
      <c r="C89" s="195"/>
      <c r="D89" s="195">
        <v>2.0</v>
      </c>
      <c r="E89" s="129"/>
      <c r="F89" s="195"/>
      <c r="G89" s="195"/>
      <c r="BD89" s="195"/>
      <c r="BE89" s="129"/>
      <c r="BF89" s="195"/>
      <c r="BG89" s="195"/>
      <c r="BH89" s="129"/>
      <c r="BI89" s="195"/>
      <c r="BJ89" s="195"/>
    </row>
    <row r="90">
      <c r="A90" s="195" t="s">
        <v>69</v>
      </c>
      <c r="B90" s="129" t="s">
        <v>44</v>
      </c>
      <c r="C90" s="195"/>
      <c r="D90" s="195">
        <v>2.25</v>
      </c>
      <c r="E90" s="129"/>
      <c r="F90" s="195"/>
      <c r="G90" s="195"/>
      <c r="BD90" s="195"/>
      <c r="BE90" s="129"/>
      <c r="BF90" s="195"/>
      <c r="BG90" s="195"/>
      <c r="BH90" s="129"/>
      <c r="BI90" s="195"/>
      <c r="BJ90" s="195"/>
    </row>
    <row r="91">
      <c r="A91" s="195" t="s">
        <v>70</v>
      </c>
      <c r="B91" s="129" t="s">
        <v>44</v>
      </c>
      <c r="C91" s="195"/>
      <c r="D91" s="195">
        <v>1.5</v>
      </c>
      <c r="E91" s="129"/>
      <c r="F91" s="195"/>
      <c r="G91" s="195"/>
      <c r="BD91" s="195"/>
      <c r="BE91" s="129"/>
      <c r="BF91" s="195"/>
      <c r="BG91" s="195"/>
      <c r="BH91" s="129"/>
      <c r="BI91" s="195"/>
      <c r="BJ91" s="195"/>
    </row>
    <row r="92">
      <c r="A92" s="195" t="s">
        <v>71</v>
      </c>
      <c r="B92" s="129" t="s">
        <v>44</v>
      </c>
      <c r="C92" s="195"/>
      <c r="D92" s="195">
        <v>3.0</v>
      </c>
      <c r="E92" s="129"/>
      <c r="F92" s="195"/>
      <c r="G92" s="195"/>
      <c r="BD92" s="195"/>
      <c r="BE92" s="129"/>
      <c r="BF92" s="195"/>
      <c r="BG92" s="195"/>
      <c r="BH92" s="129"/>
      <c r="BI92" s="195"/>
      <c r="BJ92" s="195"/>
    </row>
    <row r="93">
      <c r="A93" s="195" t="s">
        <v>45</v>
      </c>
      <c r="B93" s="129" t="s">
        <v>44</v>
      </c>
      <c r="C93" s="195">
        <v>2.5</v>
      </c>
      <c r="D93" s="195">
        <v>2.75</v>
      </c>
      <c r="E93" s="129" t="s">
        <v>31</v>
      </c>
      <c r="F93" s="195"/>
      <c r="G93" s="195">
        <v>0.5</v>
      </c>
      <c r="BD93" s="195"/>
      <c r="BE93" s="129"/>
      <c r="BF93" s="195"/>
      <c r="BG93" s="195"/>
      <c r="BH93" s="129"/>
      <c r="BI93" s="195"/>
      <c r="BJ93" s="195"/>
    </row>
    <row r="94">
      <c r="A94" s="195" t="s">
        <v>50</v>
      </c>
      <c r="B94" s="129" t="s">
        <v>44</v>
      </c>
      <c r="C94" s="195">
        <v>2.5</v>
      </c>
      <c r="D94" s="195">
        <v>3.0</v>
      </c>
      <c r="E94" s="129"/>
      <c r="F94" s="195"/>
      <c r="G94" s="195"/>
      <c r="BD94" s="195"/>
      <c r="BE94" s="129"/>
      <c r="BF94" s="195"/>
      <c r="BG94" s="195"/>
      <c r="BH94" s="129"/>
      <c r="BI94" s="195"/>
      <c r="BJ94" s="195"/>
    </row>
    <row r="95">
      <c r="A95" s="195" t="s">
        <v>43</v>
      </c>
      <c r="B95" s="129" t="s">
        <v>28</v>
      </c>
      <c r="C95" s="195"/>
      <c r="D95" s="195">
        <v>1.75</v>
      </c>
      <c r="E95" s="129"/>
      <c r="F95" s="195"/>
      <c r="G95" s="195"/>
      <c r="BD95" s="195"/>
      <c r="BE95" s="129"/>
      <c r="BF95" s="195"/>
      <c r="BG95" s="195"/>
      <c r="BH95" s="129"/>
      <c r="BI95" s="195"/>
      <c r="BJ95" s="195"/>
    </row>
    <row r="96">
      <c r="A96" s="195" t="s">
        <v>66</v>
      </c>
      <c r="B96" s="129" t="s">
        <v>44</v>
      </c>
      <c r="C96" s="195">
        <v>2.5</v>
      </c>
      <c r="D96" s="195">
        <v>3.75</v>
      </c>
      <c r="E96" s="129"/>
      <c r="F96" s="195"/>
      <c r="G96" s="195"/>
      <c r="BD96" s="195"/>
      <c r="BE96" s="129"/>
      <c r="BF96" s="195"/>
      <c r="BG96" s="195"/>
      <c r="BH96" s="129"/>
      <c r="BI96" s="195"/>
      <c r="BJ96" s="195"/>
    </row>
    <row r="97">
      <c r="A97" s="195" t="s">
        <v>48</v>
      </c>
      <c r="B97" s="129" t="s">
        <v>44</v>
      </c>
      <c r="C97" s="195">
        <v>2.5</v>
      </c>
      <c r="D97" s="195">
        <v>2.75</v>
      </c>
      <c r="E97" s="129"/>
      <c r="F97" s="195"/>
      <c r="G97" s="195"/>
      <c r="BD97" s="195"/>
      <c r="BE97" s="129"/>
      <c r="BF97" s="195"/>
      <c r="BG97" s="195"/>
      <c r="BH97" s="129"/>
      <c r="BI97" s="195"/>
      <c r="BJ97" s="195"/>
    </row>
    <row r="98">
      <c r="A98" s="195" t="s">
        <v>67</v>
      </c>
      <c r="B98" s="129" t="s">
        <v>28</v>
      </c>
      <c r="C98" s="195"/>
      <c r="D98" s="195">
        <v>2.25</v>
      </c>
      <c r="E98" s="129"/>
      <c r="F98" s="195"/>
      <c r="G98" s="195"/>
      <c r="BD98" s="195"/>
      <c r="BE98" s="129"/>
      <c r="BF98" s="195"/>
      <c r="BG98" s="195"/>
      <c r="BH98" s="129"/>
      <c r="BI98" s="195"/>
      <c r="BJ98" s="195"/>
    </row>
    <row r="99">
      <c r="A99" s="195" t="s">
        <v>68</v>
      </c>
      <c r="B99" s="129" t="s">
        <v>44</v>
      </c>
      <c r="C99" s="195">
        <v>2.5</v>
      </c>
      <c r="D99" s="195">
        <v>2.75</v>
      </c>
      <c r="E99" s="129"/>
      <c r="F99" s="195"/>
      <c r="G99" s="195"/>
      <c r="BD99" s="195"/>
      <c r="BE99" s="129"/>
      <c r="BF99" s="195"/>
      <c r="BG99" s="195"/>
      <c r="BH99" s="129"/>
      <c r="BI99" s="195"/>
      <c r="BJ99" s="195"/>
    </row>
    <row r="100">
      <c r="A100" s="195" t="s">
        <v>69</v>
      </c>
      <c r="B100" s="129" t="s">
        <v>44</v>
      </c>
      <c r="C100" s="195">
        <v>2.5</v>
      </c>
      <c r="D100" s="195">
        <v>3.0</v>
      </c>
      <c r="E100" s="129"/>
      <c r="F100" s="195"/>
      <c r="G100" s="195"/>
      <c r="BD100" s="195"/>
      <c r="BE100" s="129"/>
      <c r="BF100" s="195"/>
      <c r="BG100" s="195"/>
      <c r="BH100" s="129"/>
      <c r="BI100" s="195"/>
      <c r="BJ100" s="195"/>
    </row>
    <row r="101">
      <c r="A101" s="195" t="s">
        <v>70</v>
      </c>
      <c r="B101" s="129" t="s">
        <v>30</v>
      </c>
      <c r="C101" s="195"/>
      <c r="D101" s="195">
        <v>1.5</v>
      </c>
      <c r="E101" s="129"/>
      <c r="F101" s="195"/>
      <c r="G101" s="195"/>
      <c r="BD101" s="195"/>
      <c r="BE101" s="129"/>
      <c r="BF101" s="195"/>
      <c r="BG101" s="195"/>
      <c r="BH101" s="129"/>
      <c r="BI101" s="195"/>
      <c r="BJ101" s="195"/>
    </row>
    <row r="102">
      <c r="A102" s="195" t="s">
        <v>71</v>
      </c>
      <c r="B102" s="129" t="s">
        <v>29</v>
      </c>
      <c r="C102" s="195">
        <v>2.5</v>
      </c>
      <c r="D102" s="195">
        <v>4.25</v>
      </c>
      <c r="E102" s="129"/>
      <c r="F102" s="195"/>
      <c r="G102" s="195"/>
      <c r="BD102" s="195"/>
      <c r="BE102" s="129"/>
      <c r="BF102" s="195"/>
      <c r="BG102" s="195"/>
      <c r="BH102" s="129"/>
      <c r="BI102" s="195"/>
      <c r="BJ102" s="195"/>
    </row>
    <row r="103">
      <c r="A103" s="195" t="s">
        <v>45</v>
      </c>
      <c r="B103" s="129" t="s">
        <v>44</v>
      </c>
      <c r="C103" s="195"/>
      <c r="D103" s="195">
        <v>3.5</v>
      </c>
      <c r="E103" s="129"/>
      <c r="F103" s="195"/>
      <c r="G103" s="195"/>
      <c r="BD103" s="195"/>
      <c r="BE103" s="129"/>
      <c r="BF103" s="195"/>
      <c r="BG103" s="195"/>
      <c r="BH103" s="129"/>
      <c r="BI103" s="195"/>
      <c r="BJ103" s="195"/>
    </row>
    <row r="104">
      <c r="A104" s="195" t="s">
        <v>50</v>
      </c>
      <c r="B104" s="129" t="s">
        <v>44</v>
      </c>
      <c r="C104" s="195"/>
      <c r="D104" s="195">
        <v>3.0</v>
      </c>
      <c r="E104" s="129"/>
      <c r="F104" s="195"/>
      <c r="G104" s="195"/>
      <c r="BD104" s="195"/>
      <c r="BE104" s="129"/>
      <c r="BF104" s="195"/>
      <c r="BG104" s="195"/>
      <c r="BH104" s="129"/>
      <c r="BI104" s="195"/>
      <c r="BJ104" s="195"/>
    </row>
    <row r="105">
      <c r="A105" s="195" t="s">
        <v>43</v>
      </c>
      <c r="B105" s="129" t="s">
        <v>44</v>
      </c>
      <c r="C105" s="195"/>
      <c r="D105" s="195">
        <v>1.0</v>
      </c>
      <c r="E105" s="129"/>
      <c r="F105" s="195"/>
      <c r="G105" s="195"/>
      <c r="BD105" s="195"/>
      <c r="BE105" s="129"/>
      <c r="BF105" s="195"/>
      <c r="BG105" s="195"/>
      <c r="BH105" s="129"/>
      <c r="BI105" s="195"/>
      <c r="BJ105" s="195"/>
    </row>
    <row r="106">
      <c r="A106" s="195" t="s">
        <v>66</v>
      </c>
      <c r="B106" s="129" t="s">
        <v>44</v>
      </c>
      <c r="C106" s="195"/>
      <c r="D106" s="195">
        <v>3.75</v>
      </c>
      <c r="E106" s="129"/>
      <c r="F106" s="195"/>
      <c r="G106" s="195"/>
      <c r="BD106" s="195"/>
      <c r="BE106" s="129"/>
      <c r="BF106" s="195"/>
      <c r="BG106" s="195"/>
      <c r="BH106" s="129"/>
      <c r="BI106" s="195"/>
      <c r="BJ106" s="195"/>
    </row>
    <row r="107">
      <c r="A107" s="195" t="s">
        <v>48</v>
      </c>
      <c r="B107" s="129" t="s">
        <v>28</v>
      </c>
      <c r="C107" s="195">
        <v>2.5</v>
      </c>
      <c r="D107" s="195">
        <v>3.75</v>
      </c>
      <c r="E107" s="129"/>
      <c r="F107" s="195"/>
      <c r="G107" s="195"/>
      <c r="BD107" s="195"/>
      <c r="BE107" s="129"/>
      <c r="BF107" s="195"/>
      <c r="BG107" s="195"/>
      <c r="BH107" s="129"/>
      <c r="BI107" s="195"/>
      <c r="BJ107" s="195"/>
    </row>
    <row r="108">
      <c r="A108" s="195" t="s">
        <v>67</v>
      </c>
      <c r="B108" s="129" t="s">
        <v>44</v>
      </c>
      <c r="C108" s="195"/>
      <c r="D108" s="195">
        <v>1.25</v>
      </c>
      <c r="E108" s="129"/>
      <c r="F108" s="195"/>
      <c r="G108" s="195"/>
      <c r="BD108" s="195"/>
      <c r="BE108" s="129"/>
      <c r="BF108" s="195"/>
      <c r="BG108" s="195"/>
      <c r="BH108" s="129"/>
      <c r="BI108" s="195"/>
      <c r="BJ108" s="195"/>
    </row>
    <row r="109">
      <c r="A109" s="195" t="s">
        <v>68</v>
      </c>
      <c r="B109" s="129" t="s">
        <v>28</v>
      </c>
      <c r="C109" s="195">
        <v>2.5</v>
      </c>
      <c r="D109" s="195">
        <v>2.25</v>
      </c>
      <c r="E109" s="129"/>
      <c r="F109" s="195"/>
      <c r="G109" s="195"/>
      <c r="BD109" s="195"/>
      <c r="BE109" s="129"/>
      <c r="BF109" s="195"/>
      <c r="BG109" s="195"/>
      <c r="BH109" s="129"/>
      <c r="BI109" s="195"/>
      <c r="BJ109" s="195"/>
    </row>
    <row r="110">
      <c r="A110" s="195" t="s">
        <v>69</v>
      </c>
      <c r="B110" s="129" t="s">
        <v>29</v>
      </c>
      <c r="C110" s="195"/>
      <c r="D110" s="195">
        <v>2.0</v>
      </c>
      <c r="E110" s="129" t="s">
        <v>31</v>
      </c>
      <c r="F110" s="195"/>
      <c r="G110" s="195">
        <v>0.5</v>
      </c>
      <c r="BD110" s="195"/>
      <c r="BE110" s="129"/>
      <c r="BF110" s="195"/>
      <c r="BG110" s="195"/>
      <c r="BH110" s="129"/>
      <c r="BI110" s="195"/>
      <c r="BJ110" s="195"/>
    </row>
    <row r="111">
      <c r="A111" s="195" t="s">
        <v>70</v>
      </c>
      <c r="B111" s="129" t="s">
        <v>44</v>
      </c>
      <c r="C111" s="195"/>
      <c r="D111" s="195">
        <v>2.5</v>
      </c>
      <c r="E111" s="129"/>
      <c r="F111" s="195"/>
      <c r="G111" s="195"/>
      <c r="BD111" s="195"/>
      <c r="BE111" s="129"/>
      <c r="BF111" s="195"/>
      <c r="BG111" s="195"/>
      <c r="BH111" s="129"/>
      <c r="BI111" s="195"/>
      <c r="BJ111" s="195"/>
    </row>
    <row r="112">
      <c r="A112" s="195" t="s">
        <v>71</v>
      </c>
      <c r="B112" s="129" t="s">
        <v>30</v>
      </c>
      <c r="C112" s="195">
        <v>2.5</v>
      </c>
      <c r="D112" s="195">
        <v>3.0</v>
      </c>
      <c r="E112" s="129"/>
      <c r="F112" s="195"/>
      <c r="G112" s="195"/>
      <c r="BD112" s="195"/>
      <c r="BE112" s="129"/>
      <c r="BF112" s="195"/>
      <c r="BG112" s="195"/>
      <c r="BH112" s="129"/>
      <c r="BI112" s="195"/>
      <c r="BJ112" s="195"/>
    </row>
    <row r="113">
      <c r="A113" s="195" t="s">
        <v>45</v>
      </c>
      <c r="B113" s="129" t="s">
        <v>44</v>
      </c>
      <c r="C113" s="195"/>
      <c r="D113" s="195">
        <v>3.25</v>
      </c>
      <c r="E113" s="129"/>
      <c r="F113" s="195"/>
      <c r="G113" s="195"/>
      <c r="BD113" s="195"/>
      <c r="BE113" s="129"/>
      <c r="BF113" s="195"/>
      <c r="BG113" s="195"/>
      <c r="BH113" s="129"/>
      <c r="BI113" s="195"/>
      <c r="BJ113" s="195"/>
    </row>
    <row r="114">
      <c r="A114" s="195" t="s">
        <v>50</v>
      </c>
      <c r="B114" s="129" t="s">
        <v>28</v>
      </c>
      <c r="C114" s="195">
        <v>2.5</v>
      </c>
      <c r="D114" s="195">
        <v>3.5</v>
      </c>
      <c r="E114" s="129"/>
      <c r="F114" s="195"/>
      <c r="G114" s="195"/>
      <c r="BD114" s="195"/>
      <c r="BE114" s="129"/>
      <c r="BF114" s="195"/>
      <c r="BG114" s="195"/>
      <c r="BH114" s="129"/>
      <c r="BI114" s="195"/>
      <c r="BJ114" s="195"/>
    </row>
    <row r="115">
      <c r="A115" s="195" t="s">
        <v>43</v>
      </c>
      <c r="B115" s="129" t="s">
        <v>44</v>
      </c>
      <c r="C115" s="195"/>
      <c r="D115" s="195">
        <v>1.75</v>
      </c>
      <c r="E115" s="129"/>
      <c r="F115" s="195"/>
      <c r="G115" s="195"/>
      <c r="BD115" s="195"/>
      <c r="BE115" s="129"/>
      <c r="BF115" s="195"/>
      <c r="BG115" s="195"/>
      <c r="BH115" s="129"/>
      <c r="BI115" s="195"/>
      <c r="BJ115" s="195"/>
    </row>
    <row r="116">
      <c r="A116" s="195" t="s">
        <v>66</v>
      </c>
      <c r="B116" s="129" t="s">
        <v>28</v>
      </c>
      <c r="C116" s="195">
        <v>2.5</v>
      </c>
      <c r="D116" s="195">
        <v>3.75</v>
      </c>
      <c r="E116" s="129"/>
      <c r="F116" s="195"/>
      <c r="G116" s="195"/>
      <c r="BD116" s="195"/>
      <c r="BE116" s="129"/>
      <c r="BF116" s="195"/>
      <c r="BG116" s="195"/>
      <c r="BH116" s="129"/>
      <c r="BI116" s="195"/>
      <c r="BJ116" s="195"/>
    </row>
    <row r="117">
      <c r="A117" s="195" t="s">
        <v>48</v>
      </c>
      <c r="B117" s="129" t="s">
        <v>44</v>
      </c>
      <c r="C117" s="195"/>
      <c r="D117" s="195">
        <v>2.5</v>
      </c>
      <c r="E117" s="129"/>
      <c r="F117" s="195"/>
      <c r="G117" s="195"/>
      <c r="BD117" s="195"/>
      <c r="BE117" s="129"/>
      <c r="BF117" s="195"/>
      <c r="BG117" s="195"/>
      <c r="BH117" s="129"/>
      <c r="BI117" s="195"/>
      <c r="BJ117" s="195"/>
    </row>
    <row r="118">
      <c r="A118" s="195" t="s">
        <v>67</v>
      </c>
      <c r="B118" s="129" t="s">
        <v>29</v>
      </c>
      <c r="C118" s="195"/>
      <c r="D118" s="195">
        <v>2.0</v>
      </c>
      <c r="E118" s="129"/>
      <c r="F118" s="195"/>
      <c r="G118" s="195"/>
      <c r="BD118" s="195"/>
      <c r="BE118" s="129"/>
      <c r="BF118" s="195"/>
      <c r="BG118" s="195"/>
      <c r="BH118" s="129"/>
      <c r="BI118" s="195"/>
      <c r="BJ118" s="195"/>
    </row>
    <row r="119">
      <c r="A119" s="195" t="s">
        <v>68</v>
      </c>
      <c r="B119" s="129" t="s">
        <v>44</v>
      </c>
      <c r="C119" s="195"/>
      <c r="D119" s="195">
        <v>2.0</v>
      </c>
      <c r="E119" s="129"/>
      <c r="F119" s="195"/>
      <c r="G119" s="195"/>
      <c r="BD119" s="195"/>
      <c r="BE119" s="129"/>
      <c r="BF119" s="195"/>
      <c r="BG119" s="195"/>
      <c r="BH119" s="129"/>
      <c r="BI119" s="195"/>
      <c r="BJ119" s="195"/>
    </row>
    <row r="120">
      <c r="A120" s="195" t="s">
        <v>69</v>
      </c>
      <c r="B120" s="129" t="s">
        <v>44</v>
      </c>
      <c r="C120" s="195"/>
      <c r="D120" s="195">
        <v>3.0</v>
      </c>
      <c r="E120" s="129"/>
      <c r="F120" s="195"/>
      <c r="G120" s="195"/>
      <c r="BD120" s="195"/>
      <c r="BE120" s="129"/>
      <c r="BF120" s="195"/>
      <c r="BG120" s="195"/>
      <c r="BH120" s="129"/>
      <c r="BI120" s="195"/>
      <c r="BJ120" s="195"/>
    </row>
    <row r="121">
      <c r="A121" s="195" t="s">
        <v>70</v>
      </c>
      <c r="B121" s="129" t="s">
        <v>44</v>
      </c>
      <c r="C121" s="195"/>
      <c r="D121" s="195">
        <v>3.0</v>
      </c>
      <c r="E121" s="129" t="s">
        <v>31</v>
      </c>
      <c r="F121" s="195">
        <v>0.5</v>
      </c>
      <c r="G121" s="195">
        <v>0.5</v>
      </c>
      <c r="BD121" s="195"/>
      <c r="BE121" s="129"/>
      <c r="BF121" s="195"/>
      <c r="BG121" s="195"/>
      <c r="BH121" s="129"/>
      <c r="BI121" s="195"/>
      <c r="BJ121" s="195"/>
    </row>
    <row r="122">
      <c r="A122" s="195" t="s">
        <v>71</v>
      </c>
      <c r="B122" s="129" t="s">
        <v>30</v>
      </c>
      <c r="C122" s="195">
        <v>2.5</v>
      </c>
      <c r="D122" s="195">
        <v>3.25</v>
      </c>
      <c r="E122" s="129"/>
      <c r="F122" s="195"/>
      <c r="G122" s="195"/>
      <c r="BD122" s="195"/>
      <c r="BE122" s="129"/>
      <c r="BF122" s="195"/>
      <c r="BG122" s="195"/>
      <c r="BH122" s="129"/>
      <c r="BI122" s="195"/>
      <c r="BJ122" s="195"/>
    </row>
    <row r="123">
      <c r="A123" s="195" t="s">
        <v>45</v>
      </c>
      <c r="B123" s="129" t="s">
        <v>30</v>
      </c>
      <c r="C123" s="195">
        <v>2.5</v>
      </c>
      <c r="D123" s="195">
        <v>3.5</v>
      </c>
      <c r="E123" s="129"/>
      <c r="F123" s="195"/>
      <c r="G123" s="195"/>
      <c r="BD123" s="195"/>
      <c r="BE123" s="129"/>
      <c r="BF123" s="195"/>
      <c r="BG123" s="195"/>
      <c r="BH123" s="129"/>
      <c r="BI123" s="195"/>
      <c r="BJ123" s="195"/>
    </row>
    <row r="124">
      <c r="A124" s="195" t="s">
        <v>50</v>
      </c>
      <c r="B124" s="129" t="s">
        <v>44</v>
      </c>
      <c r="C124" s="195"/>
      <c r="D124" s="195">
        <v>2.5</v>
      </c>
      <c r="E124" s="129" t="s">
        <v>31</v>
      </c>
      <c r="F124" s="195"/>
      <c r="G124" s="195">
        <v>0.5</v>
      </c>
      <c r="BD124" s="195"/>
      <c r="BE124" s="129"/>
      <c r="BF124" s="195"/>
      <c r="BG124" s="195"/>
      <c r="BH124" s="129"/>
      <c r="BI124" s="195"/>
      <c r="BJ124" s="195"/>
    </row>
    <row r="125">
      <c r="A125" s="195" t="s">
        <v>43</v>
      </c>
      <c r="B125" s="129" t="s">
        <v>44</v>
      </c>
      <c r="C125" s="195"/>
      <c r="D125" s="195">
        <v>2.0</v>
      </c>
      <c r="E125" s="129"/>
      <c r="F125" s="195"/>
      <c r="G125" s="195"/>
      <c r="BD125" s="195"/>
      <c r="BE125" s="129"/>
      <c r="BF125" s="195"/>
      <c r="BG125" s="195"/>
      <c r="BH125" s="129"/>
      <c r="BI125" s="195"/>
      <c r="BJ125" s="195"/>
    </row>
    <row r="126">
      <c r="A126" s="195" t="s">
        <v>66</v>
      </c>
      <c r="B126" s="129" t="s">
        <v>44</v>
      </c>
      <c r="C126" s="195"/>
      <c r="D126" s="195">
        <v>3.25</v>
      </c>
      <c r="E126" s="129"/>
      <c r="F126" s="195"/>
      <c r="G126" s="195"/>
      <c r="BD126" s="195"/>
      <c r="BE126" s="129"/>
      <c r="BF126" s="195"/>
      <c r="BG126" s="195"/>
      <c r="BH126" s="129"/>
      <c r="BI126" s="195"/>
      <c r="BJ126" s="195"/>
    </row>
    <row r="127">
      <c r="A127" s="195" t="s">
        <v>48</v>
      </c>
      <c r="B127" s="129" t="s">
        <v>44</v>
      </c>
      <c r="C127" s="195"/>
      <c r="D127" s="195">
        <v>1.5</v>
      </c>
      <c r="E127" s="129"/>
      <c r="F127" s="195"/>
      <c r="G127" s="195"/>
      <c r="BD127" s="195"/>
      <c r="BE127" s="129"/>
      <c r="BF127" s="195"/>
      <c r="BG127" s="195"/>
      <c r="BH127" s="129"/>
      <c r="BI127" s="195"/>
      <c r="BJ127" s="195"/>
    </row>
    <row r="128">
      <c r="A128" s="195" t="s">
        <v>67</v>
      </c>
      <c r="B128" s="129" t="s">
        <v>29</v>
      </c>
      <c r="C128" s="195"/>
      <c r="D128" s="195">
        <v>0.5</v>
      </c>
      <c r="E128" s="129"/>
      <c r="F128" s="195"/>
      <c r="G128" s="195"/>
      <c r="BD128" s="195"/>
      <c r="BE128" s="129"/>
      <c r="BF128" s="195"/>
      <c r="BG128" s="195"/>
      <c r="BH128" s="129"/>
      <c r="BI128" s="195"/>
      <c r="BJ128" s="195"/>
    </row>
    <row r="129">
      <c r="A129" s="195" t="s">
        <v>68</v>
      </c>
      <c r="B129" s="129" t="s">
        <v>28</v>
      </c>
      <c r="C129" s="195">
        <v>2.5</v>
      </c>
      <c r="D129" s="195">
        <v>3.0</v>
      </c>
      <c r="E129" s="129"/>
      <c r="F129" s="195"/>
      <c r="G129" s="195"/>
      <c r="BD129" s="195"/>
      <c r="BE129" s="129"/>
      <c r="BF129" s="195"/>
      <c r="BG129" s="195"/>
      <c r="BH129" s="129"/>
      <c r="BI129" s="195"/>
      <c r="BJ129" s="195"/>
    </row>
    <row r="130">
      <c r="A130" s="195" t="s">
        <v>69</v>
      </c>
      <c r="B130" s="129" t="s">
        <v>44</v>
      </c>
      <c r="C130" s="195"/>
      <c r="D130" s="195">
        <v>2.25</v>
      </c>
      <c r="E130" s="129"/>
      <c r="F130" s="195"/>
      <c r="G130" s="195"/>
      <c r="BD130" s="195"/>
      <c r="BE130" s="129"/>
      <c r="BF130" s="195"/>
      <c r="BG130" s="195"/>
      <c r="BH130" s="129"/>
      <c r="BI130" s="195"/>
      <c r="BJ130" s="195"/>
    </row>
    <row r="131">
      <c r="A131" s="195" t="s">
        <v>70</v>
      </c>
      <c r="B131" s="129" t="s">
        <v>44</v>
      </c>
      <c r="C131" s="195"/>
      <c r="D131" s="195">
        <v>2.75</v>
      </c>
      <c r="E131" s="129"/>
      <c r="F131" s="195"/>
      <c r="G131" s="195"/>
      <c r="BD131" s="195"/>
      <c r="BE131" s="129"/>
      <c r="BF131" s="195"/>
      <c r="BG131" s="195"/>
      <c r="BH131" s="129"/>
      <c r="BI131" s="195"/>
      <c r="BJ131" s="195"/>
    </row>
    <row r="132">
      <c r="A132" s="195" t="s">
        <v>71</v>
      </c>
      <c r="B132" s="129" t="s">
        <v>28</v>
      </c>
      <c r="C132" s="195">
        <v>2.5</v>
      </c>
      <c r="D132" s="195">
        <v>3.0</v>
      </c>
      <c r="E132" s="129"/>
      <c r="F132" s="195"/>
      <c r="G132" s="195"/>
      <c r="BD132" s="195"/>
      <c r="BE132" s="129"/>
      <c r="BF132" s="195"/>
      <c r="BG132" s="195"/>
      <c r="BH132" s="129"/>
      <c r="BI132" s="195"/>
      <c r="BJ132" s="195"/>
    </row>
    <row r="133">
      <c r="A133" s="195" t="s">
        <v>45</v>
      </c>
      <c r="B133" s="129" t="s">
        <v>30</v>
      </c>
      <c r="C133" s="195">
        <v>2.5</v>
      </c>
      <c r="D133" s="195">
        <v>4.25</v>
      </c>
      <c r="E133" s="129"/>
      <c r="F133" s="195"/>
      <c r="G133" s="195"/>
      <c r="BD133" s="195"/>
      <c r="BE133" s="129"/>
      <c r="BF133" s="195"/>
      <c r="BG133" s="195"/>
      <c r="BH133" s="129"/>
      <c r="BI133" s="195"/>
      <c r="BJ133" s="195"/>
    </row>
    <row r="134">
      <c r="A134" s="195" t="s">
        <v>50</v>
      </c>
      <c r="B134" s="129" t="s">
        <v>44</v>
      </c>
      <c r="C134" s="195"/>
      <c r="D134" s="195">
        <v>2.0</v>
      </c>
      <c r="E134" s="129"/>
      <c r="F134" s="195"/>
      <c r="G134" s="195"/>
      <c r="BD134" s="195"/>
      <c r="BE134" s="129"/>
      <c r="BF134" s="195"/>
      <c r="BG134" s="195"/>
      <c r="BH134" s="129"/>
      <c r="BI134" s="195"/>
      <c r="BJ134" s="195"/>
    </row>
    <row r="135">
      <c r="A135" s="195" t="s">
        <v>43</v>
      </c>
      <c r="B135" s="129" t="s">
        <v>28</v>
      </c>
      <c r="C135" s="195">
        <v>2.5</v>
      </c>
      <c r="D135" s="195">
        <v>3.25</v>
      </c>
      <c r="E135" s="129"/>
      <c r="F135" s="195"/>
      <c r="G135" s="195"/>
      <c r="BD135" s="195"/>
      <c r="BE135" s="129"/>
      <c r="BF135" s="195"/>
      <c r="BG135" s="195"/>
      <c r="BH135" s="129"/>
      <c r="BI135" s="195"/>
      <c r="BJ135" s="195"/>
    </row>
    <row r="136">
      <c r="A136" s="195" t="s">
        <v>66</v>
      </c>
      <c r="B136" s="129" t="s">
        <v>28</v>
      </c>
      <c r="C136" s="195">
        <v>2.5</v>
      </c>
      <c r="D136" s="195">
        <v>3.75</v>
      </c>
      <c r="E136" s="129"/>
      <c r="F136" s="195"/>
      <c r="G136" s="195"/>
      <c r="BD136" s="195"/>
      <c r="BE136" s="129"/>
      <c r="BF136" s="195"/>
      <c r="BG136" s="195"/>
      <c r="BH136" s="129"/>
      <c r="BI136" s="195"/>
      <c r="BJ136" s="195"/>
    </row>
    <row r="137">
      <c r="A137" s="195" t="s">
        <v>48</v>
      </c>
      <c r="B137" s="129" t="s">
        <v>44</v>
      </c>
      <c r="C137" s="195"/>
      <c r="D137" s="195">
        <v>1.75</v>
      </c>
      <c r="E137" s="129"/>
      <c r="F137" s="195"/>
      <c r="G137" s="195"/>
      <c r="BD137" s="195"/>
      <c r="BE137" s="129"/>
      <c r="BF137" s="195"/>
      <c r="BG137" s="195"/>
      <c r="BH137" s="129"/>
      <c r="BI137" s="195"/>
      <c r="BJ137" s="195"/>
    </row>
    <row r="138">
      <c r="A138" s="195" t="s">
        <v>67</v>
      </c>
      <c r="B138" s="129" t="s">
        <v>44</v>
      </c>
      <c r="C138" s="195"/>
      <c r="D138" s="195">
        <v>2.0</v>
      </c>
      <c r="E138" s="129"/>
      <c r="F138" s="195"/>
      <c r="G138" s="195"/>
      <c r="BD138" s="195"/>
      <c r="BE138" s="129"/>
      <c r="BF138" s="195"/>
      <c r="BG138" s="195"/>
      <c r="BH138" s="129"/>
      <c r="BI138" s="195"/>
      <c r="BJ138" s="195"/>
    </row>
    <row r="139">
      <c r="A139" s="195" t="s">
        <v>68</v>
      </c>
      <c r="B139" s="129" t="s">
        <v>44</v>
      </c>
      <c r="C139" s="195"/>
      <c r="D139" s="195">
        <v>2.0</v>
      </c>
      <c r="E139" s="129"/>
      <c r="F139" s="195"/>
      <c r="G139" s="195"/>
      <c r="BD139" s="195"/>
      <c r="BE139" s="129"/>
      <c r="BF139" s="195"/>
      <c r="BG139" s="195"/>
      <c r="BH139" s="129"/>
      <c r="BI139" s="195"/>
      <c r="BJ139" s="195"/>
    </row>
    <row r="140">
      <c r="A140" s="195" t="s">
        <v>69</v>
      </c>
      <c r="B140" s="129" t="s">
        <v>44</v>
      </c>
      <c r="C140" s="195"/>
      <c r="D140" s="195">
        <v>1.0</v>
      </c>
      <c r="E140" s="129"/>
      <c r="F140" s="195"/>
      <c r="G140" s="195"/>
      <c r="BD140" s="195"/>
      <c r="BE140" s="129"/>
      <c r="BF140" s="195"/>
      <c r="BG140" s="195"/>
      <c r="BH140" s="129"/>
      <c r="BI140" s="195"/>
      <c r="BJ140" s="195"/>
    </row>
    <row r="141">
      <c r="A141" s="195" t="s">
        <v>70</v>
      </c>
      <c r="B141" s="129" t="s">
        <v>29</v>
      </c>
      <c r="C141" s="195"/>
      <c r="D141" s="195">
        <v>1.75</v>
      </c>
      <c r="E141" s="129"/>
      <c r="F141" s="195"/>
      <c r="G141" s="195"/>
      <c r="BD141" s="195"/>
      <c r="BE141" s="129"/>
      <c r="BF141" s="195"/>
      <c r="BG141" s="195"/>
      <c r="BH141" s="129"/>
      <c r="BI141" s="195"/>
      <c r="BJ141" s="195"/>
    </row>
    <row r="142">
      <c r="A142" s="195" t="s">
        <v>71</v>
      </c>
      <c r="B142" s="129" t="s">
        <v>44</v>
      </c>
      <c r="C142" s="195"/>
      <c r="D142" s="195">
        <v>2.25</v>
      </c>
      <c r="E142" s="129" t="s">
        <v>31</v>
      </c>
      <c r="F142" s="195"/>
      <c r="G142" s="195">
        <v>0.5</v>
      </c>
      <c r="BD142" s="195"/>
      <c r="BE142" s="129"/>
      <c r="BF142" s="195"/>
      <c r="BG142" s="195"/>
      <c r="BH142" s="129"/>
      <c r="BI142" s="195"/>
      <c r="BJ142" s="195"/>
    </row>
    <row r="143">
      <c r="A143" s="195" t="s">
        <v>48</v>
      </c>
      <c r="B143" s="129" t="s">
        <v>44</v>
      </c>
      <c r="C143" s="195"/>
      <c r="D143" s="195">
        <v>3.0</v>
      </c>
      <c r="E143" s="129"/>
      <c r="F143" s="195"/>
      <c r="G143" s="195"/>
    </row>
    <row r="144">
      <c r="A144" s="195" t="s">
        <v>68</v>
      </c>
      <c r="B144" s="129" t="s">
        <v>44</v>
      </c>
      <c r="C144" s="195"/>
      <c r="D144" s="195">
        <v>1.5</v>
      </c>
      <c r="E144" s="129"/>
      <c r="F144" s="195"/>
      <c r="G144" s="195"/>
    </row>
    <row r="145">
      <c r="A145" s="195" t="s">
        <v>74</v>
      </c>
      <c r="B145" s="129" t="s">
        <v>44</v>
      </c>
      <c r="C145" s="195"/>
      <c r="D145" s="195">
        <v>2.0</v>
      </c>
      <c r="E145" s="129" t="s">
        <v>31</v>
      </c>
      <c r="F145" s="195"/>
      <c r="G145" s="195">
        <v>0.5</v>
      </c>
    </row>
    <row r="146">
      <c r="A146" s="195" t="s">
        <v>69</v>
      </c>
      <c r="B146" s="129" t="s">
        <v>44</v>
      </c>
      <c r="C146" s="195"/>
      <c r="D146" s="195">
        <v>1.5</v>
      </c>
      <c r="E146" s="129"/>
      <c r="F146" s="195"/>
      <c r="G146" s="195"/>
    </row>
    <row r="147">
      <c r="A147" s="195" t="s">
        <v>75</v>
      </c>
      <c r="B147" s="129" t="s">
        <v>44</v>
      </c>
      <c r="C147" s="195"/>
      <c r="D147" s="195">
        <v>3.0</v>
      </c>
      <c r="E147" s="129"/>
      <c r="F147" s="195"/>
      <c r="G147" s="195"/>
    </row>
    <row r="148">
      <c r="A148" s="195" t="s">
        <v>45</v>
      </c>
      <c r="B148" s="129" t="s">
        <v>28</v>
      </c>
      <c r="C148" s="195">
        <v>2.5</v>
      </c>
      <c r="D148" s="195">
        <v>3.5</v>
      </c>
      <c r="E148" s="129"/>
      <c r="F148" s="195"/>
      <c r="G148" s="195"/>
    </row>
    <row r="149">
      <c r="A149" s="195" t="s">
        <v>50</v>
      </c>
      <c r="B149" s="129" t="s">
        <v>28</v>
      </c>
      <c r="C149" s="195">
        <v>2.5</v>
      </c>
      <c r="D149" s="195">
        <v>3.75</v>
      </c>
      <c r="E149" s="129"/>
      <c r="F149" s="195"/>
      <c r="G149" s="195"/>
    </row>
    <row r="150">
      <c r="A150" s="195" t="s">
        <v>43</v>
      </c>
      <c r="B150" s="129" t="s">
        <v>44</v>
      </c>
      <c r="C150" s="195"/>
      <c r="D150" s="195">
        <v>2.5</v>
      </c>
      <c r="E150" s="129"/>
      <c r="F150" s="195"/>
      <c r="G150" s="195"/>
    </row>
    <row r="151">
      <c r="A151" s="195" t="s">
        <v>76</v>
      </c>
      <c r="B151" s="129" t="s">
        <v>30</v>
      </c>
      <c r="C151" s="195">
        <v>2.5</v>
      </c>
      <c r="D151" s="195">
        <v>3.5</v>
      </c>
      <c r="E151" s="129"/>
      <c r="F151" s="195"/>
      <c r="G151" s="195"/>
    </row>
    <row r="152">
      <c r="A152" s="195" t="s">
        <v>77</v>
      </c>
      <c r="B152" s="129" t="s">
        <v>29</v>
      </c>
      <c r="C152" s="195"/>
      <c r="D152" s="195">
        <v>2.0</v>
      </c>
      <c r="E152" s="129"/>
      <c r="F152" s="195"/>
      <c r="G152" s="195"/>
    </row>
    <row r="153">
      <c r="A153" s="195" t="s">
        <v>48</v>
      </c>
      <c r="B153" s="129" t="s">
        <v>44</v>
      </c>
      <c r="C153" s="195">
        <v>2.5</v>
      </c>
      <c r="D153" s="195">
        <v>3.0</v>
      </c>
      <c r="E153" s="129" t="s">
        <v>31</v>
      </c>
      <c r="F153" s="195">
        <v>0.5</v>
      </c>
      <c r="G153" s="195">
        <v>0.5</v>
      </c>
    </row>
    <row r="154">
      <c r="A154" s="195" t="s">
        <v>68</v>
      </c>
      <c r="B154" s="129" t="s">
        <v>44</v>
      </c>
      <c r="C154" s="195">
        <v>2.5</v>
      </c>
      <c r="D154" s="195">
        <v>3.0</v>
      </c>
      <c r="E154" s="129"/>
      <c r="F154" s="195"/>
      <c r="G154" s="195"/>
    </row>
    <row r="155">
      <c r="A155" s="195" t="s">
        <v>74</v>
      </c>
      <c r="B155" s="129" t="s">
        <v>30</v>
      </c>
      <c r="C155" s="195"/>
      <c r="D155" s="195">
        <v>1.25</v>
      </c>
      <c r="E155" s="129"/>
      <c r="F155" s="195"/>
      <c r="G155" s="195"/>
    </row>
    <row r="156">
      <c r="A156" s="195" t="s">
        <v>69</v>
      </c>
      <c r="B156" s="129" t="s">
        <v>44</v>
      </c>
      <c r="C156" s="195">
        <v>2.5</v>
      </c>
      <c r="D156" s="195">
        <v>4.0</v>
      </c>
      <c r="E156" s="129"/>
      <c r="F156" s="195"/>
      <c r="G156" s="195"/>
    </row>
    <row r="157">
      <c r="A157" s="195" t="s">
        <v>75</v>
      </c>
      <c r="B157" s="129" t="s">
        <v>28</v>
      </c>
      <c r="C157" s="195"/>
      <c r="D157" s="195">
        <v>1.75</v>
      </c>
      <c r="E157" s="129"/>
      <c r="F157" s="195"/>
      <c r="G157" s="195"/>
    </row>
    <row r="158">
      <c r="A158" s="195" t="s">
        <v>45</v>
      </c>
      <c r="B158" s="129" t="s">
        <v>44</v>
      </c>
      <c r="C158" s="195">
        <v>2.5</v>
      </c>
      <c r="D158" s="195">
        <v>2.25</v>
      </c>
      <c r="E158" s="129"/>
      <c r="F158" s="195"/>
      <c r="G158" s="195"/>
    </row>
    <row r="159">
      <c r="A159" s="195" t="s">
        <v>50</v>
      </c>
      <c r="B159" s="129" t="s">
        <v>44</v>
      </c>
      <c r="C159" s="195">
        <v>2.5</v>
      </c>
      <c r="D159" s="195">
        <v>3.5</v>
      </c>
      <c r="E159" s="129"/>
      <c r="F159" s="195"/>
      <c r="G159" s="195"/>
    </row>
    <row r="160">
      <c r="A160" s="195" t="s">
        <v>43</v>
      </c>
      <c r="B160" s="129" t="s">
        <v>44</v>
      </c>
      <c r="C160" s="195">
        <v>2.5</v>
      </c>
      <c r="D160" s="195">
        <v>3.0</v>
      </c>
      <c r="E160" s="129"/>
      <c r="F160" s="195"/>
      <c r="G160" s="195"/>
    </row>
    <row r="161">
      <c r="A161" s="195" t="s">
        <v>76</v>
      </c>
      <c r="B161" s="129" t="s">
        <v>29</v>
      </c>
      <c r="C161" s="195">
        <v>2.5</v>
      </c>
      <c r="D161" s="195">
        <v>3.75</v>
      </c>
      <c r="E161" s="129"/>
      <c r="F161" s="195"/>
      <c r="G161" s="195"/>
    </row>
    <row r="162">
      <c r="A162" s="195" t="s">
        <v>77</v>
      </c>
      <c r="B162" s="129" t="s">
        <v>28</v>
      </c>
      <c r="C162" s="195"/>
      <c r="D162" s="195">
        <v>2.25</v>
      </c>
      <c r="E162" s="129"/>
      <c r="F162" s="195"/>
      <c r="G162" s="195"/>
    </row>
    <row r="163">
      <c r="A163" s="195" t="s">
        <v>48</v>
      </c>
      <c r="B163" s="129" t="s">
        <v>28</v>
      </c>
      <c r="C163" s="195">
        <v>2.5</v>
      </c>
      <c r="D163" s="195">
        <v>3.75</v>
      </c>
      <c r="E163" s="129"/>
      <c r="F163" s="195"/>
      <c r="G163" s="195"/>
    </row>
    <row r="164">
      <c r="A164" s="195" t="s">
        <v>68</v>
      </c>
      <c r="B164" s="129" t="s">
        <v>44</v>
      </c>
      <c r="C164" s="195"/>
      <c r="D164" s="195">
        <v>1.5</v>
      </c>
      <c r="E164" s="129"/>
      <c r="F164" s="195"/>
      <c r="G164" s="195"/>
    </row>
    <row r="165">
      <c r="A165" s="195" t="s">
        <v>74</v>
      </c>
      <c r="B165" s="129" t="s">
        <v>44</v>
      </c>
      <c r="C165" s="195"/>
      <c r="D165" s="195">
        <v>1.75</v>
      </c>
      <c r="E165" s="129"/>
      <c r="F165" s="195"/>
      <c r="G165" s="195"/>
    </row>
    <row r="166">
      <c r="A166" s="195" t="s">
        <v>69</v>
      </c>
      <c r="B166" s="129" t="s">
        <v>44</v>
      </c>
      <c r="C166" s="195"/>
      <c r="D166" s="195">
        <v>1.75</v>
      </c>
      <c r="E166" s="129"/>
      <c r="F166" s="195"/>
      <c r="G166" s="195"/>
    </row>
    <row r="167">
      <c r="A167" s="195" t="s">
        <v>75</v>
      </c>
      <c r="B167" s="129" t="s">
        <v>44</v>
      </c>
      <c r="C167" s="195"/>
      <c r="D167" s="195">
        <v>2.0</v>
      </c>
      <c r="E167" s="129"/>
      <c r="F167" s="195"/>
      <c r="G167" s="195"/>
    </row>
    <row r="168">
      <c r="A168" s="195" t="s">
        <v>45</v>
      </c>
      <c r="B168" s="129" t="s">
        <v>29</v>
      </c>
      <c r="C168" s="195"/>
      <c r="D168" s="195">
        <v>2.5</v>
      </c>
      <c r="E168" s="129"/>
      <c r="F168" s="195"/>
      <c r="G168" s="195"/>
    </row>
    <row r="169">
      <c r="A169" s="195" t="s">
        <v>50</v>
      </c>
      <c r="B169" s="129" t="s">
        <v>44</v>
      </c>
      <c r="C169" s="195"/>
      <c r="D169" s="195">
        <v>0.75</v>
      </c>
      <c r="E169" s="129" t="s">
        <v>31</v>
      </c>
      <c r="F169" s="195"/>
      <c r="G169" s="195">
        <v>0.5</v>
      </c>
    </row>
    <row r="170">
      <c r="A170" s="195" t="s">
        <v>43</v>
      </c>
      <c r="B170" s="129" t="s">
        <v>30</v>
      </c>
      <c r="C170" s="195">
        <v>2.5</v>
      </c>
      <c r="D170" s="195">
        <v>4.0</v>
      </c>
      <c r="E170" s="129"/>
      <c r="F170" s="195"/>
      <c r="G170" s="195"/>
    </row>
    <row r="171">
      <c r="A171" s="195" t="s">
        <v>76</v>
      </c>
      <c r="B171" s="129" t="s">
        <v>44</v>
      </c>
      <c r="C171" s="195"/>
      <c r="D171" s="195">
        <v>2.0</v>
      </c>
      <c r="E171" s="129"/>
      <c r="F171" s="195"/>
      <c r="G171" s="195"/>
    </row>
    <row r="172">
      <c r="A172" s="195" t="s">
        <v>77</v>
      </c>
      <c r="B172" s="129" t="s">
        <v>28</v>
      </c>
      <c r="C172" s="195">
        <v>2.5</v>
      </c>
      <c r="D172" s="195">
        <v>3.25</v>
      </c>
      <c r="E172" s="129"/>
      <c r="F172" s="195"/>
      <c r="G172" s="195"/>
    </row>
    <row r="173">
      <c r="A173" s="195" t="s">
        <v>48</v>
      </c>
      <c r="B173" s="129" t="s">
        <v>44</v>
      </c>
      <c r="C173" s="195">
        <v>2.5</v>
      </c>
      <c r="D173" s="195">
        <v>3.75</v>
      </c>
      <c r="E173" s="129"/>
      <c r="F173" s="195"/>
      <c r="G173" s="195"/>
    </row>
    <row r="174">
      <c r="A174" s="195" t="s">
        <v>68</v>
      </c>
      <c r="B174" s="129" t="s">
        <v>28</v>
      </c>
      <c r="C174" s="195"/>
      <c r="D174" s="195">
        <v>2.5</v>
      </c>
      <c r="E174" s="129"/>
      <c r="F174" s="195"/>
      <c r="G174" s="195"/>
    </row>
    <row r="175">
      <c r="A175" s="195" t="s">
        <v>74</v>
      </c>
      <c r="B175" s="129" t="s">
        <v>44</v>
      </c>
      <c r="C175" s="195">
        <v>2.5</v>
      </c>
      <c r="D175" s="195">
        <v>2.5</v>
      </c>
      <c r="E175" s="129"/>
      <c r="F175" s="195"/>
      <c r="G175" s="195"/>
    </row>
    <row r="176">
      <c r="A176" s="195" t="s">
        <v>69</v>
      </c>
      <c r="B176" s="129" t="s">
        <v>44</v>
      </c>
      <c r="C176" s="195">
        <v>2.5</v>
      </c>
      <c r="D176" s="195">
        <v>3.75</v>
      </c>
      <c r="E176" s="129"/>
      <c r="F176" s="195"/>
      <c r="G176" s="195"/>
    </row>
    <row r="177">
      <c r="A177" s="195" t="s">
        <v>75</v>
      </c>
      <c r="B177" s="129" t="s">
        <v>44</v>
      </c>
      <c r="C177" s="195">
        <v>2.5</v>
      </c>
      <c r="D177" s="195">
        <v>2.0</v>
      </c>
      <c r="E177" s="129" t="s">
        <v>31</v>
      </c>
      <c r="F177" s="195"/>
      <c r="G177" s="195">
        <v>0.5</v>
      </c>
    </row>
    <row r="178">
      <c r="A178" s="195" t="s">
        <v>45</v>
      </c>
      <c r="B178" s="129" t="s">
        <v>30</v>
      </c>
      <c r="C178" s="195"/>
      <c r="D178" s="195">
        <v>2.0</v>
      </c>
      <c r="E178" s="129"/>
      <c r="F178" s="195"/>
      <c r="G178" s="195"/>
    </row>
    <row r="179">
      <c r="A179" s="195" t="s">
        <v>50</v>
      </c>
      <c r="B179" s="129" t="s">
        <v>29</v>
      </c>
      <c r="C179" s="195">
        <v>2.5</v>
      </c>
      <c r="D179" s="195">
        <v>3.5</v>
      </c>
      <c r="E179" s="129"/>
      <c r="F179" s="195"/>
      <c r="G179" s="195"/>
    </row>
    <row r="180">
      <c r="A180" s="195" t="s">
        <v>43</v>
      </c>
      <c r="B180" s="129" t="s">
        <v>28</v>
      </c>
      <c r="C180" s="195"/>
      <c r="D180" s="195">
        <v>2.5</v>
      </c>
      <c r="E180" s="129"/>
      <c r="F180" s="195"/>
      <c r="G180" s="195"/>
    </row>
    <row r="181">
      <c r="A181" s="195" t="s">
        <v>76</v>
      </c>
      <c r="B181" s="129" t="s">
        <v>44</v>
      </c>
      <c r="C181" s="195">
        <v>2.5</v>
      </c>
      <c r="D181" s="195">
        <v>1.75</v>
      </c>
      <c r="E181" s="129"/>
      <c r="F181" s="195"/>
      <c r="G181" s="195"/>
    </row>
    <row r="182">
      <c r="A182" s="195" t="s">
        <v>77</v>
      </c>
      <c r="B182" s="129" t="s">
        <v>44</v>
      </c>
      <c r="C182" s="195">
        <v>2.5</v>
      </c>
      <c r="D182" s="195">
        <v>3.25</v>
      </c>
      <c r="E182" s="129"/>
      <c r="F182" s="195"/>
      <c r="G182" s="195"/>
    </row>
    <row r="183">
      <c r="A183" s="195" t="s">
        <v>48</v>
      </c>
      <c r="B183" s="129" t="s">
        <v>30</v>
      </c>
      <c r="C183" s="195"/>
      <c r="D183" s="195">
        <v>2.75</v>
      </c>
      <c r="E183" s="129"/>
      <c r="F183" s="195"/>
      <c r="G183" s="195"/>
    </row>
    <row r="184">
      <c r="A184" s="195" t="s">
        <v>68</v>
      </c>
      <c r="B184" s="129" t="s">
        <v>44</v>
      </c>
      <c r="C184" s="195">
        <v>2.5</v>
      </c>
      <c r="D184" s="195">
        <v>2.25</v>
      </c>
      <c r="E184" s="129"/>
      <c r="F184" s="195"/>
      <c r="G184" s="195"/>
    </row>
    <row r="185">
      <c r="A185" s="195" t="s">
        <v>74</v>
      </c>
      <c r="B185" s="129" t="s">
        <v>28</v>
      </c>
      <c r="C185" s="195"/>
      <c r="D185" s="195">
        <v>1.0</v>
      </c>
      <c r="E185" s="129"/>
      <c r="F185" s="195"/>
      <c r="G185" s="195"/>
    </row>
    <row r="186">
      <c r="A186" s="195" t="s">
        <v>69</v>
      </c>
      <c r="B186" s="129" t="s">
        <v>44</v>
      </c>
      <c r="C186" s="195">
        <v>2.5</v>
      </c>
      <c r="D186" s="195">
        <v>2.25</v>
      </c>
      <c r="E186" s="129"/>
      <c r="F186" s="195"/>
      <c r="G186" s="195"/>
    </row>
    <row r="187">
      <c r="A187" s="195" t="s">
        <v>75</v>
      </c>
      <c r="B187" s="129" t="s">
        <v>29</v>
      </c>
      <c r="C187" s="195">
        <v>2.5</v>
      </c>
      <c r="D187" s="195">
        <v>2.0</v>
      </c>
      <c r="E187" s="129"/>
      <c r="F187" s="195"/>
      <c r="G187" s="195"/>
    </row>
    <row r="188">
      <c r="A188" s="195" t="s">
        <v>45</v>
      </c>
      <c r="B188" s="129" t="s">
        <v>44</v>
      </c>
      <c r="C188" s="195">
        <v>2.5</v>
      </c>
      <c r="D188" s="195">
        <v>2.75</v>
      </c>
      <c r="E188" s="129" t="s">
        <v>31</v>
      </c>
      <c r="F188" s="195"/>
      <c r="G188" s="195">
        <v>0.5</v>
      </c>
    </row>
    <row r="189">
      <c r="A189" s="195" t="s">
        <v>50</v>
      </c>
      <c r="B189" s="129" t="s">
        <v>44</v>
      </c>
      <c r="C189" s="195">
        <v>2.5</v>
      </c>
      <c r="D189" s="195">
        <v>3.0</v>
      </c>
      <c r="E189" s="129"/>
      <c r="F189" s="195"/>
      <c r="G189" s="195"/>
    </row>
    <row r="190">
      <c r="A190" s="195" t="s">
        <v>43</v>
      </c>
      <c r="B190" s="129" t="s">
        <v>44</v>
      </c>
      <c r="C190" s="195">
        <v>2.5</v>
      </c>
      <c r="D190" s="195">
        <v>1.75</v>
      </c>
      <c r="E190" s="129"/>
      <c r="F190" s="195"/>
      <c r="G190" s="195"/>
    </row>
    <row r="191">
      <c r="A191" s="195" t="s">
        <v>76</v>
      </c>
      <c r="B191" s="129" t="s">
        <v>28</v>
      </c>
      <c r="C191" s="195"/>
      <c r="D191" s="195">
        <v>2.75</v>
      </c>
      <c r="E191" s="129"/>
      <c r="F191" s="195"/>
      <c r="G191" s="195"/>
    </row>
    <row r="192">
      <c r="A192" s="195" t="s">
        <v>77</v>
      </c>
      <c r="B192" s="129" t="s">
        <v>44</v>
      </c>
      <c r="C192" s="195">
        <v>2.5</v>
      </c>
      <c r="D192" s="195">
        <v>3.0</v>
      </c>
      <c r="E192" s="129"/>
      <c r="F192" s="195"/>
      <c r="G192" s="195"/>
    </row>
    <row r="193">
      <c r="A193" s="195" t="s">
        <v>48</v>
      </c>
      <c r="B193" s="129" t="s">
        <v>44</v>
      </c>
      <c r="C193" s="195"/>
      <c r="D193" s="195">
        <v>2.5</v>
      </c>
      <c r="E193" s="129" t="s">
        <v>31</v>
      </c>
      <c r="F193" s="195"/>
      <c r="G193" s="195">
        <v>1.0</v>
      </c>
    </row>
    <row r="194">
      <c r="A194" s="195" t="s">
        <v>68</v>
      </c>
      <c r="B194" s="129" t="s">
        <v>44</v>
      </c>
      <c r="C194" s="195"/>
      <c r="D194" s="195">
        <v>2.25</v>
      </c>
      <c r="E194" s="129"/>
      <c r="F194" s="195"/>
      <c r="G194" s="195"/>
    </row>
    <row r="195">
      <c r="A195" s="195" t="s">
        <v>74</v>
      </c>
      <c r="B195" s="129" t="s">
        <v>44</v>
      </c>
      <c r="C195" s="195"/>
      <c r="D195" s="195">
        <v>1.75</v>
      </c>
      <c r="E195" s="129"/>
      <c r="F195" s="195"/>
      <c r="G195" s="195"/>
    </row>
    <row r="196">
      <c r="A196" s="195" t="s">
        <v>69</v>
      </c>
      <c r="B196" s="129" t="s">
        <v>44</v>
      </c>
      <c r="C196" s="195"/>
      <c r="D196" s="195">
        <v>1.5</v>
      </c>
      <c r="E196" s="129"/>
      <c r="F196" s="195"/>
      <c r="G196" s="195"/>
    </row>
    <row r="197">
      <c r="A197" s="195" t="s">
        <v>75</v>
      </c>
      <c r="B197" s="129" t="s">
        <v>30</v>
      </c>
      <c r="C197" s="195">
        <v>2.5</v>
      </c>
      <c r="D197" s="195">
        <v>3.75</v>
      </c>
      <c r="E197" s="129"/>
      <c r="F197" s="195"/>
      <c r="G197" s="195"/>
    </row>
    <row r="198">
      <c r="A198" s="195" t="s">
        <v>45</v>
      </c>
      <c r="B198" s="129" t="s">
        <v>44</v>
      </c>
      <c r="C198" s="195"/>
      <c r="D198" s="195">
        <v>4.5</v>
      </c>
      <c r="E198" s="129"/>
      <c r="F198" s="195"/>
      <c r="G198" s="195"/>
    </row>
    <row r="199">
      <c r="A199" s="195" t="s">
        <v>50</v>
      </c>
      <c r="B199" s="129" t="s">
        <v>28</v>
      </c>
      <c r="C199" s="195">
        <v>2.5</v>
      </c>
      <c r="D199" s="195">
        <v>4.5</v>
      </c>
      <c r="E199" s="129"/>
      <c r="F199" s="195"/>
      <c r="G199" s="195"/>
    </row>
    <row r="200">
      <c r="A200" s="195" t="s">
        <v>43</v>
      </c>
      <c r="B200" s="129" t="s">
        <v>29</v>
      </c>
      <c r="C200" s="195"/>
      <c r="D200" s="195">
        <v>2.25</v>
      </c>
      <c r="E200" s="129"/>
      <c r="F200" s="195"/>
      <c r="G200" s="195"/>
    </row>
    <row r="201">
      <c r="A201" s="195" t="s">
        <v>76</v>
      </c>
      <c r="B201" s="129" t="s">
        <v>28</v>
      </c>
      <c r="C201" s="195">
        <v>2.5</v>
      </c>
      <c r="D201" s="195">
        <v>3.25</v>
      </c>
      <c r="E201" s="129"/>
      <c r="F201" s="195"/>
      <c r="G201" s="195"/>
    </row>
    <row r="202">
      <c r="A202" s="195" t="s">
        <v>77</v>
      </c>
      <c r="B202" s="129" t="s">
        <v>44</v>
      </c>
      <c r="C202" s="195"/>
      <c r="D202" s="195">
        <v>1.5</v>
      </c>
      <c r="E202" s="129"/>
      <c r="F202" s="195"/>
      <c r="G202" s="195"/>
    </row>
    <row r="203">
      <c r="A203" s="195" t="s">
        <v>48</v>
      </c>
      <c r="B203" s="129" t="s">
        <v>28</v>
      </c>
      <c r="C203" s="195">
        <v>2.5</v>
      </c>
      <c r="D203" s="195">
        <v>2.5</v>
      </c>
      <c r="E203" s="129"/>
      <c r="F203" s="195"/>
      <c r="G203" s="195"/>
    </row>
    <row r="204">
      <c r="A204" s="195" t="s">
        <v>68</v>
      </c>
      <c r="B204" s="129" t="s">
        <v>44</v>
      </c>
      <c r="C204" s="195"/>
      <c r="D204" s="195">
        <v>2.0</v>
      </c>
      <c r="E204" s="129"/>
      <c r="F204" s="195"/>
      <c r="G204" s="195"/>
    </row>
    <row r="205">
      <c r="A205" s="195" t="s">
        <v>74</v>
      </c>
      <c r="B205" s="129" t="s">
        <v>44</v>
      </c>
      <c r="C205" s="195"/>
      <c r="D205" s="195">
        <v>1.5</v>
      </c>
      <c r="E205" s="129"/>
      <c r="F205" s="195"/>
      <c r="G205" s="195"/>
    </row>
    <row r="206">
      <c r="A206" s="195" t="s">
        <v>69</v>
      </c>
      <c r="B206" s="129" t="s">
        <v>30</v>
      </c>
      <c r="C206" s="195">
        <v>2.5</v>
      </c>
      <c r="D206" s="195">
        <v>4.0</v>
      </c>
      <c r="E206" s="129"/>
      <c r="F206" s="195"/>
      <c r="G206" s="195"/>
    </row>
    <row r="207">
      <c r="A207" s="195" t="s">
        <v>75</v>
      </c>
      <c r="B207" s="129" t="s">
        <v>44</v>
      </c>
      <c r="C207" s="195"/>
      <c r="D207" s="195">
        <v>2.75</v>
      </c>
      <c r="E207" s="129" t="s">
        <v>31</v>
      </c>
      <c r="F207" s="195">
        <v>0.5</v>
      </c>
      <c r="G207" s="195">
        <v>1.0</v>
      </c>
    </row>
    <row r="208">
      <c r="A208" s="195" t="s">
        <v>45</v>
      </c>
      <c r="B208" s="129" t="s">
        <v>28</v>
      </c>
      <c r="C208" s="195">
        <v>2.5</v>
      </c>
      <c r="D208" s="195">
        <v>3.5</v>
      </c>
      <c r="E208" s="129"/>
      <c r="F208" s="195"/>
      <c r="G208" s="195"/>
    </row>
    <row r="209">
      <c r="A209" s="195" t="s">
        <v>50</v>
      </c>
      <c r="B209" s="129" t="s">
        <v>29</v>
      </c>
      <c r="C209" s="195"/>
      <c r="D209" s="195">
        <v>2.5</v>
      </c>
      <c r="E209" s="129"/>
      <c r="F209" s="195"/>
      <c r="G209" s="195"/>
    </row>
    <row r="210">
      <c r="A210" s="195" t="s">
        <v>43</v>
      </c>
      <c r="B210" s="129" t="s">
        <v>44</v>
      </c>
      <c r="C210" s="195"/>
      <c r="D210" s="195">
        <v>2.25</v>
      </c>
      <c r="E210" s="129"/>
      <c r="F210" s="195"/>
      <c r="G210" s="195"/>
    </row>
    <row r="211">
      <c r="A211" s="195" t="s">
        <v>76</v>
      </c>
      <c r="B211" s="129" t="s">
        <v>44</v>
      </c>
      <c r="C211" s="195"/>
      <c r="D211" s="195">
        <v>2.0</v>
      </c>
      <c r="E211" s="129"/>
      <c r="F211" s="195"/>
      <c r="G211" s="195"/>
    </row>
    <row r="212">
      <c r="A212" s="195" t="s">
        <v>77</v>
      </c>
      <c r="B212" s="129" t="s">
        <v>44</v>
      </c>
      <c r="C212" s="195"/>
      <c r="D212" s="195">
        <v>2.0</v>
      </c>
      <c r="E212" s="129"/>
      <c r="F212" s="195"/>
      <c r="G212" s="195"/>
    </row>
    <row r="213">
      <c r="A213" s="195" t="s">
        <v>79</v>
      </c>
      <c r="B213" s="129"/>
      <c r="C213" s="195"/>
      <c r="D213" s="195"/>
      <c r="E213" s="129"/>
      <c r="F213" s="195"/>
      <c r="G213" s="195"/>
    </row>
    <row r="214">
      <c r="A214" s="195" t="s">
        <v>80</v>
      </c>
      <c r="B214" s="129"/>
      <c r="C214" s="195"/>
      <c r="D214" s="195"/>
      <c r="E214" s="129"/>
      <c r="F214" s="195"/>
      <c r="G214" s="195"/>
    </row>
    <row r="215">
      <c r="A215" s="195" t="s">
        <v>81</v>
      </c>
      <c r="B215" s="129"/>
      <c r="C215" s="195"/>
      <c r="D215" s="195"/>
      <c r="E215" s="129"/>
      <c r="F215" s="195"/>
      <c r="G215" s="195"/>
    </row>
    <row r="216">
      <c r="A216" s="195" t="s">
        <v>82</v>
      </c>
      <c r="B216" s="129"/>
      <c r="C216" s="195"/>
      <c r="D216" s="195"/>
      <c r="E216" s="129"/>
      <c r="F216" s="195"/>
      <c r="G216" s="195"/>
    </row>
    <row r="217">
      <c r="A217" s="195" t="s">
        <v>83</v>
      </c>
      <c r="B217" s="129"/>
      <c r="C217" s="195"/>
      <c r="D217" s="195"/>
      <c r="E217" s="129"/>
      <c r="F217" s="195"/>
      <c r="G217" s="195"/>
    </row>
    <row r="218">
      <c r="A218" s="195" t="s">
        <v>84</v>
      </c>
      <c r="B218" s="129"/>
      <c r="C218" s="195"/>
      <c r="D218" s="195"/>
      <c r="E218" s="129"/>
      <c r="F218" s="195"/>
      <c r="G218" s="195"/>
    </row>
    <row r="219">
      <c r="A219" s="195" t="s">
        <v>85</v>
      </c>
      <c r="B219" s="129"/>
      <c r="C219" s="195"/>
      <c r="D219" s="195"/>
      <c r="E219" s="129"/>
      <c r="F219" s="195"/>
      <c r="G219" s="195"/>
    </row>
    <row r="220">
      <c r="A220" s="195" t="s">
        <v>86</v>
      </c>
      <c r="B220" s="129"/>
      <c r="C220" s="195"/>
      <c r="D220" s="195"/>
      <c r="E220" s="129"/>
      <c r="F220" s="195"/>
      <c r="G220" s="195"/>
    </row>
    <row r="221">
      <c r="A221" s="195" t="s">
        <v>87</v>
      </c>
      <c r="B221" s="129"/>
      <c r="C221" s="195"/>
      <c r="D221" s="195"/>
      <c r="E221" s="129"/>
      <c r="F221" s="195"/>
      <c r="G221" s="195"/>
    </row>
    <row r="222">
      <c r="A222" s="195" t="s">
        <v>88</v>
      </c>
      <c r="B222" s="129"/>
      <c r="C222" s="195"/>
      <c r="D222" s="195"/>
      <c r="E222" s="129"/>
      <c r="F222" s="195"/>
      <c r="G222" s="195"/>
    </row>
    <row r="223">
      <c r="A223" s="195" t="s">
        <v>79</v>
      </c>
      <c r="B223" s="129"/>
      <c r="C223" s="195"/>
      <c r="D223" s="195"/>
      <c r="E223" s="129"/>
      <c r="F223" s="195"/>
      <c r="G223" s="195"/>
    </row>
    <row r="224">
      <c r="A224" s="195" t="s">
        <v>80</v>
      </c>
      <c r="B224" s="129"/>
      <c r="C224" s="195"/>
      <c r="D224" s="195"/>
      <c r="E224" s="129"/>
      <c r="F224" s="195"/>
      <c r="G224" s="195"/>
    </row>
    <row r="225">
      <c r="A225" s="195" t="s">
        <v>81</v>
      </c>
      <c r="B225" s="129"/>
      <c r="C225" s="195"/>
      <c r="D225" s="195"/>
      <c r="E225" s="129"/>
      <c r="F225" s="195"/>
      <c r="G225" s="195"/>
    </row>
    <row r="226">
      <c r="A226" s="195" t="s">
        <v>82</v>
      </c>
      <c r="B226" s="129"/>
      <c r="C226" s="195"/>
      <c r="D226" s="195"/>
      <c r="E226" s="129"/>
      <c r="F226" s="195"/>
      <c r="G226" s="195"/>
    </row>
    <row r="227">
      <c r="A227" s="195" t="s">
        <v>83</v>
      </c>
      <c r="B227" s="129"/>
      <c r="C227" s="195"/>
      <c r="D227" s="195"/>
      <c r="E227" s="129"/>
      <c r="F227" s="195"/>
      <c r="G227" s="195"/>
    </row>
    <row r="228">
      <c r="A228" s="195" t="s">
        <v>84</v>
      </c>
      <c r="B228" s="129"/>
      <c r="C228" s="195"/>
      <c r="D228" s="195"/>
      <c r="E228" s="129"/>
      <c r="F228" s="195"/>
      <c r="G228" s="195"/>
    </row>
    <row r="229">
      <c r="A229" s="195" t="s">
        <v>85</v>
      </c>
      <c r="B229" s="129"/>
      <c r="C229" s="195"/>
      <c r="D229" s="195"/>
      <c r="E229" s="129"/>
      <c r="F229" s="195"/>
      <c r="G229" s="195"/>
    </row>
    <row r="230">
      <c r="A230" s="195" t="s">
        <v>86</v>
      </c>
      <c r="B230" s="129"/>
      <c r="C230" s="195"/>
      <c r="D230" s="195"/>
      <c r="E230" s="129"/>
      <c r="F230" s="195"/>
      <c r="G230" s="195"/>
    </row>
    <row r="231">
      <c r="A231" s="195" t="s">
        <v>87</v>
      </c>
      <c r="B231" s="129"/>
      <c r="C231" s="195"/>
      <c r="D231" s="195"/>
      <c r="E231" s="129"/>
      <c r="F231" s="195"/>
      <c r="G231" s="195"/>
    </row>
    <row r="232">
      <c r="A232" s="195" t="s">
        <v>88</v>
      </c>
      <c r="B232" s="129"/>
      <c r="C232" s="195"/>
      <c r="D232" s="195"/>
      <c r="E232" s="129"/>
      <c r="F232" s="195"/>
      <c r="G232" s="195"/>
    </row>
    <row r="233">
      <c r="A233" s="195" t="s">
        <v>79</v>
      </c>
      <c r="B233" s="129"/>
      <c r="C233" s="195"/>
      <c r="D233" s="195"/>
      <c r="E233" s="129"/>
      <c r="F233" s="195"/>
      <c r="G233" s="195"/>
    </row>
    <row r="234">
      <c r="A234" s="195" t="s">
        <v>80</v>
      </c>
      <c r="B234" s="129"/>
      <c r="C234" s="195"/>
      <c r="D234" s="195"/>
      <c r="E234" s="129"/>
      <c r="F234" s="195"/>
      <c r="G234" s="195"/>
    </row>
    <row r="235">
      <c r="A235" s="195" t="s">
        <v>81</v>
      </c>
      <c r="B235" s="129"/>
      <c r="C235" s="195"/>
      <c r="D235" s="195"/>
      <c r="E235" s="129"/>
      <c r="F235" s="195"/>
      <c r="G235" s="195"/>
    </row>
    <row r="236">
      <c r="A236" s="195" t="s">
        <v>82</v>
      </c>
      <c r="B236" s="129"/>
      <c r="C236" s="195"/>
      <c r="D236" s="195"/>
      <c r="E236" s="129"/>
      <c r="F236" s="195"/>
      <c r="G236" s="195"/>
    </row>
    <row r="237">
      <c r="A237" s="195" t="s">
        <v>83</v>
      </c>
      <c r="B237" s="129"/>
      <c r="C237" s="195"/>
      <c r="D237" s="195"/>
      <c r="E237" s="129"/>
      <c r="F237" s="195"/>
      <c r="G237" s="195"/>
    </row>
    <row r="238">
      <c r="A238" s="195" t="s">
        <v>84</v>
      </c>
      <c r="B238" s="129"/>
      <c r="C238" s="195"/>
      <c r="D238" s="195"/>
      <c r="E238" s="129"/>
      <c r="F238" s="195"/>
      <c r="G238" s="195"/>
    </row>
    <row r="239">
      <c r="A239" s="195" t="s">
        <v>85</v>
      </c>
      <c r="B239" s="129"/>
      <c r="C239" s="195"/>
      <c r="D239" s="195"/>
      <c r="E239" s="129"/>
      <c r="F239" s="195"/>
      <c r="G239" s="195"/>
    </row>
    <row r="240">
      <c r="A240" s="195" t="s">
        <v>86</v>
      </c>
      <c r="B240" s="129"/>
      <c r="C240" s="195"/>
      <c r="D240" s="195"/>
      <c r="E240" s="129"/>
      <c r="F240" s="195"/>
      <c r="G240" s="195"/>
    </row>
    <row r="241">
      <c r="A241" s="195" t="s">
        <v>87</v>
      </c>
      <c r="B241" s="129"/>
      <c r="C241" s="195"/>
      <c r="D241" s="195"/>
      <c r="E241" s="129"/>
      <c r="F241" s="195"/>
      <c r="G241" s="195"/>
    </row>
    <row r="242">
      <c r="A242" s="195" t="s">
        <v>88</v>
      </c>
      <c r="B242" s="129"/>
      <c r="C242" s="195"/>
      <c r="D242" s="195"/>
      <c r="E242" s="129"/>
      <c r="F242" s="195"/>
      <c r="G242" s="195"/>
    </row>
    <row r="243">
      <c r="A243" s="195" t="s">
        <v>79</v>
      </c>
      <c r="B243" s="129"/>
      <c r="C243" s="195"/>
      <c r="D243" s="195"/>
      <c r="E243" s="129"/>
      <c r="F243" s="195"/>
      <c r="G243" s="195"/>
    </row>
    <row r="244">
      <c r="A244" s="195" t="s">
        <v>80</v>
      </c>
      <c r="B244" s="129"/>
      <c r="C244" s="195"/>
      <c r="D244" s="195"/>
      <c r="E244" s="129"/>
      <c r="F244" s="195"/>
      <c r="G244" s="195"/>
    </row>
    <row r="245">
      <c r="A245" s="195" t="s">
        <v>81</v>
      </c>
      <c r="B245" s="129"/>
      <c r="C245" s="195"/>
      <c r="D245" s="195"/>
      <c r="E245" s="129"/>
      <c r="F245" s="195"/>
      <c r="G245" s="195"/>
    </row>
    <row r="246">
      <c r="A246" s="195" t="s">
        <v>82</v>
      </c>
      <c r="B246" s="129"/>
      <c r="C246" s="195"/>
      <c r="D246" s="195"/>
      <c r="E246" s="129"/>
      <c r="F246" s="195"/>
      <c r="G246" s="195"/>
    </row>
    <row r="247">
      <c r="A247" s="195" t="s">
        <v>83</v>
      </c>
      <c r="B247" s="129"/>
      <c r="C247" s="195"/>
      <c r="D247" s="195"/>
      <c r="E247" s="129"/>
      <c r="F247" s="195"/>
      <c r="G247" s="195"/>
    </row>
    <row r="248">
      <c r="A248" s="195" t="s">
        <v>84</v>
      </c>
      <c r="B248" s="129"/>
      <c r="C248" s="195"/>
      <c r="D248" s="195"/>
      <c r="E248" s="129"/>
      <c r="F248" s="195"/>
      <c r="G248" s="195"/>
    </row>
    <row r="249">
      <c r="A249" s="195" t="s">
        <v>85</v>
      </c>
      <c r="B249" s="129"/>
      <c r="C249" s="195"/>
      <c r="D249" s="195"/>
      <c r="E249" s="129"/>
      <c r="F249" s="195"/>
      <c r="G249" s="195"/>
    </row>
    <row r="250">
      <c r="A250" s="195" t="s">
        <v>86</v>
      </c>
      <c r="B250" s="129"/>
      <c r="C250" s="195"/>
      <c r="D250" s="195"/>
      <c r="E250" s="129"/>
      <c r="F250" s="195"/>
      <c r="G250" s="195"/>
    </row>
    <row r="251">
      <c r="A251" s="195" t="s">
        <v>87</v>
      </c>
      <c r="B251" s="129"/>
      <c r="C251" s="195"/>
      <c r="D251" s="195"/>
      <c r="E251" s="129"/>
      <c r="F251" s="195"/>
      <c r="G251" s="195"/>
    </row>
    <row r="252">
      <c r="A252" s="195" t="s">
        <v>88</v>
      </c>
      <c r="B252" s="129"/>
      <c r="C252" s="195"/>
      <c r="D252" s="195"/>
      <c r="E252" s="129"/>
      <c r="F252" s="195"/>
      <c r="G252" s="195"/>
    </row>
    <row r="253">
      <c r="A253" s="195" t="s">
        <v>79</v>
      </c>
      <c r="B253" s="129"/>
      <c r="C253" s="195"/>
      <c r="D253" s="195"/>
      <c r="E253" s="129"/>
      <c r="F253" s="195"/>
      <c r="G253" s="195"/>
    </row>
    <row r="254">
      <c r="A254" s="195" t="s">
        <v>80</v>
      </c>
      <c r="B254" s="129"/>
      <c r="C254" s="195"/>
      <c r="D254" s="195"/>
      <c r="E254" s="129"/>
      <c r="F254" s="195"/>
      <c r="G254" s="195"/>
    </row>
    <row r="255">
      <c r="A255" s="195" t="s">
        <v>81</v>
      </c>
      <c r="B255" s="129"/>
      <c r="C255" s="195"/>
      <c r="D255" s="195"/>
      <c r="E255" s="129"/>
      <c r="F255" s="195"/>
      <c r="G255" s="195"/>
    </row>
    <row r="256">
      <c r="A256" s="195" t="s">
        <v>82</v>
      </c>
      <c r="B256" s="129"/>
      <c r="C256" s="195"/>
      <c r="D256" s="195"/>
      <c r="E256" s="129"/>
      <c r="F256" s="195"/>
      <c r="G256" s="195"/>
    </row>
    <row r="257">
      <c r="A257" s="195" t="s">
        <v>83</v>
      </c>
      <c r="B257" s="129"/>
      <c r="C257" s="195"/>
      <c r="D257" s="195"/>
      <c r="E257" s="129"/>
      <c r="F257" s="195"/>
      <c r="G257" s="195"/>
    </row>
    <row r="258">
      <c r="A258" s="195" t="s">
        <v>84</v>
      </c>
      <c r="B258" s="129"/>
      <c r="C258" s="195"/>
      <c r="D258" s="195"/>
      <c r="E258" s="129"/>
      <c r="F258" s="195"/>
      <c r="G258" s="195"/>
    </row>
    <row r="259">
      <c r="A259" s="195" t="s">
        <v>85</v>
      </c>
      <c r="B259" s="129"/>
      <c r="C259" s="195"/>
      <c r="D259" s="195"/>
      <c r="E259" s="129"/>
      <c r="F259" s="195"/>
      <c r="G259" s="195"/>
    </row>
    <row r="260">
      <c r="A260" s="195" t="s">
        <v>86</v>
      </c>
      <c r="B260" s="129"/>
      <c r="C260" s="195"/>
      <c r="D260" s="195"/>
      <c r="E260" s="129"/>
      <c r="F260" s="195"/>
      <c r="G260" s="195"/>
    </row>
    <row r="261">
      <c r="A261" s="195" t="s">
        <v>87</v>
      </c>
      <c r="B261" s="129"/>
      <c r="C261" s="195"/>
      <c r="D261" s="195"/>
      <c r="E261" s="129"/>
      <c r="F261" s="195"/>
      <c r="G261" s="195"/>
    </row>
    <row r="262">
      <c r="A262" s="195" t="s">
        <v>88</v>
      </c>
      <c r="B262" s="129"/>
      <c r="C262" s="195"/>
      <c r="D262" s="195"/>
      <c r="E262" s="129"/>
      <c r="F262" s="195"/>
      <c r="G262" s="195"/>
    </row>
    <row r="263">
      <c r="A263" s="195" t="s">
        <v>79</v>
      </c>
      <c r="B263" s="129"/>
      <c r="C263" s="195"/>
      <c r="D263" s="195"/>
      <c r="E263" s="129"/>
      <c r="F263" s="195"/>
      <c r="G263" s="195"/>
    </row>
    <row r="264">
      <c r="A264" s="195" t="s">
        <v>80</v>
      </c>
      <c r="B264" s="129"/>
      <c r="C264" s="195"/>
      <c r="D264" s="195"/>
      <c r="E264" s="129"/>
      <c r="F264" s="195"/>
      <c r="G264" s="195"/>
    </row>
    <row r="265">
      <c r="A265" s="195" t="s">
        <v>81</v>
      </c>
      <c r="B265" s="129"/>
      <c r="C265" s="195"/>
      <c r="D265" s="195"/>
      <c r="E265" s="129"/>
      <c r="F265" s="195"/>
      <c r="G265" s="195"/>
    </row>
    <row r="266">
      <c r="A266" s="195" t="s">
        <v>82</v>
      </c>
      <c r="B266" s="129"/>
      <c r="C266" s="195"/>
      <c r="D266" s="195"/>
      <c r="E266" s="129"/>
      <c r="F266" s="195"/>
      <c r="G266" s="195"/>
    </row>
    <row r="267">
      <c r="A267" s="195" t="s">
        <v>83</v>
      </c>
      <c r="B267" s="129"/>
      <c r="C267" s="195"/>
      <c r="D267" s="195"/>
      <c r="E267" s="129"/>
      <c r="F267" s="195"/>
      <c r="G267" s="195"/>
    </row>
    <row r="268">
      <c r="A268" s="195" t="s">
        <v>84</v>
      </c>
      <c r="B268" s="129"/>
      <c r="C268" s="195"/>
      <c r="D268" s="195"/>
      <c r="E268" s="129"/>
      <c r="F268" s="195"/>
      <c r="G268" s="195"/>
    </row>
    <row r="269">
      <c r="A269" s="195" t="s">
        <v>85</v>
      </c>
      <c r="B269" s="129"/>
      <c r="C269" s="195"/>
      <c r="D269" s="195"/>
      <c r="E269" s="129"/>
      <c r="F269" s="195"/>
      <c r="G269" s="195"/>
    </row>
    <row r="270">
      <c r="A270" s="195" t="s">
        <v>86</v>
      </c>
      <c r="B270" s="129"/>
      <c r="C270" s="195"/>
      <c r="D270" s="195"/>
      <c r="E270" s="129"/>
      <c r="F270" s="195"/>
      <c r="G270" s="195"/>
    </row>
    <row r="271">
      <c r="A271" s="195" t="s">
        <v>87</v>
      </c>
      <c r="B271" s="129"/>
      <c r="C271" s="195"/>
      <c r="D271" s="195"/>
      <c r="E271" s="129"/>
      <c r="F271" s="195"/>
      <c r="G271" s="195"/>
    </row>
    <row r="272">
      <c r="A272" s="195" t="s">
        <v>88</v>
      </c>
      <c r="B272" s="129"/>
      <c r="C272" s="195"/>
      <c r="D272" s="195"/>
      <c r="E272" s="129"/>
      <c r="F272" s="195"/>
      <c r="G272" s="195"/>
    </row>
    <row r="273">
      <c r="A273" s="195" t="s">
        <v>79</v>
      </c>
      <c r="B273" s="129"/>
      <c r="C273" s="195"/>
      <c r="D273" s="195"/>
      <c r="E273" s="129"/>
      <c r="F273" s="195"/>
      <c r="G273" s="195"/>
    </row>
    <row r="274">
      <c r="A274" s="195" t="s">
        <v>80</v>
      </c>
      <c r="B274" s="129"/>
      <c r="C274" s="195"/>
      <c r="D274" s="195"/>
      <c r="E274" s="129"/>
      <c r="F274" s="195"/>
      <c r="G274" s="195"/>
    </row>
    <row r="275">
      <c r="A275" s="195" t="s">
        <v>81</v>
      </c>
      <c r="B275" s="129"/>
      <c r="C275" s="195"/>
      <c r="D275" s="195"/>
      <c r="E275" s="129"/>
      <c r="F275" s="195"/>
      <c r="G275" s="195"/>
    </row>
    <row r="276">
      <c r="A276" s="195" t="s">
        <v>82</v>
      </c>
      <c r="B276" s="129"/>
      <c r="C276" s="195"/>
      <c r="D276" s="195"/>
      <c r="E276" s="129"/>
      <c r="F276" s="195"/>
      <c r="G276" s="195"/>
    </row>
    <row r="277">
      <c r="A277" s="195" t="s">
        <v>83</v>
      </c>
      <c r="B277" s="129"/>
      <c r="C277" s="195"/>
      <c r="D277" s="195"/>
      <c r="E277" s="129"/>
      <c r="F277" s="195"/>
      <c r="G277" s="195"/>
    </row>
    <row r="278">
      <c r="A278" s="195" t="s">
        <v>84</v>
      </c>
      <c r="B278" s="129"/>
      <c r="C278" s="195"/>
      <c r="D278" s="195"/>
      <c r="E278" s="129"/>
      <c r="F278" s="195"/>
      <c r="G278" s="195"/>
    </row>
    <row r="279">
      <c r="A279" s="195" t="s">
        <v>85</v>
      </c>
      <c r="B279" s="129"/>
      <c r="C279" s="195"/>
      <c r="D279" s="195"/>
      <c r="E279" s="129"/>
      <c r="F279" s="195"/>
      <c r="G279" s="195"/>
    </row>
    <row r="280">
      <c r="A280" s="195" t="s">
        <v>86</v>
      </c>
      <c r="B280" s="129"/>
      <c r="C280" s="195"/>
      <c r="D280" s="195"/>
      <c r="E280" s="129"/>
      <c r="F280" s="195"/>
      <c r="G280" s="195"/>
    </row>
    <row r="281">
      <c r="A281" s="195" t="s">
        <v>87</v>
      </c>
      <c r="B281" s="129"/>
      <c r="C281" s="195"/>
      <c r="D281" s="195"/>
      <c r="E281" s="129"/>
      <c r="F281" s="195"/>
      <c r="G281" s="195"/>
    </row>
    <row r="282">
      <c r="A282" s="195" t="s">
        <v>88</v>
      </c>
      <c r="B282" s="129"/>
      <c r="C282" s="195"/>
      <c r="D282" s="195"/>
      <c r="E282" s="129"/>
      <c r="F282" s="195"/>
      <c r="G282" s="195"/>
    </row>
    <row r="283">
      <c r="A283" s="195" t="s">
        <v>90</v>
      </c>
      <c r="B283" s="129"/>
      <c r="C283" s="195"/>
      <c r="D283" s="195"/>
      <c r="E283" s="129"/>
      <c r="F283" s="195"/>
      <c r="G283" s="195"/>
    </row>
    <row r="284">
      <c r="A284" s="195" t="s">
        <v>82</v>
      </c>
      <c r="B284" s="129"/>
      <c r="C284" s="195"/>
      <c r="D284" s="195"/>
      <c r="E284" s="129"/>
      <c r="F284" s="195"/>
      <c r="G284" s="195"/>
    </row>
    <row r="285">
      <c r="A285" s="195" t="s">
        <v>83</v>
      </c>
      <c r="B285" s="129"/>
      <c r="C285" s="195"/>
      <c r="D285" s="195"/>
      <c r="E285" s="129"/>
      <c r="F285" s="195"/>
      <c r="G285" s="195"/>
    </row>
    <row r="286">
      <c r="A286" s="195" t="s">
        <v>91</v>
      </c>
      <c r="B286" s="129"/>
      <c r="C286" s="195"/>
      <c r="D286" s="195"/>
      <c r="E286" s="129"/>
      <c r="F286" s="195"/>
      <c r="G286" s="195"/>
    </row>
    <row r="287">
      <c r="A287" s="195" t="s">
        <v>92</v>
      </c>
      <c r="B287" s="129"/>
      <c r="C287" s="195"/>
      <c r="D287" s="195"/>
      <c r="E287" s="129"/>
      <c r="F287" s="195"/>
      <c r="G287" s="195"/>
    </row>
    <row r="288">
      <c r="A288" s="195" t="s">
        <v>93</v>
      </c>
      <c r="B288" s="129"/>
      <c r="C288" s="195"/>
      <c r="D288" s="195"/>
      <c r="E288" s="129"/>
      <c r="F288" s="195"/>
      <c r="G288" s="195"/>
    </row>
    <row r="289">
      <c r="A289" s="195" t="s">
        <v>86</v>
      </c>
      <c r="B289" s="129"/>
      <c r="C289" s="195"/>
      <c r="D289" s="195"/>
      <c r="E289" s="129"/>
      <c r="F289" s="195"/>
      <c r="G289" s="195"/>
    </row>
    <row r="290">
      <c r="A290" s="195" t="s">
        <v>94</v>
      </c>
      <c r="B290" s="129"/>
      <c r="C290" s="195"/>
      <c r="D290" s="195"/>
      <c r="E290" s="129"/>
      <c r="F290" s="195"/>
      <c r="G290" s="195"/>
    </row>
    <row r="291">
      <c r="A291" s="195" t="s">
        <v>88</v>
      </c>
      <c r="B291" s="129"/>
      <c r="C291" s="195"/>
      <c r="D291" s="195"/>
      <c r="E291" s="129"/>
      <c r="F291" s="195"/>
      <c r="G291" s="195"/>
    </row>
    <row r="292">
      <c r="A292" s="195" t="s">
        <v>95</v>
      </c>
      <c r="B292" s="129"/>
      <c r="C292" s="195"/>
      <c r="D292" s="195"/>
      <c r="E292" s="129"/>
      <c r="F292" s="195"/>
      <c r="G292" s="195"/>
    </row>
    <row r="293">
      <c r="A293" s="195" t="s">
        <v>90</v>
      </c>
      <c r="B293" s="129"/>
      <c r="C293" s="195"/>
      <c r="D293" s="195"/>
      <c r="E293" s="129"/>
      <c r="F293" s="195"/>
      <c r="G293" s="195"/>
    </row>
    <row r="294">
      <c r="A294" s="195" t="s">
        <v>82</v>
      </c>
      <c r="B294" s="129"/>
      <c r="C294" s="195"/>
      <c r="D294" s="195"/>
      <c r="E294" s="129"/>
      <c r="F294" s="195"/>
      <c r="G294" s="195"/>
    </row>
    <row r="295">
      <c r="A295" s="195" t="s">
        <v>83</v>
      </c>
      <c r="B295" s="129"/>
      <c r="C295" s="195"/>
      <c r="D295" s="195"/>
      <c r="E295" s="129"/>
      <c r="F295" s="195"/>
      <c r="G295" s="195"/>
    </row>
    <row r="296">
      <c r="A296" s="195" t="s">
        <v>91</v>
      </c>
      <c r="B296" s="129"/>
      <c r="C296" s="195"/>
      <c r="D296" s="195"/>
      <c r="E296" s="129"/>
      <c r="F296" s="195"/>
      <c r="G296" s="195"/>
    </row>
    <row r="297">
      <c r="A297" s="195" t="s">
        <v>92</v>
      </c>
      <c r="B297" s="129"/>
      <c r="C297" s="195"/>
      <c r="D297" s="195"/>
      <c r="E297" s="129"/>
      <c r="F297" s="195"/>
      <c r="G297" s="195"/>
    </row>
    <row r="298">
      <c r="A298" s="195" t="s">
        <v>93</v>
      </c>
      <c r="B298" s="129"/>
      <c r="C298" s="195"/>
      <c r="D298" s="195"/>
      <c r="E298" s="129"/>
      <c r="F298" s="195"/>
      <c r="G298" s="195"/>
    </row>
    <row r="299">
      <c r="A299" s="195" t="s">
        <v>86</v>
      </c>
      <c r="B299" s="129"/>
      <c r="C299" s="195"/>
      <c r="D299" s="195"/>
      <c r="E299" s="129"/>
      <c r="F299" s="195"/>
      <c r="G299" s="195"/>
    </row>
    <row r="300">
      <c r="A300" s="195" t="s">
        <v>94</v>
      </c>
      <c r="B300" s="129"/>
      <c r="C300" s="195"/>
      <c r="D300" s="195"/>
      <c r="E300" s="129"/>
      <c r="F300" s="195"/>
      <c r="G300" s="195"/>
    </row>
    <row r="301">
      <c r="A301" s="195" t="s">
        <v>88</v>
      </c>
      <c r="B301" s="129"/>
      <c r="C301" s="195"/>
      <c r="D301" s="195"/>
      <c r="E301" s="129"/>
      <c r="F301" s="195"/>
      <c r="G301" s="195"/>
    </row>
    <row r="302">
      <c r="A302" s="195" t="s">
        <v>95</v>
      </c>
      <c r="B302" s="129"/>
      <c r="C302" s="195"/>
      <c r="D302" s="195"/>
      <c r="E302" s="129"/>
      <c r="F302" s="195"/>
      <c r="G302" s="195"/>
    </row>
    <row r="303">
      <c r="A303" s="195" t="s">
        <v>90</v>
      </c>
      <c r="B303" s="129"/>
      <c r="C303" s="195"/>
      <c r="D303" s="195"/>
      <c r="E303" s="129"/>
      <c r="F303" s="195"/>
      <c r="G303" s="195"/>
    </row>
    <row r="304">
      <c r="A304" s="195" t="s">
        <v>82</v>
      </c>
      <c r="B304" s="129"/>
      <c r="C304" s="195"/>
      <c r="D304" s="195"/>
      <c r="E304" s="129"/>
      <c r="F304" s="195"/>
      <c r="G304" s="195"/>
    </row>
    <row r="305">
      <c r="A305" s="195" t="s">
        <v>83</v>
      </c>
      <c r="B305" s="129"/>
      <c r="C305" s="195"/>
      <c r="D305" s="195"/>
      <c r="E305" s="129"/>
      <c r="F305" s="195"/>
      <c r="G305" s="195"/>
    </row>
    <row r="306">
      <c r="A306" s="195" t="s">
        <v>91</v>
      </c>
      <c r="B306" s="129"/>
      <c r="C306" s="195"/>
      <c r="D306" s="195"/>
      <c r="E306" s="129"/>
      <c r="F306" s="195"/>
      <c r="G306" s="195"/>
    </row>
    <row r="307">
      <c r="A307" s="195" t="s">
        <v>92</v>
      </c>
      <c r="B307" s="129"/>
      <c r="C307" s="195"/>
      <c r="D307" s="195"/>
      <c r="E307" s="129"/>
      <c r="F307" s="195"/>
      <c r="G307" s="195"/>
    </row>
    <row r="308">
      <c r="A308" s="195" t="s">
        <v>93</v>
      </c>
      <c r="B308" s="129"/>
      <c r="C308" s="195"/>
      <c r="D308" s="195"/>
      <c r="E308" s="129"/>
      <c r="F308" s="195"/>
      <c r="G308" s="195"/>
    </row>
    <row r="309">
      <c r="A309" s="195" t="s">
        <v>86</v>
      </c>
      <c r="B309" s="129"/>
      <c r="C309" s="195"/>
      <c r="D309" s="195"/>
      <c r="E309" s="129"/>
      <c r="F309" s="195"/>
      <c r="G309" s="195"/>
    </row>
    <row r="310">
      <c r="A310" s="195" t="s">
        <v>94</v>
      </c>
      <c r="B310" s="129"/>
      <c r="C310" s="195"/>
      <c r="D310" s="195"/>
      <c r="E310" s="129"/>
      <c r="F310" s="195"/>
      <c r="G310" s="195"/>
    </row>
    <row r="311">
      <c r="A311" s="195" t="s">
        <v>88</v>
      </c>
      <c r="B311" s="129"/>
      <c r="C311" s="195"/>
      <c r="D311" s="195"/>
      <c r="E311" s="129"/>
      <c r="F311" s="195"/>
      <c r="G311" s="195"/>
    </row>
    <row r="312">
      <c r="A312" s="195" t="s">
        <v>95</v>
      </c>
      <c r="B312" s="129"/>
      <c r="C312" s="195"/>
      <c r="D312" s="195"/>
      <c r="E312" s="129"/>
      <c r="F312" s="195"/>
      <c r="G312" s="195"/>
    </row>
    <row r="313">
      <c r="A313" s="195" t="s">
        <v>90</v>
      </c>
      <c r="B313" s="129"/>
      <c r="C313" s="195"/>
      <c r="D313" s="195"/>
      <c r="E313" s="129"/>
      <c r="F313" s="195"/>
      <c r="G313" s="195"/>
    </row>
    <row r="314">
      <c r="A314" s="195" t="s">
        <v>82</v>
      </c>
      <c r="B314" s="129"/>
      <c r="C314" s="195"/>
      <c r="D314" s="195"/>
      <c r="E314" s="129"/>
      <c r="F314" s="195"/>
      <c r="G314" s="195"/>
    </row>
    <row r="315">
      <c r="A315" s="195" t="s">
        <v>83</v>
      </c>
      <c r="B315" s="129"/>
      <c r="C315" s="195"/>
      <c r="D315" s="195"/>
      <c r="E315" s="129"/>
      <c r="F315" s="195"/>
      <c r="G315" s="195"/>
    </row>
    <row r="316">
      <c r="A316" s="195" t="s">
        <v>91</v>
      </c>
      <c r="B316" s="129"/>
      <c r="C316" s="195"/>
      <c r="D316" s="195"/>
      <c r="E316" s="129"/>
      <c r="F316" s="195"/>
      <c r="G316" s="195"/>
    </row>
    <row r="317">
      <c r="A317" s="195" t="s">
        <v>92</v>
      </c>
      <c r="B317" s="129"/>
      <c r="C317" s="195"/>
      <c r="D317" s="195"/>
      <c r="E317" s="129"/>
      <c r="F317" s="195"/>
      <c r="G317" s="195"/>
    </row>
    <row r="318">
      <c r="A318" s="195" t="s">
        <v>93</v>
      </c>
      <c r="B318" s="129"/>
      <c r="C318" s="195"/>
      <c r="D318" s="195"/>
      <c r="E318" s="129"/>
      <c r="F318" s="195"/>
      <c r="G318" s="195"/>
    </row>
    <row r="319">
      <c r="A319" s="195" t="s">
        <v>86</v>
      </c>
      <c r="B319" s="129"/>
      <c r="C319" s="195"/>
      <c r="D319" s="195"/>
      <c r="E319" s="129"/>
      <c r="F319" s="195"/>
      <c r="G319" s="195"/>
    </row>
    <row r="320">
      <c r="A320" s="195" t="s">
        <v>94</v>
      </c>
      <c r="B320" s="129"/>
      <c r="C320" s="195"/>
      <c r="D320" s="195"/>
      <c r="E320" s="129"/>
      <c r="F320" s="195"/>
      <c r="G320" s="195"/>
    </row>
    <row r="321">
      <c r="A321" s="195" t="s">
        <v>88</v>
      </c>
      <c r="B321" s="129"/>
      <c r="C321" s="195"/>
      <c r="D321" s="195"/>
      <c r="E321" s="129"/>
      <c r="F321" s="195"/>
      <c r="G321" s="195"/>
    </row>
    <row r="322">
      <c r="A322" s="195" t="s">
        <v>95</v>
      </c>
      <c r="B322" s="129"/>
      <c r="C322" s="195"/>
      <c r="D322" s="195"/>
      <c r="E322" s="129"/>
      <c r="F322" s="195"/>
      <c r="G322" s="195"/>
    </row>
    <row r="323">
      <c r="A323" s="195" t="s">
        <v>90</v>
      </c>
      <c r="B323" s="129"/>
      <c r="C323" s="195"/>
      <c r="D323" s="195"/>
      <c r="E323" s="129"/>
      <c r="F323" s="195"/>
      <c r="G323" s="195"/>
    </row>
    <row r="324">
      <c r="A324" s="195" t="s">
        <v>82</v>
      </c>
      <c r="B324" s="129"/>
      <c r="C324" s="195"/>
      <c r="D324" s="195"/>
      <c r="E324" s="129"/>
      <c r="F324" s="195"/>
      <c r="G324" s="195"/>
    </row>
    <row r="325">
      <c r="A325" s="195" t="s">
        <v>83</v>
      </c>
      <c r="B325" s="129"/>
      <c r="C325" s="195"/>
      <c r="D325" s="195"/>
      <c r="E325" s="129"/>
      <c r="F325" s="195"/>
      <c r="G325" s="195"/>
    </row>
    <row r="326">
      <c r="A326" s="195" t="s">
        <v>91</v>
      </c>
      <c r="B326" s="129"/>
      <c r="C326" s="195"/>
      <c r="D326" s="195"/>
      <c r="E326" s="129"/>
      <c r="F326" s="195"/>
      <c r="G326" s="195"/>
    </row>
    <row r="327">
      <c r="A327" s="195" t="s">
        <v>92</v>
      </c>
      <c r="B327" s="129"/>
      <c r="C327" s="195"/>
      <c r="D327" s="195"/>
      <c r="E327" s="129"/>
      <c r="F327" s="195"/>
      <c r="G327" s="195"/>
    </row>
    <row r="328">
      <c r="A328" s="195" t="s">
        <v>93</v>
      </c>
      <c r="B328" s="129"/>
      <c r="C328" s="195"/>
      <c r="D328" s="195"/>
      <c r="E328" s="129"/>
      <c r="F328" s="195"/>
      <c r="G328" s="195"/>
    </row>
    <row r="329">
      <c r="A329" s="195" t="s">
        <v>86</v>
      </c>
      <c r="B329" s="129"/>
      <c r="C329" s="195"/>
      <c r="D329" s="195"/>
      <c r="E329" s="129"/>
      <c r="F329" s="195"/>
      <c r="G329" s="195"/>
    </row>
    <row r="330">
      <c r="A330" s="195" t="s">
        <v>94</v>
      </c>
      <c r="B330" s="129"/>
      <c r="C330" s="195"/>
      <c r="D330" s="195"/>
      <c r="E330" s="129"/>
      <c r="F330" s="195"/>
      <c r="G330" s="195"/>
    </row>
    <row r="331">
      <c r="A331" s="195" t="s">
        <v>88</v>
      </c>
      <c r="B331" s="129"/>
      <c r="C331" s="195"/>
      <c r="D331" s="195"/>
      <c r="E331" s="129"/>
      <c r="F331" s="195"/>
      <c r="G331" s="195"/>
    </row>
    <row r="332">
      <c r="A332" s="195" t="s">
        <v>95</v>
      </c>
      <c r="B332" s="129"/>
      <c r="C332" s="195"/>
      <c r="D332" s="195"/>
      <c r="E332" s="129"/>
      <c r="F332" s="195"/>
      <c r="G332" s="195"/>
    </row>
    <row r="333">
      <c r="A333" s="195" t="s">
        <v>90</v>
      </c>
      <c r="B333" s="129"/>
      <c r="C333" s="195"/>
      <c r="D333" s="195"/>
      <c r="E333" s="129"/>
      <c r="F333" s="195"/>
      <c r="G333" s="195"/>
    </row>
    <row r="334">
      <c r="A334" s="195" t="s">
        <v>82</v>
      </c>
      <c r="B334" s="129"/>
      <c r="C334" s="195"/>
      <c r="D334" s="195"/>
      <c r="E334" s="129"/>
      <c r="F334" s="195"/>
      <c r="G334" s="195"/>
    </row>
    <row r="335">
      <c r="A335" s="195" t="s">
        <v>83</v>
      </c>
      <c r="B335" s="129"/>
      <c r="C335" s="195"/>
      <c r="D335" s="195"/>
      <c r="E335" s="129"/>
      <c r="F335" s="195"/>
      <c r="G335" s="195"/>
    </row>
    <row r="336">
      <c r="A336" s="195" t="s">
        <v>91</v>
      </c>
      <c r="B336" s="129"/>
      <c r="C336" s="195"/>
      <c r="D336" s="195"/>
      <c r="E336" s="129"/>
      <c r="F336" s="195"/>
      <c r="G336" s="195"/>
    </row>
    <row r="337">
      <c r="A337" s="195" t="s">
        <v>92</v>
      </c>
      <c r="B337" s="129"/>
      <c r="C337" s="195"/>
      <c r="D337" s="195"/>
      <c r="E337" s="129"/>
      <c r="F337" s="195"/>
      <c r="G337" s="195"/>
    </row>
    <row r="338">
      <c r="A338" s="195" t="s">
        <v>93</v>
      </c>
      <c r="B338" s="129"/>
      <c r="C338" s="195"/>
      <c r="D338" s="195"/>
      <c r="E338" s="129"/>
      <c r="F338" s="195"/>
      <c r="G338" s="195"/>
    </row>
    <row r="339">
      <c r="A339" s="195" t="s">
        <v>86</v>
      </c>
      <c r="B339" s="129"/>
      <c r="C339" s="195"/>
      <c r="D339" s="195"/>
      <c r="E339" s="129"/>
      <c r="F339" s="195"/>
      <c r="G339" s="195"/>
    </row>
    <row r="340">
      <c r="A340" s="195" t="s">
        <v>94</v>
      </c>
      <c r="B340" s="129"/>
      <c r="C340" s="195"/>
      <c r="D340" s="195"/>
      <c r="E340" s="129"/>
      <c r="F340" s="195"/>
      <c r="G340" s="195"/>
    </row>
    <row r="341">
      <c r="A341" s="195" t="s">
        <v>88</v>
      </c>
      <c r="B341" s="129"/>
      <c r="C341" s="195"/>
      <c r="D341" s="195"/>
      <c r="E341" s="129"/>
      <c r="F341" s="195"/>
      <c r="G341" s="195"/>
    </row>
    <row r="342">
      <c r="A342" s="195" t="s">
        <v>95</v>
      </c>
      <c r="B342" s="129"/>
      <c r="C342" s="195"/>
      <c r="D342" s="195"/>
      <c r="E342" s="129"/>
      <c r="F342" s="195"/>
      <c r="G342" s="195"/>
    </row>
    <row r="343">
      <c r="A343" s="195" t="s">
        <v>90</v>
      </c>
      <c r="B343" s="129"/>
      <c r="C343" s="195"/>
      <c r="D343" s="195"/>
      <c r="E343" s="129"/>
      <c r="F343" s="195"/>
      <c r="G343" s="195"/>
    </row>
    <row r="344">
      <c r="A344" s="195" t="s">
        <v>82</v>
      </c>
      <c r="B344" s="129"/>
      <c r="C344" s="195"/>
      <c r="D344" s="195"/>
      <c r="E344" s="129"/>
      <c r="F344" s="195"/>
      <c r="G344" s="195"/>
    </row>
    <row r="345">
      <c r="A345" s="195" t="s">
        <v>83</v>
      </c>
      <c r="B345" s="129"/>
      <c r="C345" s="195"/>
      <c r="D345" s="195"/>
      <c r="E345" s="129"/>
      <c r="F345" s="195"/>
      <c r="G345" s="195"/>
    </row>
    <row r="346">
      <c r="A346" s="195" t="s">
        <v>91</v>
      </c>
      <c r="B346" s="129"/>
      <c r="C346" s="195"/>
      <c r="D346" s="195"/>
      <c r="E346" s="129"/>
      <c r="F346" s="195"/>
      <c r="G346" s="195"/>
    </row>
    <row r="347">
      <c r="A347" s="195" t="s">
        <v>92</v>
      </c>
      <c r="B347" s="129"/>
      <c r="C347" s="195"/>
      <c r="D347" s="195"/>
      <c r="E347" s="129"/>
      <c r="F347" s="195"/>
      <c r="G347" s="195"/>
    </row>
    <row r="348">
      <c r="A348" s="195" t="s">
        <v>93</v>
      </c>
      <c r="B348" s="129"/>
      <c r="C348" s="195"/>
      <c r="D348" s="195"/>
      <c r="E348" s="129"/>
      <c r="F348" s="195"/>
      <c r="G348" s="195"/>
    </row>
    <row r="349">
      <c r="A349" s="195" t="s">
        <v>86</v>
      </c>
      <c r="B349" s="129"/>
      <c r="C349" s="195"/>
      <c r="D349" s="195"/>
      <c r="E349" s="129"/>
      <c r="F349" s="195"/>
      <c r="G349" s="195"/>
    </row>
    <row r="350">
      <c r="A350" s="195" t="s">
        <v>94</v>
      </c>
      <c r="B350" s="129"/>
      <c r="C350" s="195"/>
      <c r="D350" s="195"/>
      <c r="E350" s="129"/>
      <c r="F350" s="195"/>
      <c r="G350" s="195"/>
    </row>
    <row r="351">
      <c r="A351" s="195" t="s">
        <v>88</v>
      </c>
      <c r="B351" s="129"/>
      <c r="C351" s="195"/>
      <c r="D351" s="195"/>
      <c r="E351" s="129"/>
      <c r="F351" s="195"/>
      <c r="G351" s="195"/>
    </row>
    <row r="352">
      <c r="A352" s="195" t="s">
        <v>95</v>
      </c>
      <c r="B352" s="129"/>
      <c r="C352" s="195"/>
      <c r="D352" s="195"/>
      <c r="E352" s="129"/>
      <c r="F352" s="195"/>
      <c r="G352" s="195"/>
    </row>
    <row r="353">
      <c r="A353" s="195" t="s">
        <v>97</v>
      </c>
      <c r="B353" s="129"/>
      <c r="C353" s="195"/>
      <c r="D353" s="195"/>
      <c r="E353" s="129"/>
      <c r="F353" s="195"/>
      <c r="G353" s="195"/>
    </row>
    <row r="354">
      <c r="A354" s="195" t="s">
        <v>74</v>
      </c>
      <c r="B354" s="129"/>
      <c r="C354" s="195"/>
      <c r="D354" s="195"/>
      <c r="E354" s="129"/>
      <c r="F354" s="195"/>
      <c r="G354" s="195"/>
    </row>
    <row r="355">
      <c r="A355" s="195" t="s">
        <v>82</v>
      </c>
      <c r="B355" s="129"/>
      <c r="C355" s="195"/>
      <c r="D355" s="195"/>
      <c r="E355" s="129"/>
      <c r="F355" s="195"/>
      <c r="G355" s="195"/>
    </row>
    <row r="356">
      <c r="A356" s="195" t="s">
        <v>98</v>
      </c>
      <c r="B356" s="129"/>
      <c r="C356" s="195"/>
      <c r="D356" s="195"/>
      <c r="E356" s="129"/>
      <c r="F356" s="195"/>
      <c r="G356" s="195"/>
    </row>
    <row r="357">
      <c r="A357" s="195" t="s">
        <v>99</v>
      </c>
      <c r="B357" s="129"/>
      <c r="C357" s="195"/>
      <c r="D357" s="195"/>
      <c r="E357" s="129"/>
      <c r="F357" s="195"/>
      <c r="G357" s="195"/>
    </row>
    <row r="358">
      <c r="A358" s="195" t="s">
        <v>83</v>
      </c>
      <c r="B358" s="129"/>
      <c r="C358" s="195"/>
      <c r="D358" s="195"/>
      <c r="E358" s="129"/>
      <c r="F358" s="195"/>
      <c r="G358" s="195"/>
    </row>
    <row r="359">
      <c r="A359" s="195" t="s">
        <v>100</v>
      </c>
      <c r="B359" s="129"/>
      <c r="C359" s="195"/>
      <c r="D359" s="195"/>
      <c r="E359" s="129"/>
      <c r="F359" s="195"/>
      <c r="G359" s="195"/>
    </row>
    <row r="360">
      <c r="A360" s="195" t="s">
        <v>94</v>
      </c>
      <c r="B360" s="129"/>
      <c r="C360" s="195"/>
      <c r="D360" s="195"/>
      <c r="E360" s="129"/>
      <c r="F360" s="195"/>
      <c r="G360" s="195"/>
    </row>
    <row r="361">
      <c r="A361" s="195" t="s">
        <v>101</v>
      </c>
      <c r="B361" s="129"/>
      <c r="C361" s="195"/>
      <c r="D361" s="195"/>
      <c r="E361" s="129"/>
      <c r="F361" s="195"/>
      <c r="G361" s="195"/>
    </row>
    <row r="362">
      <c r="A362" s="195" t="s">
        <v>88</v>
      </c>
      <c r="B362" s="129"/>
      <c r="C362" s="195"/>
      <c r="D362" s="195"/>
      <c r="E362" s="129"/>
      <c r="F362" s="195"/>
      <c r="G362" s="195"/>
    </row>
    <row r="363">
      <c r="A363" s="195" t="s">
        <v>97</v>
      </c>
      <c r="B363" s="129"/>
      <c r="C363" s="195"/>
      <c r="D363" s="195"/>
      <c r="E363" s="129"/>
      <c r="F363" s="195"/>
      <c r="G363" s="195"/>
    </row>
    <row r="364">
      <c r="A364" s="195" t="s">
        <v>74</v>
      </c>
      <c r="B364" s="129"/>
      <c r="C364" s="195"/>
      <c r="D364" s="195"/>
      <c r="E364" s="129"/>
      <c r="F364" s="195"/>
      <c r="G364" s="195"/>
    </row>
    <row r="365">
      <c r="A365" s="195" t="s">
        <v>82</v>
      </c>
      <c r="B365" s="129"/>
      <c r="C365" s="195"/>
      <c r="D365" s="195"/>
      <c r="E365" s="129"/>
      <c r="F365" s="195"/>
      <c r="G365" s="195"/>
    </row>
    <row r="366">
      <c r="A366" s="195" t="s">
        <v>98</v>
      </c>
      <c r="B366" s="129"/>
      <c r="C366" s="195"/>
      <c r="D366" s="195"/>
      <c r="E366" s="129"/>
      <c r="F366" s="195"/>
      <c r="G366" s="195"/>
    </row>
    <row r="367">
      <c r="A367" s="195" t="s">
        <v>99</v>
      </c>
      <c r="B367" s="129"/>
      <c r="C367" s="195"/>
      <c r="D367" s="195"/>
      <c r="E367" s="129"/>
      <c r="F367" s="195"/>
      <c r="G367" s="195"/>
    </row>
    <row r="368">
      <c r="A368" s="195" t="s">
        <v>83</v>
      </c>
      <c r="B368" s="129"/>
      <c r="C368" s="195"/>
      <c r="D368" s="195"/>
      <c r="E368" s="129"/>
      <c r="F368" s="195"/>
      <c r="G368" s="195"/>
    </row>
    <row r="369">
      <c r="A369" s="195" t="s">
        <v>100</v>
      </c>
      <c r="B369" s="129"/>
      <c r="C369" s="195"/>
      <c r="D369" s="195"/>
      <c r="E369" s="129"/>
      <c r="F369" s="195"/>
      <c r="G369" s="195"/>
    </row>
    <row r="370">
      <c r="A370" s="195" t="s">
        <v>94</v>
      </c>
      <c r="B370" s="129"/>
      <c r="C370" s="195"/>
      <c r="D370" s="195"/>
      <c r="E370" s="129"/>
      <c r="F370" s="195"/>
      <c r="G370" s="195"/>
    </row>
    <row r="371">
      <c r="A371" s="195" t="s">
        <v>101</v>
      </c>
      <c r="B371" s="129"/>
      <c r="C371" s="195"/>
      <c r="D371" s="195"/>
      <c r="E371" s="129"/>
      <c r="F371" s="195"/>
      <c r="G371" s="195"/>
    </row>
    <row r="372">
      <c r="A372" s="195" t="s">
        <v>88</v>
      </c>
      <c r="B372" s="129"/>
      <c r="C372" s="195"/>
      <c r="D372" s="195"/>
      <c r="E372" s="129"/>
      <c r="F372" s="195"/>
      <c r="G372" s="195"/>
    </row>
    <row r="373">
      <c r="A373" s="195" t="s">
        <v>97</v>
      </c>
      <c r="B373" s="129"/>
      <c r="C373" s="195"/>
      <c r="D373" s="195"/>
      <c r="E373" s="129"/>
      <c r="F373" s="195"/>
      <c r="G373" s="195"/>
    </row>
    <row r="374">
      <c r="A374" s="195" t="s">
        <v>74</v>
      </c>
      <c r="B374" s="129"/>
      <c r="C374" s="195"/>
      <c r="D374" s="195"/>
      <c r="E374" s="129"/>
      <c r="F374" s="195"/>
      <c r="G374" s="195"/>
    </row>
    <row r="375">
      <c r="A375" s="195" t="s">
        <v>82</v>
      </c>
      <c r="B375" s="129"/>
      <c r="C375" s="195"/>
      <c r="D375" s="195"/>
      <c r="E375" s="129"/>
      <c r="F375" s="195"/>
      <c r="G375" s="195"/>
    </row>
    <row r="376">
      <c r="A376" s="195" t="s">
        <v>98</v>
      </c>
      <c r="B376" s="129"/>
      <c r="C376" s="195"/>
      <c r="D376" s="195"/>
      <c r="E376" s="129"/>
      <c r="F376" s="195"/>
      <c r="G376" s="195"/>
    </row>
    <row r="377">
      <c r="A377" s="195" t="s">
        <v>99</v>
      </c>
      <c r="B377" s="129"/>
      <c r="C377" s="195"/>
      <c r="D377" s="195"/>
      <c r="E377" s="129"/>
      <c r="F377" s="195"/>
      <c r="G377" s="195"/>
    </row>
    <row r="378">
      <c r="A378" s="195" t="s">
        <v>83</v>
      </c>
      <c r="B378" s="129"/>
      <c r="C378" s="195"/>
      <c r="D378" s="195"/>
      <c r="E378" s="129"/>
      <c r="F378" s="195"/>
      <c r="G378" s="195"/>
    </row>
    <row r="379">
      <c r="A379" s="195" t="s">
        <v>100</v>
      </c>
      <c r="B379" s="129"/>
      <c r="C379" s="195"/>
      <c r="D379" s="195"/>
      <c r="E379" s="129"/>
      <c r="F379" s="195"/>
      <c r="G379" s="195"/>
    </row>
    <row r="380">
      <c r="A380" s="195" t="s">
        <v>94</v>
      </c>
      <c r="B380" s="129"/>
      <c r="C380" s="195"/>
      <c r="D380" s="195"/>
      <c r="E380" s="129"/>
      <c r="F380" s="195"/>
      <c r="G380" s="195"/>
    </row>
    <row r="381">
      <c r="A381" s="195" t="s">
        <v>101</v>
      </c>
      <c r="B381" s="129"/>
      <c r="C381" s="195"/>
      <c r="D381" s="195"/>
      <c r="E381" s="129"/>
      <c r="F381" s="195"/>
      <c r="G381" s="195"/>
    </row>
    <row r="382">
      <c r="A382" s="195" t="s">
        <v>88</v>
      </c>
      <c r="B382" s="129"/>
      <c r="C382" s="195"/>
      <c r="D382" s="195"/>
      <c r="E382" s="129"/>
      <c r="F382" s="195"/>
      <c r="G382" s="195"/>
    </row>
    <row r="383">
      <c r="A383" s="195" t="s">
        <v>97</v>
      </c>
      <c r="B383" s="129"/>
      <c r="C383" s="195"/>
      <c r="D383" s="195"/>
      <c r="E383" s="129"/>
      <c r="F383" s="195"/>
      <c r="G383" s="195"/>
    </row>
    <row r="384">
      <c r="A384" s="195" t="s">
        <v>74</v>
      </c>
      <c r="B384" s="129"/>
      <c r="C384" s="195"/>
      <c r="D384" s="195"/>
      <c r="E384" s="129"/>
      <c r="F384" s="195"/>
      <c r="G384" s="195"/>
    </row>
    <row r="385">
      <c r="A385" s="195" t="s">
        <v>82</v>
      </c>
      <c r="B385" s="129"/>
      <c r="C385" s="195"/>
      <c r="D385" s="195"/>
      <c r="E385" s="129"/>
      <c r="F385" s="195"/>
      <c r="G385" s="195"/>
    </row>
    <row r="386">
      <c r="A386" s="195" t="s">
        <v>98</v>
      </c>
      <c r="B386" s="129"/>
      <c r="C386" s="195"/>
      <c r="D386" s="195"/>
      <c r="E386" s="129"/>
      <c r="F386" s="195"/>
      <c r="G386" s="195"/>
    </row>
    <row r="387">
      <c r="A387" s="195" t="s">
        <v>99</v>
      </c>
      <c r="B387" s="129"/>
      <c r="C387" s="195"/>
      <c r="D387" s="195"/>
      <c r="E387" s="129"/>
      <c r="F387" s="195"/>
      <c r="G387" s="195"/>
    </row>
    <row r="388">
      <c r="A388" s="195" t="s">
        <v>83</v>
      </c>
      <c r="B388" s="129"/>
      <c r="C388" s="195"/>
      <c r="D388" s="195"/>
      <c r="E388" s="129"/>
      <c r="F388" s="195"/>
      <c r="G388" s="195"/>
    </row>
    <row r="389">
      <c r="A389" s="195" t="s">
        <v>100</v>
      </c>
      <c r="B389" s="129"/>
      <c r="C389" s="195"/>
      <c r="D389" s="195"/>
      <c r="E389" s="129"/>
      <c r="F389" s="195"/>
      <c r="G389" s="195"/>
    </row>
    <row r="390">
      <c r="A390" s="195" t="s">
        <v>94</v>
      </c>
      <c r="B390" s="129"/>
      <c r="C390" s="195"/>
      <c r="D390" s="195"/>
      <c r="E390" s="129"/>
      <c r="F390" s="195"/>
      <c r="G390" s="195"/>
    </row>
    <row r="391">
      <c r="A391" s="195" t="s">
        <v>101</v>
      </c>
      <c r="B391" s="129"/>
      <c r="C391" s="195"/>
      <c r="D391" s="195"/>
      <c r="E391" s="129"/>
      <c r="F391" s="195"/>
      <c r="G391" s="195"/>
    </row>
    <row r="392">
      <c r="A392" s="195" t="s">
        <v>88</v>
      </c>
      <c r="B392" s="129"/>
      <c r="C392" s="195"/>
      <c r="D392" s="195"/>
      <c r="E392" s="129"/>
      <c r="F392" s="195"/>
      <c r="G392" s="195"/>
    </row>
    <row r="393">
      <c r="A393" s="195" t="s">
        <v>97</v>
      </c>
      <c r="B393" s="129"/>
      <c r="C393" s="195"/>
      <c r="D393" s="195"/>
      <c r="E393" s="129"/>
      <c r="F393" s="195"/>
      <c r="G393" s="195"/>
    </row>
    <row r="394">
      <c r="A394" s="195" t="s">
        <v>74</v>
      </c>
      <c r="B394" s="129"/>
      <c r="C394" s="195"/>
      <c r="D394" s="195"/>
      <c r="E394" s="129"/>
      <c r="F394" s="195"/>
      <c r="G394" s="195"/>
    </row>
    <row r="395">
      <c r="A395" s="195" t="s">
        <v>82</v>
      </c>
      <c r="B395" s="129"/>
      <c r="C395" s="195"/>
      <c r="D395" s="195"/>
      <c r="E395" s="129"/>
      <c r="F395" s="195"/>
      <c r="G395" s="195"/>
    </row>
    <row r="396">
      <c r="A396" s="195" t="s">
        <v>98</v>
      </c>
      <c r="B396" s="129"/>
      <c r="C396" s="195"/>
      <c r="D396" s="195"/>
      <c r="E396" s="129"/>
      <c r="F396" s="195"/>
      <c r="G396" s="195"/>
    </row>
    <row r="397">
      <c r="A397" s="195" t="s">
        <v>99</v>
      </c>
      <c r="B397" s="129"/>
      <c r="C397" s="195"/>
      <c r="D397" s="195"/>
      <c r="E397" s="129"/>
      <c r="F397" s="195"/>
      <c r="G397" s="195"/>
    </row>
    <row r="398">
      <c r="A398" s="195" t="s">
        <v>83</v>
      </c>
      <c r="B398" s="129"/>
      <c r="C398" s="195"/>
      <c r="D398" s="195"/>
      <c r="E398" s="129"/>
      <c r="F398" s="195"/>
      <c r="G398" s="195"/>
    </row>
    <row r="399">
      <c r="A399" s="195" t="s">
        <v>100</v>
      </c>
      <c r="B399" s="129"/>
      <c r="C399" s="195"/>
      <c r="D399" s="195"/>
      <c r="E399" s="129"/>
      <c r="F399" s="195"/>
      <c r="G399" s="195"/>
    </row>
    <row r="400">
      <c r="A400" s="195" t="s">
        <v>94</v>
      </c>
      <c r="B400" s="129"/>
      <c r="C400" s="195"/>
      <c r="D400" s="195"/>
      <c r="E400" s="129"/>
      <c r="F400" s="195"/>
      <c r="G400" s="195"/>
    </row>
    <row r="401">
      <c r="A401" s="195" t="s">
        <v>101</v>
      </c>
      <c r="B401" s="129"/>
      <c r="C401" s="195"/>
      <c r="D401" s="195"/>
      <c r="E401" s="129"/>
      <c r="F401" s="195"/>
      <c r="G401" s="195"/>
    </row>
    <row r="402">
      <c r="A402" s="195" t="s">
        <v>88</v>
      </c>
      <c r="B402" s="129"/>
      <c r="C402" s="195"/>
      <c r="D402" s="195"/>
      <c r="E402" s="129"/>
      <c r="F402" s="195"/>
      <c r="G402" s="195"/>
    </row>
    <row r="403">
      <c r="A403" s="195" t="s">
        <v>97</v>
      </c>
      <c r="B403" s="129"/>
      <c r="C403" s="195"/>
      <c r="D403" s="195"/>
      <c r="E403" s="129"/>
      <c r="F403" s="195"/>
      <c r="G403" s="195"/>
    </row>
    <row r="404">
      <c r="A404" s="195" t="s">
        <v>74</v>
      </c>
      <c r="B404" s="129"/>
      <c r="C404" s="195"/>
      <c r="D404" s="195"/>
      <c r="E404" s="129"/>
      <c r="F404" s="195"/>
      <c r="G404" s="195"/>
    </row>
    <row r="405">
      <c r="A405" s="195" t="s">
        <v>82</v>
      </c>
      <c r="B405" s="129"/>
      <c r="C405" s="195"/>
      <c r="D405" s="195"/>
      <c r="E405" s="129"/>
      <c r="F405" s="195"/>
      <c r="G405" s="195"/>
    </row>
    <row r="406">
      <c r="A406" s="195" t="s">
        <v>98</v>
      </c>
      <c r="B406" s="129"/>
      <c r="C406" s="195"/>
      <c r="D406" s="195"/>
      <c r="E406" s="129"/>
      <c r="F406" s="195"/>
      <c r="G406" s="195"/>
    </row>
    <row r="407">
      <c r="A407" s="195" t="s">
        <v>99</v>
      </c>
      <c r="B407" s="129"/>
      <c r="C407" s="195"/>
      <c r="D407" s="195"/>
      <c r="E407" s="129"/>
      <c r="F407" s="195"/>
      <c r="G407" s="195"/>
    </row>
    <row r="408">
      <c r="A408" s="195" t="s">
        <v>83</v>
      </c>
      <c r="B408" s="129"/>
      <c r="C408" s="195"/>
      <c r="D408" s="195"/>
      <c r="E408" s="129"/>
      <c r="F408" s="195"/>
      <c r="G408" s="195"/>
    </row>
    <row r="409">
      <c r="A409" s="195" t="s">
        <v>100</v>
      </c>
      <c r="B409" s="129"/>
      <c r="C409" s="195"/>
      <c r="D409" s="195"/>
      <c r="E409" s="129"/>
      <c r="F409" s="195"/>
      <c r="G409" s="195"/>
    </row>
    <row r="410">
      <c r="A410" s="195" t="s">
        <v>94</v>
      </c>
      <c r="B410" s="129"/>
      <c r="C410" s="195"/>
      <c r="D410" s="195"/>
      <c r="E410" s="129"/>
      <c r="F410" s="195"/>
      <c r="G410" s="195"/>
    </row>
    <row r="411">
      <c r="A411" s="195" t="s">
        <v>101</v>
      </c>
      <c r="B411" s="129"/>
      <c r="C411" s="195"/>
      <c r="D411" s="195"/>
      <c r="E411" s="129"/>
      <c r="F411" s="195"/>
      <c r="G411" s="195"/>
    </row>
    <row r="412">
      <c r="A412" s="195" t="s">
        <v>88</v>
      </c>
      <c r="B412" s="129"/>
      <c r="C412" s="195"/>
      <c r="D412" s="195"/>
      <c r="E412" s="129"/>
      <c r="F412" s="195"/>
      <c r="G412" s="195"/>
    </row>
    <row r="413">
      <c r="A413" s="195" t="s">
        <v>97</v>
      </c>
      <c r="B413" s="129"/>
      <c r="C413" s="195"/>
      <c r="D413" s="195"/>
      <c r="E413" s="129"/>
      <c r="F413" s="195"/>
      <c r="G413" s="195"/>
    </row>
    <row r="414">
      <c r="A414" s="195" t="s">
        <v>74</v>
      </c>
      <c r="B414" s="129"/>
      <c r="C414" s="195"/>
      <c r="D414" s="195"/>
      <c r="E414" s="129"/>
      <c r="F414" s="195"/>
      <c r="G414" s="195"/>
    </row>
    <row r="415">
      <c r="A415" s="195" t="s">
        <v>82</v>
      </c>
      <c r="B415" s="129"/>
      <c r="C415" s="195"/>
      <c r="D415" s="195"/>
      <c r="E415" s="129"/>
      <c r="F415" s="195"/>
      <c r="G415" s="195"/>
    </row>
    <row r="416">
      <c r="A416" s="195" t="s">
        <v>98</v>
      </c>
      <c r="B416" s="129"/>
      <c r="C416" s="195"/>
      <c r="D416" s="195"/>
      <c r="E416" s="129"/>
      <c r="F416" s="195"/>
      <c r="G416" s="195"/>
    </row>
    <row r="417">
      <c r="A417" s="195" t="s">
        <v>99</v>
      </c>
      <c r="B417" s="129"/>
      <c r="C417" s="195"/>
      <c r="D417" s="195"/>
      <c r="E417" s="129"/>
      <c r="F417" s="195"/>
      <c r="G417" s="195"/>
    </row>
    <row r="418">
      <c r="A418" s="195" t="s">
        <v>83</v>
      </c>
      <c r="B418" s="129"/>
      <c r="C418" s="195"/>
      <c r="D418" s="195"/>
      <c r="E418" s="129"/>
      <c r="F418" s="195"/>
      <c r="G418" s="195"/>
    </row>
    <row r="419">
      <c r="A419" s="195" t="s">
        <v>100</v>
      </c>
      <c r="B419" s="129"/>
      <c r="C419" s="195"/>
      <c r="D419" s="195"/>
      <c r="E419" s="129"/>
      <c r="F419" s="195"/>
      <c r="G419" s="195"/>
    </row>
    <row r="420">
      <c r="A420" s="195" t="s">
        <v>94</v>
      </c>
      <c r="B420" s="129"/>
      <c r="C420" s="195"/>
      <c r="D420" s="195"/>
      <c r="E420" s="129"/>
      <c r="F420" s="195"/>
      <c r="G420" s="195"/>
    </row>
    <row r="421">
      <c r="A421" s="195" t="s">
        <v>101</v>
      </c>
      <c r="B421" s="129"/>
      <c r="C421" s="195"/>
      <c r="D421" s="195"/>
      <c r="E421" s="129"/>
      <c r="F421" s="195"/>
      <c r="G421" s="195"/>
    </row>
    <row r="422">
      <c r="A422" s="195" t="s">
        <v>88</v>
      </c>
      <c r="B422" s="129"/>
      <c r="C422" s="195"/>
      <c r="D422" s="195"/>
      <c r="E422" s="129"/>
      <c r="F422" s="195"/>
      <c r="G422" s="195"/>
    </row>
    <row r="423">
      <c r="A423" s="195"/>
      <c r="B423" s="129"/>
      <c r="C423" s="195"/>
      <c r="D423" s="195"/>
      <c r="E423" s="129"/>
      <c r="F423" s="195"/>
      <c r="G423" s="195"/>
    </row>
    <row r="424">
      <c r="A424" s="195"/>
      <c r="B424" s="129"/>
      <c r="C424" s="195"/>
      <c r="D424" s="195"/>
      <c r="E424" s="129"/>
      <c r="F424" s="195"/>
      <c r="G424" s="195"/>
    </row>
    <row r="425">
      <c r="A425" s="195"/>
      <c r="B425" s="129"/>
      <c r="C425" s="195"/>
      <c r="D425" s="195"/>
      <c r="E425" s="129"/>
      <c r="F425" s="195"/>
      <c r="G425" s="195"/>
    </row>
    <row r="426">
      <c r="A426" s="195"/>
      <c r="B426" s="129"/>
      <c r="C426" s="195"/>
      <c r="D426" s="195"/>
      <c r="E426" s="129"/>
      <c r="F426" s="195"/>
      <c r="G426" s="195"/>
    </row>
    <row r="427">
      <c r="A427" s="195"/>
      <c r="B427" s="129"/>
      <c r="C427" s="195"/>
      <c r="D427" s="195"/>
      <c r="E427" s="129"/>
      <c r="F427" s="195"/>
      <c r="G427" s="195"/>
    </row>
    <row r="428">
      <c r="A428" s="195"/>
      <c r="B428" s="129"/>
      <c r="C428" s="195"/>
      <c r="D428" s="195"/>
      <c r="E428" s="129"/>
      <c r="F428" s="195"/>
      <c r="G428" s="195"/>
    </row>
    <row r="429">
      <c r="A429" s="195"/>
      <c r="B429" s="129"/>
      <c r="C429" s="195"/>
      <c r="D429" s="195"/>
      <c r="E429" s="129"/>
      <c r="F429" s="195"/>
      <c r="G429" s="195"/>
    </row>
    <row r="430">
      <c r="A430" s="195"/>
      <c r="B430" s="129"/>
      <c r="C430" s="195"/>
      <c r="D430" s="195"/>
      <c r="E430" s="129"/>
      <c r="F430" s="195"/>
      <c r="G430" s="195"/>
    </row>
    <row r="431">
      <c r="A431" s="195"/>
      <c r="B431" s="129"/>
      <c r="C431" s="195"/>
      <c r="D431" s="195"/>
      <c r="E431" s="129"/>
      <c r="F431" s="195"/>
      <c r="G431" s="195"/>
    </row>
    <row r="432">
      <c r="A432" s="195"/>
      <c r="B432" s="129"/>
      <c r="C432" s="195"/>
      <c r="D432" s="195"/>
      <c r="E432" s="129"/>
      <c r="F432" s="195"/>
      <c r="G432" s="195"/>
    </row>
    <row r="433">
      <c r="A433" s="195"/>
      <c r="B433" s="129"/>
      <c r="C433" s="195"/>
      <c r="D433" s="195"/>
      <c r="E433" s="129"/>
      <c r="F433" s="195"/>
      <c r="G433" s="195"/>
    </row>
    <row r="434">
      <c r="A434" s="195"/>
      <c r="B434" s="129"/>
      <c r="C434" s="195"/>
      <c r="D434" s="195"/>
      <c r="E434" s="129"/>
      <c r="F434" s="195"/>
      <c r="G434" s="195"/>
    </row>
    <row r="435">
      <c r="A435" s="195"/>
      <c r="B435" s="129"/>
      <c r="C435" s="195"/>
      <c r="D435" s="195"/>
      <c r="E435" s="129"/>
      <c r="F435" s="195"/>
      <c r="G435" s="195"/>
    </row>
    <row r="436">
      <c r="A436" s="195"/>
      <c r="B436" s="129"/>
      <c r="C436" s="195"/>
      <c r="D436" s="195"/>
      <c r="E436" s="129"/>
      <c r="F436" s="195"/>
      <c r="G436" s="195"/>
    </row>
    <row r="437">
      <c r="A437" s="195"/>
      <c r="B437" s="129"/>
      <c r="C437" s="195"/>
      <c r="D437" s="195"/>
      <c r="E437" s="129"/>
      <c r="F437" s="195"/>
      <c r="G437" s="195"/>
    </row>
    <row r="438">
      <c r="A438" s="195"/>
      <c r="B438" s="129"/>
      <c r="C438" s="195"/>
      <c r="D438" s="195"/>
      <c r="E438" s="129"/>
      <c r="F438" s="195"/>
      <c r="G438" s="195"/>
    </row>
    <row r="439">
      <c r="A439" s="195"/>
      <c r="B439" s="129"/>
      <c r="C439" s="195"/>
      <c r="D439" s="195"/>
      <c r="E439" s="129"/>
      <c r="F439" s="195"/>
      <c r="G439" s="195"/>
    </row>
    <row r="440">
      <c r="A440" s="195"/>
      <c r="B440" s="129"/>
      <c r="C440" s="195"/>
      <c r="D440" s="195"/>
      <c r="E440" s="129"/>
      <c r="F440" s="195"/>
      <c r="G440" s="195"/>
    </row>
    <row r="441">
      <c r="A441" s="195"/>
      <c r="B441" s="129"/>
      <c r="C441" s="195"/>
      <c r="D441" s="195"/>
      <c r="E441" s="129"/>
      <c r="F441" s="195"/>
      <c r="G441" s="195"/>
    </row>
    <row r="442">
      <c r="A442" s="195"/>
      <c r="B442" s="129"/>
      <c r="C442" s="195"/>
      <c r="D442" s="195"/>
      <c r="E442" s="129"/>
      <c r="F442" s="195"/>
      <c r="G442" s="195"/>
    </row>
    <row r="443">
      <c r="A443" s="195"/>
      <c r="B443" s="129"/>
      <c r="C443" s="195"/>
      <c r="D443" s="195"/>
      <c r="E443" s="129"/>
      <c r="F443" s="195"/>
      <c r="G443" s="195"/>
    </row>
    <row r="444">
      <c r="A444" s="195"/>
      <c r="B444" s="129"/>
      <c r="C444" s="195"/>
      <c r="D444" s="195"/>
      <c r="E444" s="129"/>
      <c r="F444" s="195"/>
      <c r="G444" s="195"/>
    </row>
    <row r="445">
      <c r="A445" s="195"/>
      <c r="B445" s="129"/>
      <c r="C445" s="195"/>
      <c r="D445" s="195"/>
      <c r="E445" s="129"/>
      <c r="F445" s="195"/>
      <c r="G445" s="195"/>
    </row>
    <row r="446">
      <c r="A446" s="195"/>
      <c r="B446" s="129"/>
      <c r="C446" s="195"/>
      <c r="D446" s="195"/>
      <c r="E446" s="129"/>
      <c r="F446" s="195"/>
      <c r="G446" s="195"/>
    </row>
    <row r="447">
      <c r="A447" s="195"/>
      <c r="B447" s="129"/>
      <c r="C447" s="195"/>
      <c r="D447" s="195"/>
      <c r="E447" s="129"/>
      <c r="F447" s="195"/>
      <c r="G447" s="195"/>
    </row>
    <row r="448">
      <c r="A448" s="195"/>
      <c r="B448" s="129"/>
      <c r="C448" s="195"/>
      <c r="D448" s="195"/>
      <c r="E448" s="129"/>
      <c r="F448" s="195"/>
      <c r="G448" s="195"/>
    </row>
    <row r="449">
      <c r="A449" s="195"/>
      <c r="B449" s="129"/>
      <c r="C449" s="195"/>
      <c r="D449" s="195"/>
      <c r="E449" s="129"/>
      <c r="F449" s="195"/>
      <c r="G449" s="195"/>
    </row>
    <row r="450">
      <c r="A450" s="195"/>
      <c r="B450" s="129"/>
      <c r="C450" s="195"/>
      <c r="D450" s="195"/>
      <c r="E450" s="129"/>
      <c r="F450" s="195"/>
      <c r="G450" s="195"/>
    </row>
    <row r="451">
      <c r="A451" s="195"/>
      <c r="B451" s="129"/>
      <c r="C451" s="195"/>
      <c r="D451" s="195"/>
      <c r="E451" s="129"/>
      <c r="F451" s="195"/>
      <c r="G451" s="195"/>
    </row>
    <row r="452">
      <c r="A452" s="195"/>
      <c r="B452" s="129"/>
      <c r="C452" s="195"/>
      <c r="D452" s="195"/>
      <c r="E452" s="129"/>
      <c r="F452" s="195"/>
      <c r="G452" s="195"/>
    </row>
    <row r="453">
      <c r="A453" s="195"/>
      <c r="B453" s="129"/>
      <c r="C453" s="195"/>
      <c r="D453" s="195"/>
      <c r="E453" s="129"/>
      <c r="F453" s="195"/>
      <c r="G453" s="195"/>
    </row>
    <row r="454">
      <c r="A454" s="195"/>
      <c r="B454" s="129"/>
      <c r="C454" s="195"/>
      <c r="D454" s="195"/>
      <c r="E454" s="129"/>
      <c r="F454" s="195"/>
      <c r="G454" s="195"/>
    </row>
    <row r="455">
      <c r="A455" s="195"/>
      <c r="B455" s="129"/>
      <c r="C455" s="195"/>
      <c r="D455" s="195"/>
      <c r="E455" s="129"/>
      <c r="F455" s="195"/>
      <c r="G455" s="195"/>
    </row>
    <row r="456">
      <c r="A456" s="195"/>
      <c r="B456" s="129"/>
      <c r="C456" s="195"/>
      <c r="D456" s="195"/>
      <c r="E456" s="129"/>
      <c r="F456" s="195"/>
      <c r="G456" s="195"/>
    </row>
    <row r="457">
      <c r="A457" s="195"/>
      <c r="B457" s="129"/>
      <c r="C457" s="195"/>
      <c r="D457" s="195"/>
      <c r="E457" s="129"/>
      <c r="F457" s="195"/>
      <c r="G457" s="195"/>
    </row>
    <row r="458">
      <c r="A458" s="195"/>
      <c r="B458" s="129"/>
      <c r="C458" s="195"/>
      <c r="D458" s="195"/>
      <c r="E458" s="129"/>
      <c r="F458" s="195"/>
      <c r="G458" s="195"/>
    </row>
    <row r="459">
      <c r="A459" s="195"/>
      <c r="B459" s="129"/>
      <c r="C459" s="195"/>
      <c r="D459" s="195"/>
      <c r="E459" s="129"/>
      <c r="F459" s="195"/>
      <c r="G459" s="195"/>
    </row>
    <row r="460">
      <c r="A460" s="195"/>
      <c r="B460" s="129"/>
      <c r="C460" s="195"/>
      <c r="D460" s="195"/>
      <c r="E460" s="129"/>
      <c r="F460" s="195"/>
      <c r="G460" s="195"/>
    </row>
    <row r="461">
      <c r="A461" s="195"/>
      <c r="B461" s="129"/>
      <c r="C461" s="195"/>
      <c r="D461" s="195"/>
      <c r="E461" s="129"/>
      <c r="F461" s="195"/>
      <c r="G461" s="195"/>
    </row>
    <row r="462">
      <c r="A462" s="195"/>
      <c r="B462" s="129"/>
      <c r="C462" s="195"/>
      <c r="D462" s="195"/>
      <c r="E462" s="129"/>
      <c r="F462" s="195"/>
      <c r="G462" s="195"/>
    </row>
    <row r="463">
      <c r="A463" s="195"/>
      <c r="B463" s="129"/>
      <c r="C463" s="195"/>
      <c r="D463" s="195"/>
      <c r="E463" s="129"/>
      <c r="F463" s="195"/>
      <c r="G463" s="195"/>
    </row>
    <row r="464">
      <c r="A464" s="195"/>
      <c r="B464" s="129"/>
      <c r="C464" s="195"/>
      <c r="D464" s="195"/>
      <c r="E464" s="129"/>
      <c r="F464" s="195"/>
      <c r="G464" s="195"/>
    </row>
    <row r="465">
      <c r="A465" s="195"/>
      <c r="B465" s="129"/>
      <c r="C465" s="195"/>
      <c r="D465" s="195"/>
      <c r="E465" s="129"/>
      <c r="F465" s="195"/>
      <c r="G465" s="195"/>
    </row>
    <row r="466">
      <c r="A466" s="195"/>
      <c r="B466" s="129"/>
      <c r="C466" s="195"/>
      <c r="D466" s="195"/>
      <c r="E466" s="129"/>
      <c r="F466" s="195"/>
      <c r="G466" s="195"/>
    </row>
    <row r="467">
      <c r="A467" s="195"/>
      <c r="B467" s="129"/>
      <c r="C467" s="195"/>
      <c r="D467" s="195"/>
      <c r="E467" s="129"/>
      <c r="F467" s="195"/>
      <c r="G467" s="195"/>
    </row>
    <row r="468">
      <c r="A468" s="195"/>
      <c r="B468" s="129"/>
      <c r="C468" s="195"/>
      <c r="D468" s="195"/>
      <c r="E468" s="129"/>
      <c r="F468" s="195"/>
      <c r="G468" s="195"/>
    </row>
    <row r="469">
      <c r="A469" s="195"/>
      <c r="B469" s="129"/>
      <c r="C469" s="195"/>
      <c r="D469" s="195"/>
      <c r="E469" s="129"/>
      <c r="F469" s="195"/>
      <c r="G469" s="195"/>
    </row>
    <row r="470">
      <c r="A470" s="195"/>
      <c r="B470" s="129"/>
      <c r="C470" s="195"/>
      <c r="D470" s="195"/>
      <c r="E470" s="129"/>
      <c r="F470" s="195"/>
      <c r="G470" s="195"/>
    </row>
    <row r="471">
      <c r="A471" s="195"/>
      <c r="B471" s="129"/>
      <c r="C471" s="195"/>
      <c r="D471" s="195"/>
      <c r="E471" s="129"/>
      <c r="F471" s="195"/>
      <c r="G471" s="195"/>
    </row>
    <row r="472">
      <c r="A472" s="195"/>
      <c r="B472" s="129"/>
      <c r="C472" s="195"/>
      <c r="D472" s="195"/>
      <c r="E472" s="129"/>
      <c r="F472" s="195"/>
      <c r="G472" s="195"/>
    </row>
    <row r="473">
      <c r="A473" s="195"/>
      <c r="B473" s="129"/>
      <c r="C473" s="195"/>
      <c r="D473" s="195"/>
      <c r="E473" s="129"/>
      <c r="F473" s="195"/>
      <c r="G473" s="195"/>
    </row>
    <row r="474">
      <c r="A474" s="195"/>
      <c r="B474" s="129"/>
      <c r="C474" s="195"/>
      <c r="D474" s="195"/>
      <c r="E474" s="129"/>
      <c r="F474" s="195"/>
      <c r="G474" s="195"/>
    </row>
    <row r="475">
      <c r="A475" s="195"/>
      <c r="B475" s="129"/>
      <c r="C475" s="195"/>
      <c r="D475" s="195"/>
      <c r="E475" s="129"/>
      <c r="F475" s="195"/>
      <c r="G475" s="195"/>
    </row>
    <row r="476">
      <c r="A476" s="195"/>
      <c r="B476" s="129"/>
      <c r="C476" s="195"/>
      <c r="D476" s="195"/>
      <c r="E476" s="129"/>
      <c r="F476" s="195"/>
      <c r="G476" s="195"/>
    </row>
    <row r="477">
      <c r="A477" s="195"/>
      <c r="B477" s="129"/>
      <c r="C477" s="195"/>
      <c r="D477" s="195"/>
      <c r="E477" s="129"/>
      <c r="F477" s="195"/>
      <c r="G477" s="195"/>
    </row>
    <row r="478">
      <c r="A478" s="195"/>
      <c r="B478" s="129"/>
      <c r="C478" s="195"/>
      <c r="D478" s="195"/>
      <c r="E478" s="129"/>
      <c r="F478" s="195"/>
      <c r="G478" s="195"/>
    </row>
    <row r="479">
      <c r="A479" s="195"/>
      <c r="B479" s="129"/>
      <c r="C479" s="195"/>
      <c r="D479" s="195"/>
      <c r="E479" s="129"/>
      <c r="F479" s="195"/>
      <c r="G479" s="195"/>
    </row>
    <row r="480">
      <c r="A480" s="195"/>
      <c r="B480" s="129"/>
      <c r="C480" s="195"/>
      <c r="D480" s="195"/>
      <c r="E480" s="129"/>
      <c r="F480" s="195"/>
      <c r="G480" s="195"/>
    </row>
    <row r="481">
      <c r="A481" s="195"/>
      <c r="B481" s="129"/>
      <c r="C481" s="195"/>
      <c r="D481" s="195"/>
      <c r="E481" s="129"/>
      <c r="F481" s="195"/>
      <c r="G481" s="195"/>
    </row>
    <row r="482">
      <c r="A482" s="195"/>
      <c r="B482" s="129"/>
      <c r="C482" s="195"/>
      <c r="D482" s="195"/>
      <c r="E482" s="129"/>
      <c r="F482" s="195"/>
      <c r="G482" s="195"/>
    </row>
    <row r="483">
      <c r="A483" s="195"/>
      <c r="B483" s="129"/>
      <c r="C483" s="195"/>
      <c r="D483" s="195"/>
      <c r="E483" s="129"/>
      <c r="F483" s="195"/>
      <c r="G483" s="195"/>
    </row>
    <row r="484">
      <c r="A484" s="195"/>
      <c r="B484" s="129"/>
      <c r="C484" s="195"/>
      <c r="D484" s="195"/>
      <c r="E484" s="129"/>
      <c r="F484" s="195"/>
      <c r="G484" s="195"/>
    </row>
    <row r="485">
      <c r="A485" s="195"/>
      <c r="B485" s="129"/>
      <c r="C485" s="195"/>
      <c r="D485" s="195"/>
      <c r="E485" s="129"/>
      <c r="F485" s="195"/>
      <c r="G485" s="195"/>
    </row>
    <row r="486">
      <c r="A486" s="195"/>
      <c r="B486" s="129"/>
      <c r="C486" s="195"/>
      <c r="D486" s="195"/>
      <c r="E486" s="129"/>
      <c r="F486" s="195"/>
      <c r="G486" s="195"/>
    </row>
    <row r="487">
      <c r="A487" s="195"/>
      <c r="B487" s="129"/>
      <c r="C487" s="195"/>
      <c r="D487" s="195"/>
      <c r="E487" s="129"/>
      <c r="F487" s="195"/>
      <c r="G487" s="195"/>
    </row>
    <row r="488">
      <c r="A488" s="195"/>
      <c r="B488" s="129"/>
      <c r="C488" s="195"/>
      <c r="D488" s="195"/>
      <c r="E488" s="129"/>
      <c r="F488" s="195"/>
      <c r="G488" s="195"/>
    </row>
    <row r="489">
      <c r="A489" s="195"/>
      <c r="B489" s="129"/>
      <c r="C489" s="195"/>
      <c r="D489" s="195"/>
      <c r="E489" s="129"/>
      <c r="F489" s="195"/>
      <c r="G489" s="195"/>
    </row>
    <row r="490">
      <c r="A490" s="195"/>
      <c r="B490" s="129"/>
      <c r="C490" s="195"/>
      <c r="D490" s="195"/>
      <c r="E490" s="129"/>
      <c r="F490" s="195"/>
      <c r="G490" s="195"/>
    </row>
    <row r="491">
      <c r="A491" s="195"/>
      <c r="B491" s="129"/>
      <c r="C491" s="195"/>
      <c r="D491" s="195"/>
      <c r="E491" s="129"/>
      <c r="F491" s="195"/>
      <c r="G491" s="195"/>
    </row>
    <row r="492">
      <c r="A492" s="195"/>
      <c r="B492" s="129"/>
      <c r="C492" s="195"/>
      <c r="D492" s="195"/>
      <c r="E492" s="129"/>
      <c r="F492" s="195"/>
      <c r="G492" s="195"/>
    </row>
    <row r="493">
      <c r="A493" s="195"/>
      <c r="B493" s="129"/>
      <c r="C493" s="195"/>
      <c r="D493" s="195"/>
      <c r="E493" s="129"/>
      <c r="F493" s="195"/>
      <c r="G493" s="195"/>
    </row>
    <row r="494">
      <c r="A494" s="195"/>
      <c r="B494" s="129"/>
      <c r="C494" s="195"/>
      <c r="D494" s="195"/>
      <c r="E494" s="129"/>
      <c r="F494" s="195"/>
      <c r="G494" s="195"/>
    </row>
    <row r="495">
      <c r="A495" s="195"/>
      <c r="B495" s="129"/>
      <c r="C495" s="195"/>
      <c r="D495" s="195"/>
      <c r="E495" s="129"/>
      <c r="F495" s="195"/>
      <c r="G495" s="195"/>
    </row>
    <row r="496">
      <c r="A496" s="195"/>
      <c r="B496" s="129"/>
      <c r="C496" s="195"/>
      <c r="D496" s="195"/>
      <c r="E496" s="129"/>
      <c r="F496" s="195"/>
      <c r="G496" s="195"/>
    </row>
    <row r="497">
      <c r="A497" s="195"/>
      <c r="B497" s="129"/>
      <c r="C497" s="195"/>
      <c r="D497" s="195"/>
      <c r="E497" s="129"/>
      <c r="F497" s="195"/>
      <c r="G497" s="195"/>
    </row>
    <row r="498">
      <c r="A498" s="195"/>
      <c r="B498" s="129"/>
      <c r="C498" s="195"/>
      <c r="D498" s="195"/>
      <c r="E498" s="129"/>
      <c r="F498" s="195"/>
      <c r="G498" s="195"/>
    </row>
    <row r="499">
      <c r="A499" s="195"/>
      <c r="B499" s="129"/>
      <c r="C499" s="195"/>
      <c r="D499" s="195"/>
      <c r="E499" s="129"/>
      <c r="F499" s="195"/>
      <c r="G499" s="195"/>
    </row>
    <row r="500">
      <c r="A500" s="195"/>
      <c r="B500" s="129"/>
      <c r="C500" s="195"/>
      <c r="D500" s="195"/>
      <c r="E500" s="129"/>
      <c r="F500" s="195"/>
      <c r="G500" s="195"/>
    </row>
    <row r="501">
      <c r="A501" s="195"/>
      <c r="B501" s="129"/>
      <c r="C501" s="195"/>
      <c r="D501" s="195"/>
      <c r="E501" s="129"/>
      <c r="F501" s="195"/>
      <c r="G501" s="195"/>
    </row>
    <row r="502">
      <c r="A502" s="195"/>
      <c r="B502" s="129"/>
      <c r="C502" s="195"/>
      <c r="D502" s="195"/>
      <c r="E502" s="129"/>
      <c r="F502" s="195"/>
      <c r="G502" s="195"/>
    </row>
    <row r="503">
      <c r="A503" s="195"/>
      <c r="B503" s="129"/>
      <c r="C503" s="195"/>
      <c r="D503" s="195"/>
      <c r="E503" s="129"/>
      <c r="F503" s="195"/>
      <c r="G503" s="195"/>
    </row>
    <row r="504">
      <c r="A504" s="195"/>
      <c r="B504" s="129"/>
      <c r="C504" s="195"/>
      <c r="D504" s="195"/>
      <c r="E504" s="129"/>
      <c r="F504" s="195"/>
      <c r="G504" s="195"/>
    </row>
    <row r="505">
      <c r="A505" s="195"/>
      <c r="B505" s="129"/>
      <c r="C505" s="195"/>
      <c r="D505" s="195"/>
      <c r="E505" s="129"/>
      <c r="F505" s="195"/>
      <c r="G505" s="195"/>
    </row>
    <row r="506">
      <c r="A506" s="195"/>
      <c r="B506" s="129"/>
      <c r="C506" s="195"/>
      <c r="D506" s="195"/>
      <c r="E506" s="129"/>
      <c r="F506" s="195"/>
      <c r="G506" s="195"/>
    </row>
    <row r="507">
      <c r="A507" s="195"/>
      <c r="B507" s="129"/>
      <c r="C507" s="195"/>
      <c r="D507" s="195"/>
      <c r="E507" s="129"/>
      <c r="F507" s="195"/>
      <c r="G507" s="195"/>
    </row>
    <row r="508">
      <c r="A508" s="195"/>
      <c r="B508" s="129"/>
      <c r="C508" s="195"/>
      <c r="D508" s="195"/>
      <c r="E508" s="129"/>
      <c r="F508" s="195"/>
      <c r="G508" s="195"/>
    </row>
    <row r="509">
      <c r="A509" s="195"/>
      <c r="B509" s="129"/>
      <c r="C509" s="195"/>
      <c r="D509" s="195"/>
      <c r="E509" s="129"/>
      <c r="F509" s="195"/>
      <c r="G509" s="195"/>
    </row>
    <row r="510">
      <c r="A510" s="195"/>
      <c r="B510" s="129"/>
      <c r="C510" s="195"/>
      <c r="D510" s="195"/>
      <c r="E510" s="129"/>
      <c r="F510" s="195"/>
      <c r="G510" s="195"/>
    </row>
    <row r="511">
      <c r="A511" s="195"/>
      <c r="B511" s="129"/>
      <c r="C511" s="195"/>
      <c r="D511" s="195"/>
      <c r="E511" s="129"/>
      <c r="F511" s="195"/>
      <c r="G511" s="195"/>
    </row>
    <row r="512">
      <c r="A512" s="195"/>
      <c r="B512" s="129"/>
      <c r="C512" s="195"/>
      <c r="D512" s="195"/>
      <c r="E512" s="129"/>
      <c r="F512" s="195"/>
      <c r="G512" s="195"/>
    </row>
    <row r="513">
      <c r="A513" s="195"/>
      <c r="B513" s="129"/>
      <c r="C513" s="195"/>
      <c r="D513" s="195"/>
      <c r="E513" s="129"/>
      <c r="F513" s="195"/>
      <c r="G513" s="195"/>
    </row>
    <row r="514">
      <c r="A514" s="195"/>
      <c r="B514" s="129"/>
      <c r="C514" s="195"/>
      <c r="D514" s="195"/>
      <c r="E514" s="129"/>
      <c r="F514" s="195"/>
      <c r="G514" s="195"/>
    </row>
    <row r="515">
      <c r="A515" s="195"/>
      <c r="B515" s="129"/>
      <c r="C515" s="195"/>
      <c r="D515" s="195"/>
      <c r="E515" s="129"/>
      <c r="F515" s="195"/>
      <c r="G515" s="195"/>
    </row>
    <row r="516">
      <c r="A516" s="195"/>
      <c r="B516" s="129"/>
      <c r="C516" s="195"/>
      <c r="D516" s="195"/>
      <c r="E516" s="129"/>
      <c r="F516" s="195"/>
      <c r="G516" s="195"/>
    </row>
    <row r="517">
      <c r="A517" s="195"/>
      <c r="B517" s="129"/>
      <c r="C517" s="195"/>
      <c r="D517" s="195"/>
      <c r="E517" s="129"/>
      <c r="F517" s="195"/>
      <c r="G517" s="195"/>
    </row>
    <row r="518">
      <c r="A518" s="195"/>
      <c r="B518" s="129"/>
      <c r="C518" s="195"/>
      <c r="D518" s="195"/>
      <c r="E518" s="129"/>
      <c r="F518" s="195"/>
      <c r="G518" s="195"/>
    </row>
    <row r="519">
      <c r="A519" s="195"/>
      <c r="B519" s="129"/>
      <c r="C519" s="195"/>
      <c r="D519" s="195"/>
      <c r="E519" s="129"/>
      <c r="F519" s="195"/>
      <c r="G519" s="195"/>
    </row>
    <row r="520">
      <c r="A520" s="195"/>
      <c r="B520" s="129"/>
      <c r="C520" s="195"/>
      <c r="D520" s="195"/>
      <c r="E520" s="129"/>
      <c r="F520" s="195"/>
      <c r="G520" s="195"/>
    </row>
    <row r="521">
      <c r="A521" s="195"/>
      <c r="B521" s="129"/>
      <c r="C521" s="195"/>
      <c r="D521" s="195"/>
      <c r="E521" s="129"/>
      <c r="F521" s="195"/>
      <c r="G521" s="195"/>
    </row>
    <row r="522">
      <c r="A522" s="195"/>
      <c r="B522" s="129"/>
      <c r="C522" s="195"/>
      <c r="D522" s="195"/>
      <c r="E522" s="129"/>
      <c r="F522" s="195"/>
      <c r="G522" s="195"/>
    </row>
    <row r="523">
      <c r="A523" s="195"/>
      <c r="B523" s="129"/>
      <c r="C523" s="195"/>
      <c r="D523" s="195"/>
      <c r="E523" s="129"/>
      <c r="F523" s="195"/>
      <c r="G523" s="195"/>
    </row>
    <row r="524">
      <c r="A524" s="195"/>
      <c r="B524" s="129"/>
      <c r="C524" s="195"/>
      <c r="D524" s="195"/>
      <c r="E524" s="129"/>
      <c r="F524" s="195"/>
      <c r="G524" s="195"/>
    </row>
    <row r="525">
      <c r="A525" s="195"/>
      <c r="B525" s="129"/>
      <c r="C525" s="195"/>
      <c r="D525" s="195"/>
      <c r="E525" s="129"/>
      <c r="F525" s="195"/>
      <c r="G525" s="195"/>
    </row>
    <row r="526">
      <c r="A526" s="195"/>
      <c r="B526" s="129"/>
      <c r="C526" s="195"/>
      <c r="D526" s="195"/>
      <c r="E526" s="129"/>
      <c r="F526" s="195"/>
      <c r="G526" s="195"/>
    </row>
    <row r="527">
      <c r="A527" s="195"/>
      <c r="B527" s="129"/>
      <c r="C527" s="195"/>
      <c r="D527" s="195"/>
      <c r="E527" s="129"/>
      <c r="F527" s="195"/>
      <c r="G527" s="195"/>
    </row>
    <row r="528">
      <c r="A528" s="195"/>
      <c r="B528" s="129"/>
      <c r="C528" s="195"/>
      <c r="D528" s="195"/>
      <c r="E528" s="129"/>
      <c r="F528" s="195"/>
      <c r="G528" s="195"/>
    </row>
    <row r="529">
      <c r="A529" s="195"/>
      <c r="B529" s="129"/>
      <c r="C529" s="195"/>
      <c r="D529" s="195"/>
      <c r="E529" s="129"/>
      <c r="F529" s="195"/>
      <c r="G529" s="195"/>
    </row>
    <row r="530">
      <c r="A530" s="195"/>
      <c r="B530" s="129"/>
      <c r="C530" s="195"/>
      <c r="D530" s="195"/>
      <c r="E530" s="129"/>
      <c r="F530" s="195"/>
      <c r="G530" s="195"/>
    </row>
    <row r="531">
      <c r="A531" s="195"/>
      <c r="B531" s="129"/>
      <c r="C531" s="195"/>
      <c r="D531" s="195"/>
      <c r="E531" s="129"/>
      <c r="F531" s="195"/>
      <c r="G531" s="195"/>
    </row>
    <row r="532">
      <c r="A532" s="195"/>
      <c r="B532" s="129"/>
      <c r="C532" s="195"/>
      <c r="D532" s="195"/>
      <c r="E532" s="129"/>
      <c r="F532" s="195"/>
      <c r="G532" s="195"/>
    </row>
    <row r="533">
      <c r="A533" s="195"/>
      <c r="B533" s="129"/>
      <c r="C533" s="195"/>
      <c r="D533" s="195"/>
      <c r="E533" s="129"/>
      <c r="F533" s="195"/>
      <c r="G533" s="195"/>
    </row>
    <row r="534">
      <c r="A534" s="195"/>
      <c r="B534" s="129"/>
      <c r="C534" s="195"/>
      <c r="D534" s="195"/>
      <c r="E534" s="129"/>
      <c r="F534" s="195"/>
      <c r="G534" s="195"/>
    </row>
    <row r="535">
      <c r="A535" s="195"/>
      <c r="B535" s="129"/>
      <c r="C535" s="195"/>
      <c r="D535" s="195"/>
      <c r="E535" s="129"/>
      <c r="F535" s="195"/>
      <c r="G535" s="195"/>
    </row>
    <row r="536">
      <c r="A536" s="195"/>
      <c r="B536" s="129"/>
      <c r="C536" s="195"/>
      <c r="D536" s="195"/>
      <c r="E536" s="129"/>
      <c r="F536" s="195"/>
      <c r="G536" s="195"/>
    </row>
    <row r="537">
      <c r="A537" s="195"/>
      <c r="B537" s="129"/>
      <c r="C537" s="195"/>
      <c r="D537" s="195"/>
      <c r="E537" s="129"/>
      <c r="F537" s="195"/>
      <c r="G537" s="195"/>
    </row>
    <row r="538">
      <c r="A538" s="195"/>
      <c r="B538" s="129"/>
      <c r="C538" s="195"/>
      <c r="D538" s="195"/>
      <c r="E538" s="129"/>
      <c r="F538" s="195"/>
      <c r="G538" s="195"/>
    </row>
    <row r="539">
      <c r="A539" s="195"/>
      <c r="B539" s="129"/>
      <c r="C539" s="195"/>
      <c r="D539" s="195"/>
      <c r="E539" s="129"/>
      <c r="F539" s="195"/>
      <c r="G539" s="195"/>
    </row>
    <row r="540">
      <c r="A540" s="195"/>
      <c r="B540" s="129"/>
      <c r="C540" s="195"/>
      <c r="D540" s="195"/>
      <c r="E540" s="129"/>
      <c r="F540" s="195"/>
      <c r="G540" s="195"/>
    </row>
    <row r="541">
      <c r="A541" s="195"/>
      <c r="B541" s="129"/>
      <c r="C541" s="195"/>
      <c r="D541" s="195"/>
      <c r="E541" s="129"/>
      <c r="F541" s="195"/>
      <c r="G541" s="195"/>
    </row>
    <row r="542">
      <c r="A542" s="195"/>
      <c r="B542" s="129"/>
      <c r="C542" s="195"/>
      <c r="D542" s="195"/>
      <c r="E542" s="129"/>
      <c r="F542" s="195"/>
      <c r="G542" s="195"/>
    </row>
    <row r="543">
      <c r="A543" s="195"/>
      <c r="B543" s="129"/>
      <c r="C543" s="195"/>
      <c r="D543" s="195"/>
      <c r="E543" s="129"/>
      <c r="F543" s="195"/>
      <c r="G543" s="195"/>
    </row>
    <row r="544">
      <c r="A544" s="195"/>
      <c r="B544" s="129"/>
      <c r="C544" s="195"/>
      <c r="D544" s="195"/>
      <c r="E544" s="129"/>
      <c r="F544" s="195"/>
      <c r="G544" s="195"/>
    </row>
    <row r="545">
      <c r="A545" s="195"/>
      <c r="B545" s="129"/>
      <c r="C545" s="195"/>
      <c r="D545" s="195"/>
      <c r="E545" s="129"/>
      <c r="F545" s="195"/>
      <c r="G545" s="195"/>
    </row>
    <row r="546">
      <c r="A546" s="195"/>
      <c r="B546" s="129"/>
      <c r="C546" s="195"/>
      <c r="D546" s="195"/>
      <c r="E546" s="129"/>
      <c r="F546" s="195"/>
      <c r="G546" s="195"/>
    </row>
    <row r="547">
      <c r="A547" s="195"/>
      <c r="B547" s="129"/>
      <c r="C547" s="195"/>
      <c r="D547" s="195"/>
      <c r="E547" s="129"/>
      <c r="F547" s="195"/>
      <c r="G547" s="195"/>
    </row>
    <row r="548">
      <c r="A548" s="195"/>
      <c r="B548" s="129"/>
      <c r="C548" s="195"/>
      <c r="D548" s="195"/>
      <c r="E548" s="129"/>
      <c r="F548" s="195"/>
      <c r="G548" s="195"/>
    </row>
    <row r="549">
      <c r="A549" s="195"/>
      <c r="B549" s="129"/>
      <c r="C549" s="195"/>
      <c r="D549" s="195"/>
      <c r="E549" s="129"/>
      <c r="F549" s="195"/>
      <c r="G549" s="195"/>
    </row>
    <row r="550">
      <c r="A550" s="195"/>
      <c r="B550" s="129"/>
      <c r="C550" s="195"/>
      <c r="D550" s="195"/>
      <c r="E550" s="129"/>
      <c r="F550" s="195"/>
      <c r="G550" s="195"/>
    </row>
    <row r="551">
      <c r="A551" s="195"/>
      <c r="B551" s="129"/>
      <c r="C551" s="195"/>
      <c r="D551" s="195"/>
      <c r="E551" s="129"/>
      <c r="F551" s="195"/>
      <c r="G551" s="195"/>
    </row>
    <row r="552">
      <c r="A552" s="195"/>
      <c r="B552" s="129"/>
      <c r="C552" s="195"/>
      <c r="D552" s="195"/>
      <c r="E552" s="129"/>
      <c r="F552" s="195"/>
      <c r="G552" s="195"/>
    </row>
    <row r="553">
      <c r="A553" s="195"/>
      <c r="B553" s="129"/>
      <c r="C553" s="195"/>
      <c r="D553" s="195"/>
      <c r="E553" s="129"/>
      <c r="F553" s="195"/>
      <c r="G553" s="195"/>
    </row>
    <row r="554">
      <c r="A554" s="195"/>
      <c r="B554" s="129"/>
      <c r="C554" s="195"/>
      <c r="D554" s="195"/>
      <c r="E554" s="129"/>
      <c r="F554" s="195"/>
      <c r="G554" s="195"/>
    </row>
    <row r="555">
      <c r="A555" s="195"/>
      <c r="B555" s="129"/>
      <c r="C555" s="195"/>
      <c r="D555" s="195"/>
      <c r="E555" s="129"/>
      <c r="F555" s="195"/>
      <c r="G555" s="195"/>
    </row>
    <row r="556">
      <c r="A556" s="195"/>
      <c r="B556" s="129"/>
      <c r="C556" s="195"/>
      <c r="D556" s="195"/>
      <c r="E556" s="129"/>
      <c r="F556" s="195"/>
      <c r="G556" s="195"/>
    </row>
    <row r="557">
      <c r="A557" s="195"/>
      <c r="B557" s="129"/>
      <c r="C557" s="195"/>
      <c r="D557" s="195"/>
      <c r="E557" s="129"/>
      <c r="F557" s="195"/>
      <c r="G557" s="195"/>
    </row>
    <row r="558">
      <c r="A558" s="195"/>
      <c r="B558" s="129"/>
      <c r="C558" s="195"/>
      <c r="D558" s="195"/>
      <c r="E558" s="129"/>
      <c r="F558" s="195"/>
      <c r="G558" s="195"/>
    </row>
    <row r="559">
      <c r="A559" s="195"/>
      <c r="B559" s="129"/>
      <c r="C559" s="195"/>
      <c r="D559" s="195"/>
      <c r="E559" s="129"/>
      <c r="F559" s="195"/>
      <c r="G559" s="195"/>
    </row>
    <row r="560">
      <c r="A560" s="195"/>
      <c r="B560" s="129"/>
      <c r="C560" s="195"/>
      <c r="D560" s="195"/>
      <c r="E560" s="129"/>
      <c r="F560" s="195"/>
      <c r="G560" s="195"/>
    </row>
    <row r="561">
      <c r="A561" s="195"/>
      <c r="B561" s="129"/>
      <c r="C561" s="195"/>
      <c r="D561" s="195"/>
      <c r="E561" s="129"/>
      <c r="F561" s="195"/>
      <c r="G561" s="195"/>
    </row>
    <row r="562">
      <c r="A562" s="195"/>
      <c r="B562" s="129"/>
      <c r="C562" s="195"/>
      <c r="D562" s="195"/>
      <c r="E562" s="129"/>
      <c r="F562" s="195"/>
      <c r="G562" s="195"/>
    </row>
    <row r="563">
      <c r="A563" s="195"/>
      <c r="B563" s="129"/>
      <c r="C563" s="195"/>
      <c r="D563" s="195"/>
      <c r="E563" s="129"/>
      <c r="F563" s="195"/>
      <c r="G563" s="195"/>
    </row>
    <row r="564">
      <c r="A564" s="195"/>
      <c r="B564" s="129"/>
      <c r="C564" s="195"/>
      <c r="D564" s="195"/>
      <c r="E564" s="129"/>
      <c r="F564" s="195"/>
      <c r="G564" s="195"/>
    </row>
    <row r="565">
      <c r="A565" s="195"/>
      <c r="B565" s="129"/>
      <c r="C565" s="195"/>
      <c r="D565" s="195"/>
      <c r="E565" s="129"/>
      <c r="F565" s="195"/>
      <c r="G565" s="195"/>
    </row>
    <row r="566">
      <c r="A566" s="195"/>
      <c r="B566" s="129"/>
      <c r="C566" s="195"/>
      <c r="D566" s="195"/>
      <c r="E566" s="129"/>
      <c r="F566" s="195"/>
      <c r="G566" s="195"/>
    </row>
    <row r="567">
      <c r="A567" s="195"/>
      <c r="B567" s="129"/>
      <c r="C567" s="195"/>
      <c r="D567" s="195"/>
      <c r="E567" s="129"/>
      <c r="F567" s="195"/>
      <c r="G567" s="195"/>
    </row>
    <row r="568">
      <c r="A568" s="195"/>
      <c r="B568" s="129"/>
      <c r="C568" s="195"/>
      <c r="D568" s="195"/>
      <c r="E568" s="129"/>
      <c r="F568" s="195"/>
      <c r="G568" s="195"/>
    </row>
    <row r="569">
      <c r="A569" s="195"/>
      <c r="B569" s="129"/>
      <c r="C569" s="195"/>
      <c r="D569" s="195"/>
      <c r="E569" s="129"/>
      <c r="F569" s="195"/>
      <c r="G569" s="195"/>
    </row>
    <row r="570">
      <c r="A570" s="195"/>
      <c r="B570" s="129"/>
      <c r="C570" s="195"/>
      <c r="D570" s="195"/>
      <c r="E570" s="129"/>
      <c r="F570" s="195"/>
      <c r="G570" s="195"/>
    </row>
    <row r="571">
      <c r="A571" s="195"/>
      <c r="B571" s="129"/>
      <c r="C571" s="195"/>
      <c r="D571" s="195"/>
      <c r="E571" s="129"/>
      <c r="F571" s="195"/>
      <c r="G571" s="195"/>
    </row>
    <row r="572">
      <c r="A572" s="195"/>
      <c r="B572" s="129"/>
      <c r="C572" s="195"/>
      <c r="D572" s="195"/>
      <c r="E572" s="129"/>
      <c r="F572" s="195"/>
      <c r="G572" s="195"/>
    </row>
    <row r="573">
      <c r="A573" s="195"/>
      <c r="B573" s="129"/>
      <c r="C573" s="195"/>
      <c r="D573" s="195"/>
      <c r="E573" s="129"/>
      <c r="F573" s="195"/>
      <c r="G573" s="195"/>
    </row>
    <row r="574">
      <c r="A574" s="195"/>
      <c r="B574" s="129"/>
      <c r="C574" s="195"/>
      <c r="D574" s="195"/>
      <c r="E574" s="129"/>
      <c r="F574" s="195"/>
      <c r="G574" s="195"/>
    </row>
    <row r="575">
      <c r="A575" s="195"/>
      <c r="B575" s="129"/>
      <c r="C575" s="195"/>
      <c r="D575" s="195"/>
      <c r="E575" s="129"/>
      <c r="F575" s="195"/>
      <c r="G575" s="195"/>
    </row>
    <row r="576">
      <c r="A576" s="195"/>
      <c r="B576" s="129"/>
      <c r="C576" s="195"/>
      <c r="D576" s="195"/>
      <c r="E576" s="129"/>
      <c r="F576" s="195"/>
      <c r="G576" s="195"/>
    </row>
    <row r="577">
      <c r="A577" s="195"/>
      <c r="B577" s="129"/>
      <c r="C577" s="195"/>
      <c r="D577" s="195"/>
      <c r="E577" s="129"/>
      <c r="F577" s="195"/>
      <c r="G577" s="195"/>
    </row>
    <row r="578">
      <c r="A578" s="195"/>
      <c r="B578" s="129"/>
      <c r="C578" s="195"/>
      <c r="D578" s="195"/>
      <c r="E578" s="129"/>
      <c r="F578" s="195"/>
      <c r="G578" s="195"/>
    </row>
    <row r="579">
      <c r="A579" s="195"/>
      <c r="B579" s="129"/>
      <c r="C579" s="195"/>
      <c r="D579" s="195"/>
      <c r="E579" s="129"/>
      <c r="F579" s="195"/>
      <c r="G579" s="195"/>
    </row>
    <row r="580">
      <c r="A580" s="195"/>
      <c r="B580" s="129"/>
      <c r="C580" s="195"/>
      <c r="D580" s="195"/>
      <c r="E580" s="129"/>
      <c r="F580" s="195"/>
      <c r="G580" s="195"/>
    </row>
    <row r="581">
      <c r="A581" s="195"/>
      <c r="B581" s="129"/>
      <c r="C581" s="195"/>
      <c r="D581" s="195"/>
      <c r="E581" s="129"/>
      <c r="F581" s="195"/>
      <c r="G581" s="195"/>
    </row>
    <row r="582">
      <c r="A582" s="195"/>
      <c r="B582" s="129"/>
      <c r="C582" s="195"/>
      <c r="D582" s="195"/>
      <c r="E582" s="129"/>
      <c r="F582" s="195"/>
      <c r="G582" s="195"/>
    </row>
    <row r="583">
      <c r="A583" s="195"/>
      <c r="B583" s="129"/>
      <c r="C583" s="195"/>
      <c r="D583" s="195"/>
      <c r="E583" s="129"/>
      <c r="F583" s="195"/>
      <c r="G583" s="195"/>
    </row>
    <row r="584">
      <c r="A584" s="195"/>
      <c r="B584" s="129"/>
      <c r="C584" s="195"/>
      <c r="D584" s="195"/>
      <c r="E584" s="129"/>
      <c r="F584" s="195"/>
      <c r="G584" s="195"/>
    </row>
    <row r="585">
      <c r="A585" s="195"/>
      <c r="B585" s="129"/>
      <c r="C585" s="195"/>
      <c r="D585" s="195"/>
      <c r="E585" s="129"/>
      <c r="F585" s="195"/>
      <c r="G585" s="195"/>
    </row>
    <row r="586">
      <c r="A586" s="195"/>
      <c r="B586" s="129"/>
      <c r="C586" s="195"/>
      <c r="D586" s="195"/>
      <c r="E586" s="129"/>
      <c r="F586" s="195"/>
      <c r="G586" s="195"/>
    </row>
    <row r="587">
      <c r="A587" s="195"/>
      <c r="B587" s="129"/>
      <c r="C587" s="195"/>
      <c r="D587" s="195"/>
      <c r="E587" s="129"/>
      <c r="F587" s="195"/>
      <c r="G587" s="195"/>
    </row>
    <row r="588">
      <c r="A588" s="195"/>
      <c r="B588" s="129"/>
      <c r="C588" s="195"/>
      <c r="D588" s="195"/>
      <c r="E588" s="129"/>
      <c r="F588" s="195"/>
      <c r="G588" s="195"/>
    </row>
    <row r="589">
      <c r="A589" s="195"/>
      <c r="B589" s="129"/>
      <c r="C589" s="195"/>
      <c r="D589" s="195"/>
      <c r="E589" s="129"/>
      <c r="F589" s="195"/>
      <c r="G589" s="195"/>
    </row>
    <row r="590">
      <c r="A590" s="195"/>
      <c r="B590" s="129"/>
      <c r="C590" s="195"/>
      <c r="D590" s="195"/>
      <c r="E590" s="129"/>
      <c r="F590" s="195"/>
      <c r="G590" s="195"/>
    </row>
    <row r="591">
      <c r="A591" s="195"/>
      <c r="B591" s="129"/>
      <c r="C591" s="195"/>
      <c r="D591" s="195"/>
      <c r="E591" s="129"/>
      <c r="F591" s="195"/>
      <c r="G591" s="195"/>
    </row>
    <row r="592">
      <c r="A592" s="195"/>
      <c r="B592" s="129"/>
      <c r="C592" s="195"/>
      <c r="D592" s="195"/>
      <c r="E592" s="129"/>
      <c r="F592" s="195"/>
      <c r="G592" s="195"/>
    </row>
    <row r="593">
      <c r="A593" s="195"/>
      <c r="B593" s="129"/>
      <c r="C593" s="195"/>
      <c r="D593" s="195"/>
      <c r="E593" s="129"/>
      <c r="F593" s="195"/>
      <c r="G593" s="195"/>
    </row>
    <row r="594">
      <c r="A594" s="195"/>
      <c r="B594" s="129"/>
      <c r="C594" s="195"/>
      <c r="D594" s="195"/>
      <c r="E594" s="129"/>
      <c r="F594" s="195"/>
      <c r="G594" s="195"/>
    </row>
    <row r="595">
      <c r="A595" s="195"/>
      <c r="B595" s="129"/>
      <c r="C595" s="195"/>
      <c r="D595" s="195"/>
      <c r="E595" s="129"/>
      <c r="F595" s="195"/>
      <c r="G595" s="195"/>
    </row>
    <row r="596">
      <c r="A596" s="195"/>
      <c r="B596" s="129"/>
      <c r="C596" s="195"/>
      <c r="D596" s="195"/>
      <c r="E596" s="129"/>
      <c r="F596" s="195"/>
      <c r="G596" s="195"/>
    </row>
    <row r="597">
      <c r="A597" s="195"/>
      <c r="B597" s="129"/>
      <c r="C597" s="195"/>
      <c r="D597" s="195"/>
      <c r="E597" s="129"/>
      <c r="F597" s="195"/>
      <c r="G597" s="195"/>
    </row>
    <row r="598">
      <c r="A598" s="195"/>
      <c r="B598" s="129"/>
      <c r="C598" s="195"/>
      <c r="D598" s="195"/>
      <c r="E598" s="129"/>
      <c r="F598" s="195"/>
      <c r="G598" s="195"/>
    </row>
    <row r="599">
      <c r="A599" s="195"/>
      <c r="B599" s="129"/>
      <c r="C599" s="195"/>
      <c r="D599" s="195"/>
      <c r="E599" s="129"/>
      <c r="F599" s="195"/>
      <c r="G599" s="195"/>
    </row>
    <row r="600">
      <c r="A600" s="195"/>
      <c r="B600" s="129"/>
      <c r="C600" s="195"/>
      <c r="D600" s="195"/>
      <c r="E600" s="129"/>
      <c r="F600" s="195"/>
      <c r="G600" s="195"/>
    </row>
    <row r="601">
      <c r="A601" s="195"/>
      <c r="B601" s="129"/>
      <c r="C601" s="195"/>
      <c r="D601" s="195"/>
      <c r="E601" s="129"/>
      <c r="F601" s="195"/>
      <c r="G601" s="195"/>
    </row>
    <row r="602">
      <c r="A602" s="195"/>
      <c r="B602" s="129"/>
      <c r="C602" s="195"/>
      <c r="D602" s="195"/>
      <c r="E602" s="129"/>
      <c r="F602" s="195"/>
      <c r="G602" s="195"/>
    </row>
    <row r="603">
      <c r="A603" s="195"/>
      <c r="B603" s="129"/>
      <c r="C603" s="195"/>
      <c r="D603" s="195"/>
      <c r="E603" s="129"/>
      <c r="F603" s="195"/>
      <c r="G603" s="195"/>
    </row>
    <row r="604">
      <c r="A604" s="195"/>
      <c r="B604" s="129"/>
      <c r="C604" s="195"/>
      <c r="D604" s="195"/>
      <c r="E604" s="129"/>
      <c r="F604" s="195"/>
      <c r="G604" s="195"/>
    </row>
    <row r="605">
      <c r="A605" s="195"/>
      <c r="B605" s="129"/>
      <c r="C605" s="195"/>
      <c r="D605" s="195"/>
      <c r="E605" s="129"/>
      <c r="F605" s="195"/>
      <c r="G605" s="195"/>
    </row>
    <row r="606">
      <c r="A606" s="195"/>
      <c r="B606" s="129"/>
      <c r="C606" s="195"/>
      <c r="D606" s="195"/>
      <c r="E606" s="129"/>
      <c r="F606" s="195"/>
      <c r="G606" s="195"/>
    </row>
    <row r="607">
      <c r="A607" s="195"/>
      <c r="B607" s="129"/>
      <c r="C607" s="195"/>
      <c r="D607" s="195"/>
      <c r="E607" s="129"/>
      <c r="F607" s="195"/>
      <c r="G607" s="195"/>
    </row>
    <row r="608">
      <c r="A608" s="195"/>
      <c r="B608" s="129"/>
      <c r="C608" s="195"/>
      <c r="D608" s="195"/>
      <c r="E608" s="129"/>
      <c r="F608" s="195"/>
      <c r="G608" s="195"/>
    </row>
    <row r="609">
      <c r="A609" s="195"/>
      <c r="B609" s="129"/>
      <c r="C609" s="195"/>
      <c r="D609" s="195"/>
      <c r="E609" s="129"/>
      <c r="F609" s="195"/>
      <c r="G609" s="195"/>
    </row>
    <row r="610">
      <c r="A610" s="195"/>
      <c r="B610" s="129"/>
      <c r="C610" s="195"/>
      <c r="D610" s="195"/>
      <c r="E610" s="129"/>
      <c r="F610" s="195"/>
      <c r="G610" s="195"/>
    </row>
    <row r="611">
      <c r="A611" s="195"/>
      <c r="B611" s="129"/>
      <c r="C611" s="195"/>
      <c r="D611" s="195"/>
      <c r="E611" s="129"/>
      <c r="F611" s="195"/>
      <c r="G611" s="195"/>
    </row>
    <row r="612">
      <c r="A612" s="195"/>
      <c r="B612" s="129"/>
      <c r="C612" s="195"/>
      <c r="D612" s="195"/>
      <c r="E612" s="129"/>
      <c r="F612" s="195"/>
      <c r="G612" s="195"/>
    </row>
    <row r="613">
      <c r="A613" s="195"/>
      <c r="B613" s="129"/>
      <c r="C613" s="195"/>
      <c r="D613" s="195"/>
      <c r="E613" s="129"/>
      <c r="F613" s="195"/>
      <c r="G613" s="195"/>
    </row>
    <row r="614">
      <c r="A614" s="195"/>
      <c r="B614" s="129"/>
      <c r="C614" s="195"/>
      <c r="D614" s="195"/>
      <c r="E614" s="129"/>
      <c r="F614" s="195"/>
      <c r="G614" s="195"/>
    </row>
    <row r="615">
      <c r="A615" s="195"/>
      <c r="B615" s="129"/>
      <c r="C615" s="195"/>
      <c r="D615" s="195"/>
      <c r="E615" s="129"/>
      <c r="F615" s="195"/>
      <c r="G615" s="195"/>
    </row>
    <row r="616">
      <c r="A616" s="195"/>
      <c r="B616" s="129"/>
      <c r="C616" s="195"/>
      <c r="D616" s="195"/>
      <c r="E616" s="129"/>
      <c r="F616" s="195"/>
      <c r="G616" s="195"/>
    </row>
    <row r="617">
      <c r="A617" s="195"/>
      <c r="B617" s="129"/>
      <c r="C617" s="195"/>
      <c r="D617" s="195"/>
      <c r="E617" s="129"/>
      <c r="F617" s="195"/>
      <c r="G617" s="195"/>
    </row>
    <row r="618">
      <c r="A618" s="195"/>
      <c r="B618" s="129"/>
      <c r="C618" s="195"/>
      <c r="D618" s="195"/>
      <c r="E618" s="129"/>
      <c r="F618" s="195"/>
      <c r="G618" s="195"/>
    </row>
    <row r="619">
      <c r="A619" s="195"/>
      <c r="B619" s="129"/>
      <c r="C619" s="195"/>
      <c r="D619" s="195"/>
      <c r="E619" s="129"/>
      <c r="F619" s="195"/>
      <c r="G619" s="195"/>
    </row>
    <row r="620">
      <c r="A620" s="195"/>
      <c r="B620" s="129"/>
      <c r="C620" s="195"/>
      <c r="D620" s="195"/>
      <c r="E620" s="129"/>
      <c r="F620" s="195"/>
      <c r="G620" s="195"/>
    </row>
    <row r="621">
      <c r="A621" s="195"/>
      <c r="B621" s="129"/>
      <c r="C621" s="195"/>
      <c r="D621" s="195"/>
      <c r="E621" s="129"/>
      <c r="F621" s="195"/>
      <c r="G621" s="195"/>
    </row>
    <row r="622">
      <c r="A622" s="195"/>
      <c r="B622" s="129"/>
      <c r="C622" s="195"/>
      <c r="D622" s="195"/>
      <c r="E622" s="129"/>
      <c r="F622" s="195"/>
      <c r="G622" s="195"/>
    </row>
    <row r="623">
      <c r="A623" s="195"/>
      <c r="B623" s="129"/>
      <c r="C623" s="195"/>
      <c r="D623" s="195"/>
      <c r="E623" s="129"/>
      <c r="F623" s="195"/>
      <c r="G623" s="195"/>
    </row>
    <row r="624">
      <c r="A624" s="195"/>
      <c r="B624" s="129"/>
      <c r="C624" s="195"/>
      <c r="D624" s="195"/>
      <c r="E624" s="129"/>
      <c r="F624" s="195"/>
      <c r="G624" s="195"/>
    </row>
    <row r="625">
      <c r="A625" s="195"/>
      <c r="B625" s="129"/>
      <c r="C625" s="195"/>
      <c r="D625" s="195"/>
      <c r="E625" s="129"/>
      <c r="F625" s="195"/>
      <c r="G625" s="195"/>
    </row>
    <row r="626">
      <c r="A626" s="195"/>
      <c r="B626" s="129"/>
      <c r="C626" s="195"/>
      <c r="D626" s="195"/>
      <c r="E626" s="129"/>
      <c r="F626" s="195"/>
      <c r="G626" s="195"/>
    </row>
    <row r="627">
      <c r="A627" s="195"/>
      <c r="B627" s="129"/>
      <c r="C627" s="195"/>
      <c r="D627" s="195"/>
      <c r="E627" s="129"/>
      <c r="F627" s="195"/>
      <c r="G627" s="195"/>
    </row>
    <row r="628">
      <c r="A628" s="195"/>
      <c r="B628" s="129"/>
      <c r="C628" s="195"/>
      <c r="D628" s="195"/>
      <c r="E628" s="129"/>
      <c r="F628" s="195"/>
      <c r="G628" s="195"/>
    </row>
    <row r="629">
      <c r="A629" s="195"/>
      <c r="B629" s="129"/>
      <c r="C629" s="195"/>
      <c r="D629" s="195"/>
      <c r="E629" s="129"/>
      <c r="F629" s="195"/>
      <c r="G629" s="195"/>
    </row>
    <row r="630">
      <c r="A630" s="195"/>
      <c r="B630" s="129"/>
      <c r="C630" s="195"/>
      <c r="D630" s="195"/>
      <c r="E630" s="129"/>
      <c r="F630" s="195"/>
      <c r="G630" s="195"/>
    </row>
    <row r="631">
      <c r="A631" s="195"/>
      <c r="B631" s="129"/>
      <c r="C631" s="195"/>
      <c r="D631" s="195"/>
      <c r="E631" s="129"/>
      <c r="F631" s="195"/>
      <c r="G631" s="195"/>
    </row>
    <row r="632">
      <c r="A632" s="195"/>
      <c r="B632" s="129"/>
      <c r="C632" s="195"/>
      <c r="D632" s="195"/>
      <c r="E632" s="129"/>
      <c r="F632" s="195"/>
      <c r="G632" s="195"/>
    </row>
    <row r="633">
      <c r="A633" s="195"/>
      <c r="B633" s="129"/>
      <c r="C633" s="195"/>
      <c r="D633" s="195"/>
      <c r="E633" s="129"/>
      <c r="F633" s="195"/>
      <c r="G633" s="195"/>
    </row>
    <row r="634">
      <c r="A634" s="195"/>
      <c r="B634" s="129"/>
      <c r="C634" s="195"/>
      <c r="D634" s="195"/>
      <c r="E634" s="129"/>
      <c r="F634" s="195"/>
      <c r="G634" s="195"/>
    </row>
    <row r="635">
      <c r="A635" s="195"/>
      <c r="B635" s="129"/>
      <c r="C635" s="195"/>
      <c r="D635" s="195"/>
      <c r="E635" s="129"/>
      <c r="F635" s="195"/>
      <c r="G635" s="195"/>
    </row>
    <row r="636">
      <c r="A636" s="195"/>
      <c r="B636" s="129"/>
      <c r="C636" s="195"/>
      <c r="D636" s="195"/>
      <c r="E636" s="129"/>
      <c r="F636" s="195"/>
      <c r="G636" s="195"/>
    </row>
    <row r="637">
      <c r="A637" s="195"/>
      <c r="B637" s="129"/>
      <c r="C637" s="195"/>
      <c r="D637" s="195"/>
      <c r="E637" s="129"/>
      <c r="F637" s="195"/>
      <c r="G637" s="195"/>
    </row>
    <row r="638">
      <c r="A638" s="195"/>
      <c r="B638" s="129"/>
      <c r="C638" s="195"/>
      <c r="D638" s="195"/>
      <c r="E638" s="129"/>
      <c r="F638" s="195"/>
      <c r="G638" s="195"/>
    </row>
    <row r="639">
      <c r="A639" s="195"/>
      <c r="B639" s="129"/>
      <c r="C639" s="195"/>
      <c r="D639" s="195"/>
      <c r="E639" s="129"/>
      <c r="F639" s="195"/>
      <c r="G639" s="195"/>
    </row>
    <row r="640">
      <c r="A640" s="195"/>
      <c r="B640" s="129"/>
      <c r="C640" s="195"/>
      <c r="D640" s="195"/>
      <c r="E640" s="129"/>
      <c r="F640" s="195"/>
      <c r="G640" s="195"/>
    </row>
    <row r="641">
      <c r="A641" s="195"/>
      <c r="B641" s="129"/>
      <c r="C641" s="195"/>
      <c r="D641" s="195"/>
      <c r="E641" s="129"/>
      <c r="F641" s="195"/>
      <c r="G641" s="195"/>
    </row>
    <row r="642">
      <c r="A642" s="195"/>
      <c r="B642" s="129"/>
      <c r="C642" s="195"/>
      <c r="D642" s="195"/>
      <c r="E642" s="129"/>
      <c r="F642" s="195"/>
      <c r="G642" s="195"/>
    </row>
    <row r="643">
      <c r="A643" s="195"/>
      <c r="B643" s="129"/>
      <c r="C643" s="195"/>
      <c r="D643" s="195"/>
      <c r="E643" s="129"/>
      <c r="F643" s="195"/>
      <c r="G643" s="195"/>
    </row>
    <row r="644">
      <c r="A644" s="195"/>
      <c r="B644" s="129"/>
      <c r="C644" s="195"/>
      <c r="D644" s="195"/>
      <c r="E644" s="129"/>
      <c r="F644" s="195"/>
      <c r="G644" s="195"/>
    </row>
    <row r="645">
      <c r="A645" s="195"/>
      <c r="B645" s="129"/>
      <c r="C645" s="195"/>
      <c r="D645" s="195"/>
      <c r="E645" s="129"/>
      <c r="F645" s="195"/>
      <c r="G645" s="195"/>
    </row>
    <row r="646">
      <c r="A646" s="195"/>
      <c r="B646" s="129"/>
      <c r="C646" s="195"/>
      <c r="D646" s="195"/>
      <c r="E646" s="129"/>
      <c r="F646" s="195"/>
      <c r="G646" s="195"/>
    </row>
    <row r="647">
      <c r="A647" s="195"/>
      <c r="B647" s="129"/>
      <c r="C647" s="195"/>
      <c r="D647" s="195"/>
      <c r="E647" s="129"/>
      <c r="F647" s="195"/>
      <c r="G647" s="195"/>
    </row>
    <row r="648">
      <c r="A648" s="195"/>
      <c r="B648" s="129"/>
      <c r="C648" s="195"/>
      <c r="D648" s="195"/>
      <c r="E648" s="129"/>
      <c r="F648" s="195"/>
      <c r="G648" s="195"/>
    </row>
    <row r="649">
      <c r="A649" s="195"/>
      <c r="B649" s="129"/>
      <c r="C649" s="195"/>
      <c r="D649" s="195"/>
      <c r="E649" s="129"/>
      <c r="F649" s="195"/>
      <c r="G649" s="195"/>
    </row>
    <row r="650">
      <c r="A650" s="195"/>
      <c r="B650" s="129"/>
      <c r="C650" s="195"/>
      <c r="D650" s="195"/>
      <c r="E650" s="129"/>
      <c r="F650" s="195"/>
      <c r="G650" s="195"/>
    </row>
    <row r="651">
      <c r="A651" s="195"/>
      <c r="B651" s="129"/>
      <c r="C651" s="195"/>
      <c r="D651" s="195"/>
      <c r="E651" s="129"/>
      <c r="F651" s="195"/>
      <c r="G651" s="195"/>
    </row>
    <row r="652">
      <c r="A652" s="195"/>
      <c r="B652" s="129"/>
      <c r="C652" s="195"/>
      <c r="D652" s="195"/>
      <c r="E652" s="129"/>
      <c r="F652" s="195"/>
      <c r="G652" s="195"/>
    </row>
    <row r="653">
      <c r="A653" s="195"/>
      <c r="B653" s="129"/>
      <c r="C653" s="195"/>
      <c r="D653" s="195"/>
      <c r="E653" s="129"/>
      <c r="F653" s="195"/>
      <c r="G653" s="195"/>
    </row>
    <row r="654">
      <c r="A654" s="195"/>
      <c r="B654" s="129"/>
      <c r="C654" s="195"/>
      <c r="D654" s="195"/>
      <c r="E654" s="129"/>
      <c r="F654" s="195"/>
      <c r="G654" s="195"/>
    </row>
    <row r="655">
      <c r="A655" s="195"/>
      <c r="B655" s="129"/>
      <c r="C655" s="195"/>
      <c r="D655" s="195"/>
      <c r="E655" s="129"/>
      <c r="F655" s="195"/>
      <c r="G655" s="195"/>
    </row>
    <row r="656">
      <c r="A656" s="195"/>
      <c r="B656" s="129"/>
      <c r="C656" s="195"/>
      <c r="D656" s="195"/>
      <c r="E656" s="129"/>
      <c r="F656" s="195"/>
      <c r="G656" s="195"/>
    </row>
    <row r="657">
      <c r="A657" s="195"/>
      <c r="B657" s="129"/>
      <c r="C657" s="195"/>
      <c r="D657" s="195"/>
      <c r="E657" s="129"/>
      <c r="F657" s="195"/>
      <c r="G657" s="195"/>
    </row>
    <row r="658">
      <c r="A658" s="195"/>
      <c r="B658" s="129"/>
      <c r="C658" s="195"/>
      <c r="D658" s="195"/>
      <c r="E658" s="129"/>
      <c r="F658" s="195"/>
      <c r="G658" s="195"/>
    </row>
    <row r="659">
      <c r="A659" s="195"/>
      <c r="B659" s="129"/>
      <c r="C659" s="195"/>
      <c r="D659" s="195"/>
      <c r="E659" s="129"/>
      <c r="F659" s="195"/>
      <c r="G659" s="195"/>
    </row>
    <row r="660">
      <c r="A660" s="195"/>
      <c r="B660" s="129"/>
      <c r="C660" s="195"/>
      <c r="D660" s="195"/>
      <c r="E660" s="129"/>
      <c r="F660" s="195"/>
      <c r="G660" s="195"/>
    </row>
    <row r="661">
      <c r="A661" s="195"/>
      <c r="B661" s="129"/>
      <c r="C661" s="195"/>
      <c r="D661" s="195"/>
      <c r="E661" s="129"/>
      <c r="F661" s="195"/>
      <c r="G661" s="195"/>
    </row>
    <row r="662">
      <c r="A662" s="195"/>
      <c r="B662" s="129"/>
      <c r="C662" s="195"/>
      <c r="D662" s="195"/>
      <c r="E662" s="129"/>
      <c r="F662" s="195"/>
      <c r="G662" s="195"/>
    </row>
    <row r="663">
      <c r="A663" s="195"/>
      <c r="B663" s="129"/>
      <c r="C663" s="195"/>
      <c r="D663" s="195"/>
      <c r="E663" s="129"/>
      <c r="F663" s="195"/>
      <c r="G663" s="195"/>
    </row>
    <row r="664">
      <c r="A664" s="195"/>
      <c r="B664" s="129"/>
      <c r="C664" s="195"/>
      <c r="D664" s="195"/>
      <c r="E664" s="129"/>
      <c r="F664" s="195"/>
      <c r="G664" s="195"/>
    </row>
    <row r="665">
      <c r="A665" s="195"/>
      <c r="B665" s="129"/>
      <c r="C665" s="195"/>
      <c r="D665" s="195"/>
      <c r="E665" s="129"/>
      <c r="F665" s="195"/>
      <c r="G665" s="195"/>
    </row>
    <row r="666">
      <c r="A666" s="195"/>
      <c r="B666" s="129"/>
      <c r="C666" s="195"/>
      <c r="D666" s="195"/>
      <c r="E666" s="129"/>
      <c r="F666" s="195"/>
      <c r="G666" s="195"/>
    </row>
    <row r="667">
      <c r="A667" s="195"/>
      <c r="B667" s="129"/>
      <c r="C667" s="195"/>
      <c r="D667" s="195"/>
      <c r="E667" s="129"/>
      <c r="F667" s="195"/>
      <c r="G667" s="195"/>
    </row>
    <row r="668">
      <c r="A668" s="195"/>
      <c r="B668" s="129"/>
      <c r="C668" s="195"/>
      <c r="D668" s="195"/>
      <c r="E668" s="129"/>
      <c r="F668" s="195"/>
      <c r="G668" s="195"/>
    </row>
    <row r="669">
      <c r="A669" s="195"/>
      <c r="B669" s="129"/>
      <c r="C669" s="195"/>
      <c r="D669" s="195"/>
      <c r="E669" s="129"/>
      <c r="F669" s="195"/>
      <c r="G669" s="195"/>
    </row>
    <row r="670">
      <c r="A670" s="195"/>
      <c r="B670" s="129"/>
      <c r="C670" s="195"/>
      <c r="D670" s="195"/>
      <c r="E670" s="129"/>
      <c r="F670" s="195"/>
      <c r="G670" s="195"/>
    </row>
    <row r="671">
      <c r="A671" s="195"/>
      <c r="B671" s="129"/>
      <c r="C671" s="195"/>
      <c r="D671" s="195"/>
      <c r="E671" s="129"/>
      <c r="F671" s="195"/>
      <c r="G671" s="195"/>
    </row>
    <row r="672">
      <c r="A672" s="195"/>
      <c r="B672" s="129"/>
      <c r="C672" s="195"/>
      <c r="D672" s="195"/>
      <c r="E672" s="129"/>
      <c r="F672" s="195"/>
      <c r="G672" s="195"/>
    </row>
    <row r="673">
      <c r="A673" s="195"/>
      <c r="B673" s="129"/>
      <c r="C673" s="195"/>
      <c r="D673" s="195"/>
      <c r="E673" s="129"/>
      <c r="F673" s="195"/>
      <c r="G673" s="195"/>
    </row>
    <row r="674">
      <c r="A674" s="195"/>
      <c r="B674" s="129"/>
      <c r="C674" s="195"/>
      <c r="D674" s="195"/>
      <c r="E674" s="129"/>
      <c r="F674" s="195"/>
      <c r="G674" s="195"/>
    </row>
    <row r="675">
      <c r="A675" s="195"/>
      <c r="B675" s="129"/>
      <c r="C675" s="195"/>
      <c r="D675" s="195"/>
      <c r="E675" s="129"/>
      <c r="F675" s="195"/>
      <c r="G675" s="195"/>
    </row>
    <row r="676">
      <c r="A676" s="195"/>
      <c r="B676" s="129"/>
      <c r="C676" s="195"/>
      <c r="D676" s="195"/>
      <c r="E676" s="129"/>
      <c r="F676" s="195"/>
      <c r="G676" s="195"/>
    </row>
    <row r="677">
      <c r="A677" s="195"/>
      <c r="B677" s="129"/>
      <c r="C677" s="195"/>
      <c r="D677" s="195"/>
      <c r="E677" s="129"/>
      <c r="F677" s="195"/>
      <c r="G677" s="195"/>
    </row>
    <row r="678">
      <c r="A678" s="195"/>
      <c r="B678" s="129"/>
      <c r="C678" s="195"/>
      <c r="D678" s="195"/>
      <c r="E678" s="129"/>
      <c r="F678" s="195"/>
      <c r="G678" s="195"/>
    </row>
    <row r="679">
      <c r="A679" s="195"/>
      <c r="B679" s="129"/>
      <c r="C679" s="195"/>
      <c r="D679" s="195"/>
      <c r="E679" s="129"/>
      <c r="F679" s="195"/>
      <c r="G679" s="195"/>
    </row>
    <row r="680">
      <c r="A680" s="195"/>
      <c r="B680" s="129"/>
      <c r="C680" s="195"/>
      <c r="D680" s="195"/>
      <c r="E680" s="129"/>
      <c r="F680" s="195"/>
      <c r="G680" s="195"/>
    </row>
    <row r="681">
      <c r="A681" s="195"/>
      <c r="B681" s="129"/>
      <c r="C681" s="195"/>
      <c r="D681" s="195"/>
      <c r="E681" s="129"/>
      <c r="F681" s="195"/>
      <c r="G681" s="195"/>
    </row>
    <row r="682">
      <c r="A682" s="195"/>
      <c r="B682" s="129"/>
      <c r="C682" s="195"/>
      <c r="D682" s="195"/>
      <c r="E682" s="129"/>
      <c r="F682" s="195"/>
      <c r="G682" s="195"/>
    </row>
    <row r="683">
      <c r="A683" s="195"/>
      <c r="B683" s="129"/>
      <c r="C683" s="195"/>
      <c r="D683" s="195"/>
      <c r="E683" s="129"/>
      <c r="F683" s="195"/>
      <c r="G683" s="195"/>
    </row>
    <row r="684">
      <c r="A684" s="195"/>
      <c r="B684" s="129"/>
      <c r="C684" s="195"/>
      <c r="D684" s="195"/>
      <c r="E684" s="129"/>
      <c r="F684" s="195"/>
      <c r="G684" s="195"/>
    </row>
    <row r="685">
      <c r="A685" s="195"/>
      <c r="B685" s="129"/>
      <c r="C685" s="195"/>
      <c r="D685" s="195"/>
      <c r="E685" s="129"/>
      <c r="F685" s="195"/>
      <c r="G685" s="195"/>
    </row>
    <row r="686">
      <c r="A686" s="195"/>
      <c r="B686" s="129"/>
      <c r="C686" s="195"/>
      <c r="D686" s="195"/>
      <c r="E686" s="129"/>
      <c r="F686" s="195"/>
      <c r="G686" s="195"/>
    </row>
    <row r="687">
      <c r="A687" s="195"/>
      <c r="B687" s="129"/>
      <c r="C687" s="195"/>
      <c r="D687" s="195"/>
      <c r="E687" s="129"/>
      <c r="F687" s="195"/>
      <c r="G687" s="195"/>
    </row>
    <row r="688">
      <c r="A688" s="195"/>
      <c r="B688" s="129"/>
      <c r="C688" s="195"/>
      <c r="D688" s="195"/>
      <c r="E688" s="129"/>
      <c r="F688" s="195"/>
      <c r="G688" s="195"/>
    </row>
    <row r="689">
      <c r="A689" s="195"/>
      <c r="B689" s="129"/>
      <c r="C689" s="195"/>
      <c r="D689" s="195"/>
      <c r="E689" s="129"/>
      <c r="F689" s="195"/>
      <c r="G689" s="195"/>
    </row>
    <row r="690">
      <c r="A690" s="195"/>
      <c r="B690" s="129"/>
      <c r="C690" s="195"/>
      <c r="D690" s="195"/>
      <c r="E690" s="129"/>
      <c r="F690" s="195"/>
      <c r="G690" s="195"/>
    </row>
    <row r="691">
      <c r="A691" s="195"/>
      <c r="B691" s="129"/>
      <c r="C691" s="195"/>
      <c r="D691" s="195"/>
      <c r="E691" s="129"/>
      <c r="F691" s="195"/>
      <c r="G691" s="195"/>
    </row>
    <row r="692">
      <c r="A692" s="195"/>
      <c r="B692" s="129"/>
      <c r="C692" s="195"/>
      <c r="D692" s="195"/>
      <c r="E692" s="129"/>
      <c r="F692" s="195"/>
      <c r="G692" s="195"/>
    </row>
    <row r="693">
      <c r="A693" s="195"/>
      <c r="B693" s="129"/>
      <c r="C693" s="195"/>
      <c r="D693" s="195"/>
      <c r="E693" s="129"/>
      <c r="F693" s="195"/>
      <c r="G693" s="195"/>
    </row>
    <row r="694">
      <c r="A694" s="195"/>
      <c r="B694" s="129"/>
      <c r="C694" s="195"/>
      <c r="D694" s="195"/>
      <c r="E694" s="129"/>
      <c r="F694" s="195"/>
      <c r="G694" s="195"/>
    </row>
    <row r="695">
      <c r="A695" s="195"/>
      <c r="B695" s="129"/>
      <c r="C695" s="195"/>
      <c r="D695" s="195"/>
      <c r="E695" s="129"/>
      <c r="F695" s="195"/>
      <c r="G695" s="195"/>
    </row>
    <row r="696">
      <c r="A696" s="195"/>
      <c r="B696" s="129"/>
      <c r="C696" s="195"/>
      <c r="D696" s="195"/>
      <c r="E696" s="129"/>
      <c r="F696" s="195"/>
      <c r="G696" s="195"/>
    </row>
    <row r="697">
      <c r="A697" s="195"/>
      <c r="B697" s="129"/>
      <c r="C697" s="195"/>
      <c r="D697" s="195"/>
      <c r="E697" s="129"/>
      <c r="F697" s="195"/>
      <c r="G697" s="195"/>
    </row>
    <row r="698">
      <c r="A698" s="195"/>
      <c r="B698" s="129"/>
      <c r="C698" s="195"/>
      <c r="D698" s="195"/>
      <c r="E698" s="129"/>
      <c r="F698" s="195"/>
      <c r="G698" s="195"/>
    </row>
    <row r="699">
      <c r="A699" s="195"/>
      <c r="B699" s="129"/>
      <c r="C699" s="195"/>
      <c r="D699" s="195"/>
      <c r="E699" s="129"/>
      <c r="F699" s="195"/>
      <c r="G699" s="195"/>
    </row>
    <row r="700">
      <c r="A700" s="195"/>
      <c r="B700" s="129"/>
      <c r="C700" s="195"/>
      <c r="D700" s="195"/>
      <c r="E700" s="129"/>
      <c r="F700" s="195"/>
      <c r="G700" s="195"/>
    </row>
    <row r="701">
      <c r="A701" s="195"/>
      <c r="B701" s="129"/>
      <c r="C701" s="195"/>
      <c r="D701" s="195"/>
      <c r="E701" s="129"/>
      <c r="F701" s="195"/>
      <c r="G701" s="195"/>
    </row>
    <row r="702">
      <c r="A702" s="195"/>
      <c r="B702" s="129"/>
      <c r="C702" s="195"/>
      <c r="D702" s="195"/>
      <c r="E702" s="129"/>
      <c r="F702" s="195"/>
      <c r="G702" s="195"/>
    </row>
    <row r="703">
      <c r="A703" s="195"/>
      <c r="B703" s="129"/>
      <c r="C703" s="195"/>
      <c r="D703" s="195"/>
      <c r="E703" s="129"/>
      <c r="F703" s="195"/>
      <c r="G703" s="195"/>
    </row>
    <row r="704">
      <c r="A704" s="195"/>
      <c r="B704" s="129"/>
      <c r="C704" s="195"/>
      <c r="D704" s="195"/>
      <c r="E704" s="129"/>
      <c r="F704" s="195"/>
      <c r="G704" s="195"/>
    </row>
    <row r="705">
      <c r="A705" s="195"/>
      <c r="B705" s="129"/>
      <c r="C705" s="195"/>
      <c r="D705" s="195"/>
      <c r="E705" s="129"/>
      <c r="F705" s="195"/>
      <c r="G705" s="195"/>
    </row>
    <row r="706">
      <c r="A706" s="195"/>
      <c r="B706" s="129"/>
      <c r="C706" s="195"/>
      <c r="D706" s="195"/>
      <c r="E706" s="129"/>
      <c r="F706" s="195"/>
      <c r="G706" s="195"/>
    </row>
    <row r="707">
      <c r="A707" s="195"/>
      <c r="B707" s="129"/>
      <c r="C707" s="195"/>
      <c r="D707" s="195"/>
      <c r="E707" s="129"/>
      <c r="F707" s="195"/>
      <c r="G707" s="195"/>
    </row>
    <row r="708">
      <c r="A708" s="195"/>
      <c r="B708" s="129"/>
      <c r="C708" s="195"/>
      <c r="D708" s="195"/>
      <c r="E708" s="129"/>
      <c r="F708" s="195"/>
      <c r="G708" s="195"/>
    </row>
    <row r="709">
      <c r="A709" s="195"/>
      <c r="B709" s="129"/>
      <c r="C709" s="195"/>
      <c r="D709" s="195"/>
      <c r="E709" s="129"/>
      <c r="F709" s="195"/>
      <c r="G709" s="195"/>
    </row>
    <row r="710">
      <c r="A710" s="195"/>
      <c r="B710" s="129"/>
      <c r="C710" s="195"/>
      <c r="D710" s="195"/>
      <c r="E710" s="129"/>
      <c r="F710" s="195"/>
      <c r="G710" s="195"/>
    </row>
    <row r="711">
      <c r="A711" s="195"/>
      <c r="B711" s="129"/>
      <c r="C711" s="195"/>
      <c r="D711" s="195"/>
      <c r="E711" s="129"/>
      <c r="F711" s="195"/>
      <c r="G711" s="195"/>
    </row>
    <row r="712">
      <c r="A712" s="195"/>
      <c r="B712" s="129"/>
      <c r="C712" s="195"/>
      <c r="D712" s="195"/>
      <c r="E712" s="129"/>
      <c r="F712" s="195"/>
      <c r="G712" s="195"/>
    </row>
    <row r="713">
      <c r="A713" s="195"/>
      <c r="B713" s="129"/>
      <c r="C713" s="195"/>
      <c r="D713" s="195"/>
      <c r="E713" s="129"/>
      <c r="F713" s="195"/>
      <c r="G713" s="195"/>
    </row>
    <row r="714">
      <c r="A714" s="195"/>
      <c r="B714" s="129"/>
      <c r="C714" s="195"/>
      <c r="D714" s="195"/>
      <c r="E714" s="129"/>
      <c r="F714" s="195"/>
      <c r="G714" s="195"/>
    </row>
    <row r="715">
      <c r="A715" s="195"/>
      <c r="B715" s="129"/>
      <c r="C715" s="195"/>
      <c r="D715" s="195"/>
      <c r="E715" s="129"/>
      <c r="F715" s="195"/>
      <c r="G715" s="195"/>
    </row>
    <row r="716">
      <c r="A716" s="195"/>
      <c r="B716" s="129"/>
      <c r="C716" s="195"/>
      <c r="D716" s="195"/>
      <c r="E716" s="129"/>
      <c r="F716" s="195"/>
      <c r="G716" s="195"/>
    </row>
    <row r="717">
      <c r="A717" s="195"/>
      <c r="B717" s="129"/>
      <c r="C717" s="195"/>
      <c r="D717" s="195"/>
      <c r="E717" s="129"/>
      <c r="F717" s="195"/>
      <c r="G717" s="195"/>
    </row>
    <row r="718">
      <c r="A718" s="195"/>
      <c r="B718" s="129"/>
      <c r="C718" s="195"/>
      <c r="D718" s="195"/>
      <c r="E718" s="129"/>
      <c r="F718" s="195"/>
      <c r="G718" s="195"/>
    </row>
    <row r="719">
      <c r="A719" s="195"/>
      <c r="B719" s="129"/>
      <c r="C719" s="195"/>
      <c r="D719" s="195"/>
      <c r="E719" s="129"/>
      <c r="F719" s="195"/>
      <c r="G719" s="195"/>
    </row>
    <row r="720">
      <c r="A720" s="195"/>
      <c r="B720" s="129"/>
      <c r="C720" s="195"/>
      <c r="D720" s="195"/>
      <c r="E720" s="129"/>
      <c r="F720" s="195"/>
      <c r="G720" s="195"/>
    </row>
    <row r="721">
      <c r="A721" s="195"/>
      <c r="B721" s="129"/>
      <c r="C721" s="195"/>
      <c r="D721" s="195"/>
      <c r="E721" s="129"/>
      <c r="F721" s="195"/>
      <c r="G721" s="195"/>
    </row>
    <row r="722">
      <c r="A722" s="195"/>
      <c r="B722" s="129"/>
      <c r="C722" s="195"/>
      <c r="D722" s="195"/>
      <c r="E722" s="129"/>
      <c r="F722" s="195"/>
      <c r="G722" s="195"/>
    </row>
    <row r="723">
      <c r="A723" s="195"/>
      <c r="B723" s="129"/>
      <c r="C723" s="195"/>
      <c r="D723" s="195"/>
      <c r="E723" s="129"/>
      <c r="F723" s="195"/>
      <c r="G723" s="195"/>
    </row>
    <row r="724">
      <c r="A724" s="195"/>
      <c r="B724" s="129"/>
      <c r="C724" s="195"/>
      <c r="D724" s="195"/>
      <c r="E724" s="129"/>
      <c r="F724" s="195"/>
      <c r="G724" s="195"/>
    </row>
    <row r="725">
      <c r="A725" s="195"/>
      <c r="B725" s="129"/>
      <c r="C725" s="195"/>
      <c r="D725" s="195"/>
      <c r="E725" s="129"/>
      <c r="F725" s="195"/>
      <c r="G725" s="195"/>
    </row>
    <row r="726">
      <c r="A726" s="195"/>
      <c r="B726" s="129"/>
      <c r="C726" s="195"/>
      <c r="D726" s="195"/>
      <c r="E726" s="129"/>
      <c r="F726" s="195"/>
      <c r="G726" s="195"/>
    </row>
    <row r="727">
      <c r="A727" s="195"/>
      <c r="B727" s="129"/>
      <c r="C727" s="195"/>
      <c r="D727" s="195"/>
      <c r="E727" s="129"/>
      <c r="F727" s="195"/>
      <c r="G727" s="195"/>
    </row>
    <row r="728">
      <c r="A728" s="195"/>
      <c r="B728" s="129"/>
      <c r="C728" s="195"/>
      <c r="D728" s="195"/>
      <c r="E728" s="129"/>
      <c r="F728" s="195"/>
      <c r="G728" s="195"/>
    </row>
    <row r="729">
      <c r="A729" s="195"/>
      <c r="B729" s="129"/>
      <c r="C729" s="195"/>
      <c r="D729" s="195"/>
      <c r="E729" s="129"/>
      <c r="F729" s="195"/>
      <c r="G729" s="195"/>
    </row>
    <row r="730">
      <c r="A730" s="195"/>
      <c r="B730" s="129"/>
      <c r="C730" s="195"/>
      <c r="D730" s="195"/>
      <c r="E730" s="129"/>
      <c r="F730" s="195"/>
      <c r="G730" s="195"/>
    </row>
    <row r="731">
      <c r="A731" s="195"/>
      <c r="B731" s="129"/>
      <c r="C731" s="195"/>
      <c r="D731" s="195"/>
      <c r="E731" s="129"/>
      <c r="F731" s="195"/>
      <c r="G731" s="195"/>
    </row>
    <row r="732">
      <c r="A732" s="195"/>
      <c r="B732" s="129"/>
      <c r="C732" s="195"/>
      <c r="D732" s="195"/>
      <c r="E732" s="129"/>
      <c r="F732" s="195"/>
      <c r="G732" s="195"/>
    </row>
    <row r="733">
      <c r="A733" s="195"/>
      <c r="B733" s="129"/>
      <c r="C733" s="195"/>
      <c r="D733" s="195"/>
      <c r="E733" s="129"/>
      <c r="F733" s="195"/>
      <c r="G733" s="195"/>
    </row>
    <row r="734">
      <c r="A734" s="195"/>
      <c r="B734" s="129"/>
      <c r="C734" s="195"/>
      <c r="D734" s="195"/>
      <c r="E734" s="129"/>
      <c r="F734" s="195"/>
      <c r="G734" s="195"/>
    </row>
    <row r="735">
      <c r="A735" s="195"/>
      <c r="B735" s="129"/>
      <c r="C735" s="195"/>
      <c r="D735" s="195"/>
      <c r="E735" s="129"/>
      <c r="F735" s="195"/>
      <c r="G735" s="195"/>
    </row>
    <row r="736">
      <c r="A736" s="195"/>
      <c r="B736" s="129"/>
      <c r="C736" s="195"/>
      <c r="D736" s="195"/>
      <c r="E736" s="129"/>
      <c r="F736" s="195"/>
      <c r="G736" s="195"/>
    </row>
    <row r="737">
      <c r="A737" s="195"/>
      <c r="B737" s="129"/>
      <c r="C737" s="195"/>
      <c r="D737" s="195"/>
      <c r="E737" s="129"/>
      <c r="F737" s="195"/>
      <c r="G737" s="195"/>
    </row>
    <row r="738">
      <c r="A738" s="195"/>
      <c r="B738" s="129"/>
      <c r="C738" s="195"/>
      <c r="D738" s="195"/>
      <c r="E738" s="129"/>
      <c r="F738" s="195"/>
      <c r="G738" s="195"/>
    </row>
    <row r="739">
      <c r="A739" s="195"/>
      <c r="B739" s="129"/>
      <c r="C739" s="195"/>
      <c r="D739" s="195"/>
      <c r="E739" s="129"/>
      <c r="F739" s="195"/>
      <c r="G739" s="195"/>
    </row>
    <row r="740">
      <c r="A740" s="195"/>
      <c r="B740" s="129"/>
      <c r="C740" s="195"/>
      <c r="D740" s="195"/>
      <c r="E740" s="129"/>
      <c r="F740" s="195"/>
      <c r="G740" s="195"/>
    </row>
    <row r="741">
      <c r="A741" s="195"/>
      <c r="B741" s="129"/>
      <c r="C741" s="195"/>
      <c r="D741" s="195"/>
      <c r="E741" s="129"/>
      <c r="F741" s="195"/>
      <c r="G741" s="195"/>
    </row>
    <row r="742">
      <c r="A742" s="195"/>
      <c r="B742" s="129"/>
      <c r="C742" s="195"/>
      <c r="D742" s="195"/>
      <c r="E742" s="129"/>
      <c r="F742" s="195"/>
      <c r="G742" s="195"/>
    </row>
    <row r="743">
      <c r="A743" s="195"/>
      <c r="B743" s="129"/>
      <c r="C743" s="195"/>
      <c r="D743" s="195"/>
      <c r="E743" s="129"/>
      <c r="F743" s="195"/>
      <c r="G743" s="195"/>
    </row>
    <row r="744">
      <c r="A744" s="195"/>
      <c r="B744" s="129"/>
      <c r="C744" s="195"/>
      <c r="D744" s="195"/>
      <c r="E744" s="129"/>
      <c r="F744" s="195"/>
      <c r="G744" s="195"/>
    </row>
    <row r="745">
      <c r="A745" s="195"/>
      <c r="B745" s="129"/>
      <c r="C745" s="195"/>
      <c r="D745" s="195"/>
      <c r="E745" s="129"/>
      <c r="F745" s="195"/>
      <c r="G745" s="195"/>
    </row>
    <row r="746">
      <c r="A746" s="195"/>
      <c r="B746" s="129"/>
      <c r="C746" s="195"/>
      <c r="D746" s="195"/>
      <c r="E746" s="129"/>
      <c r="F746" s="195"/>
      <c r="G746" s="195"/>
    </row>
    <row r="747">
      <c r="A747" s="195"/>
      <c r="B747" s="129"/>
      <c r="C747" s="195"/>
      <c r="D747" s="195"/>
      <c r="E747" s="129"/>
      <c r="F747" s="195"/>
      <c r="G747" s="195"/>
    </row>
    <row r="748">
      <c r="A748" s="195"/>
      <c r="B748" s="129"/>
      <c r="C748" s="195"/>
      <c r="D748" s="195"/>
      <c r="E748" s="129"/>
      <c r="F748" s="195"/>
      <c r="G748" s="195"/>
    </row>
    <row r="749">
      <c r="A749" s="195"/>
      <c r="B749" s="129"/>
      <c r="C749" s="195"/>
      <c r="D749" s="195"/>
      <c r="E749" s="129"/>
      <c r="F749" s="195"/>
      <c r="G749" s="195"/>
    </row>
    <row r="750">
      <c r="A750" s="195"/>
      <c r="B750" s="129"/>
      <c r="C750" s="195"/>
      <c r="D750" s="195"/>
      <c r="E750" s="129"/>
      <c r="F750" s="195"/>
      <c r="G750" s="195"/>
    </row>
    <row r="751">
      <c r="A751" s="195"/>
      <c r="B751" s="129"/>
      <c r="C751" s="195"/>
      <c r="D751" s="195"/>
      <c r="E751" s="129"/>
      <c r="F751" s="195"/>
      <c r="G751" s="195"/>
    </row>
    <row r="752">
      <c r="A752" s="195"/>
      <c r="B752" s="129"/>
      <c r="C752" s="195"/>
      <c r="D752" s="195"/>
      <c r="E752" s="129"/>
      <c r="F752" s="195"/>
      <c r="G752" s="195"/>
    </row>
    <row r="753">
      <c r="A753" s="195"/>
      <c r="B753" s="129"/>
      <c r="C753" s="195"/>
      <c r="D753" s="195"/>
      <c r="E753" s="129"/>
      <c r="F753" s="195"/>
      <c r="G753" s="195"/>
    </row>
    <row r="754">
      <c r="A754" s="195"/>
      <c r="B754" s="129"/>
      <c r="C754" s="195"/>
      <c r="D754" s="195"/>
      <c r="E754" s="129"/>
      <c r="F754" s="195"/>
      <c r="G754" s="195"/>
    </row>
    <row r="755">
      <c r="A755" s="195"/>
      <c r="B755" s="129"/>
      <c r="C755" s="195"/>
      <c r="D755" s="195"/>
      <c r="E755" s="129"/>
      <c r="F755" s="195"/>
      <c r="G755" s="195"/>
    </row>
    <row r="756">
      <c r="A756" s="195"/>
      <c r="B756" s="129"/>
      <c r="C756" s="195"/>
      <c r="D756" s="195"/>
      <c r="E756" s="129"/>
      <c r="F756" s="195"/>
      <c r="G756" s="195"/>
    </row>
    <row r="757">
      <c r="A757" s="195"/>
      <c r="B757" s="129"/>
      <c r="C757" s="195"/>
      <c r="D757" s="195"/>
      <c r="E757" s="129"/>
      <c r="F757" s="195"/>
      <c r="G757" s="195"/>
    </row>
    <row r="758">
      <c r="A758" s="195"/>
      <c r="B758" s="129"/>
      <c r="C758" s="195"/>
      <c r="D758" s="195"/>
      <c r="E758" s="129"/>
      <c r="F758" s="195"/>
      <c r="G758" s="195"/>
    </row>
    <row r="759">
      <c r="A759" s="195"/>
      <c r="B759" s="129"/>
      <c r="C759" s="195"/>
      <c r="D759" s="195"/>
      <c r="E759" s="129"/>
      <c r="F759" s="195"/>
      <c r="G759" s="195"/>
    </row>
    <row r="760">
      <c r="A760" s="195"/>
      <c r="B760" s="129"/>
      <c r="C760" s="195"/>
      <c r="D760" s="195"/>
      <c r="E760" s="129"/>
      <c r="F760" s="195"/>
      <c r="G760" s="195"/>
    </row>
    <row r="761">
      <c r="A761" s="195"/>
      <c r="B761" s="129"/>
      <c r="C761" s="195"/>
      <c r="D761" s="195"/>
      <c r="E761" s="129"/>
      <c r="F761" s="195"/>
      <c r="G761" s="195"/>
    </row>
    <row r="762">
      <c r="A762" s="195"/>
      <c r="B762" s="129"/>
      <c r="C762" s="195"/>
      <c r="D762" s="195"/>
      <c r="E762" s="129"/>
      <c r="F762" s="195"/>
      <c r="G762" s="195"/>
    </row>
    <row r="763">
      <c r="A763" s="195"/>
      <c r="B763" s="129"/>
      <c r="C763" s="195"/>
      <c r="D763" s="195"/>
      <c r="E763" s="129"/>
      <c r="F763" s="195"/>
      <c r="G763" s="195"/>
    </row>
    <row r="764">
      <c r="A764" s="195"/>
      <c r="B764" s="129"/>
      <c r="C764" s="195"/>
      <c r="D764" s="195"/>
      <c r="E764" s="129"/>
      <c r="F764" s="195"/>
      <c r="G764" s="195"/>
    </row>
    <row r="765">
      <c r="A765" s="195"/>
      <c r="B765" s="129"/>
      <c r="C765" s="195"/>
      <c r="D765" s="195"/>
      <c r="E765" s="129"/>
      <c r="F765" s="195"/>
      <c r="G765" s="195"/>
    </row>
    <row r="766">
      <c r="A766" s="195"/>
      <c r="B766" s="129"/>
      <c r="C766" s="195"/>
      <c r="D766" s="195"/>
      <c r="E766" s="129"/>
      <c r="F766" s="195"/>
      <c r="G766" s="195"/>
    </row>
    <row r="767">
      <c r="A767" s="195"/>
      <c r="B767" s="129"/>
      <c r="C767" s="195"/>
      <c r="D767" s="195"/>
      <c r="E767" s="129"/>
      <c r="F767" s="195"/>
      <c r="G767" s="195"/>
    </row>
    <row r="768">
      <c r="A768" s="195"/>
      <c r="B768" s="129"/>
      <c r="C768" s="195"/>
      <c r="D768" s="195"/>
      <c r="E768" s="129"/>
      <c r="F768" s="195"/>
      <c r="G768" s="195"/>
    </row>
    <row r="769">
      <c r="A769" s="195"/>
      <c r="B769" s="129"/>
      <c r="C769" s="195"/>
      <c r="D769" s="195"/>
      <c r="E769" s="129"/>
      <c r="F769" s="195"/>
      <c r="G769" s="195"/>
    </row>
    <row r="770">
      <c r="A770" s="195"/>
      <c r="B770" s="129"/>
      <c r="C770" s="195"/>
      <c r="D770" s="195"/>
      <c r="E770" s="129"/>
      <c r="F770" s="195"/>
      <c r="G770" s="195"/>
    </row>
    <row r="771">
      <c r="A771" s="195"/>
      <c r="B771" s="129"/>
      <c r="C771" s="195"/>
      <c r="D771" s="195"/>
      <c r="E771" s="129"/>
      <c r="F771" s="195"/>
      <c r="G771" s="195"/>
    </row>
    <row r="772">
      <c r="A772" s="195"/>
      <c r="B772" s="129"/>
      <c r="C772" s="195"/>
      <c r="D772" s="195"/>
      <c r="E772" s="129"/>
      <c r="F772" s="195"/>
      <c r="G772" s="195"/>
    </row>
    <row r="773">
      <c r="A773" s="195"/>
      <c r="B773" s="129"/>
      <c r="C773" s="195"/>
      <c r="D773" s="195"/>
      <c r="E773" s="129"/>
      <c r="F773" s="195"/>
      <c r="G773" s="195"/>
    </row>
    <row r="774">
      <c r="A774" s="195"/>
      <c r="B774" s="129"/>
      <c r="C774" s="195"/>
      <c r="D774" s="195"/>
      <c r="E774" s="129"/>
      <c r="F774" s="195"/>
      <c r="G774" s="195"/>
    </row>
    <row r="775">
      <c r="A775" s="195"/>
      <c r="B775" s="129"/>
      <c r="C775" s="195"/>
      <c r="D775" s="195"/>
      <c r="E775" s="129"/>
      <c r="F775" s="195"/>
      <c r="G775" s="195"/>
    </row>
    <row r="776">
      <c r="A776" s="195"/>
      <c r="B776" s="129"/>
      <c r="C776" s="195"/>
      <c r="D776" s="195"/>
      <c r="E776" s="129"/>
      <c r="F776" s="195"/>
      <c r="G776" s="195"/>
    </row>
    <row r="777">
      <c r="A777" s="195"/>
      <c r="B777" s="129"/>
      <c r="C777" s="195"/>
      <c r="D777" s="195"/>
      <c r="E777" s="129"/>
      <c r="F777" s="195"/>
      <c r="G777" s="195"/>
    </row>
    <row r="778">
      <c r="A778" s="195"/>
      <c r="B778" s="129"/>
      <c r="C778" s="195"/>
      <c r="D778" s="195"/>
      <c r="E778" s="129"/>
      <c r="F778" s="195"/>
      <c r="G778" s="195"/>
    </row>
    <row r="779">
      <c r="A779" s="195"/>
      <c r="B779" s="129"/>
      <c r="C779" s="195"/>
      <c r="D779" s="195"/>
      <c r="E779" s="129"/>
      <c r="F779" s="195"/>
      <c r="G779" s="195"/>
    </row>
    <row r="780">
      <c r="A780" s="195"/>
      <c r="B780" s="129"/>
      <c r="C780" s="195"/>
      <c r="D780" s="195"/>
      <c r="E780" s="129"/>
      <c r="F780" s="195"/>
      <c r="G780" s="195"/>
    </row>
    <row r="781">
      <c r="A781" s="195"/>
      <c r="B781" s="129"/>
      <c r="C781" s="195"/>
      <c r="D781" s="195"/>
      <c r="E781" s="129"/>
      <c r="F781" s="195"/>
      <c r="G781" s="195"/>
    </row>
    <row r="782">
      <c r="A782" s="195"/>
      <c r="B782" s="129"/>
      <c r="C782" s="195"/>
      <c r="D782" s="195"/>
      <c r="E782" s="129"/>
      <c r="F782" s="195"/>
      <c r="G782" s="195"/>
    </row>
    <row r="783">
      <c r="A783" s="195"/>
      <c r="B783" s="129"/>
      <c r="C783" s="195"/>
      <c r="D783" s="195"/>
      <c r="E783" s="129"/>
      <c r="F783" s="195"/>
      <c r="G783" s="195"/>
    </row>
    <row r="784">
      <c r="A784" s="195"/>
      <c r="B784" s="129"/>
      <c r="C784" s="195"/>
      <c r="D784" s="195"/>
      <c r="E784" s="129"/>
      <c r="F784" s="195"/>
      <c r="G784" s="195"/>
    </row>
    <row r="785">
      <c r="A785" s="195"/>
      <c r="B785" s="129"/>
      <c r="C785" s="195"/>
      <c r="D785" s="195"/>
      <c r="E785" s="129"/>
      <c r="F785" s="195"/>
      <c r="G785" s="195"/>
    </row>
    <row r="786">
      <c r="A786" s="195"/>
      <c r="B786" s="129"/>
      <c r="C786" s="195"/>
      <c r="D786" s="195"/>
      <c r="E786" s="129"/>
      <c r="F786" s="195"/>
      <c r="G786" s="195"/>
    </row>
    <row r="787">
      <c r="A787" s="195"/>
      <c r="B787" s="129"/>
      <c r="C787" s="195"/>
      <c r="D787" s="195"/>
      <c r="E787" s="129"/>
      <c r="F787" s="195"/>
      <c r="G787" s="195"/>
    </row>
    <row r="788">
      <c r="A788" s="195"/>
      <c r="B788" s="129"/>
      <c r="C788" s="195"/>
      <c r="D788" s="195"/>
      <c r="E788" s="129"/>
      <c r="F788" s="195"/>
      <c r="G788" s="195"/>
    </row>
    <row r="789">
      <c r="A789" s="195"/>
      <c r="B789" s="129"/>
      <c r="C789" s="195"/>
      <c r="D789" s="195"/>
      <c r="E789" s="129"/>
      <c r="F789" s="195"/>
      <c r="G789" s="195"/>
    </row>
    <row r="790">
      <c r="A790" s="195"/>
      <c r="B790" s="129"/>
      <c r="C790" s="195"/>
      <c r="D790" s="195"/>
      <c r="E790" s="129"/>
      <c r="F790" s="195"/>
      <c r="G790" s="195"/>
    </row>
    <row r="791">
      <c r="A791" s="195"/>
      <c r="B791" s="129"/>
      <c r="C791" s="195"/>
      <c r="D791" s="195"/>
      <c r="E791" s="129"/>
      <c r="F791" s="195"/>
      <c r="G791" s="195"/>
    </row>
    <row r="792">
      <c r="A792" s="195"/>
      <c r="B792" s="129"/>
      <c r="C792" s="195"/>
      <c r="D792" s="195"/>
      <c r="E792" s="129"/>
      <c r="F792" s="195"/>
      <c r="G792" s="195"/>
    </row>
    <row r="793">
      <c r="A793" s="195"/>
      <c r="B793" s="129"/>
      <c r="C793" s="195"/>
      <c r="D793" s="195"/>
      <c r="E793" s="129"/>
      <c r="F793" s="195"/>
      <c r="G793" s="195"/>
    </row>
    <row r="794">
      <c r="A794" s="195"/>
      <c r="B794" s="129"/>
      <c r="C794" s="195"/>
      <c r="D794" s="195"/>
      <c r="E794" s="129"/>
      <c r="F794" s="195"/>
      <c r="G794" s="195"/>
    </row>
    <row r="795">
      <c r="A795" s="195"/>
      <c r="B795" s="129"/>
      <c r="C795" s="195"/>
      <c r="D795" s="195"/>
      <c r="E795" s="129"/>
      <c r="F795" s="195"/>
      <c r="G795" s="195"/>
    </row>
    <row r="796">
      <c r="A796" s="195"/>
      <c r="B796" s="129"/>
      <c r="C796" s="195"/>
      <c r="D796" s="195"/>
      <c r="E796" s="129"/>
      <c r="F796" s="195"/>
      <c r="G796" s="195"/>
    </row>
    <row r="797">
      <c r="A797" s="195"/>
      <c r="B797" s="129"/>
      <c r="C797" s="195"/>
      <c r="D797" s="195"/>
      <c r="E797" s="129"/>
      <c r="F797" s="195"/>
      <c r="G797" s="195"/>
    </row>
    <row r="798">
      <c r="A798" s="195"/>
      <c r="B798" s="129"/>
      <c r="C798" s="195"/>
      <c r="D798" s="195"/>
      <c r="E798" s="129"/>
      <c r="F798" s="195"/>
      <c r="G798" s="195"/>
    </row>
    <row r="799">
      <c r="A799" s="195"/>
      <c r="B799" s="129"/>
      <c r="C799" s="195"/>
      <c r="D799" s="195"/>
      <c r="E799" s="129"/>
      <c r="F799" s="195"/>
      <c r="G799" s="195"/>
    </row>
    <row r="800">
      <c r="A800" s="195"/>
      <c r="B800" s="129"/>
      <c r="C800" s="195"/>
      <c r="D800" s="195"/>
      <c r="E800" s="129"/>
      <c r="F800" s="195"/>
      <c r="G800" s="195"/>
    </row>
    <row r="801">
      <c r="A801" s="195"/>
      <c r="B801" s="129"/>
      <c r="C801" s="195"/>
      <c r="D801" s="195"/>
      <c r="E801" s="129"/>
      <c r="F801" s="195"/>
      <c r="G801" s="195"/>
    </row>
    <row r="802">
      <c r="A802" s="195"/>
      <c r="B802" s="129"/>
      <c r="C802" s="195"/>
      <c r="D802" s="195"/>
      <c r="E802" s="129"/>
      <c r="F802" s="195"/>
      <c r="G802" s="195"/>
    </row>
    <row r="803">
      <c r="A803" s="195"/>
      <c r="B803" s="129"/>
      <c r="C803" s="195"/>
      <c r="D803" s="195"/>
      <c r="E803" s="129"/>
      <c r="F803" s="195"/>
      <c r="G803" s="195"/>
    </row>
    <row r="804">
      <c r="A804" s="195"/>
      <c r="B804" s="129"/>
      <c r="C804" s="195"/>
      <c r="D804" s="195"/>
      <c r="E804" s="129"/>
      <c r="F804" s="195"/>
      <c r="G804" s="195"/>
    </row>
    <row r="805">
      <c r="A805" s="195"/>
      <c r="B805" s="129"/>
      <c r="C805" s="195"/>
      <c r="D805" s="195"/>
      <c r="E805" s="129"/>
      <c r="F805" s="195"/>
      <c r="G805" s="195"/>
    </row>
    <row r="806">
      <c r="A806" s="195"/>
      <c r="B806" s="129"/>
      <c r="C806" s="195"/>
      <c r="D806" s="195"/>
      <c r="E806" s="129"/>
      <c r="F806" s="195"/>
      <c r="G806" s="195"/>
    </row>
    <row r="807">
      <c r="A807" s="195"/>
      <c r="B807" s="129"/>
      <c r="C807" s="195"/>
      <c r="D807" s="195"/>
      <c r="E807" s="129"/>
      <c r="F807" s="195"/>
      <c r="G807" s="195"/>
    </row>
    <row r="808">
      <c r="A808" s="195"/>
      <c r="B808" s="129"/>
      <c r="C808" s="195"/>
      <c r="D808" s="195"/>
      <c r="E808" s="129"/>
      <c r="F808" s="195"/>
      <c r="G808" s="195"/>
    </row>
    <row r="809">
      <c r="A809" s="195"/>
      <c r="B809" s="129"/>
      <c r="C809" s="195"/>
      <c r="D809" s="195"/>
      <c r="E809" s="129"/>
      <c r="F809" s="195"/>
      <c r="G809" s="195"/>
    </row>
    <row r="810">
      <c r="A810" s="195"/>
      <c r="B810" s="129"/>
      <c r="C810" s="195"/>
      <c r="D810" s="195"/>
      <c r="E810" s="129"/>
      <c r="F810" s="195"/>
      <c r="G810" s="195"/>
    </row>
    <row r="811">
      <c r="A811" s="195"/>
      <c r="B811" s="129"/>
      <c r="C811" s="195"/>
      <c r="D811" s="195"/>
      <c r="E811" s="129"/>
      <c r="F811" s="195"/>
      <c r="G811" s="195"/>
    </row>
    <row r="812">
      <c r="A812" s="195"/>
      <c r="B812" s="129"/>
      <c r="C812" s="195"/>
      <c r="D812" s="195"/>
      <c r="E812" s="129"/>
      <c r="F812" s="195"/>
      <c r="G812" s="195"/>
    </row>
    <row r="813">
      <c r="A813" s="195"/>
      <c r="B813" s="129"/>
      <c r="C813" s="195"/>
      <c r="D813" s="195"/>
      <c r="E813" s="129"/>
      <c r="F813" s="195"/>
      <c r="G813" s="195"/>
    </row>
    <row r="814">
      <c r="A814" s="195"/>
      <c r="B814" s="129"/>
      <c r="C814" s="195"/>
      <c r="D814" s="195"/>
      <c r="E814" s="129"/>
      <c r="F814" s="195"/>
      <c r="G814" s="195"/>
    </row>
    <row r="815">
      <c r="A815" s="195"/>
      <c r="B815" s="129"/>
      <c r="C815" s="195"/>
      <c r="D815" s="195"/>
      <c r="E815" s="129"/>
      <c r="F815" s="195"/>
      <c r="G815" s="195"/>
    </row>
    <row r="816">
      <c r="A816" s="195"/>
      <c r="B816" s="129"/>
      <c r="C816" s="195"/>
      <c r="D816" s="195"/>
      <c r="E816" s="129"/>
      <c r="F816" s="195"/>
      <c r="G816" s="195"/>
    </row>
    <row r="817">
      <c r="A817" s="195"/>
      <c r="B817" s="129"/>
      <c r="C817" s="195"/>
      <c r="D817" s="195"/>
      <c r="E817" s="129"/>
      <c r="F817" s="195"/>
      <c r="G817" s="195"/>
    </row>
    <row r="818">
      <c r="A818" s="195"/>
      <c r="B818" s="129"/>
      <c r="C818" s="195"/>
      <c r="D818" s="195"/>
      <c r="E818" s="129"/>
      <c r="F818" s="195"/>
      <c r="G818" s="195"/>
    </row>
    <row r="819">
      <c r="A819" s="195"/>
      <c r="B819" s="129"/>
      <c r="C819" s="195"/>
      <c r="D819" s="195"/>
      <c r="E819" s="129"/>
      <c r="F819" s="195"/>
      <c r="G819" s="195"/>
    </row>
    <row r="820">
      <c r="A820" s="195"/>
      <c r="B820" s="129"/>
      <c r="C820" s="195"/>
      <c r="D820" s="195"/>
      <c r="E820" s="129"/>
      <c r="F820" s="195"/>
      <c r="G820" s="195"/>
    </row>
    <row r="821">
      <c r="A821" s="195"/>
      <c r="B821" s="129"/>
      <c r="C821" s="195"/>
      <c r="D821" s="195"/>
      <c r="E821" s="129"/>
      <c r="F821" s="195"/>
      <c r="G821" s="195"/>
    </row>
    <row r="822">
      <c r="A822" s="195"/>
      <c r="B822" s="129"/>
      <c r="C822" s="195"/>
      <c r="D822" s="195"/>
      <c r="E822" s="129"/>
      <c r="F822" s="195"/>
      <c r="G822" s="195"/>
    </row>
    <row r="823">
      <c r="A823" s="195"/>
      <c r="B823" s="129"/>
      <c r="C823" s="195"/>
      <c r="D823" s="195"/>
      <c r="E823" s="129"/>
      <c r="F823" s="195"/>
      <c r="G823" s="195"/>
    </row>
    <row r="824">
      <c r="A824" s="195"/>
      <c r="B824" s="129"/>
      <c r="C824" s="195"/>
      <c r="D824" s="195"/>
      <c r="E824" s="129"/>
      <c r="F824" s="195"/>
      <c r="G824" s="195"/>
    </row>
    <row r="825">
      <c r="A825" s="195"/>
      <c r="B825" s="129"/>
      <c r="C825" s="195"/>
      <c r="D825" s="195"/>
      <c r="E825" s="129"/>
      <c r="F825" s="195"/>
      <c r="G825" s="195"/>
    </row>
    <row r="826">
      <c r="A826" s="195"/>
      <c r="B826" s="129"/>
      <c r="C826" s="195"/>
      <c r="D826" s="195"/>
      <c r="E826" s="129"/>
      <c r="F826" s="195"/>
      <c r="G826" s="195"/>
    </row>
    <row r="827">
      <c r="A827" s="195"/>
      <c r="B827" s="129"/>
      <c r="C827" s="195"/>
      <c r="D827" s="195"/>
      <c r="E827" s="129"/>
      <c r="F827" s="195"/>
      <c r="G827" s="195"/>
    </row>
    <row r="828">
      <c r="A828" s="195"/>
      <c r="B828" s="129"/>
      <c r="C828" s="195"/>
      <c r="D828" s="195"/>
      <c r="E828" s="129"/>
      <c r="F828" s="195"/>
      <c r="G828" s="195"/>
    </row>
    <row r="829">
      <c r="A829" s="195"/>
      <c r="B829" s="129"/>
      <c r="C829" s="195"/>
      <c r="D829" s="195"/>
      <c r="E829" s="129"/>
      <c r="F829" s="195"/>
      <c r="G829" s="195"/>
    </row>
    <row r="830">
      <c r="A830" s="195"/>
      <c r="B830" s="129"/>
      <c r="C830" s="195"/>
      <c r="D830" s="195"/>
      <c r="E830" s="129"/>
      <c r="F830" s="195"/>
      <c r="G830" s="195"/>
    </row>
    <row r="831">
      <c r="A831" s="195"/>
      <c r="B831" s="129"/>
      <c r="C831" s="195"/>
      <c r="D831" s="195"/>
      <c r="E831" s="129"/>
      <c r="F831" s="195"/>
      <c r="G831" s="195"/>
    </row>
    <row r="832">
      <c r="A832" s="195"/>
      <c r="B832" s="129"/>
      <c r="C832" s="195"/>
      <c r="D832" s="195"/>
      <c r="E832" s="129"/>
      <c r="F832" s="195"/>
      <c r="G832" s="195"/>
    </row>
    <row r="833">
      <c r="A833" s="195"/>
      <c r="B833" s="129"/>
      <c r="C833" s="195"/>
      <c r="D833" s="195"/>
      <c r="E833" s="129"/>
      <c r="F833" s="195"/>
      <c r="G833" s="195"/>
    </row>
    <row r="834">
      <c r="A834" s="195"/>
      <c r="B834" s="129"/>
      <c r="C834" s="195"/>
      <c r="D834" s="195"/>
      <c r="E834" s="129"/>
      <c r="F834" s="195"/>
      <c r="G834" s="195"/>
    </row>
    <row r="835">
      <c r="A835" s="195"/>
      <c r="B835" s="129"/>
      <c r="C835" s="195"/>
      <c r="D835" s="195"/>
      <c r="E835" s="129"/>
      <c r="F835" s="195"/>
      <c r="G835" s="195"/>
    </row>
    <row r="836">
      <c r="A836" s="195"/>
      <c r="B836" s="129"/>
      <c r="C836" s="195"/>
      <c r="D836" s="195"/>
      <c r="E836" s="129"/>
      <c r="F836" s="195"/>
      <c r="G836" s="195"/>
    </row>
    <row r="837">
      <c r="A837" s="195"/>
      <c r="B837" s="129"/>
      <c r="C837" s="195"/>
      <c r="D837" s="195"/>
      <c r="E837" s="129"/>
      <c r="F837" s="195"/>
      <c r="G837" s="195"/>
    </row>
    <row r="838">
      <c r="A838" s="195"/>
      <c r="B838" s="129"/>
      <c r="C838" s="195"/>
      <c r="D838" s="195"/>
      <c r="E838" s="129"/>
      <c r="F838" s="195"/>
      <c r="G838" s="195"/>
    </row>
    <row r="839">
      <c r="A839" s="195"/>
      <c r="B839" s="129"/>
      <c r="C839" s="195"/>
      <c r="D839" s="195"/>
      <c r="E839" s="129"/>
      <c r="F839" s="195"/>
      <c r="G839" s="195"/>
    </row>
    <row r="840">
      <c r="A840" s="195"/>
      <c r="B840" s="129"/>
      <c r="C840" s="195"/>
      <c r="D840" s="195"/>
      <c r="E840" s="129"/>
      <c r="F840" s="195"/>
      <c r="G840" s="195"/>
    </row>
    <row r="841">
      <c r="A841" s="195"/>
      <c r="B841" s="129"/>
      <c r="C841" s="195"/>
      <c r="D841" s="195"/>
      <c r="E841" s="129"/>
      <c r="F841" s="195"/>
      <c r="G841" s="195"/>
    </row>
    <row r="842">
      <c r="A842" s="195"/>
      <c r="B842" s="129"/>
      <c r="C842" s="195"/>
      <c r="D842" s="195"/>
      <c r="E842" s="129"/>
      <c r="F842" s="195"/>
      <c r="G842" s="195"/>
    </row>
    <row r="843">
      <c r="A843" s="195"/>
      <c r="B843" s="129"/>
      <c r="C843" s="195"/>
      <c r="D843" s="195"/>
      <c r="E843" s="129"/>
      <c r="F843" s="195"/>
      <c r="G843" s="195"/>
    </row>
    <row r="844">
      <c r="A844" s="195"/>
      <c r="B844" s="129"/>
      <c r="C844" s="195"/>
      <c r="D844" s="195"/>
      <c r="E844" s="129"/>
      <c r="F844" s="195"/>
      <c r="G844" s="195"/>
    </row>
    <row r="845">
      <c r="A845" s="195"/>
      <c r="B845" s="129"/>
      <c r="C845" s="195"/>
      <c r="D845" s="195"/>
      <c r="E845" s="129"/>
      <c r="F845" s="195"/>
      <c r="G845" s="195"/>
    </row>
    <row r="846">
      <c r="A846" s="195"/>
      <c r="B846" s="129"/>
      <c r="C846" s="195"/>
      <c r="D846" s="195"/>
      <c r="E846" s="129"/>
      <c r="F846" s="195"/>
      <c r="G846" s="195"/>
    </row>
    <row r="847">
      <c r="A847" s="195"/>
      <c r="B847" s="129"/>
      <c r="C847" s="195"/>
      <c r="D847" s="195"/>
      <c r="E847" s="129"/>
      <c r="F847" s="195"/>
      <c r="G847" s="195"/>
    </row>
    <row r="848">
      <c r="A848" s="195"/>
      <c r="B848" s="129"/>
      <c r="C848" s="195"/>
      <c r="D848" s="195"/>
      <c r="E848" s="129"/>
      <c r="F848" s="195"/>
      <c r="G848" s="195"/>
    </row>
    <row r="849">
      <c r="A849" s="195"/>
      <c r="B849" s="129"/>
      <c r="C849" s="195"/>
      <c r="D849" s="195"/>
      <c r="E849" s="129"/>
      <c r="F849" s="195"/>
      <c r="G849" s="195"/>
    </row>
    <row r="850">
      <c r="A850" s="195"/>
      <c r="B850" s="129"/>
      <c r="C850" s="195"/>
      <c r="D850" s="195"/>
      <c r="E850" s="129"/>
      <c r="F850" s="195"/>
      <c r="G850" s="195"/>
    </row>
    <row r="851">
      <c r="A851" s="195"/>
      <c r="B851" s="129"/>
      <c r="C851" s="195"/>
      <c r="D851" s="195"/>
      <c r="E851" s="129"/>
      <c r="F851" s="195"/>
      <c r="G851" s="195"/>
    </row>
    <row r="852">
      <c r="A852" s="195"/>
      <c r="B852" s="129"/>
      <c r="C852" s="195"/>
      <c r="D852" s="195"/>
      <c r="E852" s="129"/>
      <c r="F852" s="195"/>
      <c r="G852" s="195"/>
    </row>
    <row r="853">
      <c r="A853" s="195"/>
      <c r="B853" s="129"/>
      <c r="C853" s="195"/>
      <c r="D853" s="195"/>
      <c r="E853" s="129"/>
      <c r="F853" s="195"/>
      <c r="G853" s="195"/>
    </row>
    <row r="854">
      <c r="A854" s="195"/>
      <c r="B854" s="129"/>
      <c r="C854" s="195"/>
      <c r="D854" s="195"/>
      <c r="E854" s="129"/>
      <c r="F854" s="195"/>
      <c r="G854" s="195"/>
    </row>
    <row r="855">
      <c r="A855" s="195"/>
      <c r="B855" s="129"/>
      <c r="C855" s="195"/>
      <c r="D855" s="195"/>
      <c r="E855" s="129"/>
      <c r="F855" s="195"/>
      <c r="G855" s="195"/>
    </row>
    <row r="856">
      <c r="A856" s="195"/>
      <c r="B856" s="129"/>
      <c r="C856" s="195"/>
      <c r="D856" s="195"/>
      <c r="E856" s="129"/>
      <c r="F856" s="195"/>
      <c r="G856" s="195"/>
    </row>
    <row r="857">
      <c r="A857" s="195"/>
      <c r="B857" s="129"/>
      <c r="C857" s="195"/>
      <c r="D857" s="195"/>
      <c r="E857" s="129"/>
      <c r="F857" s="195"/>
      <c r="G857" s="195"/>
    </row>
    <row r="858">
      <c r="A858" s="195"/>
      <c r="B858" s="129"/>
      <c r="C858" s="195"/>
      <c r="D858" s="195"/>
      <c r="E858" s="129"/>
      <c r="F858" s="195"/>
      <c r="G858" s="195"/>
    </row>
    <row r="859">
      <c r="A859" s="195"/>
      <c r="B859" s="129"/>
      <c r="C859" s="195"/>
      <c r="D859" s="195"/>
      <c r="E859" s="129"/>
      <c r="F859" s="195"/>
      <c r="G859" s="195"/>
    </row>
    <row r="860">
      <c r="A860" s="195"/>
      <c r="B860" s="129"/>
      <c r="C860" s="195"/>
      <c r="D860" s="195"/>
      <c r="E860" s="129"/>
      <c r="F860" s="195"/>
      <c r="G860" s="195"/>
    </row>
    <row r="861">
      <c r="A861" s="195"/>
      <c r="B861" s="129"/>
      <c r="C861" s="195"/>
      <c r="D861" s="195"/>
      <c r="E861" s="129"/>
      <c r="F861" s="195"/>
      <c r="G861" s="195"/>
    </row>
    <row r="862">
      <c r="A862" s="195"/>
      <c r="B862" s="129"/>
      <c r="C862" s="195"/>
      <c r="D862" s="195"/>
      <c r="E862" s="129"/>
      <c r="F862" s="195"/>
      <c r="G862" s="195"/>
    </row>
    <row r="863">
      <c r="A863" s="195"/>
      <c r="B863" s="129"/>
      <c r="C863" s="195"/>
      <c r="D863" s="195"/>
      <c r="E863" s="129"/>
      <c r="F863" s="195"/>
      <c r="G863" s="195"/>
    </row>
    <row r="864">
      <c r="A864" s="195"/>
      <c r="B864" s="129"/>
      <c r="C864" s="195"/>
      <c r="D864" s="195"/>
      <c r="E864" s="129"/>
      <c r="F864" s="195"/>
      <c r="G864" s="195"/>
    </row>
    <row r="865">
      <c r="A865" s="195"/>
      <c r="B865" s="129"/>
      <c r="C865" s="195"/>
      <c r="D865" s="195"/>
      <c r="E865" s="129"/>
      <c r="F865" s="195"/>
      <c r="G865" s="195"/>
    </row>
    <row r="866">
      <c r="A866" s="195"/>
      <c r="B866" s="129"/>
      <c r="C866" s="195"/>
      <c r="D866" s="195"/>
      <c r="E866" s="129"/>
      <c r="F866" s="195"/>
      <c r="G866" s="195"/>
    </row>
    <row r="867">
      <c r="A867" s="195"/>
      <c r="B867" s="129"/>
      <c r="C867" s="195"/>
      <c r="D867" s="195"/>
      <c r="E867" s="129"/>
      <c r="F867" s="195"/>
      <c r="G867" s="195"/>
    </row>
    <row r="868">
      <c r="A868" s="195"/>
      <c r="B868" s="129"/>
      <c r="C868" s="195"/>
      <c r="D868" s="195"/>
      <c r="E868" s="129"/>
      <c r="F868" s="195"/>
      <c r="G868" s="195"/>
    </row>
    <row r="869">
      <c r="A869" s="195"/>
      <c r="B869" s="129"/>
      <c r="C869" s="195"/>
      <c r="D869" s="195"/>
      <c r="E869" s="129"/>
      <c r="F869" s="195"/>
      <c r="G869" s="195"/>
    </row>
    <row r="870">
      <c r="A870" s="195"/>
      <c r="B870" s="129"/>
      <c r="C870" s="195"/>
      <c r="D870" s="195"/>
      <c r="E870" s="129"/>
      <c r="F870" s="195"/>
      <c r="G870" s="195"/>
    </row>
    <row r="871">
      <c r="A871" s="195"/>
      <c r="B871" s="129"/>
      <c r="C871" s="195"/>
      <c r="D871" s="195"/>
      <c r="E871" s="129"/>
      <c r="F871" s="195"/>
      <c r="G871" s="195"/>
    </row>
    <row r="872">
      <c r="A872" s="195"/>
      <c r="B872" s="129"/>
      <c r="C872" s="195"/>
      <c r="D872" s="195"/>
      <c r="E872" s="129"/>
      <c r="F872" s="195"/>
      <c r="G872" s="195"/>
    </row>
    <row r="873">
      <c r="A873" s="195"/>
      <c r="B873" s="129"/>
      <c r="C873" s="195"/>
      <c r="D873" s="195"/>
      <c r="E873" s="129"/>
      <c r="F873" s="195"/>
      <c r="G873" s="195"/>
    </row>
    <row r="874">
      <c r="A874" s="195"/>
      <c r="B874" s="129"/>
      <c r="C874" s="195"/>
      <c r="D874" s="195"/>
      <c r="E874" s="129"/>
      <c r="F874" s="195"/>
      <c r="G874" s="195"/>
    </row>
    <row r="875">
      <c r="A875" s="195"/>
      <c r="B875" s="129"/>
      <c r="C875" s="195"/>
      <c r="D875" s="195"/>
      <c r="E875" s="129"/>
      <c r="F875" s="195"/>
      <c r="G875" s="195"/>
    </row>
    <row r="876">
      <c r="A876" s="195"/>
      <c r="B876" s="129"/>
      <c r="C876" s="195"/>
      <c r="D876" s="195"/>
      <c r="E876" s="129"/>
      <c r="F876" s="195"/>
      <c r="G876" s="195"/>
    </row>
    <row r="877">
      <c r="A877" s="195"/>
      <c r="B877" s="129"/>
      <c r="C877" s="195"/>
      <c r="D877" s="195"/>
      <c r="E877" s="129"/>
      <c r="F877" s="195"/>
      <c r="G877" s="195"/>
    </row>
    <row r="878">
      <c r="A878" s="195"/>
      <c r="B878" s="129"/>
      <c r="C878" s="195"/>
      <c r="D878" s="195"/>
      <c r="E878" s="129"/>
      <c r="F878" s="195"/>
      <c r="G878" s="195"/>
    </row>
    <row r="879">
      <c r="A879" s="195"/>
      <c r="B879" s="129"/>
      <c r="C879" s="195"/>
      <c r="D879" s="195"/>
      <c r="E879" s="129"/>
      <c r="F879" s="195"/>
      <c r="G879" s="195"/>
    </row>
    <row r="880">
      <c r="A880" s="195"/>
      <c r="B880" s="129"/>
      <c r="C880" s="195"/>
      <c r="D880" s="195"/>
      <c r="E880" s="129"/>
      <c r="F880" s="195"/>
      <c r="G880" s="195"/>
    </row>
    <row r="881">
      <c r="A881" s="195"/>
      <c r="B881" s="129"/>
      <c r="C881" s="195"/>
      <c r="D881" s="195"/>
      <c r="E881" s="129"/>
      <c r="F881" s="195"/>
      <c r="G881" s="195"/>
    </row>
    <row r="882">
      <c r="A882" s="195"/>
      <c r="B882" s="129"/>
      <c r="C882" s="195"/>
      <c r="D882" s="195"/>
      <c r="E882" s="129"/>
      <c r="F882" s="195"/>
      <c r="G882" s="195"/>
    </row>
    <row r="883">
      <c r="A883" s="195"/>
      <c r="B883" s="129"/>
      <c r="C883" s="195"/>
      <c r="D883" s="195"/>
      <c r="E883" s="129"/>
      <c r="F883" s="195"/>
      <c r="G883" s="195"/>
    </row>
    <row r="884">
      <c r="A884" s="195"/>
      <c r="B884" s="129"/>
      <c r="C884" s="195"/>
      <c r="D884" s="195"/>
      <c r="E884" s="129"/>
      <c r="F884" s="195"/>
      <c r="G884" s="195"/>
    </row>
    <row r="885">
      <c r="A885" s="195"/>
      <c r="B885" s="129"/>
      <c r="C885" s="195"/>
      <c r="D885" s="195"/>
      <c r="E885" s="129"/>
      <c r="F885" s="195"/>
      <c r="G885" s="195"/>
    </row>
    <row r="886">
      <c r="A886" s="195"/>
      <c r="B886" s="129"/>
      <c r="C886" s="195"/>
      <c r="D886" s="195"/>
      <c r="E886" s="129"/>
      <c r="F886" s="195"/>
      <c r="G886" s="195"/>
    </row>
    <row r="887">
      <c r="A887" s="195"/>
      <c r="B887" s="129"/>
      <c r="C887" s="195"/>
      <c r="D887" s="195"/>
      <c r="E887" s="129"/>
      <c r="F887" s="195"/>
      <c r="G887" s="195"/>
    </row>
    <row r="888">
      <c r="A888" s="195"/>
      <c r="B888" s="129"/>
      <c r="C888" s="195"/>
      <c r="D888" s="195"/>
      <c r="E888" s="129"/>
      <c r="F888" s="195"/>
      <c r="G888" s="195"/>
    </row>
    <row r="889">
      <c r="A889" s="195"/>
      <c r="B889" s="129"/>
      <c r="C889" s="195"/>
      <c r="D889" s="195"/>
      <c r="E889" s="129"/>
      <c r="F889" s="195"/>
      <c r="G889" s="195"/>
    </row>
    <row r="890">
      <c r="A890" s="195"/>
      <c r="B890" s="129"/>
      <c r="C890" s="195"/>
      <c r="D890" s="195"/>
      <c r="E890" s="129"/>
      <c r="F890" s="195"/>
      <c r="G890" s="195"/>
    </row>
    <row r="891">
      <c r="A891" s="195"/>
      <c r="B891" s="129"/>
      <c r="C891" s="195"/>
      <c r="D891" s="195"/>
      <c r="E891" s="129"/>
      <c r="F891" s="195"/>
      <c r="G891" s="195"/>
    </row>
    <row r="892">
      <c r="A892" s="195"/>
      <c r="B892" s="129"/>
      <c r="C892" s="195"/>
      <c r="D892" s="195"/>
      <c r="E892" s="129"/>
      <c r="F892" s="195"/>
      <c r="G892" s="195"/>
    </row>
    <row r="893">
      <c r="A893" s="195"/>
      <c r="B893" s="129"/>
      <c r="C893" s="195"/>
      <c r="D893" s="195"/>
      <c r="E893" s="129"/>
      <c r="F893" s="195"/>
      <c r="G893" s="195"/>
    </row>
    <row r="894">
      <c r="A894" s="195"/>
      <c r="B894" s="129"/>
      <c r="C894" s="195"/>
      <c r="D894" s="195"/>
      <c r="E894" s="129"/>
      <c r="F894" s="195"/>
      <c r="G894" s="195"/>
    </row>
    <row r="895">
      <c r="A895" s="195"/>
      <c r="B895" s="129"/>
      <c r="C895" s="195"/>
      <c r="D895" s="195"/>
      <c r="E895" s="129"/>
      <c r="F895" s="195"/>
      <c r="G895" s="195"/>
    </row>
    <row r="896">
      <c r="A896" s="195"/>
      <c r="B896" s="129"/>
      <c r="C896" s="195"/>
      <c r="D896" s="195"/>
      <c r="E896" s="129"/>
      <c r="F896" s="195"/>
      <c r="G896" s="195"/>
    </row>
    <row r="897">
      <c r="A897" s="195"/>
      <c r="B897" s="129"/>
      <c r="C897" s="195"/>
      <c r="D897" s="195"/>
      <c r="E897" s="129"/>
      <c r="F897" s="195"/>
      <c r="G897" s="195"/>
    </row>
    <row r="898">
      <c r="A898" s="195"/>
      <c r="B898" s="129"/>
      <c r="C898" s="195"/>
      <c r="D898" s="195"/>
      <c r="E898" s="129"/>
      <c r="F898" s="195"/>
      <c r="G898" s="195"/>
    </row>
    <row r="899">
      <c r="A899" s="195"/>
      <c r="B899" s="129"/>
      <c r="C899" s="195"/>
      <c r="D899" s="195"/>
      <c r="E899" s="129"/>
      <c r="F899" s="195"/>
      <c r="G899" s="195"/>
    </row>
    <row r="900">
      <c r="A900" s="195"/>
      <c r="B900" s="129"/>
      <c r="C900" s="195"/>
      <c r="D900" s="195"/>
      <c r="E900" s="129"/>
      <c r="F900" s="195"/>
      <c r="G900" s="195"/>
    </row>
    <row r="901">
      <c r="A901" s="195"/>
      <c r="B901" s="129"/>
      <c r="C901" s="195"/>
      <c r="D901" s="195"/>
      <c r="E901" s="129"/>
      <c r="F901" s="195"/>
      <c r="G901" s="195"/>
    </row>
    <row r="902">
      <c r="A902" s="195"/>
      <c r="B902" s="129"/>
      <c r="C902" s="195"/>
      <c r="D902" s="195"/>
      <c r="E902" s="129"/>
      <c r="F902" s="195"/>
      <c r="G902" s="195"/>
    </row>
    <row r="903">
      <c r="A903" s="195"/>
      <c r="B903" s="129"/>
      <c r="C903" s="195"/>
      <c r="D903" s="195"/>
      <c r="E903" s="129"/>
      <c r="F903" s="195"/>
      <c r="G903" s="195"/>
    </row>
    <row r="904">
      <c r="A904" s="195"/>
      <c r="B904" s="129"/>
      <c r="C904" s="195"/>
      <c r="D904" s="195"/>
      <c r="E904" s="129"/>
      <c r="F904" s="195"/>
      <c r="G904" s="195"/>
    </row>
    <row r="905">
      <c r="A905" s="195"/>
      <c r="B905" s="129"/>
      <c r="C905" s="195"/>
      <c r="D905" s="195"/>
      <c r="E905" s="129"/>
      <c r="F905" s="195"/>
      <c r="G905" s="195"/>
    </row>
    <row r="906">
      <c r="A906" s="195"/>
      <c r="B906" s="129"/>
      <c r="C906" s="195"/>
      <c r="D906" s="195"/>
      <c r="E906" s="129"/>
      <c r="F906" s="195"/>
      <c r="G906" s="195"/>
    </row>
    <row r="907">
      <c r="A907" s="195"/>
      <c r="B907" s="129"/>
      <c r="C907" s="195"/>
      <c r="D907" s="195"/>
      <c r="E907" s="129"/>
      <c r="F907" s="195"/>
      <c r="G907" s="195"/>
    </row>
    <row r="908">
      <c r="A908" s="195"/>
      <c r="B908" s="129"/>
      <c r="C908" s="195"/>
      <c r="D908" s="195"/>
      <c r="E908" s="129"/>
      <c r="F908" s="195"/>
      <c r="G908" s="195"/>
    </row>
    <row r="909">
      <c r="A909" s="195"/>
      <c r="B909" s="129"/>
      <c r="C909" s="195"/>
      <c r="D909" s="195"/>
      <c r="E909" s="129"/>
      <c r="F909" s="195"/>
      <c r="G909" s="195"/>
    </row>
    <row r="910">
      <c r="A910" s="195"/>
      <c r="B910" s="129"/>
      <c r="C910" s="195"/>
      <c r="D910" s="195"/>
      <c r="E910" s="129"/>
      <c r="F910" s="195"/>
      <c r="G910" s="195"/>
    </row>
    <row r="911">
      <c r="A911" s="195"/>
      <c r="B911" s="129"/>
      <c r="C911" s="195"/>
      <c r="D911" s="195"/>
      <c r="E911" s="129"/>
      <c r="F911" s="195"/>
      <c r="G911" s="195"/>
    </row>
    <row r="912">
      <c r="A912" s="195"/>
      <c r="B912" s="129"/>
      <c r="C912" s="195"/>
      <c r="D912" s="195"/>
      <c r="E912" s="129"/>
      <c r="F912" s="195"/>
      <c r="G912" s="195"/>
    </row>
    <row r="913">
      <c r="A913" s="195"/>
      <c r="B913" s="129"/>
      <c r="C913" s="195"/>
      <c r="D913" s="195"/>
      <c r="E913" s="129"/>
      <c r="F913" s="195"/>
      <c r="G913" s="195"/>
    </row>
    <row r="914">
      <c r="A914" s="195"/>
      <c r="B914" s="129"/>
      <c r="C914" s="195"/>
      <c r="D914" s="195"/>
      <c r="E914" s="129"/>
      <c r="F914" s="195"/>
      <c r="G914" s="195"/>
    </row>
    <row r="915">
      <c r="A915" s="195"/>
      <c r="B915" s="129"/>
      <c r="C915" s="195"/>
      <c r="D915" s="195"/>
      <c r="E915" s="129"/>
      <c r="F915" s="195"/>
      <c r="G915" s="195"/>
    </row>
    <row r="916">
      <c r="A916" s="195"/>
      <c r="B916" s="129"/>
      <c r="C916" s="195"/>
      <c r="D916" s="195"/>
      <c r="E916" s="129"/>
      <c r="F916" s="195"/>
      <c r="G916" s="195"/>
    </row>
    <row r="917">
      <c r="A917" s="195"/>
      <c r="B917" s="129"/>
      <c r="C917" s="195"/>
      <c r="D917" s="195"/>
      <c r="E917" s="129"/>
      <c r="F917" s="195"/>
      <c r="G917" s="195"/>
    </row>
    <row r="918">
      <c r="A918" s="195"/>
      <c r="B918" s="129"/>
      <c r="C918" s="195"/>
      <c r="D918" s="195"/>
      <c r="E918" s="129"/>
      <c r="F918" s="195"/>
      <c r="G918" s="195"/>
    </row>
    <row r="919">
      <c r="A919" s="195"/>
      <c r="B919" s="129"/>
      <c r="C919" s="195"/>
      <c r="D919" s="195"/>
      <c r="E919" s="129"/>
      <c r="F919" s="195"/>
      <c r="G919" s="195"/>
    </row>
    <row r="920">
      <c r="A920" s="195"/>
      <c r="B920" s="129"/>
      <c r="C920" s="195"/>
      <c r="D920" s="195"/>
      <c r="E920" s="129"/>
      <c r="F920" s="195"/>
      <c r="G920" s="195"/>
    </row>
    <row r="921">
      <c r="A921" s="195"/>
      <c r="B921" s="129"/>
      <c r="C921" s="195"/>
      <c r="D921" s="195"/>
      <c r="E921" s="129"/>
      <c r="F921" s="195"/>
      <c r="G921" s="195"/>
    </row>
    <row r="922">
      <c r="A922" s="195"/>
      <c r="B922" s="129"/>
      <c r="C922" s="195"/>
      <c r="D922" s="195"/>
      <c r="E922" s="129"/>
      <c r="F922" s="195"/>
      <c r="G922" s="195"/>
    </row>
    <row r="923">
      <c r="A923" s="195"/>
      <c r="B923" s="129"/>
      <c r="C923" s="195"/>
      <c r="D923" s="195"/>
      <c r="E923" s="129"/>
      <c r="F923" s="195"/>
      <c r="G923" s="195"/>
    </row>
    <row r="924">
      <c r="A924" s="195"/>
      <c r="B924" s="129"/>
      <c r="C924" s="195"/>
      <c r="D924" s="195"/>
      <c r="E924" s="129"/>
      <c r="F924" s="195"/>
      <c r="G924" s="195"/>
    </row>
    <row r="925">
      <c r="A925" s="195"/>
      <c r="B925" s="129"/>
      <c r="C925" s="195"/>
      <c r="D925" s="195"/>
      <c r="E925" s="129"/>
      <c r="F925" s="195"/>
      <c r="G925" s="195"/>
    </row>
    <row r="926">
      <c r="A926" s="195"/>
      <c r="B926" s="129"/>
      <c r="C926" s="195"/>
      <c r="D926" s="195"/>
      <c r="E926" s="129"/>
      <c r="F926" s="195"/>
      <c r="G926" s="195"/>
    </row>
    <row r="927">
      <c r="A927" s="195"/>
      <c r="B927" s="129"/>
      <c r="C927" s="195"/>
      <c r="D927" s="195"/>
      <c r="E927" s="129"/>
      <c r="F927" s="195"/>
      <c r="G927" s="195"/>
    </row>
    <row r="928">
      <c r="A928" s="195"/>
      <c r="B928" s="129"/>
      <c r="C928" s="195"/>
      <c r="D928" s="195"/>
      <c r="E928" s="129"/>
      <c r="F928" s="195"/>
      <c r="G928" s="195"/>
    </row>
    <row r="929">
      <c r="A929" s="195"/>
      <c r="B929" s="129"/>
      <c r="C929" s="195"/>
      <c r="D929" s="195"/>
      <c r="E929" s="129"/>
      <c r="F929" s="195"/>
      <c r="G929" s="195"/>
    </row>
    <row r="930">
      <c r="A930" s="195"/>
      <c r="B930" s="129"/>
      <c r="C930" s="195"/>
      <c r="D930" s="195"/>
      <c r="E930" s="129"/>
      <c r="F930" s="195"/>
      <c r="G930" s="195"/>
    </row>
    <row r="931">
      <c r="A931" s="195"/>
      <c r="B931" s="129"/>
      <c r="C931" s="195"/>
      <c r="D931" s="195"/>
      <c r="E931" s="129"/>
      <c r="F931" s="195"/>
      <c r="G931" s="195"/>
    </row>
    <row r="932">
      <c r="A932" s="195"/>
      <c r="B932" s="129"/>
      <c r="C932" s="195"/>
      <c r="D932" s="195"/>
      <c r="E932" s="129"/>
      <c r="F932" s="195"/>
      <c r="G932" s="195"/>
    </row>
    <row r="933">
      <c r="A933" s="195"/>
      <c r="B933" s="129"/>
      <c r="C933" s="195"/>
      <c r="D933" s="195"/>
      <c r="E933" s="129"/>
      <c r="F933" s="195"/>
      <c r="G933" s="195"/>
    </row>
    <row r="934">
      <c r="A934" s="195"/>
      <c r="B934" s="129"/>
      <c r="C934" s="195"/>
      <c r="D934" s="195"/>
      <c r="E934" s="129"/>
      <c r="F934" s="195"/>
      <c r="G934" s="195"/>
    </row>
    <row r="935">
      <c r="A935" s="195"/>
      <c r="B935" s="129"/>
      <c r="C935" s="195"/>
      <c r="D935" s="195"/>
      <c r="E935" s="129"/>
      <c r="F935" s="195"/>
      <c r="G935" s="195"/>
    </row>
    <row r="936">
      <c r="A936" s="195"/>
      <c r="B936" s="129"/>
      <c r="C936" s="195"/>
      <c r="D936" s="195"/>
      <c r="E936" s="129"/>
      <c r="F936" s="195"/>
      <c r="G936" s="195"/>
    </row>
    <row r="937">
      <c r="A937" s="195"/>
      <c r="B937" s="129"/>
      <c r="C937" s="195"/>
      <c r="D937" s="195"/>
      <c r="E937" s="129"/>
      <c r="F937" s="195"/>
      <c r="G937" s="195"/>
    </row>
    <row r="938">
      <c r="A938" s="195"/>
      <c r="B938" s="129"/>
      <c r="C938" s="195"/>
      <c r="D938" s="195"/>
      <c r="E938" s="129"/>
      <c r="F938" s="195"/>
      <c r="G938" s="195"/>
    </row>
    <row r="939">
      <c r="A939" s="195"/>
      <c r="B939" s="129"/>
      <c r="C939" s="195"/>
      <c r="D939" s="195"/>
      <c r="E939" s="129"/>
      <c r="F939" s="195"/>
      <c r="G939" s="195"/>
    </row>
    <row r="940">
      <c r="A940" s="195"/>
      <c r="B940" s="129"/>
      <c r="C940" s="195"/>
      <c r="D940" s="195"/>
      <c r="E940" s="129"/>
      <c r="F940" s="195"/>
      <c r="G940" s="195"/>
    </row>
    <row r="941">
      <c r="A941" s="195"/>
      <c r="B941" s="129"/>
      <c r="C941" s="195"/>
      <c r="D941" s="195"/>
      <c r="E941" s="129"/>
      <c r="F941" s="195"/>
      <c r="G941" s="195"/>
    </row>
    <row r="942">
      <c r="A942" s="195"/>
      <c r="B942" s="129"/>
      <c r="C942" s="195"/>
      <c r="D942" s="195"/>
      <c r="E942" s="129"/>
      <c r="F942" s="195"/>
      <c r="G942" s="195"/>
    </row>
    <row r="943">
      <c r="A943" s="195"/>
      <c r="B943" s="129"/>
      <c r="C943" s="195"/>
      <c r="D943" s="195"/>
      <c r="E943" s="129"/>
      <c r="F943" s="195"/>
      <c r="G943" s="195"/>
    </row>
    <row r="944">
      <c r="A944" s="195"/>
      <c r="B944" s="129"/>
      <c r="C944" s="195"/>
      <c r="D944" s="195"/>
      <c r="E944" s="129"/>
      <c r="F944" s="195"/>
      <c r="G944" s="195"/>
    </row>
    <row r="945">
      <c r="A945" s="195"/>
      <c r="B945" s="129"/>
      <c r="C945" s="195"/>
      <c r="D945" s="195"/>
      <c r="E945" s="129"/>
      <c r="F945" s="195"/>
      <c r="G945" s="195"/>
    </row>
    <row r="946">
      <c r="A946" s="195"/>
      <c r="B946" s="129"/>
      <c r="C946" s="195"/>
      <c r="D946" s="195"/>
      <c r="E946" s="129"/>
      <c r="F946" s="195"/>
      <c r="G946" s="195"/>
    </row>
    <row r="947">
      <c r="A947" s="195"/>
      <c r="B947" s="129"/>
      <c r="C947" s="195"/>
      <c r="D947" s="195"/>
      <c r="E947" s="129"/>
      <c r="F947" s="195"/>
      <c r="G947" s="195"/>
    </row>
    <row r="948">
      <c r="A948" s="195"/>
      <c r="B948" s="129"/>
      <c r="C948" s="195"/>
      <c r="D948" s="195"/>
      <c r="E948" s="129"/>
      <c r="F948" s="195"/>
      <c r="G948" s="195"/>
    </row>
    <row r="949">
      <c r="A949" s="195"/>
      <c r="B949" s="129"/>
      <c r="C949" s="195"/>
      <c r="D949" s="195"/>
      <c r="E949" s="129"/>
      <c r="F949" s="195"/>
      <c r="G949" s="195"/>
    </row>
    <row r="950">
      <c r="A950" s="195"/>
      <c r="B950" s="129"/>
      <c r="C950" s="195"/>
      <c r="D950" s="195"/>
      <c r="E950" s="129"/>
      <c r="F950" s="195"/>
      <c r="G950" s="195"/>
    </row>
    <row r="951">
      <c r="A951" s="195"/>
      <c r="B951" s="129"/>
      <c r="C951" s="195"/>
      <c r="D951" s="195"/>
      <c r="E951" s="129"/>
      <c r="F951" s="195"/>
      <c r="G951" s="195"/>
    </row>
    <row r="952">
      <c r="A952" s="195"/>
      <c r="B952" s="129"/>
      <c r="C952" s="195"/>
      <c r="D952" s="195"/>
      <c r="E952" s="129"/>
      <c r="F952" s="195"/>
      <c r="G952" s="195"/>
    </row>
    <row r="953">
      <c r="A953" s="195"/>
      <c r="B953" s="129"/>
      <c r="C953" s="195"/>
      <c r="D953" s="195"/>
      <c r="E953" s="129"/>
      <c r="F953" s="195"/>
      <c r="G953" s="195"/>
    </row>
    <row r="954">
      <c r="A954" s="195"/>
      <c r="B954" s="129"/>
      <c r="C954" s="195"/>
      <c r="D954" s="195"/>
      <c r="E954" s="129"/>
      <c r="F954" s="195"/>
      <c r="G954" s="195"/>
    </row>
    <row r="955">
      <c r="A955" s="195"/>
      <c r="B955" s="129"/>
      <c r="C955" s="195"/>
      <c r="D955" s="195"/>
      <c r="E955" s="129"/>
      <c r="F955" s="195"/>
      <c r="G955" s="195"/>
    </row>
    <row r="956">
      <c r="A956" s="195"/>
      <c r="B956" s="129"/>
      <c r="C956" s="195"/>
      <c r="D956" s="195"/>
      <c r="E956" s="129"/>
      <c r="F956" s="195"/>
      <c r="G956" s="195"/>
    </row>
    <row r="957">
      <c r="A957" s="195"/>
      <c r="B957" s="129"/>
      <c r="C957" s="195"/>
      <c r="D957" s="195"/>
      <c r="E957" s="129"/>
      <c r="F957" s="195"/>
      <c r="G957" s="195"/>
    </row>
    <row r="958">
      <c r="A958" s="195"/>
      <c r="B958" s="129"/>
      <c r="C958" s="195"/>
      <c r="D958" s="195"/>
      <c r="E958" s="129"/>
      <c r="F958" s="195"/>
      <c r="G958" s="195"/>
    </row>
    <row r="959">
      <c r="A959" s="195"/>
      <c r="B959" s="129"/>
      <c r="C959" s="195"/>
      <c r="D959" s="195"/>
      <c r="E959" s="129"/>
      <c r="F959" s="195"/>
      <c r="G959" s="195"/>
    </row>
    <row r="960">
      <c r="A960" s="195"/>
      <c r="B960" s="129"/>
      <c r="C960" s="195"/>
      <c r="D960" s="195"/>
      <c r="E960" s="129"/>
      <c r="F960" s="195"/>
      <c r="G960" s="195"/>
    </row>
    <row r="961">
      <c r="A961" s="195"/>
      <c r="B961" s="129"/>
      <c r="C961" s="195"/>
      <c r="D961" s="195"/>
      <c r="E961" s="129"/>
      <c r="F961" s="195"/>
      <c r="G961" s="195"/>
    </row>
    <row r="962">
      <c r="A962" s="195"/>
      <c r="B962" s="129"/>
      <c r="C962" s="195"/>
      <c r="D962" s="195"/>
      <c r="E962" s="129"/>
      <c r="F962" s="195"/>
      <c r="G962" s="195"/>
    </row>
    <row r="963">
      <c r="A963" s="195"/>
      <c r="B963" s="129"/>
      <c r="C963" s="195"/>
      <c r="D963" s="195"/>
      <c r="E963" s="129"/>
      <c r="F963" s="195"/>
      <c r="G963" s="195"/>
    </row>
    <row r="964">
      <c r="A964" s="195"/>
      <c r="B964" s="129"/>
      <c r="C964" s="195"/>
      <c r="D964" s="195"/>
      <c r="E964" s="129"/>
      <c r="F964" s="195"/>
      <c r="G964" s="195"/>
    </row>
    <row r="965">
      <c r="A965" s="195"/>
      <c r="B965" s="129"/>
      <c r="C965" s="195"/>
      <c r="D965" s="195"/>
      <c r="E965" s="129"/>
      <c r="F965" s="195"/>
      <c r="G965" s="195"/>
    </row>
    <row r="966">
      <c r="A966" s="195"/>
      <c r="B966" s="129"/>
      <c r="C966" s="195"/>
      <c r="D966" s="195"/>
      <c r="E966" s="129"/>
      <c r="F966" s="195"/>
      <c r="G966" s="195"/>
    </row>
    <row r="967">
      <c r="A967" s="195"/>
      <c r="B967" s="129"/>
      <c r="C967" s="195"/>
      <c r="D967" s="195"/>
      <c r="E967" s="129"/>
      <c r="F967" s="195"/>
      <c r="G967" s="195"/>
    </row>
    <row r="968">
      <c r="A968" s="195"/>
      <c r="B968" s="129"/>
      <c r="C968" s="195"/>
      <c r="D968" s="195"/>
      <c r="E968" s="129"/>
      <c r="F968" s="195"/>
      <c r="G968" s="195"/>
    </row>
    <row r="969">
      <c r="A969" s="195"/>
      <c r="B969" s="129"/>
      <c r="C969" s="195"/>
      <c r="D969" s="195"/>
      <c r="E969" s="129"/>
      <c r="F969" s="195"/>
      <c r="G969" s="195"/>
    </row>
    <row r="970">
      <c r="A970" s="195"/>
      <c r="B970" s="129"/>
      <c r="C970" s="195"/>
      <c r="D970" s="195"/>
      <c r="E970" s="129"/>
      <c r="F970" s="195"/>
      <c r="G970" s="195"/>
    </row>
    <row r="971">
      <c r="A971" s="195"/>
      <c r="B971" s="129"/>
      <c r="C971" s="195"/>
      <c r="D971" s="195"/>
      <c r="E971" s="129"/>
      <c r="F971" s="195"/>
      <c r="G971" s="195"/>
    </row>
    <row r="972">
      <c r="A972" s="195"/>
      <c r="B972" s="129"/>
      <c r="C972" s="195"/>
      <c r="D972" s="195"/>
      <c r="E972" s="129"/>
      <c r="F972" s="195"/>
      <c r="G972" s="195"/>
    </row>
    <row r="973">
      <c r="A973" s="195"/>
      <c r="B973" s="129"/>
      <c r="C973" s="195"/>
      <c r="D973" s="195"/>
      <c r="E973" s="129"/>
      <c r="F973" s="195"/>
      <c r="G973" s="195"/>
    </row>
    <row r="974">
      <c r="A974" s="195"/>
      <c r="B974" s="129"/>
      <c r="C974" s="195"/>
      <c r="D974" s="195"/>
      <c r="E974" s="129"/>
      <c r="F974" s="195"/>
      <c r="G974" s="195"/>
    </row>
    <row r="975">
      <c r="A975" s="195"/>
      <c r="B975" s="129"/>
      <c r="C975" s="195"/>
      <c r="D975" s="195"/>
      <c r="E975" s="129"/>
      <c r="F975" s="195"/>
      <c r="G975" s="195"/>
    </row>
    <row r="976">
      <c r="A976" s="195"/>
      <c r="B976" s="129"/>
      <c r="C976" s="195"/>
      <c r="D976" s="195"/>
      <c r="E976" s="129"/>
      <c r="F976" s="195"/>
      <c r="G976" s="195"/>
    </row>
    <row r="977">
      <c r="A977" s="195"/>
      <c r="B977" s="129"/>
      <c r="C977" s="195"/>
      <c r="D977" s="195"/>
      <c r="E977" s="129"/>
      <c r="F977" s="195"/>
      <c r="G977" s="195"/>
    </row>
    <row r="978">
      <c r="A978" s="195"/>
      <c r="B978" s="129"/>
      <c r="C978" s="195"/>
      <c r="D978" s="195"/>
      <c r="E978" s="129"/>
      <c r="F978" s="195"/>
      <c r="G978" s="195"/>
    </row>
    <row r="979">
      <c r="A979" s="195"/>
      <c r="B979" s="129"/>
      <c r="C979" s="195"/>
      <c r="D979" s="195"/>
      <c r="E979" s="129"/>
      <c r="F979" s="195"/>
      <c r="G979" s="195"/>
    </row>
    <row r="980">
      <c r="A980" s="195"/>
      <c r="B980" s="129"/>
      <c r="C980" s="195"/>
      <c r="D980" s="195"/>
      <c r="E980" s="129"/>
      <c r="F980" s="195"/>
      <c r="G980" s="195"/>
    </row>
    <row r="981">
      <c r="A981" s="195"/>
      <c r="B981" s="129"/>
      <c r="C981" s="195"/>
      <c r="D981" s="195"/>
      <c r="E981" s="129"/>
      <c r="F981" s="195"/>
      <c r="G981" s="195"/>
    </row>
    <row r="982">
      <c r="A982" s="195"/>
      <c r="B982" s="129"/>
      <c r="C982" s="195"/>
      <c r="D982" s="195"/>
      <c r="E982" s="129"/>
      <c r="F982" s="195"/>
      <c r="G982" s="195"/>
    </row>
    <row r="983">
      <c r="A983" s="195"/>
      <c r="B983" s="129"/>
      <c r="C983" s="195"/>
      <c r="D983" s="195"/>
      <c r="E983" s="129"/>
      <c r="F983" s="195"/>
      <c r="G983" s="195"/>
    </row>
    <row r="984">
      <c r="A984" s="195"/>
      <c r="B984" s="129"/>
      <c r="C984" s="195"/>
      <c r="D984" s="195"/>
      <c r="E984" s="129"/>
      <c r="F984" s="195"/>
      <c r="G984" s="195"/>
    </row>
    <row r="985">
      <c r="A985" s="195"/>
      <c r="B985" s="129"/>
      <c r="C985" s="195"/>
      <c r="D985" s="195"/>
      <c r="E985" s="129"/>
      <c r="F985" s="195"/>
      <c r="G985" s="195"/>
    </row>
    <row r="986">
      <c r="A986" s="195"/>
      <c r="B986" s="129"/>
      <c r="C986" s="195"/>
      <c r="D986" s="195"/>
      <c r="E986" s="129"/>
      <c r="F986" s="195"/>
      <c r="G986" s="195"/>
    </row>
    <row r="987">
      <c r="A987" s="195"/>
      <c r="B987" s="129"/>
      <c r="C987" s="195"/>
      <c r="D987" s="195"/>
      <c r="E987" s="129"/>
      <c r="F987" s="195"/>
      <c r="G987" s="195"/>
    </row>
    <row r="988">
      <c r="A988" s="195"/>
      <c r="B988" s="129"/>
      <c r="C988" s="195"/>
      <c r="D988" s="195"/>
      <c r="E988" s="129"/>
      <c r="F988" s="195"/>
      <c r="G988" s="195"/>
    </row>
    <row r="989">
      <c r="A989" s="195"/>
      <c r="B989" s="129"/>
      <c r="C989" s="195"/>
      <c r="D989" s="195"/>
      <c r="E989" s="129"/>
      <c r="F989" s="195"/>
      <c r="G989" s="195"/>
    </row>
    <row r="990">
      <c r="A990" s="195"/>
      <c r="B990" s="129"/>
      <c r="C990" s="195"/>
      <c r="D990" s="195"/>
      <c r="E990" s="129"/>
      <c r="F990" s="195"/>
      <c r="G990" s="195"/>
    </row>
    <row r="991">
      <c r="A991" s="195"/>
      <c r="B991" s="129"/>
      <c r="C991" s="195"/>
      <c r="D991" s="195"/>
      <c r="E991" s="129"/>
      <c r="F991" s="195"/>
      <c r="G991" s="195"/>
    </row>
    <row r="992">
      <c r="A992" s="195"/>
      <c r="B992" s="129"/>
      <c r="C992" s="195"/>
      <c r="D992" s="195"/>
      <c r="E992" s="129"/>
      <c r="F992" s="195"/>
      <c r="G992" s="195"/>
    </row>
    <row r="993">
      <c r="A993" s="195"/>
      <c r="B993" s="129"/>
      <c r="C993" s="195"/>
      <c r="D993" s="195"/>
      <c r="E993" s="129"/>
      <c r="F993" s="195"/>
      <c r="G993" s="195"/>
    </row>
    <row r="994">
      <c r="A994" s="195"/>
      <c r="B994" s="129"/>
      <c r="C994" s="195"/>
      <c r="D994" s="195"/>
      <c r="E994" s="129"/>
      <c r="F994" s="195"/>
      <c r="G994" s="195"/>
    </row>
    <row r="995">
      <c r="A995" s="195"/>
      <c r="B995" s="129"/>
      <c r="C995" s="195"/>
      <c r="D995" s="195"/>
      <c r="E995" s="129"/>
      <c r="F995" s="195"/>
      <c r="G995" s="195"/>
    </row>
    <row r="996">
      <c r="A996" s="195"/>
      <c r="B996" s="129"/>
      <c r="C996" s="195"/>
      <c r="D996" s="195"/>
      <c r="E996" s="129"/>
      <c r="F996" s="195"/>
      <c r="G996" s="195"/>
    </row>
    <row r="997">
      <c r="A997" s="195"/>
      <c r="B997" s="129"/>
      <c r="C997" s="195"/>
      <c r="D997" s="195"/>
      <c r="E997" s="129"/>
      <c r="F997" s="195"/>
      <c r="G997" s="195"/>
    </row>
    <row r="998">
      <c r="A998" s="195"/>
      <c r="B998" s="129"/>
      <c r="C998" s="195"/>
      <c r="D998" s="195"/>
      <c r="E998" s="129"/>
      <c r="F998" s="195"/>
      <c r="G998" s="195"/>
    </row>
    <row r="999">
      <c r="A999" s="195"/>
      <c r="B999" s="129"/>
      <c r="C999" s="195"/>
      <c r="D999" s="195"/>
      <c r="E999" s="129"/>
      <c r="F999" s="195"/>
      <c r="G999" s="195"/>
    </row>
    <row r="1000">
      <c r="A1000" s="195"/>
      <c r="B1000" s="129"/>
      <c r="C1000" s="195"/>
      <c r="D1000" s="195"/>
      <c r="E1000" s="129"/>
      <c r="F1000" s="195"/>
      <c r="G1000" s="195"/>
    </row>
    <row r="1001">
      <c r="A1001" s="195"/>
      <c r="B1001" s="129"/>
      <c r="C1001" s="195"/>
      <c r="D1001" s="195"/>
      <c r="E1001" s="129"/>
      <c r="F1001" s="195"/>
      <c r="G1001" s="195"/>
    </row>
    <row r="1002">
      <c r="A1002" s="195"/>
      <c r="B1002" s="129"/>
      <c r="C1002" s="195"/>
      <c r="D1002" s="195"/>
      <c r="E1002" s="129"/>
      <c r="F1002" s="195"/>
      <c r="G1002" s="195"/>
    </row>
    <row r="1003">
      <c r="A1003" s="195"/>
      <c r="B1003" s="129"/>
      <c r="C1003" s="195"/>
      <c r="D1003" s="195"/>
      <c r="E1003" s="129"/>
      <c r="F1003" s="195"/>
      <c r="G1003" s="195"/>
    </row>
    <row r="1004">
      <c r="A1004" s="195"/>
      <c r="B1004" s="129"/>
      <c r="C1004" s="195"/>
      <c r="D1004" s="195"/>
      <c r="E1004" s="129"/>
      <c r="F1004" s="195"/>
      <c r="G1004" s="195"/>
    </row>
    <row r="1005">
      <c r="A1005" s="195"/>
      <c r="B1005" s="129"/>
      <c r="C1005" s="195"/>
      <c r="D1005" s="195"/>
      <c r="E1005" s="129"/>
      <c r="F1005" s="195"/>
      <c r="G1005" s="195"/>
    </row>
    <row r="1006">
      <c r="A1006" s="195"/>
      <c r="B1006" s="129"/>
      <c r="C1006" s="195"/>
      <c r="D1006" s="195"/>
      <c r="E1006" s="129"/>
      <c r="F1006" s="195"/>
      <c r="G1006" s="195"/>
    </row>
    <row r="1007">
      <c r="A1007" s="195"/>
      <c r="B1007" s="129"/>
      <c r="C1007" s="195"/>
      <c r="D1007" s="195"/>
      <c r="E1007" s="129"/>
      <c r="F1007" s="195"/>
      <c r="G1007" s="195"/>
    </row>
    <row r="1008">
      <c r="A1008" s="195"/>
      <c r="B1008" s="129"/>
      <c r="C1008" s="195"/>
      <c r="D1008" s="195"/>
      <c r="E1008" s="129"/>
      <c r="F1008" s="195"/>
      <c r="G1008" s="195"/>
    </row>
    <row r="1009">
      <c r="A1009" s="195"/>
      <c r="B1009" s="129"/>
      <c r="C1009" s="195"/>
      <c r="D1009" s="195"/>
      <c r="E1009" s="129"/>
      <c r="F1009" s="195"/>
      <c r="G1009" s="195"/>
    </row>
    <row r="1010">
      <c r="A1010" s="195"/>
      <c r="B1010" s="129"/>
      <c r="C1010" s="195"/>
      <c r="D1010" s="195"/>
      <c r="E1010" s="129"/>
      <c r="F1010" s="195"/>
      <c r="G1010" s="195"/>
    </row>
    <row r="1011">
      <c r="A1011" s="195"/>
      <c r="B1011" s="129"/>
      <c r="C1011" s="195"/>
      <c r="D1011" s="195"/>
      <c r="E1011" s="129"/>
      <c r="F1011" s="195"/>
      <c r="G1011" s="195"/>
    </row>
    <row r="1012">
      <c r="A1012" s="195"/>
      <c r="B1012" s="129"/>
      <c r="C1012" s="195"/>
      <c r="D1012" s="195"/>
      <c r="E1012" s="129"/>
      <c r="F1012" s="195"/>
      <c r="G1012" s="195"/>
    </row>
    <row r="1013">
      <c r="A1013" s="195"/>
      <c r="B1013" s="129"/>
      <c r="C1013" s="195"/>
      <c r="D1013" s="195"/>
      <c r="E1013" s="129"/>
      <c r="F1013" s="195"/>
      <c r="G1013" s="195"/>
    </row>
    <row r="1014">
      <c r="A1014" s="195"/>
      <c r="B1014" s="129"/>
      <c r="C1014" s="195"/>
      <c r="D1014" s="195"/>
      <c r="E1014" s="129"/>
      <c r="F1014" s="195"/>
      <c r="G1014" s="195"/>
    </row>
    <row r="1015">
      <c r="A1015" s="195"/>
      <c r="B1015" s="129"/>
      <c r="C1015" s="195"/>
      <c r="D1015" s="195"/>
      <c r="E1015" s="129"/>
      <c r="F1015" s="195"/>
      <c r="G1015" s="195"/>
    </row>
    <row r="1016">
      <c r="A1016" s="195"/>
      <c r="B1016" s="129"/>
      <c r="C1016" s="195"/>
      <c r="D1016" s="195"/>
      <c r="E1016" s="129"/>
      <c r="F1016" s="195"/>
      <c r="G1016" s="195"/>
    </row>
    <row r="1017">
      <c r="A1017" s="195"/>
      <c r="B1017" s="129"/>
      <c r="C1017" s="195"/>
      <c r="D1017" s="195"/>
      <c r="E1017" s="129"/>
      <c r="F1017" s="195"/>
      <c r="G1017" s="195"/>
    </row>
    <row r="1018">
      <c r="A1018" s="195"/>
      <c r="B1018" s="129"/>
      <c r="C1018" s="195"/>
      <c r="D1018" s="195"/>
      <c r="E1018" s="129"/>
      <c r="F1018" s="195"/>
      <c r="G1018" s="195"/>
    </row>
    <row r="1019">
      <c r="A1019" s="195"/>
      <c r="B1019" s="129"/>
      <c r="C1019" s="195"/>
      <c r="D1019" s="195"/>
      <c r="E1019" s="129"/>
      <c r="F1019" s="195"/>
      <c r="G1019" s="195"/>
    </row>
    <row r="1020">
      <c r="A1020" s="195"/>
      <c r="B1020" s="129"/>
      <c r="C1020" s="195"/>
      <c r="D1020" s="195"/>
      <c r="E1020" s="129"/>
      <c r="F1020" s="195"/>
      <c r="G1020" s="195"/>
    </row>
    <row r="1021">
      <c r="A1021" s="195"/>
      <c r="B1021" s="129"/>
      <c r="C1021" s="195"/>
      <c r="D1021" s="195"/>
      <c r="E1021" s="129"/>
      <c r="F1021" s="195"/>
      <c r="G1021" s="195"/>
    </row>
    <row r="1022">
      <c r="A1022" s="195"/>
      <c r="B1022" s="129"/>
      <c r="C1022" s="195"/>
      <c r="D1022" s="195"/>
      <c r="E1022" s="129"/>
      <c r="F1022" s="195"/>
      <c r="G1022" s="195"/>
    </row>
    <row r="1023">
      <c r="A1023" s="195"/>
      <c r="B1023" s="129"/>
      <c r="C1023" s="195"/>
      <c r="D1023" s="195"/>
      <c r="E1023" s="129"/>
      <c r="F1023" s="195"/>
      <c r="G1023" s="195"/>
    </row>
    <row r="1024">
      <c r="A1024" s="195"/>
      <c r="B1024" s="129"/>
      <c r="C1024" s="195"/>
      <c r="D1024" s="195"/>
      <c r="E1024" s="129"/>
      <c r="F1024" s="195"/>
      <c r="G1024" s="195"/>
    </row>
    <row r="1025">
      <c r="A1025" s="195"/>
      <c r="B1025" s="129"/>
      <c r="C1025" s="195"/>
      <c r="D1025" s="195"/>
      <c r="E1025" s="129"/>
      <c r="F1025" s="195"/>
      <c r="G1025" s="195"/>
    </row>
    <row r="1026">
      <c r="A1026" s="195"/>
      <c r="B1026" s="129"/>
      <c r="C1026" s="195"/>
      <c r="D1026" s="195"/>
      <c r="E1026" s="129"/>
      <c r="F1026" s="195"/>
      <c r="G1026" s="195"/>
    </row>
    <row r="1027">
      <c r="A1027" s="195"/>
      <c r="B1027" s="129"/>
      <c r="C1027" s="195"/>
      <c r="D1027" s="195"/>
      <c r="E1027" s="129"/>
      <c r="F1027" s="195"/>
      <c r="G1027" s="195"/>
    </row>
    <row r="1028">
      <c r="A1028" s="195"/>
      <c r="B1028" s="129"/>
      <c r="C1028" s="195"/>
      <c r="D1028" s="195"/>
      <c r="E1028" s="129"/>
      <c r="F1028" s="195"/>
      <c r="G1028" s="195"/>
    </row>
    <row r="1029">
      <c r="A1029" s="195"/>
      <c r="B1029" s="129"/>
      <c r="C1029" s="195"/>
      <c r="D1029" s="195"/>
      <c r="E1029" s="129"/>
      <c r="F1029" s="195"/>
      <c r="G1029" s="195"/>
    </row>
    <row r="1030">
      <c r="A1030" s="195"/>
      <c r="B1030" s="129"/>
      <c r="C1030" s="195"/>
      <c r="D1030" s="195"/>
      <c r="E1030" s="129"/>
      <c r="F1030" s="195"/>
      <c r="G1030" s="195"/>
    </row>
    <row r="1031">
      <c r="A1031" s="195"/>
      <c r="B1031" s="129"/>
      <c r="C1031" s="195"/>
      <c r="D1031" s="195"/>
      <c r="E1031" s="129"/>
      <c r="F1031" s="195"/>
      <c r="G1031" s="195"/>
    </row>
    <row r="1032">
      <c r="A1032" s="195"/>
      <c r="B1032" s="129"/>
      <c r="C1032" s="195"/>
      <c r="D1032" s="195"/>
      <c r="E1032" s="129"/>
      <c r="F1032" s="195"/>
      <c r="G1032" s="195"/>
    </row>
    <row r="1033">
      <c r="A1033" s="195"/>
      <c r="B1033" s="129"/>
      <c r="C1033" s="195"/>
      <c r="D1033" s="195"/>
      <c r="E1033" s="129"/>
      <c r="F1033" s="195"/>
      <c r="G1033" s="195"/>
    </row>
    <row r="1034">
      <c r="A1034" s="195"/>
      <c r="B1034" s="129"/>
      <c r="C1034" s="195"/>
      <c r="D1034" s="195"/>
      <c r="E1034" s="129"/>
      <c r="F1034" s="195"/>
      <c r="G1034" s="195"/>
    </row>
    <row r="1035">
      <c r="A1035" s="195"/>
      <c r="B1035" s="129"/>
      <c r="C1035" s="195"/>
      <c r="D1035" s="195"/>
      <c r="E1035" s="129"/>
      <c r="F1035" s="195"/>
      <c r="G1035" s="195"/>
    </row>
    <row r="1036">
      <c r="A1036" s="195"/>
      <c r="B1036" s="129"/>
      <c r="C1036" s="195"/>
      <c r="D1036" s="195"/>
      <c r="E1036" s="129"/>
      <c r="F1036" s="195"/>
      <c r="G1036" s="195"/>
    </row>
    <row r="1037">
      <c r="A1037" s="195"/>
      <c r="B1037" s="129"/>
      <c r="C1037" s="195"/>
      <c r="D1037" s="195"/>
      <c r="E1037" s="129"/>
      <c r="F1037" s="195"/>
      <c r="G1037" s="195"/>
    </row>
    <row r="1038">
      <c r="A1038" s="195"/>
      <c r="B1038" s="129"/>
      <c r="C1038" s="195"/>
      <c r="D1038" s="195"/>
      <c r="E1038" s="129"/>
      <c r="F1038" s="195"/>
      <c r="G1038" s="195"/>
    </row>
    <row r="1039">
      <c r="A1039" s="195"/>
      <c r="B1039" s="129"/>
      <c r="C1039" s="195"/>
      <c r="D1039" s="195"/>
      <c r="E1039" s="129"/>
      <c r="F1039" s="195"/>
      <c r="G1039" s="195"/>
    </row>
    <row r="1040">
      <c r="A1040" s="195"/>
      <c r="B1040" s="129"/>
      <c r="C1040" s="195"/>
      <c r="D1040" s="195"/>
      <c r="E1040" s="129"/>
      <c r="F1040" s="195"/>
      <c r="G1040" s="195"/>
    </row>
    <row r="1041">
      <c r="A1041" s="195"/>
      <c r="B1041" s="129"/>
      <c r="C1041" s="195"/>
      <c r="D1041" s="195"/>
      <c r="E1041" s="129"/>
      <c r="F1041" s="195"/>
      <c r="G1041" s="195"/>
    </row>
    <row r="1042">
      <c r="A1042" s="195"/>
      <c r="B1042" s="129"/>
      <c r="C1042" s="195"/>
      <c r="D1042" s="195"/>
      <c r="E1042" s="129"/>
      <c r="F1042" s="195"/>
      <c r="G1042" s="195"/>
    </row>
    <row r="1043">
      <c r="A1043" s="195"/>
      <c r="B1043" s="129"/>
      <c r="C1043" s="195"/>
      <c r="D1043" s="195"/>
      <c r="E1043" s="129"/>
      <c r="F1043" s="195"/>
      <c r="G1043" s="195"/>
    </row>
    <row r="1044">
      <c r="A1044" s="195"/>
      <c r="B1044" s="129"/>
      <c r="C1044" s="195"/>
      <c r="D1044" s="195"/>
      <c r="E1044" s="129"/>
      <c r="F1044" s="195"/>
      <c r="G1044" s="195"/>
    </row>
    <row r="1045">
      <c r="A1045" s="195"/>
      <c r="B1045" s="129"/>
      <c r="C1045" s="195"/>
      <c r="D1045" s="195"/>
      <c r="E1045" s="129"/>
      <c r="F1045" s="195"/>
      <c r="G1045" s="195"/>
    </row>
    <row r="1046">
      <c r="A1046" s="195"/>
      <c r="B1046" s="129"/>
      <c r="C1046" s="195"/>
      <c r="D1046" s="195"/>
      <c r="E1046" s="129"/>
      <c r="F1046" s="195"/>
      <c r="G1046" s="195"/>
    </row>
    <row r="1047">
      <c r="A1047" s="195"/>
      <c r="B1047" s="129"/>
      <c r="C1047" s="195"/>
      <c r="D1047" s="195"/>
      <c r="E1047" s="129"/>
      <c r="F1047" s="195"/>
      <c r="G1047" s="195"/>
    </row>
    <row r="1048">
      <c r="A1048" s="195"/>
      <c r="B1048" s="129"/>
      <c r="C1048" s="195"/>
      <c r="D1048" s="195"/>
      <c r="E1048" s="129"/>
      <c r="F1048" s="195"/>
      <c r="G1048" s="195"/>
    </row>
    <row r="1049">
      <c r="A1049" s="195"/>
      <c r="B1049" s="129"/>
      <c r="C1049" s="195"/>
      <c r="D1049" s="195"/>
      <c r="E1049" s="129"/>
      <c r="F1049" s="195"/>
      <c r="G1049" s="195"/>
    </row>
    <row r="1050">
      <c r="A1050" s="195"/>
      <c r="B1050" s="129"/>
      <c r="C1050" s="195"/>
      <c r="D1050" s="195"/>
      <c r="E1050" s="129"/>
      <c r="F1050" s="195"/>
      <c r="G1050" s="195"/>
    </row>
    <row r="1051">
      <c r="A1051" s="195"/>
      <c r="B1051" s="129"/>
      <c r="C1051" s="195"/>
      <c r="D1051" s="195"/>
      <c r="E1051" s="129"/>
      <c r="F1051" s="195"/>
      <c r="G1051" s="195"/>
    </row>
    <row r="1052">
      <c r="A1052" s="195"/>
      <c r="B1052" s="129"/>
      <c r="C1052" s="195"/>
      <c r="D1052" s="195"/>
      <c r="E1052" s="129"/>
      <c r="F1052" s="195"/>
      <c r="G1052" s="195"/>
    </row>
    <row r="1053">
      <c r="A1053" s="195"/>
      <c r="B1053" s="129"/>
      <c r="C1053" s="195"/>
      <c r="D1053" s="195"/>
      <c r="E1053" s="129"/>
      <c r="F1053" s="195"/>
      <c r="G1053" s="195"/>
    </row>
    <row r="1054">
      <c r="A1054" s="195"/>
      <c r="B1054" s="129"/>
      <c r="C1054" s="195"/>
      <c r="D1054" s="195"/>
      <c r="E1054" s="129"/>
      <c r="F1054" s="195"/>
      <c r="G1054" s="195"/>
    </row>
    <row r="1055">
      <c r="A1055" s="195"/>
      <c r="B1055" s="129"/>
      <c r="C1055" s="195"/>
      <c r="D1055" s="195"/>
      <c r="E1055" s="129"/>
      <c r="F1055" s="195"/>
      <c r="G1055" s="195"/>
    </row>
    <row r="1056">
      <c r="A1056" s="195"/>
      <c r="B1056" s="129"/>
      <c r="C1056" s="195"/>
      <c r="D1056" s="195"/>
      <c r="E1056" s="129"/>
      <c r="F1056" s="195"/>
      <c r="G1056" s="195"/>
    </row>
    <row r="1057">
      <c r="A1057" s="195"/>
      <c r="B1057" s="129"/>
      <c r="C1057" s="195"/>
      <c r="D1057" s="195"/>
      <c r="E1057" s="129"/>
      <c r="F1057" s="195"/>
      <c r="G1057" s="195"/>
    </row>
    <row r="1058">
      <c r="A1058" s="195"/>
      <c r="B1058" s="129"/>
      <c r="C1058" s="195"/>
      <c r="D1058" s="195"/>
      <c r="E1058" s="129"/>
      <c r="F1058" s="195"/>
      <c r="G1058" s="195"/>
    </row>
    <row r="1059">
      <c r="A1059" s="195"/>
      <c r="B1059" s="129"/>
      <c r="C1059" s="195"/>
      <c r="D1059" s="195"/>
      <c r="E1059" s="129"/>
      <c r="F1059" s="195"/>
      <c r="G1059" s="195"/>
    </row>
    <row r="1060">
      <c r="A1060" s="195"/>
      <c r="B1060" s="129"/>
      <c r="C1060" s="195"/>
      <c r="D1060" s="195"/>
      <c r="E1060" s="129"/>
      <c r="F1060" s="195"/>
      <c r="G1060" s="195"/>
    </row>
    <row r="1061">
      <c r="A1061" s="195"/>
      <c r="B1061" s="129"/>
      <c r="C1061" s="195"/>
      <c r="D1061" s="195"/>
      <c r="E1061" s="129"/>
      <c r="F1061" s="195"/>
      <c r="G1061" s="195"/>
    </row>
    <row r="1062">
      <c r="A1062" s="195"/>
      <c r="B1062" s="129"/>
      <c r="C1062" s="195"/>
      <c r="D1062" s="195"/>
      <c r="E1062" s="129"/>
      <c r="F1062" s="195"/>
      <c r="G1062" s="195"/>
    </row>
    <row r="1063">
      <c r="A1063" s="195"/>
      <c r="B1063" s="129"/>
      <c r="C1063" s="195"/>
      <c r="D1063" s="195"/>
      <c r="E1063" s="129"/>
      <c r="F1063" s="195"/>
      <c r="G1063" s="195"/>
    </row>
    <row r="1064">
      <c r="A1064" s="195"/>
      <c r="B1064" s="129"/>
      <c r="C1064" s="195"/>
      <c r="D1064" s="195"/>
      <c r="E1064" s="129"/>
      <c r="F1064" s="195"/>
      <c r="G1064" s="195"/>
    </row>
    <row r="1065">
      <c r="A1065" s="195"/>
      <c r="B1065" s="129"/>
      <c r="C1065" s="195"/>
      <c r="D1065" s="195"/>
      <c r="E1065" s="129"/>
      <c r="F1065" s="195"/>
      <c r="G1065" s="195"/>
    </row>
    <row r="1066">
      <c r="A1066" s="195"/>
      <c r="B1066" s="129"/>
      <c r="C1066" s="195"/>
      <c r="D1066" s="195"/>
      <c r="E1066" s="129"/>
      <c r="F1066" s="195"/>
      <c r="G1066" s="195"/>
    </row>
    <row r="1067">
      <c r="A1067" s="195"/>
      <c r="B1067" s="129"/>
      <c r="C1067" s="195"/>
      <c r="D1067" s="195"/>
      <c r="E1067" s="129"/>
      <c r="F1067" s="195"/>
      <c r="G1067" s="195"/>
    </row>
    <row r="1068">
      <c r="A1068" s="195"/>
      <c r="B1068" s="129"/>
      <c r="C1068" s="195"/>
      <c r="D1068" s="195"/>
      <c r="E1068" s="129"/>
      <c r="F1068" s="195"/>
      <c r="G1068" s="195"/>
    </row>
    <row r="1069">
      <c r="A1069" s="195"/>
      <c r="B1069" s="129"/>
      <c r="C1069" s="195"/>
      <c r="D1069" s="195"/>
      <c r="E1069" s="129"/>
      <c r="F1069" s="195"/>
      <c r="G1069" s="195"/>
    </row>
    <row r="1070">
      <c r="A1070" s="195"/>
      <c r="B1070" s="129"/>
      <c r="C1070" s="195"/>
      <c r="D1070" s="195"/>
      <c r="E1070" s="129"/>
      <c r="F1070" s="195"/>
      <c r="G1070" s="195"/>
    </row>
    <row r="1071">
      <c r="A1071" s="195"/>
      <c r="B1071" s="129"/>
      <c r="C1071" s="195"/>
      <c r="D1071" s="195"/>
      <c r="E1071" s="129"/>
      <c r="F1071" s="195"/>
      <c r="G1071" s="195"/>
    </row>
    <row r="1072">
      <c r="A1072" s="195"/>
      <c r="B1072" s="129"/>
      <c r="C1072" s="195"/>
      <c r="D1072" s="195"/>
      <c r="E1072" s="129"/>
      <c r="F1072" s="195"/>
      <c r="G1072" s="195"/>
    </row>
    <row r="1073">
      <c r="A1073" s="195"/>
      <c r="B1073" s="129"/>
      <c r="C1073" s="195"/>
      <c r="D1073" s="195"/>
      <c r="E1073" s="129"/>
      <c r="F1073" s="195"/>
      <c r="G1073" s="195"/>
    </row>
    <row r="1074">
      <c r="A1074" s="195"/>
      <c r="B1074" s="129"/>
      <c r="C1074" s="195"/>
      <c r="D1074" s="195"/>
      <c r="E1074" s="129"/>
      <c r="F1074" s="195"/>
      <c r="G1074" s="195"/>
    </row>
    <row r="1075">
      <c r="A1075" s="195"/>
      <c r="B1075" s="129"/>
      <c r="C1075" s="195"/>
      <c r="D1075" s="195"/>
      <c r="E1075" s="129"/>
      <c r="F1075" s="195"/>
      <c r="G1075" s="195"/>
    </row>
    <row r="1076">
      <c r="A1076" s="195"/>
      <c r="B1076" s="129"/>
      <c r="C1076" s="195"/>
      <c r="D1076" s="195"/>
      <c r="E1076" s="129"/>
      <c r="F1076" s="195"/>
      <c r="G1076" s="195"/>
    </row>
    <row r="1077">
      <c r="A1077" s="195"/>
      <c r="B1077" s="129"/>
      <c r="C1077" s="195"/>
      <c r="D1077" s="195"/>
      <c r="E1077" s="129"/>
      <c r="F1077" s="195"/>
      <c r="G1077" s="195"/>
    </row>
    <row r="1078">
      <c r="A1078" s="195"/>
      <c r="B1078" s="129"/>
      <c r="C1078" s="195"/>
      <c r="D1078" s="195"/>
      <c r="E1078" s="129"/>
      <c r="F1078" s="195"/>
      <c r="G1078" s="195"/>
    </row>
    <row r="1079">
      <c r="A1079" s="195"/>
      <c r="B1079" s="129"/>
      <c r="C1079" s="195"/>
      <c r="D1079" s="195"/>
      <c r="E1079" s="129"/>
      <c r="F1079" s="195"/>
      <c r="G1079" s="195"/>
    </row>
    <row r="1080">
      <c r="A1080" s="195"/>
      <c r="B1080" s="129"/>
      <c r="C1080" s="195"/>
      <c r="D1080" s="195"/>
      <c r="E1080" s="129"/>
      <c r="F1080" s="195"/>
      <c r="G1080" s="195"/>
    </row>
    <row r="1081">
      <c r="A1081" s="195"/>
      <c r="B1081" s="129"/>
      <c r="C1081" s="195"/>
      <c r="D1081" s="195"/>
      <c r="E1081" s="129"/>
      <c r="F1081" s="195"/>
      <c r="G1081" s="195"/>
    </row>
    <row r="1082">
      <c r="A1082" s="195"/>
      <c r="B1082" s="129"/>
      <c r="C1082" s="195"/>
      <c r="D1082" s="195"/>
      <c r="E1082" s="129"/>
      <c r="F1082" s="195"/>
      <c r="G1082" s="195"/>
    </row>
    <row r="1083">
      <c r="A1083" s="195"/>
      <c r="B1083" s="129"/>
      <c r="C1083" s="195"/>
      <c r="D1083" s="195"/>
      <c r="E1083" s="129"/>
      <c r="F1083" s="195"/>
      <c r="G1083" s="195"/>
    </row>
    <row r="1084">
      <c r="A1084" s="195"/>
      <c r="B1084" s="129"/>
      <c r="C1084" s="195"/>
      <c r="D1084" s="195"/>
      <c r="E1084" s="129"/>
      <c r="F1084" s="195"/>
      <c r="G1084" s="195"/>
    </row>
    <row r="1085">
      <c r="A1085" s="195"/>
      <c r="B1085" s="129"/>
      <c r="C1085" s="195"/>
      <c r="D1085" s="195"/>
      <c r="E1085" s="129"/>
      <c r="F1085" s="195"/>
      <c r="G1085" s="195"/>
    </row>
    <row r="1086">
      <c r="A1086" s="195"/>
      <c r="B1086" s="129"/>
      <c r="C1086" s="195"/>
      <c r="D1086" s="195"/>
      <c r="E1086" s="129"/>
      <c r="F1086" s="195"/>
      <c r="G1086" s="195"/>
    </row>
    <row r="1087">
      <c r="A1087" s="195"/>
      <c r="B1087" s="129"/>
      <c r="C1087" s="195"/>
      <c r="D1087" s="195"/>
      <c r="E1087" s="129"/>
      <c r="F1087" s="195"/>
      <c r="G1087" s="195"/>
    </row>
    <row r="1088">
      <c r="A1088" s="195"/>
      <c r="B1088" s="129"/>
      <c r="C1088" s="195"/>
      <c r="D1088" s="195"/>
      <c r="E1088" s="129"/>
      <c r="F1088" s="195"/>
      <c r="G1088" s="195"/>
    </row>
    <row r="1089">
      <c r="A1089" s="195"/>
      <c r="B1089" s="129"/>
      <c r="C1089" s="195"/>
      <c r="D1089" s="195"/>
      <c r="E1089" s="129"/>
      <c r="F1089" s="195"/>
      <c r="G1089" s="195"/>
    </row>
    <row r="1090">
      <c r="A1090" s="195"/>
      <c r="B1090" s="129"/>
      <c r="C1090" s="195"/>
      <c r="D1090" s="195"/>
      <c r="E1090" s="129"/>
      <c r="F1090" s="195"/>
      <c r="G1090" s="195"/>
    </row>
    <row r="1091">
      <c r="A1091" s="195"/>
      <c r="B1091" s="129"/>
      <c r="C1091" s="195"/>
      <c r="D1091" s="195"/>
      <c r="E1091" s="129"/>
      <c r="F1091" s="195"/>
      <c r="G1091" s="195"/>
    </row>
    <row r="1092">
      <c r="A1092" s="195"/>
      <c r="B1092" s="129"/>
      <c r="C1092" s="195"/>
      <c r="D1092" s="195"/>
      <c r="E1092" s="129"/>
      <c r="F1092" s="195"/>
      <c r="G1092" s="195"/>
    </row>
    <row r="1093">
      <c r="A1093" s="195"/>
      <c r="B1093" s="129"/>
      <c r="C1093" s="195"/>
      <c r="D1093" s="195"/>
      <c r="E1093" s="129"/>
      <c r="F1093" s="195"/>
      <c r="G1093" s="195"/>
    </row>
    <row r="1094">
      <c r="A1094" s="195"/>
      <c r="B1094" s="129"/>
      <c r="C1094" s="195"/>
      <c r="D1094" s="195"/>
      <c r="E1094" s="129"/>
      <c r="F1094" s="195"/>
      <c r="G1094" s="195"/>
    </row>
    <row r="1095">
      <c r="A1095" s="195"/>
      <c r="B1095" s="129"/>
      <c r="C1095" s="195"/>
      <c r="D1095" s="195"/>
      <c r="E1095" s="129"/>
      <c r="F1095" s="195"/>
      <c r="G1095" s="195"/>
    </row>
    <row r="1096">
      <c r="A1096" s="195"/>
      <c r="B1096" s="129"/>
      <c r="C1096" s="195"/>
      <c r="D1096" s="195"/>
      <c r="E1096" s="129"/>
      <c r="F1096" s="195"/>
      <c r="G1096" s="195"/>
    </row>
    <row r="1097">
      <c r="A1097" s="195"/>
      <c r="B1097" s="129"/>
      <c r="C1097" s="195"/>
      <c r="D1097" s="195"/>
      <c r="E1097" s="129"/>
      <c r="F1097" s="195"/>
      <c r="G1097" s="195"/>
    </row>
    <row r="1098">
      <c r="A1098" s="195"/>
      <c r="B1098" s="129"/>
      <c r="C1098" s="195"/>
      <c r="D1098" s="195"/>
      <c r="E1098" s="129"/>
      <c r="F1098" s="195"/>
      <c r="G1098" s="195"/>
    </row>
    <row r="1099">
      <c r="A1099" s="195"/>
      <c r="B1099" s="129"/>
      <c r="C1099" s="195"/>
      <c r="D1099" s="195"/>
      <c r="E1099" s="129"/>
      <c r="F1099" s="195"/>
      <c r="G1099" s="195"/>
    </row>
    <row r="1100">
      <c r="A1100" s="195"/>
      <c r="B1100" s="129"/>
      <c r="C1100" s="195"/>
      <c r="D1100" s="195"/>
      <c r="E1100" s="129"/>
      <c r="F1100" s="195"/>
      <c r="G1100" s="195"/>
    </row>
    <row r="1101">
      <c r="A1101" s="195"/>
      <c r="B1101" s="129"/>
      <c r="C1101" s="195"/>
      <c r="D1101" s="195"/>
      <c r="E1101" s="129"/>
      <c r="F1101" s="195"/>
      <c r="G1101" s="195"/>
    </row>
    <row r="1102">
      <c r="A1102" s="195"/>
      <c r="B1102" s="129"/>
      <c r="C1102" s="195"/>
      <c r="D1102" s="195"/>
      <c r="E1102" s="129"/>
      <c r="F1102" s="195"/>
      <c r="G1102" s="195"/>
    </row>
    <row r="1103">
      <c r="A1103" s="195"/>
      <c r="B1103" s="129"/>
      <c r="C1103" s="195"/>
      <c r="D1103" s="195"/>
      <c r="E1103" s="129"/>
      <c r="F1103" s="195"/>
      <c r="G1103" s="195"/>
    </row>
    <row r="1104">
      <c r="A1104" s="195"/>
      <c r="B1104" s="129"/>
      <c r="C1104" s="195"/>
      <c r="D1104" s="195"/>
      <c r="E1104" s="129"/>
      <c r="F1104" s="195"/>
      <c r="G1104" s="195"/>
    </row>
    <row r="1105">
      <c r="A1105" s="195"/>
      <c r="B1105" s="129"/>
      <c r="C1105" s="195"/>
      <c r="D1105" s="195"/>
      <c r="E1105" s="129"/>
      <c r="F1105" s="195"/>
      <c r="G1105" s="195"/>
    </row>
    <row r="1106">
      <c r="A1106" s="195"/>
      <c r="B1106" s="129"/>
      <c r="C1106" s="195"/>
      <c r="D1106" s="195"/>
      <c r="E1106" s="129"/>
      <c r="F1106" s="195"/>
      <c r="G1106" s="195"/>
    </row>
    <row r="1107">
      <c r="A1107" s="195"/>
      <c r="B1107" s="129"/>
      <c r="C1107" s="195"/>
      <c r="D1107" s="195"/>
      <c r="E1107" s="129"/>
      <c r="F1107" s="195"/>
      <c r="G1107" s="195"/>
    </row>
    <row r="1108">
      <c r="A1108" s="195"/>
      <c r="B1108" s="129"/>
      <c r="C1108" s="195"/>
      <c r="D1108" s="195"/>
      <c r="E1108" s="129"/>
      <c r="F1108" s="195"/>
      <c r="G1108" s="195"/>
    </row>
    <row r="1109">
      <c r="A1109" s="195"/>
      <c r="B1109" s="129"/>
      <c r="C1109" s="195"/>
      <c r="D1109" s="195"/>
      <c r="E1109" s="129"/>
      <c r="F1109" s="195"/>
      <c r="G1109" s="195"/>
    </row>
    <row r="1110">
      <c r="A1110" s="195"/>
      <c r="B1110" s="129"/>
      <c r="C1110" s="195"/>
      <c r="D1110" s="195"/>
      <c r="E1110" s="129"/>
      <c r="F1110" s="195"/>
      <c r="G1110" s="195"/>
    </row>
    <row r="1111">
      <c r="A1111" s="195"/>
      <c r="B1111" s="129"/>
      <c r="C1111" s="195"/>
      <c r="D1111" s="195"/>
      <c r="E1111" s="129"/>
      <c r="F1111" s="195"/>
      <c r="G1111" s="195"/>
    </row>
    <row r="1112">
      <c r="A1112" s="195"/>
      <c r="B1112" s="129"/>
      <c r="C1112" s="195"/>
      <c r="D1112" s="195"/>
      <c r="E1112" s="129"/>
      <c r="F1112" s="195"/>
      <c r="G1112" s="195"/>
    </row>
    <row r="1113">
      <c r="A1113" s="195"/>
      <c r="B1113" s="129"/>
      <c r="C1113" s="195"/>
      <c r="D1113" s="195"/>
      <c r="E1113" s="129"/>
      <c r="F1113" s="195"/>
      <c r="G1113" s="195"/>
    </row>
    <row r="1114">
      <c r="A1114" s="195"/>
      <c r="B1114" s="129"/>
      <c r="C1114" s="195"/>
      <c r="D1114" s="195"/>
      <c r="E1114" s="129"/>
      <c r="F1114" s="195"/>
      <c r="G1114" s="195"/>
    </row>
    <row r="1115">
      <c r="A1115" s="195"/>
      <c r="B1115" s="129"/>
      <c r="C1115" s="195"/>
      <c r="D1115" s="195"/>
      <c r="E1115" s="129"/>
      <c r="F1115" s="195"/>
      <c r="G1115" s="195"/>
    </row>
    <row r="1116">
      <c r="A1116" s="195"/>
      <c r="B1116" s="129"/>
      <c r="C1116" s="195"/>
      <c r="D1116" s="195"/>
      <c r="E1116" s="129"/>
      <c r="F1116" s="195"/>
      <c r="G1116" s="195"/>
    </row>
    <row r="1117">
      <c r="A1117" s="195"/>
      <c r="B1117" s="129"/>
      <c r="C1117" s="195"/>
      <c r="D1117" s="195"/>
      <c r="E1117" s="129"/>
      <c r="F1117" s="195"/>
      <c r="G1117" s="195"/>
    </row>
    <row r="1118">
      <c r="A1118" s="195"/>
      <c r="B1118" s="129"/>
      <c r="C1118" s="195"/>
      <c r="D1118" s="195"/>
      <c r="E1118" s="129"/>
      <c r="F1118" s="195"/>
      <c r="G1118" s="195"/>
    </row>
    <row r="1119">
      <c r="A1119" s="195"/>
      <c r="B1119" s="129"/>
      <c r="C1119" s="195"/>
      <c r="D1119" s="195"/>
      <c r="E1119" s="129"/>
      <c r="F1119" s="195"/>
      <c r="G1119" s="195"/>
    </row>
    <row r="1120">
      <c r="A1120" s="195"/>
      <c r="B1120" s="129"/>
      <c r="C1120" s="195"/>
      <c r="D1120" s="195"/>
      <c r="E1120" s="129"/>
      <c r="F1120" s="195"/>
      <c r="G1120" s="195"/>
    </row>
    <row r="1121">
      <c r="A1121" s="195"/>
      <c r="B1121" s="129"/>
      <c r="C1121" s="195"/>
      <c r="D1121" s="195"/>
      <c r="E1121" s="129"/>
      <c r="F1121" s="195"/>
      <c r="G1121" s="195"/>
    </row>
    <row r="1122">
      <c r="A1122" s="195"/>
      <c r="B1122" s="129"/>
      <c r="C1122" s="195"/>
      <c r="D1122" s="195"/>
      <c r="E1122" s="129"/>
      <c r="F1122" s="195"/>
      <c r="G1122" s="195"/>
    </row>
  </sheetData>
  <mergeCells count="8">
    <mergeCell ref="A1:A2"/>
    <mergeCell ref="B1:G1"/>
    <mergeCell ref="AN1:AN2"/>
    <mergeCell ref="AO1:AT1"/>
    <mergeCell ref="AV1:AV2"/>
    <mergeCell ref="AW1:BB1"/>
    <mergeCell ref="BD1:BD2"/>
    <mergeCell ref="BE1:BJ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2" max="2" width="14.0"/>
    <col customWidth="1" min="3" max="3" width="14.88"/>
  </cols>
  <sheetData>
    <row r="1">
      <c r="A1" s="260" t="s">
        <v>201</v>
      </c>
      <c r="B1" s="261" t="s">
        <v>133</v>
      </c>
      <c r="C1" s="262" t="s">
        <v>202</v>
      </c>
    </row>
    <row r="2">
      <c r="A2" s="199" t="str">
        <f t="array" ref="A2:B894">SORT('Статистика игроков'!A5:B1000,2,FALSE)</f>
        <v>Админ</v>
      </c>
      <c r="B2" s="129">
        <v>21.0</v>
      </c>
      <c r="C2" s="263">
        <f t="shared" ref="C2:C178" si="1">IF(B2/7=0,"",B2/7)</f>
        <v>3</v>
      </c>
    </row>
    <row r="3">
      <c r="A3" s="195" t="s">
        <v>48</v>
      </c>
      <c r="B3" s="129">
        <v>21.0</v>
      </c>
      <c r="C3" s="263">
        <f t="shared" si="1"/>
        <v>3</v>
      </c>
    </row>
    <row r="4">
      <c r="A4" s="264" t="s">
        <v>45</v>
      </c>
      <c r="B4" s="265">
        <v>21.0</v>
      </c>
      <c r="C4" s="266">
        <f t="shared" si="1"/>
        <v>3</v>
      </c>
    </row>
    <row r="5">
      <c r="A5" s="195" t="s">
        <v>43</v>
      </c>
      <c r="B5" s="129">
        <v>21.0</v>
      </c>
      <c r="C5" s="263">
        <f t="shared" si="1"/>
        <v>3</v>
      </c>
    </row>
    <row r="6">
      <c r="A6" s="195" t="s">
        <v>69</v>
      </c>
      <c r="B6" s="129">
        <v>14.0</v>
      </c>
      <c r="C6" s="263">
        <f t="shared" si="1"/>
        <v>2</v>
      </c>
    </row>
    <row r="7">
      <c r="A7" s="195" t="s">
        <v>68</v>
      </c>
      <c r="B7" s="129">
        <v>14.0</v>
      </c>
      <c r="C7" s="263">
        <f t="shared" si="1"/>
        <v>2</v>
      </c>
    </row>
    <row r="8">
      <c r="A8" s="195" t="s">
        <v>52</v>
      </c>
      <c r="B8" s="129">
        <v>7.0</v>
      </c>
      <c r="C8" s="263">
        <f t="shared" si="1"/>
        <v>1</v>
      </c>
    </row>
    <row r="9">
      <c r="A9" s="195" t="s">
        <v>77</v>
      </c>
      <c r="B9" s="129">
        <v>7.0</v>
      </c>
      <c r="C9" s="263">
        <f t="shared" si="1"/>
        <v>1</v>
      </c>
    </row>
    <row r="10">
      <c r="A10" s="195" t="s">
        <v>71</v>
      </c>
      <c r="B10" s="129">
        <v>7.0</v>
      </c>
      <c r="C10" s="263">
        <f t="shared" si="1"/>
        <v>1</v>
      </c>
    </row>
    <row r="11">
      <c r="A11" s="195" t="s">
        <v>66</v>
      </c>
      <c r="B11" s="129">
        <v>7.0</v>
      </c>
      <c r="C11" s="263">
        <f t="shared" si="1"/>
        <v>1</v>
      </c>
    </row>
    <row r="12">
      <c r="A12" s="195" t="s">
        <v>51</v>
      </c>
      <c r="B12" s="129">
        <v>7.0</v>
      </c>
      <c r="C12" s="263">
        <f t="shared" si="1"/>
        <v>1</v>
      </c>
    </row>
    <row r="13">
      <c r="A13" s="195" t="s">
        <v>74</v>
      </c>
      <c r="B13" s="129">
        <v>7.0</v>
      </c>
      <c r="C13" s="263">
        <f t="shared" si="1"/>
        <v>1</v>
      </c>
    </row>
    <row r="14">
      <c r="A14" s="195" t="s">
        <v>75</v>
      </c>
      <c r="B14" s="129">
        <v>7.0</v>
      </c>
      <c r="C14" s="263">
        <f t="shared" si="1"/>
        <v>1</v>
      </c>
    </row>
    <row r="15">
      <c r="A15" s="195" t="s">
        <v>46</v>
      </c>
      <c r="B15" s="129">
        <v>7.0</v>
      </c>
      <c r="C15" s="263">
        <f t="shared" si="1"/>
        <v>1</v>
      </c>
    </row>
    <row r="16">
      <c r="A16" s="195" t="s">
        <v>70</v>
      </c>
      <c r="B16" s="129">
        <v>7.0</v>
      </c>
      <c r="C16" s="263">
        <f t="shared" si="1"/>
        <v>1</v>
      </c>
    </row>
    <row r="17">
      <c r="A17" s="195" t="s">
        <v>49</v>
      </c>
      <c r="B17" s="129">
        <v>7.0</v>
      </c>
      <c r="C17" s="263">
        <f t="shared" si="1"/>
        <v>1</v>
      </c>
    </row>
    <row r="18">
      <c r="A18" s="195" t="s">
        <v>53</v>
      </c>
      <c r="B18" s="129">
        <v>7.0</v>
      </c>
      <c r="C18" s="263">
        <f t="shared" si="1"/>
        <v>1</v>
      </c>
    </row>
    <row r="19">
      <c r="A19" s="195" t="s">
        <v>67</v>
      </c>
      <c r="B19" s="129">
        <v>7.0</v>
      </c>
      <c r="C19" s="263">
        <f t="shared" si="1"/>
        <v>1</v>
      </c>
    </row>
    <row r="20">
      <c r="A20" s="195" t="s">
        <v>47</v>
      </c>
      <c r="B20" s="129">
        <v>7.0</v>
      </c>
      <c r="C20" s="263">
        <f t="shared" si="1"/>
        <v>1</v>
      </c>
    </row>
    <row r="21">
      <c r="A21" s="195" t="s">
        <v>76</v>
      </c>
      <c r="B21" s="129">
        <v>7.0</v>
      </c>
      <c r="C21" s="263">
        <f t="shared" si="1"/>
        <v>1</v>
      </c>
    </row>
    <row r="22">
      <c r="A22" s="195" t="s">
        <v>79</v>
      </c>
      <c r="B22" s="129">
        <v>0.0</v>
      </c>
      <c r="C22" s="263" t="str">
        <f t="shared" si="1"/>
        <v/>
      </c>
    </row>
    <row r="23">
      <c r="A23" s="195" t="s">
        <v>80</v>
      </c>
      <c r="B23" s="129">
        <v>0.0</v>
      </c>
      <c r="C23" s="263" t="str">
        <f t="shared" si="1"/>
        <v/>
      </c>
    </row>
    <row r="24">
      <c r="A24" s="195" t="s">
        <v>81</v>
      </c>
      <c r="B24" s="129">
        <v>0.0</v>
      </c>
      <c r="C24" s="263" t="str">
        <f t="shared" si="1"/>
        <v/>
      </c>
    </row>
    <row r="25">
      <c r="A25" s="195" t="s">
        <v>82</v>
      </c>
      <c r="B25" s="129">
        <v>0.0</v>
      </c>
      <c r="C25" s="263" t="str">
        <f t="shared" si="1"/>
        <v/>
      </c>
    </row>
    <row r="26">
      <c r="A26" s="195" t="s">
        <v>83</v>
      </c>
      <c r="B26" s="129">
        <v>0.0</v>
      </c>
      <c r="C26" s="263" t="str">
        <f t="shared" si="1"/>
        <v/>
      </c>
    </row>
    <row r="27">
      <c r="A27" s="195" t="s">
        <v>84</v>
      </c>
      <c r="B27" s="129">
        <v>0.0</v>
      </c>
      <c r="C27" s="263" t="str">
        <f t="shared" si="1"/>
        <v/>
      </c>
    </row>
    <row r="28">
      <c r="A28" s="195" t="s">
        <v>85</v>
      </c>
      <c r="B28" s="129">
        <v>0.0</v>
      </c>
      <c r="C28" s="263" t="str">
        <f t="shared" si="1"/>
        <v/>
      </c>
    </row>
    <row r="29">
      <c r="A29" s="195" t="s">
        <v>86</v>
      </c>
      <c r="B29" s="129">
        <v>0.0</v>
      </c>
      <c r="C29" s="263" t="str">
        <f t="shared" si="1"/>
        <v/>
      </c>
    </row>
    <row r="30">
      <c r="A30" s="195" t="s">
        <v>87</v>
      </c>
      <c r="B30" s="129">
        <v>0.0</v>
      </c>
      <c r="C30" s="263" t="str">
        <f t="shared" si="1"/>
        <v/>
      </c>
    </row>
    <row r="31">
      <c r="A31" s="195" t="s">
        <v>88</v>
      </c>
      <c r="B31" s="129">
        <v>0.0</v>
      </c>
      <c r="C31" s="263" t="str">
        <f t="shared" si="1"/>
        <v/>
      </c>
    </row>
    <row r="32">
      <c r="A32" s="195" t="s">
        <v>90</v>
      </c>
      <c r="B32" s="129">
        <v>0.0</v>
      </c>
      <c r="C32" s="263" t="str">
        <f t="shared" si="1"/>
        <v/>
      </c>
    </row>
    <row r="33">
      <c r="A33" s="195" t="s">
        <v>91</v>
      </c>
      <c r="B33" s="129">
        <v>0.0</v>
      </c>
      <c r="C33" s="263" t="str">
        <f t="shared" si="1"/>
        <v/>
      </c>
    </row>
    <row r="34">
      <c r="A34" s="195" t="s">
        <v>92</v>
      </c>
      <c r="B34" s="129">
        <v>0.0</v>
      </c>
      <c r="C34" s="263" t="str">
        <f t="shared" si="1"/>
        <v/>
      </c>
    </row>
    <row r="35">
      <c r="A35" s="195" t="s">
        <v>93</v>
      </c>
      <c r="B35" s="129">
        <v>0.0</v>
      </c>
      <c r="C35" s="263" t="str">
        <f t="shared" si="1"/>
        <v/>
      </c>
    </row>
    <row r="36">
      <c r="A36" s="195" t="s">
        <v>94</v>
      </c>
      <c r="B36" s="129">
        <v>0.0</v>
      </c>
      <c r="C36" s="263" t="str">
        <f t="shared" si="1"/>
        <v/>
      </c>
    </row>
    <row r="37">
      <c r="A37" s="195" t="s">
        <v>95</v>
      </c>
      <c r="B37" s="129">
        <v>0.0</v>
      </c>
      <c r="C37" s="263" t="str">
        <f t="shared" si="1"/>
        <v/>
      </c>
    </row>
    <row r="38">
      <c r="A38" s="129"/>
      <c r="B38" s="129"/>
      <c r="C38" s="263" t="str">
        <f t="shared" si="1"/>
        <v/>
      </c>
    </row>
    <row r="39">
      <c r="A39" s="129"/>
      <c r="B39" s="129"/>
      <c r="C39" s="263" t="str">
        <f t="shared" si="1"/>
        <v/>
      </c>
    </row>
    <row r="40">
      <c r="A40" s="129"/>
      <c r="B40" s="129"/>
      <c r="C40" s="263" t="str">
        <f t="shared" si="1"/>
        <v/>
      </c>
    </row>
    <row r="41">
      <c r="A41" s="129"/>
      <c r="B41" s="129"/>
      <c r="C41" s="263" t="str">
        <f t="shared" si="1"/>
        <v/>
      </c>
    </row>
    <row r="42">
      <c r="A42" s="129"/>
      <c r="B42" s="129"/>
      <c r="C42" s="263" t="str">
        <f t="shared" si="1"/>
        <v/>
      </c>
    </row>
    <row r="43">
      <c r="A43" s="129"/>
      <c r="B43" s="129"/>
      <c r="C43" s="263" t="str">
        <f t="shared" si="1"/>
        <v/>
      </c>
    </row>
    <row r="44">
      <c r="A44" s="129"/>
      <c r="B44" s="129"/>
      <c r="C44" s="263" t="str">
        <f t="shared" si="1"/>
        <v/>
      </c>
    </row>
    <row r="45">
      <c r="A45" s="129"/>
      <c r="B45" s="129"/>
      <c r="C45" s="263" t="str">
        <f t="shared" si="1"/>
        <v/>
      </c>
    </row>
    <row r="46">
      <c r="A46" s="129"/>
      <c r="B46" s="129"/>
      <c r="C46" s="263" t="str">
        <f t="shared" si="1"/>
        <v/>
      </c>
    </row>
    <row r="47">
      <c r="A47" s="129"/>
      <c r="B47" s="129"/>
      <c r="C47" s="263" t="str">
        <f t="shared" si="1"/>
        <v/>
      </c>
    </row>
    <row r="48">
      <c r="A48" s="129"/>
      <c r="B48" s="129"/>
      <c r="C48" s="263" t="str">
        <f t="shared" si="1"/>
        <v/>
      </c>
    </row>
    <row r="49">
      <c r="A49" s="129"/>
      <c r="B49" s="129"/>
      <c r="C49" s="263" t="str">
        <f t="shared" si="1"/>
        <v/>
      </c>
    </row>
    <row r="50">
      <c r="A50" s="129"/>
      <c r="B50" s="129"/>
      <c r="C50" s="263" t="str">
        <f t="shared" si="1"/>
        <v/>
      </c>
    </row>
    <row r="51">
      <c r="A51" s="129"/>
      <c r="B51" s="129"/>
      <c r="C51" s="263" t="str">
        <f t="shared" si="1"/>
        <v/>
      </c>
    </row>
    <row r="52">
      <c r="A52" s="129"/>
      <c r="B52" s="129"/>
      <c r="C52" s="263" t="str">
        <f t="shared" si="1"/>
        <v/>
      </c>
    </row>
    <row r="53">
      <c r="A53" s="129"/>
      <c r="B53" s="129"/>
      <c r="C53" s="263" t="str">
        <f t="shared" si="1"/>
        <v/>
      </c>
    </row>
    <row r="54">
      <c r="A54" s="129"/>
      <c r="B54" s="129"/>
      <c r="C54" s="263" t="str">
        <f t="shared" si="1"/>
        <v/>
      </c>
    </row>
    <row r="55">
      <c r="A55" s="129"/>
      <c r="B55" s="129"/>
      <c r="C55" s="263" t="str">
        <f t="shared" si="1"/>
        <v/>
      </c>
    </row>
    <row r="56">
      <c r="A56" s="129"/>
      <c r="B56" s="129"/>
      <c r="C56" s="263" t="str">
        <f t="shared" si="1"/>
        <v/>
      </c>
    </row>
    <row r="57">
      <c r="A57" s="129"/>
      <c r="B57" s="129"/>
      <c r="C57" s="263" t="str">
        <f t="shared" si="1"/>
        <v/>
      </c>
    </row>
    <row r="58">
      <c r="A58" s="129"/>
      <c r="B58" s="129"/>
      <c r="C58" s="263" t="str">
        <f t="shared" si="1"/>
        <v/>
      </c>
    </row>
    <row r="59">
      <c r="A59" s="129"/>
      <c r="B59" s="129"/>
      <c r="C59" s="263" t="str">
        <f t="shared" si="1"/>
        <v/>
      </c>
    </row>
    <row r="60">
      <c r="A60" s="129"/>
      <c r="B60" s="129"/>
      <c r="C60" s="263" t="str">
        <f t="shared" si="1"/>
        <v/>
      </c>
    </row>
    <row r="61">
      <c r="A61" s="129"/>
      <c r="B61" s="129"/>
      <c r="C61" s="263" t="str">
        <f t="shared" si="1"/>
        <v/>
      </c>
    </row>
    <row r="62">
      <c r="A62" s="129"/>
      <c r="B62" s="129"/>
      <c r="C62" s="263" t="str">
        <f t="shared" si="1"/>
        <v/>
      </c>
    </row>
    <row r="63">
      <c r="A63" s="129"/>
      <c r="B63" s="129"/>
      <c r="C63" s="263" t="str">
        <f t="shared" si="1"/>
        <v/>
      </c>
    </row>
    <row r="64">
      <c r="A64" s="129"/>
      <c r="B64" s="129"/>
      <c r="C64" s="263" t="str">
        <f t="shared" si="1"/>
        <v/>
      </c>
    </row>
    <row r="65">
      <c r="A65" s="129"/>
      <c r="B65" s="129"/>
      <c r="C65" s="263" t="str">
        <f t="shared" si="1"/>
        <v/>
      </c>
    </row>
    <row r="66">
      <c r="A66" s="129"/>
      <c r="B66" s="129"/>
      <c r="C66" s="263" t="str">
        <f t="shared" si="1"/>
        <v/>
      </c>
    </row>
    <row r="67">
      <c r="A67" s="129"/>
      <c r="B67" s="129"/>
      <c r="C67" s="263" t="str">
        <f t="shared" si="1"/>
        <v/>
      </c>
    </row>
    <row r="68">
      <c r="A68" s="129"/>
      <c r="B68" s="129"/>
      <c r="C68" s="263" t="str">
        <f t="shared" si="1"/>
        <v/>
      </c>
    </row>
    <row r="69">
      <c r="A69" s="129"/>
      <c r="B69" s="129"/>
      <c r="C69" s="263" t="str">
        <f t="shared" si="1"/>
        <v/>
      </c>
    </row>
    <row r="70">
      <c r="A70" s="129"/>
      <c r="B70" s="129"/>
      <c r="C70" s="263" t="str">
        <f t="shared" si="1"/>
        <v/>
      </c>
    </row>
    <row r="71">
      <c r="A71" s="129"/>
      <c r="B71" s="129"/>
      <c r="C71" s="263" t="str">
        <f t="shared" si="1"/>
        <v/>
      </c>
    </row>
    <row r="72">
      <c r="A72" s="129"/>
      <c r="B72" s="129"/>
      <c r="C72" s="263" t="str">
        <f t="shared" si="1"/>
        <v/>
      </c>
    </row>
    <row r="73">
      <c r="A73" s="129"/>
      <c r="B73" s="129"/>
      <c r="C73" s="263" t="str">
        <f t="shared" si="1"/>
        <v/>
      </c>
    </row>
    <row r="74">
      <c r="A74" s="129"/>
      <c r="B74" s="129"/>
      <c r="C74" s="263" t="str">
        <f t="shared" si="1"/>
        <v/>
      </c>
    </row>
    <row r="75">
      <c r="A75" s="129"/>
      <c r="B75" s="129"/>
      <c r="C75" s="263" t="str">
        <f t="shared" si="1"/>
        <v/>
      </c>
    </row>
    <row r="76">
      <c r="A76" s="129"/>
      <c r="B76" s="129"/>
      <c r="C76" s="263" t="str">
        <f t="shared" si="1"/>
        <v/>
      </c>
    </row>
    <row r="77">
      <c r="A77" s="129"/>
      <c r="B77" s="129"/>
      <c r="C77" s="263" t="str">
        <f t="shared" si="1"/>
        <v/>
      </c>
    </row>
    <row r="78">
      <c r="A78" s="129"/>
      <c r="B78" s="129"/>
      <c r="C78" s="263" t="str">
        <f t="shared" si="1"/>
        <v/>
      </c>
    </row>
    <row r="79">
      <c r="A79" s="129"/>
      <c r="B79" s="129"/>
      <c r="C79" s="263" t="str">
        <f t="shared" si="1"/>
        <v/>
      </c>
    </row>
    <row r="80">
      <c r="A80" s="129"/>
      <c r="B80" s="129"/>
      <c r="C80" s="263" t="str">
        <f t="shared" si="1"/>
        <v/>
      </c>
    </row>
    <row r="81">
      <c r="A81" s="129"/>
      <c r="B81" s="129"/>
      <c r="C81" s="263" t="str">
        <f t="shared" si="1"/>
        <v/>
      </c>
    </row>
    <row r="82">
      <c r="A82" s="129"/>
      <c r="B82" s="129"/>
      <c r="C82" s="263" t="str">
        <f t="shared" si="1"/>
        <v/>
      </c>
    </row>
    <row r="83">
      <c r="A83" s="129"/>
      <c r="B83" s="129"/>
      <c r="C83" s="263" t="str">
        <f t="shared" si="1"/>
        <v/>
      </c>
    </row>
    <row r="84">
      <c r="A84" s="129"/>
      <c r="B84" s="129"/>
      <c r="C84" s="263" t="str">
        <f t="shared" si="1"/>
        <v/>
      </c>
    </row>
    <row r="85">
      <c r="A85" s="129"/>
      <c r="B85" s="129"/>
      <c r="C85" s="263" t="str">
        <f t="shared" si="1"/>
        <v/>
      </c>
    </row>
    <row r="86">
      <c r="A86" s="129"/>
      <c r="B86" s="129"/>
      <c r="C86" s="263" t="str">
        <f t="shared" si="1"/>
        <v/>
      </c>
    </row>
    <row r="87">
      <c r="A87" s="129"/>
      <c r="B87" s="129"/>
      <c r="C87" s="263" t="str">
        <f t="shared" si="1"/>
        <v/>
      </c>
    </row>
    <row r="88">
      <c r="A88" s="129"/>
      <c r="B88" s="129"/>
      <c r="C88" s="263" t="str">
        <f t="shared" si="1"/>
        <v/>
      </c>
    </row>
    <row r="89">
      <c r="A89" s="129"/>
      <c r="B89" s="129"/>
      <c r="C89" s="263" t="str">
        <f t="shared" si="1"/>
        <v/>
      </c>
    </row>
    <row r="90">
      <c r="A90" s="129"/>
      <c r="B90" s="129"/>
      <c r="C90" s="263" t="str">
        <f t="shared" si="1"/>
        <v/>
      </c>
    </row>
    <row r="91">
      <c r="A91" s="129"/>
      <c r="B91" s="129"/>
      <c r="C91" s="263" t="str">
        <f t="shared" si="1"/>
        <v/>
      </c>
    </row>
    <row r="92">
      <c r="A92" s="129"/>
      <c r="B92" s="129"/>
      <c r="C92" s="263" t="str">
        <f t="shared" si="1"/>
        <v/>
      </c>
    </row>
    <row r="93">
      <c r="A93" s="129"/>
      <c r="B93" s="129"/>
      <c r="C93" s="263" t="str">
        <f t="shared" si="1"/>
        <v/>
      </c>
    </row>
    <row r="94">
      <c r="A94" s="129"/>
      <c r="B94" s="129"/>
      <c r="C94" s="263" t="str">
        <f t="shared" si="1"/>
        <v/>
      </c>
    </row>
    <row r="95">
      <c r="A95" s="129"/>
      <c r="B95" s="129"/>
      <c r="C95" s="263" t="str">
        <f t="shared" si="1"/>
        <v/>
      </c>
    </row>
    <row r="96">
      <c r="A96" s="129"/>
      <c r="B96" s="129"/>
      <c r="C96" s="263" t="str">
        <f t="shared" si="1"/>
        <v/>
      </c>
    </row>
    <row r="97">
      <c r="A97" s="129"/>
      <c r="B97" s="129"/>
      <c r="C97" s="263" t="str">
        <f t="shared" si="1"/>
        <v/>
      </c>
    </row>
    <row r="98">
      <c r="A98" s="129"/>
      <c r="B98" s="129"/>
      <c r="C98" s="263" t="str">
        <f t="shared" si="1"/>
        <v/>
      </c>
    </row>
    <row r="99">
      <c r="A99" s="129"/>
      <c r="B99" s="129"/>
      <c r="C99" s="263" t="str">
        <f t="shared" si="1"/>
        <v/>
      </c>
    </row>
    <row r="100">
      <c r="A100" s="129"/>
      <c r="B100" s="129"/>
      <c r="C100" s="263" t="str">
        <f t="shared" si="1"/>
        <v/>
      </c>
    </row>
    <row r="101">
      <c r="A101" s="129"/>
      <c r="B101" s="129"/>
      <c r="C101" s="263" t="str">
        <f t="shared" si="1"/>
        <v/>
      </c>
    </row>
    <row r="102">
      <c r="A102" s="129"/>
      <c r="B102" s="129"/>
      <c r="C102" s="263" t="str">
        <f t="shared" si="1"/>
        <v/>
      </c>
    </row>
    <row r="103">
      <c r="A103" s="129"/>
      <c r="B103" s="129"/>
      <c r="C103" s="263" t="str">
        <f t="shared" si="1"/>
        <v/>
      </c>
    </row>
    <row r="104">
      <c r="A104" s="129"/>
      <c r="B104" s="129"/>
      <c r="C104" s="263" t="str">
        <f t="shared" si="1"/>
        <v/>
      </c>
    </row>
    <row r="105">
      <c r="A105" s="129"/>
      <c r="B105" s="129"/>
      <c r="C105" s="263" t="str">
        <f t="shared" si="1"/>
        <v/>
      </c>
    </row>
    <row r="106">
      <c r="A106" s="129"/>
      <c r="B106" s="129"/>
      <c r="C106" s="263" t="str">
        <f t="shared" si="1"/>
        <v/>
      </c>
    </row>
    <row r="107">
      <c r="A107" s="129"/>
      <c r="B107" s="129"/>
      <c r="C107" s="263" t="str">
        <f t="shared" si="1"/>
        <v/>
      </c>
    </row>
    <row r="108">
      <c r="A108" s="129"/>
      <c r="B108" s="129"/>
      <c r="C108" s="263" t="str">
        <f t="shared" si="1"/>
        <v/>
      </c>
    </row>
    <row r="109">
      <c r="A109" s="129"/>
      <c r="B109" s="129"/>
      <c r="C109" s="263" t="str">
        <f t="shared" si="1"/>
        <v/>
      </c>
    </row>
    <row r="110">
      <c r="A110" s="129"/>
      <c r="B110" s="129"/>
      <c r="C110" s="263" t="str">
        <f t="shared" si="1"/>
        <v/>
      </c>
    </row>
    <row r="111">
      <c r="A111" s="129"/>
      <c r="B111" s="129"/>
      <c r="C111" s="263" t="str">
        <f t="shared" si="1"/>
        <v/>
      </c>
    </row>
    <row r="112">
      <c r="A112" s="129"/>
      <c r="B112" s="129"/>
      <c r="C112" s="263" t="str">
        <f t="shared" si="1"/>
        <v/>
      </c>
    </row>
    <row r="113">
      <c r="A113" s="129"/>
      <c r="B113" s="129"/>
      <c r="C113" s="263" t="str">
        <f t="shared" si="1"/>
        <v/>
      </c>
    </row>
    <row r="114">
      <c r="A114" s="129"/>
      <c r="B114" s="129"/>
      <c r="C114" s="263" t="str">
        <f t="shared" si="1"/>
        <v/>
      </c>
    </row>
    <row r="115">
      <c r="A115" s="129"/>
      <c r="B115" s="129"/>
      <c r="C115" s="263" t="str">
        <f t="shared" si="1"/>
        <v/>
      </c>
    </row>
    <row r="116">
      <c r="A116" s="129"/>
      <c r="B116" s="129"/>
      <c r="C116" s="263" t="str">
        <f t="shared" si="1"/>
        <v/>
      </c>
    </row>
    <row r="117">
      <c r="A117" s="129"/>
      <c r="B117" s="129"/>
      <c r="C117" s="263" t="str">
        <f t="shared" si="1"/>
        <v/>
      </c>
    </row>
    <row r="118">
      <c r="A118" s="129"/>
      <c r="B118" s="129"/>
      <c r="C118" s="263" t="str">
        <f t="shared" si="1"/>
        <v/>
      </c>
    </row>
    <row r="119">
      <c r="A119" s="129"/>
      <c r="B119" s="129"/>
      <c r="C119" s="263" t="str">
        <f t="shared" si="1"/>
        <v/>
      </c>
    </row>
    <row r="120">
      <c r="A120" s="129"/>
      <c r="B120" s="129"/>
      <c r="C120" s="263" t="str">
        <f t="shared" si="1"/>
        <v/>
      </c>
    </row>
    <row r="121">
      <c r="A121" s="129"/>
      <c r="B121" s="129"/>
      <c r="C121" s="263" t="str">
        <f t="shared" si="1"/>
        <v/>
      </c>
    </row>
    <row r="122">
      <c r="A122" s="129"/>
      <c r="B122" s="129"/>
      <c r="C122" s="263" t="str">
        <f t="shared" si="1"/>
        <v/>
      </c>
    </row>
    <row r="123">
      <c r="A123" s="129"/>
      <c r="B123" s="129"/>
      <c r="C123" s="263" t="str">
        <f t="shared" si="1"/>
        <v/>
      </c>
    </row>
    <row r="124">
      <c r="A124" s="129"/>
      <c r="B124" s="129"/>
      <c r="C124" s="263" t="str">
        <f t="shared" si="1"/>
        <v/>
      </c>
    </row>
    <row r="125">
      <c r="A125" s="129"/>
      <c r="B125" s="129"/>
      <c r="C125" s="263" t="str">
        <f t="shared" si="1"/>
        <v/>
      </c>
    </row>
    <row r="126">
      <c r="A126" s="129"/>
      <c r="B126" s="129"/>
      <c r="C126" s="263" t="str">
        <f t="shared" si="1"/>
        <v/>
      </c>
    </row>
    <row r="127">
      <c r="A127" s="129"/>
      <c r="B127" s="129"/>
      <c r="C127" s="263" t="str">
        <f t="shared" si="1"/>
        <v/>
      </c>
    </row>
    <row r="128">
      <c r="A128" s="129"/>
      <c r="B128" s="129"/>
      <c r="C128" s="263" t="str">
        <f t="shared" si="1"/>
        <v/>
      </c>
    </row>
    <row r="129">
      <c r="A129" s="129"/>
      <c r="B129" s="129"/>
      <c r="C129" s="263" t="str">
        <f t="shared" si="1"/>
        <v/>
      </c>
    </row>
    <row r="130">
      <c r="A130" s="129"/>
      <c r="B130" s="129"/>
      <c r="C130" s="263" t="str">
        <f t="shared" si="1"/>
        <v/>
      </c>
    </row>
    <row r="131">
      <c r="A131" s="129"/>
      <c r="B131" s="129"/>
      <c r="C131" s="263" t="str">
        <f t="shared" si="1"/>
        <v/>
      </c>
    </row>
    <row r="132">
      <c r="A132" s="129"/>
      <c r="B132" s="129"/>
      <c r="C132" s="263" t="str">
        <f t="shared" si="1"/>
        <v/>
      </c>
    </row>
    <row r="133">
      <c r="A133" s="129"/>
      <c r="B133" s="129"/>
      <c r="C133" s="263" t="str">
        <f t="shared" si="1"/>
        <v/>
      </c>
    </row>
    <row r="134">
      <c r="A134" s="129"/>
      <c r="B134" s="129"/>
      <c r="C134" s="263" t="str">
        <f t="shared" si="1"/>
        <v/>
      </c>
    </row>
    <row r="135">
      <c r="A135" s="129"/>
      <c r="B135" s="129"/>
      <c r="C135" s="263" t="str">
        <f t="shared" si="1"/>
        <v/>
      </c>
    </row>
    <row r="136">
      <c r="A136" s="129"/>
      <c r="B136" s="129"/>
      <c r="C136" s="263" t="str">
        <f t="shared" si="1"/>
        <v/>
      </c>
    </row>
    <row r="137">
      <c r="A137" s="129"/>
      <c r="B137" s="129"/>
      <c r="C137" s="263" t="str">
        <f t="shared" si="1"/>
        <v/>
      </c>
    </row>
    <row r="138">
      <c r="A138" s="129"/>
      <c r="B138" s="129"/>
      <c r="C138" s="263" t="str">
        <f t="shared" si="1"/>
        <v/>
      </c>
    </row>
    <row r="139">
      <c r="A139" s="129"/>
      <c r="B139" s="129"/>
      <c r="C139" s="263" t="str">
        <f t="shared" si="1"/>
        <v/>
      </c>
    </row>
    <row r="140">
      <c r="A140" s="129"/>
      <c r="B140" s="129"/>
      <c r="C140" s="263" t="str">
        <f t="shared" si="1"/>
        <v/>
      </c>
    </row>
    <row r="141">
      <c r="A141" s="129"/>
      <c r="B141" s="129"/>
      <c r="C141" s="263" t="str">
        <f t="shared" si="1"/>
        <v/>
      </c>
    </row>
    <row r="142">
      <c r="A142" s="129"/>
      <c r="B142" s="129"/>
      <c r="C142" s="263" t="str">
        <f t="shared" si="1"/>
        <v/>
      </c>
    </row>
    <row r="143">
      <c r="A143" s="129"/>
      <c r="B143" s="129"/>
      <c r="C143" s="263" t="str">
        <f t="shared" si="1"/>
        <v/>
      </c>
    </row>
    <row r="144">
      <c r="A144" s="129"/>
      <c r="B144" s="129"/>
      <c r="C144" s="263" t="str">
        <f t="shared" si="1"/>
        <v/>
      </c>
    </row>
    <row r="145">
      <c r="A145" s="129"/>
      <c r="B145" s="129"/>
      <c r="C145" s="263" t="str">
        <f t="shared" si="1"/>
        <v/>
      </c>
    </row>
    <row r="146">
      <c r="A146" s="129"/>
      <c r="B146" s="129"/>
      <c r="C146" s="263" t="str">
        <f t="shared" si="1"/>
        <v/>
      </c>
    </row>
    <row r="147">
      <c r="A147" s="129"/>
      <c r="B147" s="129"/>
      <c r="C147" s="263" t="str">
        <f t="shared" si="1"/>
        <v/>
      </c>
    </row>
    <row r="148">
      <c r="A148" s="129"/>
      <c r="B148" s="129"/>
      <c r="C148" s="263" t="str">
        <f t="shared" si="1"/>
        <v/>
      </c>
    </row>
    <row r="149">
      <c r="A149" s="129"/>
      <c r="B149" s="129"/>
      <c r="C149" s="263" t="str">
        <f t="shared" si="1"/>
        <v/>
      </c>
    </row>
    <row r="150">
      <c r="A150" s="129"/>
      <c r="B150" s="129"/>
      <c r="C150" s="263" t="str">
        <f t="shared" si="1"/>
        <v/>
      </c>
    </row>
    <row r="151">
      <c r="A151" s="129"/>
      <c r="B151" s="129"/>
      <c r="C151" s="263" t="str">
        <f t="shared" si="1"/>
        <v/>
      </c>
    </row>
    <row r="152">
      <c r="A152" s="129"/>
      <c r="B152" s="129"/>
      <c r="C152" s="263" t="str">
        <f t="shared" si="1"/>
        <v/>
      </c>
    </row>
    <row r="153">
      <c r="A153" s="129"/>
      <c r="B153" s="129"/>
      <c r="C153" s="263" t="str">
        <f t="shared" si="1"/>
        <v/>
      </c>
    </row>
    <row r="154">
      <c r="A154" s="129"/>
      <c r="B154" s="129"/>
      <c r="C154" s="263" t="str">
        <f t="shared" si="1"/>
        <v/>
      </c>
    </row>
    <row r="155">
      <c r="A155" s="129"/>
      <c r="B155" s="129"/>
      <c r="C155" s="263" t="str">
        <f t="shared" si="1"/>
        <v/>
      </c>
    </row>
    <row r="156">
      <c r="A156" s="129"/>
      <c r="B156" s="129"/>
      <c r="C156" s="263" t="str">
        <f t="shared" si="1"/>
        <v/>
      </c>
    </row>
    <row r="157">
      <c r="A157" s="129"/>
      <c r="B157" s="129"/>
      <c r="C157" s="263" t="str">
        <f t="shared" si="1"/>
        <v/>
      </c>
    </row>
    <row r="158">
      <c r="A158" s="129"/>
      <c r="B158" s="129"/>
      <c r="C158" s="263" t="str">
        <f t="shared" si="1"/>
        <v/>
      </c>
    </row>
    <row r="159">
      <c r="A159" s="129"/>
      <c r="B159" s="129"/>
      <c r="C159" s="263" t="str">
        <f t="shared" si="1"/>
        <v/>
      </c>
    </row>
    <row r="160">
      <c r="A160" s="129"/>
      <c r="B160" s="129"/>
      <c r="C160" s="263" t="str">
        <f t="shared" si="1"/>
        <v/>
      </c>
    </row>
    <row r="161">
      <c r="A161" s="129"/>
      <c r="B161" s="129"/>
      <c r="C161" s="263" t="str">
        <f t="shared" si="1"/>
        <v/>
      </c>
    </row>
    <row r="162">
      <c r="A162" s="129"/>
      <c r="B162" s="129"/>
      <c r="C162" s="263" t="str">
        <f t="shared" si="1"/>
        <v/>
      </c>
    </row>
    <row r="163">
      <c r="A163" s="129"/>
      <c r="B163" s="129"/>
      <c r="C163" s="263" t="str">
        <f t="shared" si="1"/>
        <v/>
      </c>
    </row>
    <row r="164">
      <c r="A164" s="129"/>
      <c r="B164" s="129"/>
      <c r="C164" s="263" t="str">
        <f t="shared" si="1"/>
        <v/>
      </c>
    </row>
    <row r="165">
      <c r="A165" s="129"/>
      <c r="B165" s="129"/>
      <c r="C165" s="263" t="str">
        <f t="shared" si="1"/>
        <v/>
      </c>
    </row>
    <row r="166">
      <c r="A166" s="129"/>
      <c r="B166" s="129"/>
      <c r="C166" s="263" t="str">
        <f t="shared" si="1"/>
        <v/>
      </c>
    </row>
    <row r="167">
      <c r="A167" s="129"/>
      <c r="B167" s="129"/>
      <c r="C167" s="263" t="str">
        <f t="shared" si="1"/>
        <v/>
      </c>
    </row>
    <row r="168">
      <c r="A168" s="129"/>
      <c r="B168" s="129"/>
      <c r="C168" s="263" t="str">
        <f t="shared" si="1"/>
        <v/>
      </c>
    </row>
    <row r="169">
      <c r="A169" s="129"/>
      <c r="B169" s="129"/>
      <c r="C169" s="263" t="str">
        <f t="shared" si="1"/>
        <v/>
      </c>
    </row>
    <row r="170">
      <c r="A170" s="129"/>
      <c r="B170" s="129"/>
      <c r="C170" s="263" t="str">
        <f t="shared" si="1"/>
        <v/>
      </c>
    </row>
    <row r="171">
      <c r="A171" s="129"/>
      <c r="B171" s="129"/>
      <c r="C171" s="263" t="str">
        <f t="shared" si="1"/>
        <v/>
      </c>
    </row>
    <row r="172">
      <c r="A172" s="129"/>
      <c r="B172" s="129"/>
      <c r="C172" s="263" t="str">
        <f t="shared" si="1"/>
        <v/>
      </c>
    </row>
    <row r="173">
      <c r="A173" s="129"/>
      <c r="B173" s="129"/>
      <c r="C173" s="263" t="str">
        <f t="shared" si="1"/>
        <v/>
      </c>
    </row>
    <row r="174">
      <c r="A174" s="129"/>
      <c r="B174" s="129"/>
      <c r="C174" s="263" t="str">
        <f t="shared" si="1"/>
        <v/>
      </c>
    </row>
    <row r="175">
      <c r="A175" s="129"/>
      <c r="B175" s="129"/>
      <c r="C175" s="263" t="str">
        <f t="shared" si="1"/>
        <v/>
      </c>
    </row>
    <row r="176">
      <c r="A176" s="129"/>
      <c r="B176" s="129"/>
      <c r="C176" s="263" t="str">
        <f t="shared" si="1"/>
        <v/>
      </c>
    </row>
    <row r="177">
      <c r="A177" s="129"/>
      <c r="B177" s="129"/>
      <c r="C177" s="263" t="str">
        <f t="shared" si="1"/>
        <v/>
      </c>
    </row>
    <row r="178">
      <c r="A178" s="129"/>
      <c r="B178" s="129"/>
      <c r="C178" s="263" t="str">
        <f t="shared" si="1"/>
        <v/>
      </c>
    </row>
    <row r="179">
      <c r="A179" s="129"/>
      <c r="B179" s="129"/>
      <c r="C179" s="263"/>
    </row>
    <row r="180">
      <c r="A180" s="129"/>
      <c r="B180" s="129"/>
      <c r="C180" s="263"/>
    </row>
    <row r="181">
      <c r="A181" s="129"/>
      <c r="B181" s="129"/>
      <c r="C181" s="263"/>
    </row>
    <row r="182">
      <c r="A182" s="129"/>
      <c r="B182" s="129"/>
      <c r="C182" s="263"/>
    </row>
    <row r="183">
      <c r="A183" s="129"/>
      <c r="B183" s="129"/>
      <c r="C183" s="263"/>
    </row>
    <row r="184">
      <c r="A184" s="129"/>
      <c r="B184" s="129"/>
      <c r="C184" s="263"/>
    </row>
    <row r="185">
      <c r="A185" s="129"/>
      <c r="B185" s="129"/>
      <c r="C185" s="263"/>
    </row>
    <row r="186">
      <c r="A186" s="129"/>
      <c r="B186" s="129"/>
      <c r="C186" s="263"/>
    </row>
    <row r="187">
      <c r="A187" s="129"/>
      <c r="B187" s="129"/>
      <c r="C187" s="263"/>
    </row>
    <row r="188">
      <c r="A188" s="129"/>
      <c r="B188" s="129"/>
      <c r="C188" s="263"/>
    </row>
    <row r="189">
      <c r="A189" s="129"/>
      <c r="B189" s="129"/>
      <c r="C189" s="263"/>
    </row>
    <row r="190">
      <c r="A190" s="129"/>
      <c r="B190" s="129"/>
      <c r="C190" s="263"/>
    </row>
    <row r="191">
      <c r="A191" s="129"/>
      <c r="B191" s="129"/>
      <c r="C191" s="263"/>
    </row>
    <row r="192">
      <c r="A192" s="129"/>
      <c r="B192" s="129"/>
      <c r="C192" s="263"/>
    </row>
    <row r="193">
      <c r="A193" s="129"/>
      <c r="B193" s="129"/>
      <c r="C193" s="263"/>
    </row>
    <row r="194">
      <c r="A194" s="129"/>
      <c r="B194" s="129"/>
      <c r="C194" s="263"/>
    </row>
    <row r="195">
      <c r="A195" s="129"/>
      <c r="B195" s="129"/>
      <c r="C195" s="263"/>
    </row>
    <row r="196">
      <c r="A196" s="129"/>
      <c r="B196" s="129"/>
      <c r="C196" s="263"/>
    </row>
    <row r="197">
      <c r="A197" s="129"/>
      <c r="B197" s="129"/>
      <c r="C197" s="263"/>
    </row>
    <row r="198">
      <c r="A198" s="129"/>
      <c r="B198" s="129"/>
      <c r="C198" s="263"/>
    </row>
    <row r="199">
      <c r="A199" s="129"/>
      <c r="B199" s="129"/>
      <c r="C199" s="263"/>
    </row>
    <row r="200">
      <c r="A200" s="129"/>
      <c r="B200" s="129"/>
      <c r="C200" s="263"/>
    </row>
    <row r="201">
      <c r="A201" s="129"/>
      <c r="B201" s="129"/>
      <c r="C201" s="263"/>
    </row>
    <row r="202">
      <c r="A202" s="129"/>
      <c r="B202" s="129"/>
      <c r="C202" s="263"/>
    </row>
    <row r="203">
      <c r="A203" s="129"/>
      <c r="B203" s="129"/>
      <c r="C203" s="263"/>
    </row>
    <row r="204">
      <c r="A204" s="129"/>
      <c r="B204" s="129"/>
      <c r="C204" s="263"/>
    </row>
    <row r="205">
      <c r="A205" s="129"/>
      <c r="B205" s="129"/>
      <c r="C205" s="263"/>
    </row>
    <row r="206">
      <c r="A206" s="129"/>
      <c r="B206" s="129"/>
      <c r="C206" s="263"/>
    </row>
    <row r="207">
      <c r="A207" s="129"/>
      <c r="B207" s="129"/>
      <c r="C207" s="263"/>
    </row>
    <row r="208">
      <c r="A208" s="129"/>
      <c r="B208" s="129"/>
      <c r="C208" s="263"/>
    </row>
    <row r="209">
      <c r="A209" s="129"/>
      <c r="B209" s="129"/>
      <c r="C209" s="263"/>
    </row>
    <row r="210">
      <c r="A210" s="129"/>
      <c r="B210" s="129"/>
      <c r="C210" s="263"/>
    </row>
    <row r="211">
      <c r="A211" s="129"/>
      <c r="B211" s="129"/>
      <c r="C211" s="263"/>
    </row>
    <row r="212">
      <c r="A212" s="129"/>
      <c r="B212" s="129"/>
      <c r="C212" s="263"/>
    </row>
    <row r="213">
      <c r="A213" s="129"/>
      <c r="B213" s="129"/>
      <c r="C213" s="263"/>
    </row>
    <row r="214">
      <c r="A214" s="129"/>
      <c r="B214" s="129"/>
      <c r="C214" s="263"/>
    </row>
    <row r="215">
      <c r="A215" s="129"/>
      <c r="B215" s="129"/>
      <c r="C215" s="263"/>
    </row>
    <row r="216">
      <c r="A216" s="129"/>
      <c r="B216" s="129"/>
      <c r="C216" s="263"/>
    </row>
    <row r="217">
      <c r="A217" s="129"/>
      <c r="B217" s="129"/>
      <c r="C217" s="263"/>
    </row>
    <row r="218">
      <c r="A218" s="129"/>
      <c r="B218" s="129"/>
      <c r="C218" s="263"/>
    </row>
    <row r="219">
      <c r="A219" s="129"/>
      <c r="B219" s="129"/>
      <c r="C219" s="263"/>
    </row>
    <row r="220">
      <c r="A220" s="129"/>
      <c r="B220" s="129"/>
      <c r="C220" s="263"/>
    </row>
    <row r="221">
      <c r="A221" s="129"/>
      <c r="B221" s="129"/>
      <c r="C221" s="263"/>
    </row>
    <row r="222">
      <c r="A222" s="129"/>
      <c r="B222" s="129"/>
      <c r="C222" s="263"/>
    </row>
    <row r="223">
      <c r="A223" s="129"/>
      <c r="B223" s="129"/>
      <c r="C223" s="263"/>
    </row>
    <row r="224">
      <c r="A224" s="129"/>
      <c r="B224" s="129"/>
      <c r="C224" s="263"/>
    </row>
    <row r="225">
      <c r="A225" s="129"/>
      <c r="B225" s="129"/>
      <c r="C225" s="263"/>
    </row>
    <row r="226">
      <c r="A226" s="129"/>
      <c r="B226" s="129"/>
      <c r="C226" s="263"/>
    </row>
    <row r="227">
      <c r="A227" s="129"/>
      <c r="B227" s="129"/>
      <c r="C227" s="263"/>
    </row>
    <row r="228">
      <c r="A228" s="129"/>
      <c r="B228" s="129"/>
      <c r="C228" s="263"/>
    </row>
    <row r="229">
      <c r="A229" s="129"/>
      <c r="B229" s="129"/>
      <c r="C229" s="263"/>
    </row>
    <row r="230">
      <c r="A230" s="129"/>
      <c r="B230" s="129"/>
      <c r="C230" s="263"/>
    </row>
    <row r="231">
      <c r="A231" s="129"/>
      <c r="B231" s="129"/>
      <c r="C231" s="263"/>
    </row>
    <row r="232">
      <c r="A232" s="129"/>
      <c r="B232" s="129"/>
      <c r="C232" s="263"/>
    </row>
    <row r="233">
      <c r="A233" s="129"/>
      <c r="B233" s="129"/>
      <c r="C233" s="263"/>
    </row>
    <row r="234">
      <c r="A234" s="129"/>
      <c r="B234" s="129"/>
      <c r="C234" s="263"/>
    </row>
    <row r="235">
      <c r="A235" s="129"/>
      <c r="B235" s="129"/>
      <c r="C235" s="263"/>
    </row>
    <row r="236">
      <c r="A236" s="129"/>
      <c r="B236" s="129"/>
      <c r="C236" s="263"/>
    </row>
    <row r="237">
      <c r="A237" s="129"/>
      <c r="B237" s="129"/>
      <c r="C237" s="263"/>
    </row>
    <row r="238">
      <c r="A238" s="129"/>
      <c r="B238" s="129"/>
      <c r="C238" s="263"/>
    </row>
    <row r="239">
      <c r="A239" s="129"/>
      <c r="B239" s="129"/>
      <c r="C239" s="263"/>
    </row>
    <row r="240">
      <c r="A240" s="129"/>
      <c r="B240" s="129"/>
      <c r="C240" s="263"/>
    </row>
    <row r="241">
      <c r="A241" s="129"/>
      <c r="B241" s="129"/>
      <c r="C241" s="263"/>
    </row>
    <row r="242">
      <c r="A242" s="129"/>
      <c r="B242" s="129"/>
      <c r="C242" s="263"/>
    </row>
    <row r="243">
      <c r="A243" s="129"/>
      <c r="B243" s="129"/>
      <c r="C243" s="263"/>
    </row>
    <row r="244">
      <c r="A244" s="129"/>
      <c r="B244" s="129"/>
      <c r="C244" s="263"/>
    </row>
    <row r="245">
      <c r="A245" s="129"/>
      <c r="B245" s="129"/>
      <c r="C245" s="263"/>
    </row>
    <row r="246">
      <c r="A246" s="129"/>
      <c r="B246" s="129"/>
      <c r="C246" s="263"/>
    </row>
    <row r="247">
      <c r="A247" s="129"/>
      <c r="B247" s="129"/>
      <c r="C247" s="263"/>
    </row>
    <row r="248">
      <c r="A248" s="129"/>
      <c r="B248" s="129"/>
      <c r="C248" s="263"/>
    </row>
    <row r="249">
      <c r="A249" s="129"/>
      <c r="B249" s="129"/>
      <c r="C249" s="263"/>
    </row>
    <row r="250">
      <c r="A250" s="129"/>
      <c r="B250" s="129"/>
      <c r="C250" s="263"/>
    </row>
    <row r="251">
      <c r="A251" s="129"/>
      <c r="B251" s="129"/>
      <c r="C251" s="263"/>
    </row>
    <row r="252">
      <c r="A252" s="129"/>
      <c r="B252" s="129"/>
      <c r="C252" s="263"/>
    </row>
    <row r="253">
      <c r="A253" s="129"/>
      <c r="B253" s="129"/>
      <c r="C253" s="263"/>
    </row>
    <row r="254">
      <c r="A254" s="129"/>
      <c r="B254" s="129"/>
      <c r="C254" s="263"/>
    </row>
    <row r="255">
      <c r="A255" s="129"/>
      <c r="B255" s="129"/>
      <c r="C255" s="263"/>
    </row>
    <row r="256">
      <c r="A256" s="129"/>
      <c r="B256" s="129"/>
      <c r="C256" s="263"/>
    </row>
    <row r="257">
      <c r="A257" s="129"/>
      <c r="B257" s="129"/>
      <c r="C257" s="263"/>
    </row>
    <row r="258">
      <c r="A258" s="129"/>
      <c r="B258" s="129"/>
      <c r="C258" s="263"/>
    </row>
    <row r="259">
      <c r="A259" s="129"/>
      <c r="B259" s="129"/>
      <c r="C259" s="263"/>
    </row>
    <row r="260">
      <c r="A260" s="129"/>
      <c r="B260" s="129"/>
      <c r="C260" s="263"/>
    </row>
    <row r="261">
      <c r="A261" s="129"/>
      <c r="B261" s="129"/>
      <c r="C261" s="263"/>
    </row>
    <row r="262">
      <c r="A262" s="129"/>
      <c r="B262" s="129"/>
      <c r="C262" s="263"/>
    </row>
    <row r="263">
      <c r="A263" s="129"/>
      <c r="B263" s="129"/>
      <c r="C263" s="263"/>
    </row>
    <row r="264">
      <c r="A264" s="129"/>
      <c r="B264" s="129"/>
      <c r="C264" s="263"/>
    </row>
    <row r="265">
      <c r="A265" s="129"/>
      <c r="B265" s="129"/>
      <c r="C265" s="263"/>
    </row>
    <row r="266">
      <c r="A266" s="129"/>
      <c r="B266" s="129"/>
      <c r="C266" s="263"/>
    </row>
    <row r="267">
      <c r="A267" s="129"/>
      <c r="B267" s="129"/>
      <c r="C267" s="263"/>
    </row>
    <row r="268">
      <c r="A268" s="129"/>
      <c r="B268" s="129"/>
      <c r="C268" s="263"/>
    </row>
    <row r="269">
      <c r="A269" s="129"/>
      <c r="B269" s="129"/>
      <c r="C269" s="263"/>
    </row>
    <row r="270">
      <c r="A270" s="129"/>
      <c r="B270" s="129"/>
      <c r="C270" s="263"/>
    </row>
    <row r="271">
      <c r="A271" s="129"/>
      <c r="B271" s="129"/>
      <c r="C271" s="263"/>
    </row>
    <row r="272">
      <c r="A272" s="129"/>
      <c r="B272" s="129"/>
      <c r="C272" s="263"/>
    </row>
    <row r="273">
      <c r="A273" s="129"/>
      <c r="B273" s="129"/>
      <c r="C273" s="263"/>
    </row>
    <row r="274">
      <c r="A274" s="129"/>
      <c r="B274" s="129"/>
      <c r="C274" s="263"/>
    </row>
    <row r="275">
      <c r="A275" s="129"/>
      <c r="B275" s="129"/>
      <c r="C275" s="263"/>
    </row>
    <row r="276">
      <c r="A276" s="129"/>
      <c r="B276" s="129"/>
      <c r="C276" s="263"/>
    </row>
    <row r="277">
      <c r="A277" s="129"/>
      <c r="B277" s="129"/>
      <c r="C277" s="263"/>
    </row>
    <row r="278">
      <c r="A278" s="129"/>
      <c r="B278" s="129"/>
      <c r="C278" s="263"/>
    </row>
    <row r="279">
      <c r="A279" s="129"/>
      <c r="B279" s="129"/>
      <c r="C279" s="263"/>
    </row>
    <row r="280">
      <c r="A280" s="129"/>
      <c r="B280" s="129"/>
      <c r="C280" s="263"/>
    </row>
    <row r="281">
      <c r="A281" s="129"/>
      <c r="B281" s="129"/>
      <c r="C281" s="263"/>
    </row>
    <row r="282">
      <c r="A282" s="129"/>
      <c r="B282" s="129"/>
      <c r="C282" s="263"/>
    </row>
    <row r="283">
      <c r="A283" s="129"/>
      <c r="B283" s="129"/>
      <c r="C283" s="263"/>
    </row>
    <row r="284">
      <c r="A284" s="129"/>
      <c r="B284" s="129"/>
      <c r="C284" s="263"/>
    </row>
    <row r="285">
      <c r="A285" s="129"/>
      <c r="B285" s="129"/>
      <c r="C285" s="263"/>
    </row>
    <row r="286">
      <c r="A286" s="129"/>
      <c r="B286" s="129"/>
      <c r="C286" s="263"/>
    </row>
    <row r="287">
      <c r="A287" s="129"/>
      <c r="B287" s="129"/>
      <c r="C287" s="263"/>
    </row>
    <row r="288">
      <c r="A288" s="129"/>
      <c r="B288" s="129"/>
      <c r="C288" s="263"/>
    </row>
    <row r="289">
      <c r="A289" s="129"/>
      <c r="B289" s="129"/>
      <c r="C289" s="263"/>
    </row>
    <row r="290">
      <c r="A290" s="129"/>
      <c r="B290" s="129"/>
      <c r="C290" s="263"/>
    </row>
    <row r="291">
      <c r="A291" s="129"/>
      <c r="B291" s="129"/>
      <c r="C291" s="263"/>
    </row>
    <row r="292">
      <c r="A292" s="129"/>
      <c r="B292" s="129"/>
      <c r="C292" s="263"/>
    </row>
    <row r="293">
      <c r="A293" s="129"/>
      <c r="B293" s="129"/>
      <c r="C293" s="263"/>
    </row>
    <row r="294">
      <c r="A294" s="129"/>
      <c r="B294" s="129"/>
      <c r="C294" s="263"/>
    </row>
    <row r="295">
      <c r="A295" s="129"/>
      <c r="B295" s="129"/>
      <c r="C295" s="263"/>
    </row>
    <row r="296">
      <c r="A296" s="129"/>
      <c r="B296" s="129"/>
      <c r="C296" s="263"/>
    </row>
    <row r="297">
      <c r="A297" s="129"/>
      <c r="B297" s="129"/>
      <c r="C297" s="263"/>
    </row>
    <row r="298">
      <c r="A298" s="129"/>
      <c r="B298" s="129"/>
      <c r="C298" s="263"/>
    </row>
    <row r="299">
      <c r="A299" s="129"/>
      <c r="B299" s="129"/>
      <c r="C299" s="263"/>
    </row>
    <row r="300">
      <c r="A300" s="129"/>
      <c r="B300" s="129"/>
      <c r="C300" s="263"/>
    </row>
    <row r="301">
      <c r="A301" s="129"/>
      <c r="B301" s="129"/>
      <c r="C301" s="263"/>
    </row>
    <row r="302">
      <c r="A302" s="129"/>
      <c r="B302" s="129"/>
      <c r="C302" s="263"/>
    </row>
    <row r="303">
      <c r="A303" s="129"/>
      <c r="B303" s="129"/>
      <c r="C303" s="263"/>
    </row>
    <row r="304">
      <c r="A304" s="129"/>
      <c r="B304" s="129"/>
      <c r="C304" s="263"/>
    </row>
    <row r="305">
      <c r="A305" s="129"/>
      <c r="B305" s="129"/>
      <c r="C305" s="263"/>
    </row>
    <row r="306">
      <c r="A306" s="129"/>
      <c r="B306" s="129"/>
      <c r="C306" s="263"/>
    </row>
    <row r="307">
      <c r="A307" s="129"/>
      <c r="B307" s="129"/>
      <c r="C307" s="263"/>
    </row>
    <row r="308">
      <c r="A308" s="129"/>
      <c r="B308" s="129"/>
      <c r="C308" s="263"/>
    </row>
    <row r="309">
      <c r="A309" s="129"/>
      <c r="B309" s="129"/>
      <c r="C309" s="263"/>
    </row>
    <row r="310">
      <c r="A310" s="129"/>
      <c r="B310" s="129"/>
      <c r="C310" s="263"/>
    </row>
    <row r="311">
      <c r="A311" s="129"/>
      <c r="B311" s="129"/>
      <c r="C311" s="263"/>
    </row>
    <row r="312">
      <c r="A312" s="129"/>
      <c r="B312" s="129"/>
      <c r="C312" s="263"/>
    </row>
    <row r="313">
      <c r="A313" s="129"/>
      <c r="B313" s="129"/>
      <c r="C313" s="263"/>
    </row>
    <row r="314">
      <c r="A314" s="129"/>
      <c r="B314" s="129"/>
      <c r="C314" s="263"/>
    </row>
    <row r="315">
      <c r="A315" s="129"/>
      <c r="B315" s="129"/>
      <c r="C315" s="263"/>
    </row>
    <row r="316">
      <c r="A316" s="129"/>
      <c r="B316" s="129"/>
      <c r="C316" s="263"/>
    </row>
    <row r="317">
      <c r="A317" s="129"/>
      <c r="B317" s="129"/>
      <c r="C317" s="263"/>
    </row>
    <row r="318">
      <c r="A318" s="129"/>
      <c r="B318" s="129"/>
      <c r="C318" s="263"/>
    </row>
    <row r="319">
      <c r="A319" s="129"/>
      <c r="B319" s="129"/>
      <c r="C319" s="263"/>
    </row>
    <row r="320">
      <c r="A320" s="129"/>
      <c r="B320" s="129"/>
      <c r="C320" s="263"/>
    </row>
    <row r="321">
      <c r="A321" s="129"/>
      <c r="B321" s="129"/>
      <c r="C321" s="263"/>
    </row>
    <row r="322">
      <c r="A322" s="129"/>
      <c r="B322" s="129"/>
      <c r="C322" s="263"/>
    </row>
    <row r="323">
      <c r="A323" s="129"/>
      <c r="B323" s="129"/>
      <c r="C323" s="263"/>
    </row>
    <row r="324">
      <c r="A324" s="129"/>
      <c r="B324" s="129"/>
      <c r="C324" s="263"/>
    </row>
    <row r="325">
      <c r="A325" s="129"/>
      <c r="B325" s="129"/>
      <c r="C325" s="263"/>
    </row>
    <row r="326">
      <c r="A326" s="129"/>
      <c r="B326" s="129"/>
      <c r="C326" s="263"/>
    </row>
    <row r="327">
      <c r="A327" s="129"/>
      <c r="B327" s="129"/>
      <c r="C327" s="263"/>
    </row>
    <row r="328">
      <c r="A328" s="129"/>
      <c r="B328" s="129"/>
      <c r="C328" s="263"/>
    </row>
    <row r="329">
      <c r="A329" s="129"/>
      <c r="B329" s="129"/>
      <c r="C329" s="263"/>
    </row>
    <row r="330">
      <c r="A330" s="129"/>
      <c r="B330" s="129"/>
      <c r="C330" s="263"/>
    </row>
    <row r="331">
      <c r="A331" s="129"/>
      <c r="B331" s="129"/>
      <c r="C331" s="263"/>
    </row>
    <row r="332">
      <c r="A332" s="129"/>
      <c r="B332" s="129"/>
      <c r="C332" s="263"/>
    </row>
    <row r="333">
      <c r="A333" s="129"/>
      <c r="B333" s="129"/>
      <c r="C333" s="263"/>
    </row>
    <row r="334">
      <c r="A334" s="129"/>
      <c r="B334" s="129"/>
      <c r="C334" s="263"/>
    </row>
    <row r="335">
      <c r="A335" s="129"/>
      <c r="B335" s="129"/>
      <c r="C335" s="263"/>
    </row>
    <row r="336">
      <c r="A336" s="129"/>
      <c r="B336" s="129"/>
      <c r="C336" s="263"/>
    </row>
    <row r="337">
      <c r="A337" s="129"/>
      <c r="B337" s="129"/>
      <c r="C337" s="263"/>
    </row>
    <row r="338">
      <c r="A338" s="129"/>
      <c r="B338" s="129"/>
      <c r="C338" s="263"/>
    </row>
    <row r="339">
      <c r="A339" s="129"/>
      <c r="B339" s="129"/>
      <c r="C339" s="263"/>
    </row>
    <row r="340">
      <c r="A340" s="129"/>
      <c r="B340" s="129"/>
      <c r="C340" s="263"/>
    </row>
    <row r="341">
      <c r="A341" s="129"/>
      <c r="B341" s="129"/>
      <c r="C341" s="263"/>
    </row>
    <row r="342">
      <c r="A342" s="129"/>
      <c r="B342" s="129"/>
      <c r="C342" s="263"/>
    </row>
    <row r="343">
      <c r="A343" s="129"/>
      <c r="B343" s="129"/>
      <c r="C343" s="263"/>
    </row>
    <row r="344">
      <c r="A344" s="129"/>
      <c r="B344" s="129"/>
      <c r="C344" s="263"/>
    </row>
    <row r="345">
      <c r="A345" s="129"/>
      <c r="B345" s="129"/>
      <c r="C345" s="263"/>
    </row>
    <row r="346">
      <c r="A346" s="129"/>
      <c r="B346" s="129"/>
      <c r="C346" s="263"/>
    </row>
    <row r="347">
      <c r="A347" s="129"/>
      <c r="B347" s="129"/>
      <c r="C347" s="263"/>
    </row>
    <row r="348">
      <c r="A348" s="129"/>
      <c r="B348" s="129"/>
      <c r="C348" s="263"/>
    </row>
    <row r="349">
      <c r="A349" s="129"/>
      <c r="B349" s="129"/>
      <c r="C349" s="263"/>
    </row>
    <row r="350">
      <c r="A350" s="129"/>
      <c r="B350" s="129"/>
      <c r="C350" s="263"/>
    </row>
    <row r="351">
      <c r="A351" s="129"/>
      <c r="B351" s="129"/>
      <c r="C351" s="263"/>
    </row>
    <row r="352">
      <c r="A352" s="129"/>
      <c r="B352" s="129"/>
      <c r="C352" s="263"/>
    </row>
    <row r="353">
      <c r="A353" s="129"/>
      <c r="B353" s="129"/>
      <c r="C353" s="263"/>
    </row>
    <row r="354">
      <c r="A354" s="129"/>
      <c r="B354" s="129"/>
      <c r="C354" s="263"/>
    </row>
    <row r="355">
      <c r="A355" s="129"/>
      <c r="B355" s="129"/>
      <c r="C355" s="263"/>
    </row>
    <row r="356">
      <c r="A356" s="129"/>
      <c r="B356" s="129"/>
      <c r="C356" s="263"/>
    </row>
    <row r="357">
      <c r="A357" s="129"/>
      <c r="B357" s="129"/>
      <c r="C357" s="263"/>
    </row>
    <row r="358">
      <c r="A358" s="129"/>
      <c r="B358" s="129"/>
      <c r="C358" s="263"/>
    </row>
    <row r="359">
      <c r="A359" s="129"/>
      <c r="B359" s="129"/>
      <c r="C359" s="263"/>
    </row>
    <row r="360">
      <c r="A360" s="129"/>
      <c r="B360" s="129"/>
      <c r="C360" s="263"/>
    </row>
    <row r="361">
      <c r="A361" s="129"/>
      <c r="B361" s="129"/>
      <c r="C361" s="263"/>
    </row>
    <row r="362">
      <c r="A362" s="129"/>
      <c r="B362" s="129"/>
      <c r="C362" s="263"/>
    </row>
    <row r="363">
      <c r="A363" s="129"/>
      <c r="B363" s="129"/>
      <c r="C363" s="263"/>
    </row>
    <row r="364">
      <c r="A364" s="129"/>
      <c r="B364" s="129"/>
      <c r="C364" s="263"/>
    </row>
    <row r="365">
      <c r="A365" s="129"/>
      <c r="B365" s="129"/>
      <c r="C365" s="263"/>
    </row>
    <row r="366">
      <c r="A366" s="129"/>
      <c r="B366" s="129"/>
      <c r="C366" s="263"/>
    </row>
    <row r="367">
      <c r="A367" s="129"/>
      <c r="B367" s="129"/>
      <c r="C367" s="263"/>
    </row>
    <row r="368">
      <c r="A368" s="129"/>
      <c r="B368" s="129"/>
      <c r="C368" s="263"/>
    </row>
    <row r="369">
      <c r="A369" s="129"/>
      <c r="B369" s="129"/>
      <c r="C369" s="263"/>
    </row>
    <row r="370">
      <c r="A370" s="129"/>
      <c r="B370" s="129"/>
      <c r="C370" s="263"/>
    </row>
    <row r="371">
      <c r="A371" s="129"/>
      <c r="B371" s="129"/>
      <c r="C371" s="263"/>
    </row>
    <row r="372">
      <c r="A372" s="129"/>
      <c r="B372" s="129"/>
      <c r="C372" s="263"/>
    </row>
    <row r="373">
      <c r="A373" s="129"/>
      <c r="B373" s="129"/>
      <c r="C373" s="263"/>
    </row>
    <row r="374">
      <c r="A374" s="129"/>
      <c r="B374" s="129"/>
      <c r="C374" s="263"/>
    </row>
    <row r="375">
      <c r="A375" s="129"/>
      <c r="B375" s="129"/>
      <c r="C375" s="263"/>
    </row>
    <row r="376">
      <c r="A376" s="129"/>
      <c r="B376" s="129"/>
      <c r="C376" s="263"/>
    </row>
    <row r="377">
      <c r="A377" s="129"/>
      <c r="B377" s="129"/>
      <c r="C377" s="263"/>
    </row>
    <row r="378">
      <c r="A378" s="129"/>
      <c r="B378" s="129"/>
      <c r="C378" s="263"/>
    </row>
    <row r="379">
      <c r="A379" s="129"/>
      <c r="B379" s="129"/>
      <c r="C379" s="263"/>
    </row>
    <row r="380">
      <c r="A380" s="129"/>
      <c r="B380" s="129"/>
      <c r="C380" s="263"/>
    </row>
    <row r="381">
      <c r="A381" s="129"/>
      <c r="B381" s="129"/>
      <c r="C381" s="263"/>
    </row>
    <row r="382">
      <c r="A382" s="129"/>
      <c r="B382" s="129"/>
      <c r="C382" s="263"/>
    </row>
    <row r="383">
      <c r="A383" s="129"/>
      <c r="B383" s="129"/>
      <c r="C383" s="263"/>
    </row>
    <row r="384">
      <c r="A384" s="129"/>
      <c r="B384" s="129"/>
      <c r="C384" s="263"/>
    </row>
    <row r="385">
      <c r="A385" s="129"/>
      <c r="B385" s="129"/>
      <c r="C385" s="263"/>
    </row>
    <row r="386">
      <c r="A386" s="129"/>
      <c r="B386" s="129"/>
      <c r="C386" s="263"/>
    </row>
    <row r="387">
      <c r="A387" s="129"/>
      <c r="B387" s="129"/>
      <c r="C387" s="263"/>
    </row>
    <row r="388">
      <c r="A388" s="129"/>
      <c r="B388" s="129"/>
      <c r="C388" s="263"/>
    </row>
    <row r="389">
      <c r="A389" s="129"/>
      <c r="B389" s="129"/>
      <c r="C389" s="263"/>
    </row>
    <row r="390">
      <c r="A390" s="129"/>
      <c r="B390" s="129"/>
      <c r="C390" s="263"/>
    </row>
    <row r="391">
      <c r="A391" s="129"/>
      <c r="B391" s="129"/>
      <c r="C391" s="263"/>
    </row>
    <row r="392">
      <c r="A392" s="129"/>
      <c r="B392" s="129"/>
      <c r="C392" s="263"/>
    </row>
    <row r="393">
      <c r="A393" s="129"/>
      <c r="B393" s="129"/>
      <c r="C393" s="263"/>
    </row>
    <row r="394">
      <c r="A394" s="129"/>
      <c r="B394" s="129"/>
      <c r="C394" s="263"/>
    </row>
    <row r="395">
      <c r="A395" s="129"/>
      <c r="B395" s="129"/>
      <c r="C395" s="263"/>
    </row>
    <row r="396">
      <c r="A396" s="129"/>
      <c r="B396" s="129"/>
      <c r="C396" s="263"/>
    </row>
    <row r="397">
      <c r="A397" s="129"/>
      <c r="B397" s="129"/>
      <c r="C397" s="263"/>
    </row>
    <row r="398">
      <c r="A398" s="129"/>
      <c r="B398" s="129"/>
      <c r="C398" s="263"/>
    </row>
    <row r="399">
      <c r="A399" s="129"/>
      <c r="B399" s="129"/>
      <c r="C399" s="263"/>
    </row>
    <row r="400">
      <c r="A400" s="129"/>
      <c r="B400" s="129"/>
      <c r="C400" s="263"/>
    </row>
    <row r="401">
      <c r="A401" s="129"/>
      <c r="B401" s="129"/>
      <c r="C401" s="263"/>
    </row>
    <row r="402">
      <c r="A402" s="129"/>
      <c r="B402" s="129"/>
      <c r="C402" s="263"/>
    </row>
    <row r="403">
      <c r="A403" s="129"/>
      <c r="B403" s="129"/>
      <c r="C403" s="263"/>
    </row>
    <row r="404">
      <c r="A404" s="129"/>
      <c r="B404" s="129"/>
      <c r="C404" s="263"/>
    </row>
    <row r="405">
      <c r="A405" s="129"/>
      <c r="B405" s="129"/>
      <c r="C405" s="263"/>
    </row>
    <row r="406">
      <c r="A406" s="129"/>
      <c r="B406" s="129"/>
      <c r="C406" s="263"/>
    </row>
    <row r="407">
      <c r="A407" s="129"/>
      <c r="B407" s="129"/>
      <c r="C407" s="263"/>
    </row>
    <row r="408">
      <c r="A408" s="129"/>
      <c r="B408" s="129"/>
      <c r="C408" s="263"/>
    </row>
    <row r="409">
      <c r="A409" s="129"/>
      <c r="B409" s="129"/>
      <c r="C409" s="263"/>
    </row>
    <row r="410">
      <c r="A410" s="129"/>
      <c r="B410" s="129"/>
      <c r="C410" s="263"/>
    </row>
    <row r="411">
      <c r="A411" s="129"/>
      <c r="B411" s="129"/>
      <c r="C411" s="263"/>
    </row>
    <row r="412">
      <c r="A412" s="129"/>
      <c r="B412" s="129"/>
      <c r="C412" s="263"/>
    </row>
    <row r="413">
      <c r="A413" s="129"/>
      <c r="B413" s="129"/>
      <c r="C413" s="263"/>
    </row>
    <row r="414">
      <c r="A414" s="129"/>
      <c r="B414" s="129"/>
      <c r="C414" s="263"/>
    </row>
    <row r="415">
      <c r="A415" s="129"/>
      <c r="B415" s="129"/>
      <c r="C415" s="263"/>
    </row>
    <row r="416">
      <c r="A416" s="129"/>
      <c r="B416" s="129"/>
      <c r="C416" s="263"/>
    </row>
    <row r="417">
      <c r="A417" s="129"/>
      <c r="B417" s="129"/>
      <c r="C417" s="263"/>
    </row>
    <row r="418">
      <c r="A418" s="129"/>
      <c r="B418" s="129"/>
      <c r="C418" s="263"/>
    </row>
    <row r="419">
      <c r="A419" s="129"/>
      <c r="B419" s="129"/>
      <c r="C419" s="263"/>
    </row>
    <row r="420">
      <c r="A420" s="129"/>
      <c r="B420" s="129"/>
      <c r="C420" s="263"/>
    </row>
    <row r="421">
      <c r="A421" s="129"/>
      <c r="B421" s="129"/>
      <c r="C421" s="263"/>
    </row>
    <row r="422">
      <c r="A422" s="129"/>
      <c r="B422" s="129"/>
      <c r="C422" s="263"/>
    </row>
    <row r="423">
      <c r="A423" s="129"/>
      <c r="B423" s="129"/>
      <c r="C423" s="263"/>
    </row>
    <row r="424">
      <c r="A424" s="129"/>
      <c r="B424" s="129"/>
      <c r="C424" s="263"/>
    </row>
    <row r="425">
      <c r="A425" s="129"/>
      <c r="B425" s="129"/>
      <c r="C425" s="263"/>
    </row>
    <row r="426">
      <c r="A426" s="129"/>
      <c r="B426" s="129"/>
      <c r="C426" s="263"/>
    </row>
    <row r="427">
      <c r="A427" s="129"/>
      <c r="B427" s="129"/>
      <c r="C427" s="263"/>
    </row>
    <row r="428">
      <c r="A428" s="129"/>
      <c r="B428" s="129"/>
      <c r="C428" s="263"/>
    </row>
    <row r="429">
      <c r="A429" s="129"/>
      <c r="B429" s="129"/>
      <c r="C429" s="263"/>
    </row>
    <row r="430">
      <c r="A430" s="129"/>
      <c r="B430" s="129"/>
      <c r="C430" s="263"/>
    </row>
    <row r="431">
      <c r="A431" s="129"/>
      <c r="B431" s="129"/>
      <c r="C431" s="263"/>
    </row>
    <row r="432">
      <c r="A432" s="129"/>
      <c r="B432" s="129"/>
      <c r="C432" s="263"/>
    </row>
    <row r="433">
      <c r="A433" s="129"/>
      <c r="B433" s="129"/>
      <c r="C433" s="263"/>
    </row>
    <row r="434">
      <c r="A434" s="129"/>
      <c r="B434" s="129"/>
      <c r="C434" s="263"/>
    </row>
    <row r="435">
      <c r="A435" s="129"/>
      <c r="B435" s="129"/>
      <c r="C435" s="263"/>
    </row>
    <row r="436">
      <c r="A436" s="129"/>
      <c r="B436" s="129"/>
      <c r="C436" s="263"/>
    </row>
    <row r="437">
      <c r="A437" s="129"/>
      <c r="B437" s="129"/>
      <c r="C437" s="263"/>
    </row>
    <row r="438">
      <c r="A438" s="129"/>
      <c r="B438" s="129"/>
      <c r="C438" s="263"/>
    </row>
    <row r="439">
      <c r="A439" s="129"/>
      <c r="B439" s="129"/>
      <c r="C439" s="263"/>
    </row>
    <row r="440">
      <c r="A440" s="129"/>
      <c r="B440" s="129"/>
      <c r="C440" s="263"/>
    </row>
    <row r="441">
      <c r="A441" s="129"/>
      <c r="B441" s="129"/>
      <c r="C441" s="263"/>
    </row>
    <row r="442">
      <c r="A442" s="129"/>
      <c r="B442" s="129"/>
      <c r="C442" s="263"/>
    </row>
    <row r="443">
      <c r="A443" s="129"/>
      <c r="B443" s="129"/>
      <c r="C443" s="263"/>
    </row>
    <row r="444">
      <c r="A444" s="129"/>
      <c r="B444" s="129"/>
      <c r="C444" s="263"/>
    </row>
    <row r="445">
      <c r="A445" s="129"/>
      <c r="B445" s="129"/>
      <c r="C445" s="263"/>
    </row>
    <row r="446">
      <c r="A446" s="129"/>
      <c r="B446" s="129"/>
      <c r="C446" s="263"/>
    </row>
    <row r="447">
      <c r="A447" s="129"/>
      <c r="B447" s="129"/>
      <c r="C447" s="263"/>
    </row>
    <row r="448">
      <c r="A448" s="129"/>
      <c r="B448" s="129"/>
      <c r="C448" s="263"/>
    </row>
    <row r="449">
      <c r="A449" s="129"/>
      <c r="B449" s="129"/>
      <c r="C449" s="263"/>
    </row>
    <row r="450">
      <c r="A450" s="129"/>
      <c r="B450" s="129"/>
      <c r="C450" s="263"/>
    </row>
    <row r="451">
      <c r="A451" s="129"/>
      <c r="B451" s="129"/>
      <c r="C451" s="263"/>
    </row>
    <row r="452">
      <c r="A452" s="129"/>
      <c r="B452" s="129"/>
      <c r="C452" s="263"/>
    </row>
    <row r="453">
      <c r="A453" s="129"/>
      <c r="B453" s="129"/>
      <c r="C453" s="263"/>
    </row>
    <row r="454">
      <c r="A454" s="129"/>
      <c r="B454" s="129"/>
      <c r="C454" s="263"/>
    </row>
    <row r="455">
      <c r="A455" s="129"/>
      <c r="B455" s="129"/>
      <c r="C455" s="263"/>
    </row>
    <row r="456">
      <c r="A456" s="129"/>
      <c r="B456" s="129"/>
      <c r="C456" s="263"/>
    </row>
    <row r="457">
      <c r="A457" s="129"/>
      <c r="B457" s="129"/>
      <c r="C457" s="263"/>
    </row>
    <row r="458">
      <c r="A458" s="129"/>
      <c r="B458" s="129"/>
      <c r="C458" s="263"/>
    </row>
    <row r="459">
      <c r="A459" s="129"/>
      <c r="B459" s="129"/>
      <c r="C459" s="263"/>
    </row>
    <row r="460">
      <c r="A460" s="129"/>
      <c r="B460" s="129"/>
      <c r="C460" s="263"/>
    </row>
    <row r="461">
      <c r="A461" s="129"/>
      <c r="B461" s="129"/>
      <c r="C461" s="263"/>
    </row>
    <row r="462">
      <c r="A462" s="129"/>
      <c r="B462" s="129"/>
      <c r="C462" s="263"/>
    </row>
    <row r="463">
      <c r="A463" s="129"/>
      <c r="B463" s="129"/>
      <c r="C463" s="263"/>
    </row>
    <row r="464">
      <c r="A464" s="129"/>
      <c r="B464" s="129"/>
      <c r="C464" s="263"/>
    </row>
    <row r="465">
      <c r="A465" s="129"/>
      <c r="B465" s="129"/>
      <c r="C465" s="263"/>
    </row>
    <row r="466">
      <c r="A466" s="129"/>
      <c r="B466" s="129"/>
      <c r="C466" s="263"/>
    </row>
    <row r="467">
      <c r="A467" s="129"/>
      <c r="B467" s="129"/>
      <c r="C467" s="263"/>
    </row>
    <row r="468">
      <c r="A468" s="129"/>
      <c r="B468" s="129"/>
      <c r="C468" s="263"/>
    </row>
    <row r="469">
      <c r="A469" s="129"/>
      <c r="B469" s="129"/>
      <c r="C469" s="263"/>
    </row>
    <row r="470">
      <c r="A470" s="129"/>
      <c r="B470" s="129"/>
      <c r="C470" s="263"/>
    </row>
    <row r="471">
      <c r="A471" s="129"/>
      <c r="B471" s="129"/>
      <c r="C471" s="263"/>
    </row>
    <row r="472">
      <c r="A472" s="129"/>
      <c r="B472" s="129"/>
      <c r="C472" s="263"/>
    </row>
    <row r="473">
      <c r="A473" s="129"/>
      <c r="B473" s="129"/>
      <c r="C473" s="263"/>
    </row>
    <row r="474">
      <c r="A474" s="129"/>
      <c r="B474" s="129"/>
      <c r="C474" s="263"/>
    </row>
    <row r="475">
      <c r="A475" s="129"/>
      <c r="B475" s="129"/>
      <c r="C475" s="263"/>
    </row>
    <row r="476">
      <c r="A476" s="129"/>
      <c r="B476" s="129"/>
      <c r="C476" s="263"/>
    </row>
    <row r="477">
      <c r="A477" s="129"/>
      <c r="B477" s="129"/>
      <c r="C477" s="263"/>
    </row>
    <row r="478">
      <c r="A478" s="129"/>
      <c r="B478" s="129"/>
      <c r="C478" s="263"/>
    </row>
    <row r="479">
      <c r="A479" s="129"/>
      <c r="B479" s="129"/>
      <c r="C479" s="263"/>
    </row>
    <row r="480">
      <c r="A480" s="129"/>
      <c r="B480" s="129"/>
      <c r="C480" s="263"/>
    </row>
    <row r="481">
      <c r="A481" s="129"/>
      <c r="B481" s="129"/>
      <c r="C481" s="263"/>
    </row>
    <row r="482">
      <c r="A482" s="129"/>
      <c r="B482" s="129"/>
      <c r="C482" s="263"/>
    </row>
    <row r="483">
      <c r="A483" s="129"/>
      <c r="B483" s="129"/>
      <c r="C483" s="263"/>
    </row>
    <row r="484">
      <c r="A484" s="129"/>
      <c r="B484" s="129"/>
      <c r="C484" s="263"/>
    </row>
    <row r="485">
      <c r="A485" s="129"/>
      <c r="B485" s="129"/>
      <c r="C485" s="263"/>
    </row>
    <row r="486">
      <c r="A486" s="129"/>
      <c r="B486" s="129"/>
      <c r="C486" s="263"/>
    </row>
    <row r="487">
      <c r="A487" s="129"/>
      <c r="B487" s="129"/>
      <c r="C487" s="263"/>
    </row>
    <row r="488">
      <c r="A488" s="129"/>
      <c r="B488" s="129"/>
      <c r="C488" s="263"/>
    </row>
    <row r="489">
      <c r="A489" s="129"/>
      <c r="B489" s="129"/>
      <c r="C489" s="263"/>
    </row>
    <row r="490">
      <c r="A490" s="129"/>
      <c r="B490" s="129"/>
      <c r="C490" s="263"/>
    </row>
    <row r="491">
      <c r="A491" s="129"/>
      <c r="B491" s="129"/>
      <c r="C491" s="263"/>
    </row>
    <row r="492">
      <c r="A492" s="129"/>
      <c r="B492" s="129"/>
      <c r="C492" s="263"/>
    </row>
    <row r="493">
      <c r="A493" s="129"/>
      <c r="B493" s="129"/>
      <c r="C493" s="263"/>
    </row>
    <row r="494">
      <c r="A494" s="129"/>
      <c r="B494" s="129"/>
      <c r="C494" s="263"/>
    </row>
    <row r="495">
      <c r="A495" s="129"/>
      <c r="B495" s="129"/>
      <c r="C495" s="263"/>
    </row>
    <row r="496">
      <c r="A496" s="129"/>
      <c r="B496" s="129"/>
      <c r="C496" s="263"/>
    </row>
    <row r="497">
      <c r="A497" s="129"/>
      <c r="B497" s="129"/>
      <c r="C497" s="263"/>
    </row>
    <row r="498">
      <c r="A498" s="129"/>
      <c r="B498" s="129"/>
      <c r="C498" s="263"/>
    </row>
    <row r="499">
      <c r="A499" s="129"/>
      <c r="B499" s="129"/>
      <c r="C499" s="263"/>
    </row>
    <row r="500">
      <c r="A500" s="129"/>
      <c r="B500" s="129"/>
      <c r="C500" s="263"/>
    </row>
    <row r="501">
      <c r="A501" s="129"/>
      <c r="B501" s="129"/>
      <c r="C501" s="263"/>
    </row>
    <row r="502">
      <c r="A502" s="129"/>
      <c r="B502" s="129"/>
      <c r="C502" s="263"/>
    </row>
    <row r="503">
      <c r="A503" s="129"/>
      <c r="B503" s="129"/>
      <c r="C503" s="263"/>
    </row>
    <row r="504">
      <c r="A504" s="129"/>
      <c r="B504" s="129"/>
      <c r="C504" s="263"/>
    </row>
    <row r="505">
      <c r="A505" s="129"/>
      <c r="B505" s="129"/>
      <c r="C505" s="263"/>
    </row>
    <row r="506">
      <c r="A506" s="129"/>
      <c r="B506" s="129"/>
      <c r="C506" s="263"/>
    </row>
    <row r="507">
      <c r="A507" s="129"/>
      <c r="B507" s="129"/>
      <c r="C507" s="263"/>
    </row>
    <row r="508">
      <c r="A508" s="129"/>
      <c r="B508" s="129"/>
      <c r="C508" s="263"/>
    </row>
    <row r="509">
      <c r="A509" s="129"/>
      <c r="B509" s="129"/>
      <c r="C509" s="263"/>
    </row>
    <row r="510">
      <c r="A510" s="129"/>
      <c r="B510" s="129"/>
      <c r="C510" s="263"/>
    </row>
    <row r="511">
      <c r="A511" s="129"/>
      <c r="B511" s="129"/>
      <c r="C511" s="263"/>
    </row>
    <row r="512">
      <c r="A512" s="129"/>
      <c r="B512" s="129"/>
      <c r="C512" s="263"/>
    </row>
    <row r="513">
      <c r="A513" s="129"/>
      <c r="B513" s="129"/>
      <c r="C513" s="263"/>
    </row>
    <row r="514">
      <c r="A514" s="129"/>
      <c r="B514" s="129"/>
      <c r="C514" s="263"/>
    </row>
    <row r="515">
      <c r="A515" s="129"/>
      <c r="B515" s="129"/>
      <c r="C515" s="263"/>
    </row>
    <row r="516">
      <c r="A516" s="129"/>
      <c r="B516" s="129"/>
      <c r="C516" s="263"/>
    </row>
    <row r="517">
      <c r="A517" s="129"/>
      <c r="B517" s="129"/>
      <c r="C517" s="263"/>
    </row>
    <row r="518">
      <c r="A518" s="129"/>
      <c r="B518" s="129"/>
      <c r="C518" s="263"/>
    </row>
    <row r="519">
      <c r="A519" s="129"/>
      <c r="B519" s="129"/>
      <c r="C519" s="263"/>
    </row>
    <row r="520">
      <c r="A520" s="129"/>
      <c r="B520" s="129"/>
      <c r="C520" s="263"/>
    </row>
    <row r="521">
      <c r="A521" s="129"/>
      <c r="B521" s="129"/>
      <c r="C521" s="263"/>
    </row>
    <row r="522">
      <c r="A522" s="129"/>
      <c r="B522" s="129"/>
      <c r="C522" s="263"/>
    </row>
    <row r="523">
      <c r="A523" s="129"/>
      <c r="B523" s="129"/>
      <c r="C523" s="263"/>
    </row>
    <row r="524">
      <c r="A524" s="129"/>
      <c r="B524" s="129"/>
      <c r="C524" s="263"/>
    </row>
    <row r="525">
      <c r="A525" s="129"/>
      <c r="B525" s="129"/>
      <c r="C525" s="263"/>
    </row>
    <row r="526">
      <c r="A526" s="129"/>
      <c r="B526" s="129"/>
      <c r="C526" s="263"/>
    </row>
    <row r="527">
      <c r="A527" s="129"/>
      <c r="B527" s="129"/>
      <c r="C527" s="263"/>
    </row>
    <row r="528">
      <c r="A528" s="129"/>
      <c r="B528" s="129"/>
      <c r="C528" s="263"/>
    </row>
    <row r="529">
      <c r="A529" s="129"/>
      <c r="B529" s="129"/>
      <c r="C529" s="263"/>
    </row>
    <row r="530">
      <c r="A530" s="129"/>
      <c r="B530" s="129"/>
      <c r="C530" s="263"/>
    </row>
    <row r="531">
      <c r="A531" s="129"/>
      <c r="B531" s="129"/>
      <c r="C531" s="263"/>
    </row>
    <row r="532">
      <c r="A532" s="129"/>
      <c r="B532" s="129"/>
      <c r="C532" s="263"/>
    </row>
    <row r="533">
      <c r="A533" s="129"/>
      <c r="B533" s="129"/>
      <c r="C533" s="263"/>
    </row>
    <row r="534">
      <c r="A534" s="129"/>
      <c r="B534" s="129"/>
      <c r="C534" s="263"/>
    </row>
    <row r="535">
      <c r="A535" s="129"/>
      <c r="B535" s="129"/>
      <c r="C535" s="263"/>
    </row>
    <row r="536">
      <c r="A536" s="129"/>
      <c r="B536" s="129"/>
      <c r="C536" s="263"/>
    </row>
    <row r="537">
      <c r="A537" s="129"/>
      <c r="B537" s="129"/>
      <c r="C537" s="263"/>
    </row>
    <row r="538">
      <c r="A538" s="129"/>
      <c r="B538" s="129"/>
      <c r="C538" s="263"/>
    </row>
    <row r="539">
      <c r="A539" s="129"/>
      <c r="B539" s="129"/>
      <c r="C539" s="263"/>
    </row>
    <row r="540">
      <c r="A540" s="129"/>
      <c r="B540" s="129"/>
      <c r="C540" s="263"/>
    </row>
    <row r="541">
      <c r="A541" s="129"/>
      <c r="B541" s="129"/>
      <c r="C541" s="263"/>
    </row>
    <row r="542">
      <c r="A542" s="129"/>
      <c r="B542" s="129"/>
      <c r="C542" s="263"/>
    </row>
    <row r="543">
      <c r="A543" s="129"/>
      <c r="B543" s="129"/>
      <c r="C543" s="263"/>
    </row>
    <row r="544">
      <c r="A544" s="129"/>
      <c r="B544" s="129"/>
      <c r="C544" s="263"/>
    </row>
    <row r="545">
      <c r="A545" s="129"/>
      <c r="B545" s="129"/>
      <c r="C545" s="263"/>
    </row>
    <row r="546">
      <c r="A546" s="129"/>
      <c r="B546" s="129"/>
      <c r="C546" s="263"/>
    </row>
    <row r="547">
      <c r="A547" s="129"/>
      <c r="B547" s="129"/>
      <c r="C547" s="263"/>
    </row>
    <row r="548">
      <c r="A548" s="129"/>
      <c r="B548" s="129"/>
      <c r="C548" s="263"/>
    </row>
    <row r="549">
      <c r="A549" s="129"/>
      <c r="B549" s="129"/>
      <c r="C549" s="263"/>
    </row>
    <row r="550">
      <c r="A550" s="129"/>
      <c r="B550" s="129"/>
      <c r="C550" s="263"/>
    </row>
    <row r="551">
      <c r="A551" s="129"/>
      <c r="B551" s="129"/>
      <c r="C551" s="263"/>
    </row>
    <row r="552">
      <c r="A552" s="129"/>
      <c r="B552" s="129"/>
      <c r="C552" s="263"/>
    </row>
    <row r="553">
      <c r="A553" s="129"/>
      <c r="B553" s="129"/>
      <c r="C553" s="263"/>
    </row>
    <row r="554">
      <c r="A554" s="129"/>
      <c r="B554" s="129"/>
      <c r="C554" s="263"/>
    </row>
    <row r="555">
      <c r="A555" s="129"/>
      <c r="B555" s="129"/>
      <c r="C555" s="263"/>
    </row>
    <row r="556">
      <c r="A556" s="129"/>
      <c r="B556" s="129"/>
      <c r="C556" s="263"/>
    </row>
    <row r="557">
      <c r="A557" s="129"/>
      <c r="B557" s="129"/>
      <c r="C557" s="263"/>
    </row>
    <row r="558">
      <c r="A558" s="129"/>
      <c r="B558" s="129"/>
      <c r="C558" s="263"/>
    </row>
    <row r="559">
      <c r="A559" s="129"/>
      <c r="B559" s="129"/>
      <c r="C559" s="263"/>
    </row>
    <row r="560">
      <c r="A560" s="129"/>
      <c r="B560" s="129"/>
      <c r="C560" s="263"/>
    </row>
    <row r="561">
      <c r="A561" s="129"/>
      <c r="B561" s="129"/>
      <c r="C561" s="263"/>
    </row>
    <row r="562">
      <c r="A562" s="129"/>
      <c r="B562" s="129"/>
      <c r="C562" s="263"/>
    </row>
    <row r="563">
      <c r="A563" s="129"/>
      <c r="B563" s="129"/>
      <c r="C563" s="263"/>
    </row>
    <row r="564">
      <c r="A564" s="129"/>
      <c r="B564" s="129"/>
      <c r="C564" s="263"/>
    </row>
    <row r="565">
      <c r="A565" s="129"/>
      <c r="B565" s="129"/>
      <c r="C565" s="263"/>
    </row>
    <row r="566">
      <c r="A566" s="129"/>
      <c r="B566" s="129"/>
      <c r="C566" s="263"/>
    </row>
    <row r="567">
      <c r="A567" s="129"/>
      <c r="B567" s="129"/>
      <c r="C567" s="263"/>
    </row>
    <row r="568">
      <c r="A568" s="129"/>
      <c r="B568" s="129"/>
      <c r="C568" s="263"/>
    </row>
    <row r="569">
      <c r="A569" s="129"/>
      <c r="B569" s="129"/>
      <c r="C569" s="263"/>
    </row>
    <row r="570">
      <c r="A570" s="129"/>
      <c r="B570" s="129"/>
      <c r="C570" s="263"/>
    </row>
    <row r="571">
      <c r="A571" s="129"/>
      <c r="B571" s="129"/>
      <c r="C571" s="263"/>
    </row>
    <row r="572">
      <c r="A572" s="129"/>
      <c r="B572" s="129"/>
      <c r="C572" s="263"/>
    </row>
    <row r="573">
      <c r="A573" s="129"/>
      <c r="B573" s="129"/>
      <c r="C573" s="263"/>
    </row>
    <row r="574">
      <c r="A574" s="129"/>
      <c r="B574" s="129"/>
      <c r="C574" s="263"/>
    </row>
    <row r="575">
      <c r="A575" s="129"/>
      <c r="B575" s="129"/>
      <c r="C575" s="263"/>
    </row>
    <row r="576">
      <c r="A576" s="129"/>
      <c r="B576" s="129"/>
      <c r="C576" s="263"/>
    </row>
    <row r="577">
      <c r="A577" s="129"/>
      <c r="B577" s="129"/>
      <c r="C577" s="263"/>
    </row>
    <row r="578">
      <c r="A578" s="129"/>
      <c r="B578" s="129"/>
      <c r="C578" s="263"/>
    </row>
    <row r="579">
      <c r="A579" s="129"/>
      <c r="B579" s="129"/>
      <c r="C579" s="263"/>
    </row>
    <row r="580">
      <c r="A580" s="129"/>
      <c r="B580" s="129"/>
      <c r="C580" s="263"/>
    </row>
    <row r="581">
      <c r="A581" s="129"/>
      <c r="B581" s="129"/>
      <c r="C581" s="263"/>
    </row>
    <row r="582">
      <c r="A582" s="129"/>
      <c r="B582" s="129"/>
      <c r="C582" s="263"/>
    </row>
    <row r="583">
      <c r="A583" s="129"/>
      <c r="B583" s="129"/>
      <c r="C583" s="263"/>
    </row>
    <row r="584">
      <c r="A584" s="129"/>
      <c r="B584" s="129"/>
      <c r="C584" s="263"/>
    </row>
    <row r="585">
      <c r="A585" s="129"/>
      <c r="B585" s="129"/>
      <c r="C585" s="263"/>
    </row>
    <row r="586">
      <c r="A586" s="129"/>
      <c r="B586" s="129"/>
      <c r="C586" s="263"/>
    </row>
    <row r="587">
      <c r="A587" s="129"/>
      <c r="B587" s="129"/>
      <c r="C587" s="263"/>
    </row>
    <row r="588">
      <c r="A588" s="129"/>
      <c r="B588" s="129"/>
      <c r="C588" s="263"/>
    </row>
    <row r="589">
      <c r="A589" s="129"/>
      <c r="B589" s="129"/>
      <c r="C589" s="263"/>
    </row>
    <row r="590">
      <c r="A590" s="129"/>
      <c r="B590" s="129"/>
      <c r="C590" s="263"/>
    </row>
    <row r="591">
      <c r="A591" s="129"/>
      <c r="B591" s="129"/>
      <c r="C591" s="263"/>
    </row>
    <row r="592">
      <c r="A592" s="129"/>
      <c r="B592" s="129"/>
      <c r="C592" s="263"/>
    </row>
    <row r="593">
      <c r="A593" s="129"/>
      <c r="B593" s="129"/>
      <c r="C593" s="263"/>
    </row>
    <row r="594">
      <c r="A594" s="129"/>
      <c r="B594" s="129"/>
      <c r="C594" s="263"/>
    </row>
    <row r="595">
      <c r="A595" s="129"/>
      <c r="B595" s="129"/>
      <c r="C595" s="263"/>
    </row>
    <row r="596">
      <c r="A596" s="129"/>
      <c r="B596" s="129"/>
      <c r="C596" s="263"/>
    </row>
    <row r="597">
      <c r="A597" s="129"/>
      <c r="B597" s="129"/>
      <c r="C597" s="263"/>
    </row>
    <row r="598">
      <c r="A598" s="129"/>
      <c r="B598" s="129"/>
      <c r="C598" s="263"/>
    </row>
    <row r="599">
      <c r="A599" s="129"/>
      <c r="B599" s="129"/>
      <c r="C599" s="263"/>
    </row>
    <row r="600">
      <c r="A600" s="129"/>
      <c r="B600" s="129"/>
      <c r="C600" s="263"/>
    </row>
    <row r="601">
      <c r="A601" s="129"/>
      <c r="B601" s="129"/>
      <c r="C601" s="263"/>
    </row>
    <row r="602">
      <c r="A602" s="129"/>
      <c r="B602" s="129"/>
      <c r="C602" s="263"/>
    </row>
    <row r="603">
      <c r="A603" s="129"/>
      <c r="B603" s="129"/>
      <c r="C603" s="263"/>
    </row>
    <row r="604">
      <c r="A604" s="129"/>
      <c r="B604" s="129"/>
      <c r="C604" s="263"/>
    </row>
    <row r="605">
      <c r="A605" s="129"/>
      <c r="B605" s="129"/>
      <c r="C605" s="263"/>
    </row>
    <row r="606">
      <c r="A606" s="129"/>
      <c r="B606" s="129"/>
      <c r="C606" s="263"/>
    </row>
    <row r="607">
      <c r="A607" s="129"/>
      <c r="B607" s="129"/>
      <c r="C607" s="263"/>
    </row>
    <row r="608">
      <c r="A608" s="129"/>
      <c r="B608" s="129"/>
      <c r="C608" s="263"/>
    </row>
    <row r="609">
      <c r="A609" s="129"/>
      <c r="B609" s="129"/>
      <c r="C609" s="263"/>
    </row>
    <row r="610">
      <c r="A610" s="129"/>
      <c r="B610" s="129"/>
      <c r="C610" s="263"/>
    </row>
    <row r="611">
      <c r="A611" s="129"/>
      <c r="B611" s="129"/>
      <c r="C611" s="263"/>
    </row>
    <row r="612">
      <c r="A612" s="129"/>
      <c r="B612" s="129"/>
      <c r="C612" s="263"/>
    </row>
    <row r="613">
      <c r="A613" s="129"/>
      <c r="B613" s="129"/>
      <c r="C613" s="263"/>
    </row>
    <row r="614">
      <c r="A614" s="129"/>
      <c r="B614" s="129"/>
      <c r="C614" s="263"/>
    </row>
    <row r="615">
      <c r="A615" s="129"/>
      <c r="B615" s="129"/>
      <c r="C615" s="263"/>
    </row>
    <row r="616">
      <c r="A616" s="129"/>
      <c r="B616" s="129"/>
      <c r="C616" s="263"/>
    </row>
    <row r="617">
      <c r="A617" s="129"/>
      <c r="B617" s="129"/>
      <c r="C617" s="263"/>
    </row>
    <row r="618">
      <c r="A618" s="129"/>
      <c r="B618" s="129"/>
      <c r="C618" s="263"/>
    </row>
    <row r="619">
      <c r="A619" s="129"/>
      <c r="B619" s="129"/>
      <c r="C619" s="263"/>
    </row>
    <row r="620">
      <c r="A620" s="129"/>
      <c r="B620" s="129"/>
      <c r="C620" s="263"/>
    </row>
    <row r="621">
      <c r="A621" s="129"/>
      <c r="B621" s="129"/>
      <c r="C621" s="263"/>
    </row>
    <row r="622">
      <c r="A622" s="129"/>
      <c r="B622" s="129"/>
      <c r="C622" s="263"/>
    </row>
    <row r="623">
      <c r="A623" s="129"/>
      <c r="B623" s="129"/>
      <c r="C623" s="263"/>
    </row>
    <row r="624">
      <c r="A624" s="129"/>
      <c r="B624" s="129"/>
      <c r="C624" s="263"/>
    </row>
    <row r="625">
      <c r="A625" s="129"/>
      <c r="B625" s="129"/>
      <c r="C625" s="263"/>
    </row>
    <row r="626">
      <c r="A626" s="129"/>
      <c r="B626" s="129"/>
      <c r="C626" s="263"/>
    </row>
    <row r="627">
      <c r="A627" s="129"/>
      <c r="B627" s="129"/>
      <c r="C627" s="263"/>
    </row>
    <row r="628">
      <c r="A628" s="129"/>
      <c r="B628" s="129"/>
      <c r="C628" s="263"/>
    </row>
    <row r="629">
      <c r="A629" s="129"/>
      <c r="B629" s="129"/>
      <c r="C629" s="263"/>
    </row>
    <row r="630">
      <c r="A630" s="129"/>
      <c r="B630" s="129"/>
      <c r="C630" s="263"/>
    </row>
    <row r="631">
      <c r="A631" s="129"/>
      <c r="B631" s="129"/>
      <c r="C631" s="263"/>
    </row>
    <row r="632">
      <c r="A632" s="129"/>
      <c r="B632" s="129"/>
      <c r="C632" s="263"/>
    </row>
    <row r="633">
      <c r="A633" s="129"/>
      <c r="B633" s="129"/>
      <c r="C633" s="263"/>
    </row>
    <row r="634">
      <c r="A634" s="129"/>
      <c r="B634" s="129"/>
      <c r="C634" s="263"/>
    </row>
    <row r="635">
      <c r="A635" s="129"/>
      <c r="B635" s="129"/>
      <c r="C635" s="263"/>
    </row>
    <row r="636">
      <c r="A636" s="129"/>
      <c r="B636" s="129"/>
      <c r="C636" s="263"/>
    </row>
    <row r="637">
      <c r="A637" s="129"/>
      <c r="B637" s="129"/>
      <c r="C637" s="263"/>
    </row>
    <row r="638">
      <c r="A638" s="129"/>
      <c r="B638" s="129"/>
      <c r="C638" s="263"/>
    </row>
    <row r="639">
      <c r="A639" s="129"/>
      <c r="B639" s="129"/>
      <c r="C639" s="263"/>
    </row>
    <row r="640">
      <c r="A640" s="129"/>
      <c r="B640" s="129"/>
      <c r="C640" s="263"/>
    </row>
    <row r="641">
      <c r="A641" s="129"/>
      <c r="B641" s="129"/>
      <c r="C641" s="263"/>
    </row>
    <row r="642">
      <c r="A642" s="129"/>
      <c r="B642" s="129"/>
      <c r="C642" s="263"/>
    </row>
    <row r="643">
      <c r="A643" s="129"/>
      <c r="B643" s="129"/>
      <c r="C643" s="263"/>
    </row>
    <row r="644">
      <c r="A644" s="129"/>
      <c r="B644" s="129"/>
      <c r="C644" s="263"/>
    </row>
    <row r="645">
      <c r="A645" s="129"/>
      <c r="B645" s="129"/>
      <c r="C645" s="263"/>
    </row>
    <row r="646">
      <c r="A646" s="129"/>
      <c r="B646" s="129"/>
      <c r="C646" s="263"/>
    </row>
    <row r="647">
      <c r="A647" s="129"/>
      <c r="B647" s="129"/>
      <c r="C647" s="263"/>
    </row>
    <row r="648">
      <c r="A648" s="129"/>
      <c r="B648" s="129"/>
      <c r="C648" s="263"/>
    </row>
    <row r="649">
      <c r="A649" s="129"/>
      <c r="B649" s="129"/>
      <c r="C649" s="263"/>
    </row>
    <row r="650">
      <c r="A650" s="129"/>
      <c r="B650" s="129"/>
      <c r="C650" s="263"/>
    </row>
    <row r="651">
      <c r="A651" s="129"/>
      <c r="B651" s="129"/>
      <c r="C651" s="263"/>
    </row>
    <row r="652">
      <c r="A652" s="129"/>
      <c r="B652" s="129"/>
      <c r="C652" s="263"/>
    </row>
    <row r="653">
      <c r="A653" s="129"/>
      <c r="B653" s="129"/>
      <c r="C653" s="263"/>
    </row>
    <row r="654">
      <c r="A654" s="129"/>
      <c r="B654" s="129"/>
      <c r="C654" s="263"/>
    </row>
    <row r="655">
      <c r="A655" s="129"/>
      <c r="B655" s="129"/>
      <c r="C655" s="263"/>
    </row>
    <row r="656">
      <c r="A656" s="129"/>
      <c r="B656" s="129"/>
      <c r="C656" s="263"/>
    </row>
    <row r="657">
      <c r="A657" s="129"/>
      <c r="B657" s="129"/>
      <c r="C657" s="263"/>
    </row>
    <row r="658">
      <c r="A658" s="129"/>
      <c r="B658" s="129"/>
      <c r="C658" s="263"/>
    </row>
    <row r="659">
      <c r="A659" s="129"/>
      <c r="B659" s="129"/>
      <c r="C659" s="263"/>
    </row>
    <row r="660">
      <c r="A660" s="129"/>
      <c r="B660" s="129"/>
      <c r="C660" s="263"/>
    </row>
    <row r="661">
      <c r="A661" s="129"/>
      <c r="B661" s="129"/>
      <c r="C661" s="263"/>
    </row>
    <row r="662">
      <c r="A662" s="129"/>
      <c r="B662" s="129"/>
      <c r="C662" s="263"/>
    </row>
    <row r="663">
      <c r="A663" s="129"/>
      <c r="B663" s="129"/>
      <c r="C663" s="263"/>
    </row>
    <row r="664">
      <c r="A664" s="129"/>
      <c r="B664" s="129"/>
      <c r="C664" s="263"/>
    </row>
    <row r="665">
      <c r="A665" s="129"/>
      <c r="B665" s="129"/>
      <c r="C665" s="263"/>
    </row>
    <row r="666">
      <c r="A666" s="129"/>
      <c r="B666" s="129"/>
      <c r="C666" s="263"/>
    </row>
    <row r="667">
      <c r="A667" s="129"/>
      <c r="B667" s="129"/>
      <c r="C667" s="263"/>
    </row>
    <row r="668">
      <c r="A668" s="129"/>
      <c r="B668" s="129"/>
      <c r="C668" s="263"/>
    </row>
    <row r="669">
      <c r="A669" s="129"/>
      <c r="B669" s="129"/>
      <c r="C669" s="263"/>
    </row>
    <row r="670">
      <c r="A670" s="129"/>
      <c r="B670" s="129"/>
      <c r="C670" s="263"/>
    </row>
    <row r="671">
      <c r="A671" s="129"/>
      <c r="B671" s="129"/>
      <c r="C671" s="263"/>
    </row>
    <row r="672">
      <c r="A672" s="129"/>
      <c r="B672" s="129"/>
      <c r="C672" s="263"/>
    </row>
    <row r="673">
      <c r="A673" s="129"/>
      <c r="B673" s="129"/>
      <c r="C673" s="263"/>
    </row>
    <row r="674">
      <c r="A674" s="129"/>
      <c r="B674" s="129"/>
      <c r="C674" s="263"/>
    </row>
    <row r="675">
      <c r="A675" s="129"/>
      <c r="B675" s="129"/>
      <c r="C675" s="263"/>
    </row>
    <row r="676">
      <c r="A676" s="129"/>
      <c r="B676" s="129"/>
      <c r="C676" s="263"/>
    </row>
    <row r="677">
      <c r="A677" s="129"/>
      <c r="B677" s="129"/>
      <c r="C677" s="263"/>
    </row>
    <row r="678">
      <c r="A678" s="129"/>
      <c r="B678" s="129"/>
      <c r="C678" s="263"/>
    </row>
    <row r="679">
      <c r="A679" s="129"/>
      <c r="B679" s="129"/>
      <c r="C679" s="263"/>
    </row>
    <row r="680">
      <c r="A680" s="129"/>
      <c r="B680" s="129"/>
      <c r="C680" s="263"/>
    </row>
    <row r="681">
      <c r="A681" s="129"/>
      <c r="B681" s="129"/>
      <c r="C681" s="263"/>
    </row>
    <row r="682">
      <c r="A682" s="129"/>
      <c r="B682" s="129"/>
      <c r="C682" s="263"/>
    </row>
    <row r="683">
      <c r="A683" s="129"/>
      <c r="B683" s="129"/>
      <c r="C683" s="263"/>
    </row>
    <row r="684">
      <c r="A684" s="129"/>
      <c r="B684" s="129"/>
      <c r="C684" s="263"/>
    </row>
    <row r="685">
      <c r="A685" s="129"/>
      <c r="B685" s="129"/>
      <c r="C685" s="263"/>
    </row>
    <row r="686">
      <c r="A686" s="129"/>
      <c r="B686" s="129"/>
      <c r="C686" s="263"/>
    </row>
    <row r="687">
      <c r="A687" s="129"/>
      <c r="B687" s="129"/>
      <c r="C687" s="263"/>
    </row>
    <row r="688">
      <c r="A688" s="129"/>
      <c r="B688" s="129"/>
      <c r="C688" s="263"/>
    </row>
    <row r="689">
      <c r="A689" s="129"/>
      <c r="B689" s="129"/>
      <c r="C689" s="263"/>
    </row>
    <row r="690">
      <c r="A690" s="129"/>
      <c r="B690" s="129"/>
      <c r="C690" s="263"/>
    </row>
    <row r="691">
      <c r="A691" s="129"/>
      <c r="B691" s="129"/>
      <c r="C691" s="263"/>
    </row>
    <row r="692">
      <c r="A692" s="129"/>
      <c r="B692" s="129"/>
      <c r="C692" s="263"/>
    </row>
    <row r="693">
      <c r="A693" s="129"/>
      <c r="B693" s="129"/>
      <c r="C693" s="263"/>
    </row>
    <row r="694">
      <c r="A694" s="129"/>
      <c r="B694" s="129"/>
      <c r="C694" s="263"/>
    </row>
    <row r="695">
      <c r="A695" s="129"/>
      <c r="B695" s="129"/>
      <c r="C695" s="263"/>
    </row>
    <row r="696">
      <c r="A696" s="129"/>
      <c r="B696" s="129"/>
      <c r="C696" s="263"/>
    </row>
    <row r="697">
      <c r="A697" s="129"/>
      <c r="B697" s="129"/>
      <c r="C697" s="263"/>
    </row>
    <row r="698">
      <c r="A698" s="129"/>
      <c r="B698" s="129"/>
      <c r="C698" s="263"/>
    </row>
    <row r="699">
      <c r="A699" s="129"/>
      <c r="B699" s="129"/>
      <c r="C699" s="263"/>
    </row>
    <row r="700">
      <c r="A700" s="129"/>
      <c r="B700" s="129"/>
      <c r="C700" s="263"/>
    </row>
    <row r="701">
      <c r="A701" s="129"/>
      <c r="B701" s="129"/>
      <c r="C701" s="263"/>
    </row>
    <row r="702">
      <c r="A702" s="129"/>
      <c r="B702" s="129"/>
      <c r="C702" s="263"/>
    </row>
    <row r="703">
      <c r="A703" s="129"/>
      <c r="B703" s="129"/>
      <c r="C703" s="263"/>
    </row>
    <row r="704">
      <c r="A704" s="129"/>
      <c r="B704" s="129"/>
      <c r="C704" s="263"/>
    </row>
    <row r="705">
      <c r="A705" s="129"/>
      <c r="B705" s="129"/>
      <c r="C705" s="263"/>
    </row>
    <row r="706">
      <c r="A706" s="129"/>
      <c r="B706" s="129"/>
      <c r="C706" s="263"/>
    </row>
    <row r="707">
      <c r="A707" s="129"/>
      <c r="B707" s="129"/>
      <c r="C707" s="263"/>
    </row>
    <row r="708">
      <c r="A708" s="129"/>
      <c r="B708" s="129"/>
      <c r="C708" s="263"/>
    </row>
    <row r="709">
      <c r="A709" s="129"/>
      <c r="B709" s="129"/>
      <c r="C709" s="263"/>
    </row>
    <row r="710">
      <c r="A710" s="129"/>
      <c r="B710" s="129"/>
      <c r="C710" s="263"/>
    </row>
    <row r="711">
      <c r="A711" s="129"/>
      <c r="B711" s="129"/>
      <c r="C711" s="263"/>
    </row>
    <row r="712">
      <c r="A712" s="129"/>
      <c r="B712" s="129"/>
      <c r="C712" s="263"/>
    </row>
    <row r="713">
      <c r="A713" s="129"/>
      <c r="B713" s="129"/>
      <c r="C713" s="263"/>
    </row>
    <row r="714">
      <c r="A714" s="129"/>
      <c r="B714" s="129"/>
      <c r="C714" s="263"/>
    </row>
    <row r="715">
      <c r="A715" s="129"/>
      <c r="B715" s="129"/>
      <c r="C715" s="263"/>
    </row>
    <row r="716">
      <c r="A716" s="129"/>
      <c r="B716" s="129"/>
      <c r="C716" s="263"/>
    </row>
    <row r="717">
      <c r="A717" s="129"/>
      <c r="B717" s="129"/>
      <c r="C717" s="263"/>
    </row>
    <row r="718">
      <c r="A718" s="129"/>
      <c r="B718" s="129"/>
      <c r="C718" s="263"/>
    </row>
    <row r="719">
      <c r="A719" s="129"/>
      <c r="B719" s="129"/>
      <c r="C719" s="263"/>
    </row>
    <row r="720">
      <c r="A720" s="129"/>
      <c r="B720" s="129"/>
      <c r="C720" s="263"/>
    </row>
    <row r="721">
      <c r="A721" s="129"/>
      <c r="B721" s="129"/>
      <c r="C721" s="263"/>
    </row>
    <row r="722">
      <c r="A722" s="129"/>
      <c r="B722" s="129"/>
      <c r="C722" s="263"/>
    </row>
    <row r="723">
      <c r="A723" s="129"/>
      <c r="B723" s="129"/>
      <c r="C723" s="263"/>
    </row>
    <row r="724">
      <c r="A724" s="129"/>
      <c r="B724" s="129"/>
      <c r="C724" s="263"/>
    </row>
    <row r="725">
      <c r="A725" s="129"/>
      <c r="B725" s="129"/>
      <c r="C725" s="263"/>
    </row>
    <row r="726">
      <c r="A726" s="129"/>
      <c r="B726" s="129"/>
      <c r="C726" s="263"/>
    </row>
    <row r="727">
      <c r="A727" s="129"/>
      <c r="B727" s="129"/>
      <c r="C727" s="263"/>
    </row>
    <row r="728">
      <c r="A728" s="129"/>
      <c r="B728" s="129"/>
      <c r="C728" s="263"/>
    </row>
    <row r="729">
      <c r="A729" s="129"/>
      <c r="B729" s="129"/>
      <c r="C729" s="263"/>
    </row>
    <row r="730">
      <c r="A730" s="129"/>
      <c r="B730" s="129"/>
      <c r="C730" s="263"/>
    </row>
    <row r="731">
      <c r="A731" s="129"/>
      <c r="B731" s="129"/>
      <c r="C731" s="263"/>
    </row>
    <row r="732">
      <c r="A732" s="129"/>
      <c r="B732" s="129"/>
      <c r="C732" s="263"/>
    </row>
    <row r="733">
      <c r="A733" s="129"/>
      <c r="B733" s="129"/>
      <c r="C733" s="263"/>
    </row>
    <row r="734">
      <c r="A734" s="129"/>
      <c r="B734" s="129"/>
      <c r="C734" s="263"/>
    </row>
    <row r="735">
      <c r="A735" s="129"/>
      <c r="B735" s="129"/>
      <c r="C735" s="263"/>
    </row>
    <row r="736">
      <c r="A736" s="129"/>
      <c r="B736" s="129"/>
      <c r="C736" s="263"/>
    </row>
    <row r="737">
      <c r="A737" s="129"/>
      <c r="B737" s="129"/>
      <c r="C737" s="263"/>
    </row>
    <row r="738">
      <c r="A738" s="129"/>
      <c r="B738" s="129"/>
      <c r="C738" s="263"/>
    </row>
    <row r="739">
      <c r="A739" s="129"/>
      <c r="B739" s="129"/>
      <c r="C739" s="263"/>
    </row>
    <row r="740">
      <c r="A740" s="129"/>
      <c r="B740" s="129"/>
      <c r="C740" s="263"/>
    </row>
    <row r="741">
      <c r="A741" s="129"/>
      <c r="B741" s="129"/>
      <c r="C741" s="263"/>
    </row>
    <row r="742">
      <c r="A742" s="129"/>
      <c r="B742" s="129"/>
      <c r="C742" s="263"/>
    </row>
    <row r="743">
      <c r="A743" s="129"/>
      <c r="B743" s="129"/>
      <c r="C743" s="263"/>
    </row>
    <row r="744">
      <c r="A744" s="129"/>
      <c r="B744" s="129"/>
      <c r="C744" s="263"/>
    </row>
    <row r="745">
      <c r="A745" s="129"/>
      <c r="B745" s="129"/>
      <c r="C745" s="263"/>
    </row>
    <row r="746">
      <c r="A746" s="129"/>
      <c r="B746" s="129"/>
      <c r="C746" s="263"/>
    </row>
    <row r="747">
      <c r="A747" s="129"/>
      <c r="B747" s="129"/>
      <c r="C747" s="263"/>
    </row>
    <row r="748">
      <c r="A748" s="129"/>
      <c r="B748" s="129"/>
      <c r="C748" s="263"/>
    </row>
    <row r="749">
      <c r="A749" s="129"/>
      <c r="B749" s="129"/>
      <c r="C749" s="263"/>
    </row>
    <row r="750">
      <c r="A750" s="129"/>
      <c r="B750" s="129"/>
      <c r="C750" s="263"/>
    </row>
    <row r="751">
      <c r="A751" s="129"/>
      <c r="B751" s="129"/>
      <c r="C751" s="263"/>
    </row>
    <row r="752">
      <c r="A752" s="129"/>
      <c r="B752" s="129"/>
      <c r="C752" s="263"/>
    </row>
    <row r="753">
      <c r="A753" s="129"/>
      <c r="B753" s="129"/>
      <c r="C753" s="263"/>
    </row>
    <row r="754">
      <c r="A754" s="129"/>
      <c r="B754" s="129"/>
      <c r="C754" s="263"/>
    </row>
    <row r="755">
      <c r="A755" s="129"/>
      <c r="B755" s="129"/>
      <c r="C755" s="263"/>
    </row>
    <row r="756">
      <c r="A756" s="129"/>
      <c r="B756" s="129"/>
      <c r="C756" s="263"/>
    </row>
    <row r="757">
      <c r="A757" s="129"/>
      <c r="B757" s="129"/>
      <c r="C757" s="263"/>
    </row>
    <row r="758">
      <c r="A758" s="129"/>
      <c r="B758" s="129"/>
      <c r="C758" s="263"/>
    </row>
    <row r="759">
      <c r="A759" s="129"/>
      <c r="B759" s="129"/>
      <c r="C759" s="263"/>
    </row>
    <row r="760">
      <c r="A760" s="129"/>
      <c r="B760" s="129"/>
      <c r="C760" s="263"/>
    </row>
    <row r="761">
      <c r="A761" s="129"/>
      <c r="B761" s="129"/>
      <c r="C761" s="263"/>
    </row>
    <row r="762">
      <c r="A762" s="129"/>
      <c r="B762" s="129"/>
      <c r="C762" s="263"/>
    </row>
    <row r="763">
      <c r="A763" s="129"/>
      <c r="B763" s="129"/>
      <c r="C763" s="263"/>
    </row>
    <row r="764">
      <c r="A764" s="129"/>
      <c r="B764" s="129"/>
      <c r="C764" s="263"/>
    </row>
    <row r="765">
      <c r="A765" s="129"/>
      <c r="B765" s="129"/>
      <c r="C765" s="263"/>
    </row>
    <row r="766">
      <c r="A766" s="129"/>
      <c r="B766" s="129"/>
      <c r="C766" s="263"/>
    </row>
    <row r="767">
      <c r="A767" s="129"/>
      <c r="B767" s="129"/>
      <c r="C767" s="263"/>
    </row>
    <row r="768">
      <c r="A768" s="129"/>
      <c r="B768" s="129"/>
      <c r="C768" s="263"/>
    </row>
    <row r="769">
      <c r="A769" s="129"/>
      <c r="B769" s="129"/>
      <c r="C769" s="263"/>
    </row>
    <row r="770">
      <c r="A770" s="129"/>
      <c r="B770" s="129"/>
      <c r="C770" s="263"/>
    </row>
    <row r="771">
      <c r="A771" s="129"/>
      <c r="B771" s="129"/>
      <c r="C771" s="263"/>
    </row>
    <row r="772">
      <c r="A772" s="129"/>
      <c r="B772" s="129"/>
      <c r="C772" s="263"/>
    </row>
    <row r="773">
      <c r="A773" s="129"/>
      <c r="B773" s="129"/>
      <c r="C773" s="263"/>
    </row>
    <row r="774">
      <c r="A774" s="129"/>
      <c r="B774" s="129"/>
      <c r="C774" s="263"/>
    </row>
    <row r="775">
      <c r="A775" s="129"/>
      <c r="B775" s="129"/>
      <c r="C775" s="263"/>
    </row>
    <row r="776">
      <c r="A776" s="129"/>
      <c r="B776" s="129"/>
      <c r="C776" s="263"/>
    </row>
    <row r="777">
      <c r="A777" s="129"/>
      <c r="B777" s="129"/>
      <c r="C777" s="263"/>
    </row>
    <row r="778">
      <c r="A778" s="129"/>
      <c r="B778" s="129"/>
      <c r="C778" s="263"/>
    </row>
    <row r="779">
      <c r="A779" s="129"/>
      <c r="B779" s="129"/>
      <c r="C779" s="263"/>
    </row>
    <row r="780">
      <c r="A780" s="129"/>
      <c r="B780" s="129"/>
      <c r="C780" s="263"/>
    </row>
    <row r="781">
      <c r="A781" s="129"/>
      <c r="B781" s="129"/>
      <c r="C781" s="263"/>
    </row>
    <row r="782">
      <c r="A782" s="129"/>
      <c r="B782" s="129"/>
      <c r="C782" s="263"/>
    </row>
    <row r="783">
      <c r="A783" s="129"/>
      <c r="B783" s="129"/>
      <c r="C783" s="263"/>
    </row>
    <row r="784">
      <c r="A784" s="129"/>
      <c r="B784" s="129"/>
      <c r="C784" s="263"/>
    </row>
    <row r="785">
      <c r="A785" s="129"/>
      <c r="B785" s="129"/>
      <c r="C785" s="263"/>
    </row>
    <row r="786">
      <c r="A786" s="129"/>
      <c r="B786" s="129"/>
      <c r="C786" s="263"/>
    </row>
    <row r="787">
      <c r="A787" s="129"/>
      <c r="B787" s="129"/>
      <c r="C787" s="263"/>
    </row>
    <row r="788">
      <c r="A788" s="129"/>
      <c r="B788" s="129"/>
      <c r="C788" s="263"/>
    </row>
    <row r="789">
      <c r="A789" s="129"/>
      <c r="B789" s="129"/>
      <c r="C789" s="263"/>
    </row>
    <row r="790">
      <c r="A790" s="129"/>
      <c r="B790" s="129"/>
      <c r="C790" s="263"/>
    </row>
    <row r="791">
      <c r="A791" s="129"/>
      <c r="B791" s="129"/>
      <c r="C791" s="263"/>
    </row>
    <row r="792">
      <c r="A792" s="129"/>
      <c r="B792" s="129"/>
      <c r="C792" s="263"/>
    </row>
    <row r="793">
      <c r="A793" s="129"/>
      <c r="B793" s="129"/>
      <c r="C793" s="263"/>
    </row>
    <row r="794">
      <c r="A794" s="129"/>
      <c r="B794" s="129"/>
      <c r="C794" s="263"/>
    </row>
    <row r="795">
      <c r="A795" s="129"/>
      <c r="B795" s="129"/>
      <c r="C795" s="263"/>
    </row>
    <row r="796">
      <c r="A796" s="129"/>
      <c r="B796" s="129"/>
      <c r="C796" s="263"/>
    </row>
    <row r="797">
      <c r="A797" s="129"/>
      <c r="B797" s="129"/>
      <c r="C797" s="263"/>
    </row>
    <row r="798">
      <c r="A798" s="129"/>
      <c r="B798" s="129"/>
      <c r="C798" s="263"/>
    </row>
    <row r="799">
      <c r="A799" s="129"/>
      <c r="B799" s="129"/>
      <c r="C799" s="263"/>
    </row>
    <row r="800">
      <c r="A800" s="129"/>
      <c r="B800" s="129"/>
      <c r="C800" s="263"/>
    </row>
    <row r="801">
      <c r="A801" s="129"/>
      <c r="B801" s="129"/>
      <c r="C801" s="263"/>
    </row>
    <row r="802">
      <c r="A802" s="129"/>
      <c r="B802" s="129"/>
      <c r="C802" s="263"/>
    </row>
    <row r="803">
      <c r="A803" s="129"/>
      <c r="B803" s="129"/>
      <c r="C803" s="263"/>
    </row>
    <row r="804">
      <c r="A804" s="129"/>
      <c r="B804" s="129"/>
      <c r="C804" s="263"/>
    </row>
    <row r="805">
      <c r="A805" s="129"/>
      <c r="B805" s="129"/>
      <c r="C805" s="263"/>
    </row>
    <row r="806">
      <c r="A806" s="129"/>
      <c r="B806" s="129"/>
      <c r="C806" s="263"/>
    </row>
    <row r="807">
      <c r="A807" s="129"/>
      <c r="B807" s="129"/>
      <c r="C807" s="263"/>
    </row>
    <row r="808">
      <c r="A808" s="129"/>
      <c r="B808" s="129"/>
      <c r="C808" s="263"/>
    </row>
    <row r="809">
      <c r="A809" s="129"/>
      <c r="B809" s="129"/>
      <c r="C809" s="263"/>
    </row>
    <row r="810">
      <c r="A810" s="129"/>
      <c r="B810" s="129"/>
      <c r="C810" s="263"/>
    </row>
    <row r="811">
      <c r="A811" s="129"/>
      <c r="B811" s="129"/>
      <c r="C811" s="263"/>
    </row>
    <row r="812">
      <c r="A812" s="129"/>
      <c r="B812" s="129"/>
      <c r="C812" s="263"/>
    </row>
    <row r="813">
      <c r="A813" s="129"/>
      <c r="B813" s="129"/>
      <c r="C813" s="263"/>
    </row>
    <row r="814">
      <c r="A814" s="129"/>
      <c r="B814" s="129"/>
      <c r="C814" s="263"/>
    </row>
    <row r="815">
      <c r="A815" s="129"/>
      <c r="B815" s="129"/>
      <c r="C815" s="263"/>
    </row>
    <row r="816">
      <c r="A816" s="129"/>
      <c r="B816" s="129"/>
      <c r="C816" s="263"/>
    </row>
    <row r="817">
      <c r="A817" s="129"/>
      <c r="B817" s="129"/>
      <c r="C817" s="263"/>
    </row>
    <row r="818">
      <c r="A818" s="129"/>
      <c r="B818" s="129"/>
      <c r="C818" s="263"/>
    </row>
    <row r="819">
      <c r="A819" s="129"/>
      <c r="B819" s="129"/>
      <c r="C819" s="263"/>
    </row>
    <row r="820">
      <c r="A820" s="129"/>
      <c r="B820" s="129"/>
      <c r="C820" s="263"/>
    </row>
    <row r="821">
      <c r="A821" s="129"/>
      <c r="B821" s="129"/>
      <c r="C821" s="263"/>
    </row>
    <row r="822">
      <c r="A822" s="129"/>
      <c r="B822" s="129"/>
      <c r="C822" s="263"/>
    </row>
    <row r="823">
      <c r="A823" s="129"/>
      <c r="B823" s="129"/>
      <c r="C823" s="263"/>
    </row>
    <row r="824">
      <c r="A824" s="129"/>
      <c r="B824" s="129"/>
      <c r="C824" s="263"/>
    </row>
    <row r="825">
      <c r="A825" s="129"/>
      <c r="B825" s="129"/>
      <c r="C825" s="263"/>
    </row>
    <row r="826">
      <c r="A826" s="129"/>
      <c r="B826" s="129"/>
      <c r="C826" s="263"/>
    </row>
    <row r="827">
      <c r="A827" s="129"/>
      <c r="B827" s="129"/>
      <c r="C827" s="263"/>
    </row>
    <row r="828">
      <c r="A828" s="129"/>
      <c r="B828" s="129"/>
      <c r="C828" s="263"/>
    </row>
    <row r="829">
      <c r="A829" s="129"/>
      <c r="B829" s="129"/>
      <c r="C829" s="263"/>
    </row>
    <row r="830">
      <c r="A830" s="129"/>
      <c r="B830" s="129"/>
      <c r="C830" s="263"/>
    </row>
    <row r="831">
      <c r="A831" s="129"/>
      <c r="B831" s="129"/>
      <c r="C831" s="263"/>
    </row>
    <row r="832">
      <c r="A832" s="129"/>
      <c r="B832" s="129"/>
      <c r="C832" s="263"/>
    </row>
    <row r="833">
      <c r="A833" s="129"/>
      <c r="B833" s="129"/>
      <c r="C833" s="263"/>
    </row>
    <row r="834">
      <c r="A834" s="129"/>
      <c r="B834" s="129"/>
      <c r="C834" s="263"/>
    </row>
    <row r="835">
      <c r="A835" s="129"/>
      <c r="B835" s="129"/>
      <c r="C835" s="263"/>
    </row>
    <row r="836">
      <c r="A836" s="129"/>
      <c r="B836" s="129"/>
      <c r="C836" s="263"/>
    </row>
    <row r="837">
      <c r="A837" s="129"/>
      <c r="B837" s="129"/>
      <c r="C837" s="263"/>
    </row>
    <row r="838">
      <c r="A838" s="129"/>
      <c r="B838" s="129"/>
      <c r="C838" s="263"/>
    </row>
    <row r="839">
      <c r="A839" s="129"/>
      <c r="B839" s="129"/>
      <c r="C839" s="263"/>
    </row>
    <row r="840">
      <c r="A840" s="129"/>
      <c r="B840" s="129"/>
      <c r="C840" s="263"/>
    </row>
    <row r="841">
      <c r="A841" s="129"/>
      <c r="B841" s="129"/>
      <c r="C841" s="263"/>
    </row>
    <row r="842">
      <c r="A842" s="129"/>
      <c r="B842" s="129"/>
      <c r="C842" s="263"/>
    </row>
    <row r="843">
      <c r="A843" s="129"/>
      <c r="B843" s="129"/>
      <c r="C843" s="263"/>
    </row>
    <row r="844">
      <c r="A844" s="129"/>
      <c r="B844" s="129"/>
      <c r="C844" s="263"/>
    </row>
    <row r="845">
      <c r="A845" s="129"/>
      <c r="B845" s="129"/>
      <c r="C845" s="263"/>
    </row>
    <row r="846">
      <c r="A846" s="129"/>
      <c r="B846" s="129"/>
      <c r="C846" s="263"/>
    </row>
    <row r="847">
      <c r="A847" s="129"/>
      <c r="B847" s="129"/>
      <c r="C847" s="263"/>
    </row>
    <row r="848">
      <c r="A848" s="129"/>
      <c r="B848" s="129"/>
      <c r="C848" s="263"/>
    </row>
    <row r="849">
      <c r="A849" s="129"/>
      <c r="B849" s="129"/>
      <c r="C849" s="263"/>
    </row>
    <row r="850">
      <c r="A850" s="129"/>
      <c r="B850" s="129"/>
      <c r="C850" s="263"/>
    </row>
    <row r="851">
      <c r="A851" s="129"/>
      <c r="B851" s="129"/>
      <c r="C851" s="263"/>
    </row>
    <row r="852">
      <c r="A852" s="129"/>
      <c r="B852" s="129"/>
      <c r="C852" s="263"/>
    </row>
    <row r="853">
      <c r="A853" s="129"/>
      <c r="B853" s="129"/>
      <c r="C853" s="263"/>
    </row>
    <row r="854">
      <c r="A854" s="129"/>
      <c r="B854" s="129"/>
      <c r="C854" s="263"/>
    </row>
    <row r="855">
      <c r="A855" s="129"/>
      <c r="B855" s="129"/>
      <c r="C855" s="263"/>
    </row>
    <row r="856">
      <c r="A856" s="129"/>
      <c r="B856" s="129"/>
      <c r="C856" s="263"/>
    </row>
    <row r="857">
      <c r="A857" s="129"/>
      <c r="B857" s="129"/>
      <c r="C857" s="263"/>
    </row>
    <row r="858">
      <c r="A858" s="129"/>
      <c r="B858" s="129"/>
      <c r="C858" s="263"/>
    </row>
    <row r="859">
      <c r="A859" s="129"/>
      <c r="B859" s="129"/>
      <c r="C859" s="263"/>
    </row>
    <row r="860">
      <c r="A860" s="129"/>
      <c r="B860" s="129"/>
      <c r="C860" s="263"/>
    </row>
    <row r="861">
      <c r="A861" s="129"/>
      <c r="B861" s="129"/>
      <c r="C861" s="263"/>
    </row>
    <row r="862">
      <c r="A862" s="129"/>
      <c r="B862" s="129"/>
      <c r="C862" s="263"/>
    </row>
    <row r="863">
      <c r="A863" s="129"/>
      <c r="B863" s="129"/>
      <c r="C863" s="263"/>
    </row>
    <row r="864">
      <c r="A864" s="129"/>
      <c r="B864" s="129"/>
      <c r="C864" s="263"/>
    </row>
    <row r="865">
      <c r="A865" s="129"/>
      <c r="B865" s="129"/>
      <c r="C865" s="263"/>
    </row>
    <row r="866">
      <c r="A866" s="129"/>
      <c r="B866" s="129"/>
      <c r="C866" s="263"/>
    </row>
    <row r="867">
      <c r="A867" s="129"/>
      <c r="B867" s="129"/>
      <c r="C867" s="263"/>
    </row>
    <row r="868">
      <c r="A868" s="129"/>
      <c r="B868" s="129"/>
      <c r="C868" s="263"/>
    </row>
    <row r="869">
      <c r="A869" s="129"/>
      <c r="B869" s="129"/>
      <c r="C869" s="263"/>
    </row>
    <row r="870">
      <c r="A870" s="129"/>
      <c r="B870" s="129"/>
      <c r="C870" s="263"/>
    </row>
    <row r="871">
      <c r="A871" s="129"/>
      <c r="B871" s="129"/>
      <c r="C871" s="263"/>
    </row>
    <row r="872">
      <c r="A872" s="129"/>
      <c r="B872" s="129"/>
      <c r="C872" s="263"/>
    </row>
    <row r="873">
      <c r="A873" s="129"/>
      <c r="B873" s="129"/>
      <c r="C873" s="263"/>
    </row>
    <row r="874">
      <c r="A874" s="129"/>
      <c r="B874" s="129"/>
      <c r="C874" s="263"/>
    </row>
    <row r="875">
      <c r="A875" s="129"/>
      <c r="B875" s="129"/>
      <c r="C875" s="263"/>
    </row>
    <row r="876">
      <c r="A876" s="129"/>
      <c r="B876" s="129"/>
      <c r="C876" s="263"/>
    </row>
    <row r="877">
      <c r="A877" s="129"/>
      <c r="B877" s="129"/>
      <c r="C877" s="263"/>
    </row>
    <row r="878">
      <c r="A878" s="129"/>
      <c r="B878" s="129"/>
      <c r="C878" s="263"/>
    </row>
    <row r="879">
      <c r="A879" s="129"/>
      <c r="B879" s="129"/>
      <c r="C879" s="263"/>
    </row>
    <row r="880">
      <c r="A880" s="129"/>
      <c r="B880" s="129"/>
      <c r="C880" s="263"/>
    </row>
    <row r="881">
      <c r="A881" s="129"/>
      <c r="B881" s="129"/>
      <c r="C881" s="263"/>
    </row>
    <row r="882">
      <c r="A882" s="129"/>
      <c r="B882" s="129"/>
      <c r="C882" s="263"/>
    </row>
    <row r="883">
      <c r="A883" s="129"/>
      <c r="B883" s="129"/>
      <c r="C883" s="263"/>
    </row>
    <row r="884">
      <c r="A884" s="129"/>
      <c r="B884" s="129"/>
      <c r="C884" s="263"/>
    </row>
    <row r="885">
      <c r="A885" s="129"/>
      <c r="B885" s="129"/>
      <c r="C885" s="263"/>
    </row>
    <row r="886">
      <c r="A886" s="129"/>
      <c r="B886" s="129"/>
      <c r="C886" s="263"/>
    </row>
    <row r="887">
      <c r="A887" s="129"/>
      <c r="B887" s="129"/>
      <c r="C887" s="263"/>
    </row>
    <row r="888">
      <c r="A888" s="129"/>
      <c r="B888" s="129"/>
      <c r="C888" s="263"/>
    </row>
    <row r="889">
      <c r="A889" s="129"/>
      <c r="B889" s="129"/>
      <c r="C889" s="263"/>
    </row>
    <row r="890">
      <c r="A890" s="129"/>
      <c r="B890" s="129"/>
      <c r="C890" s="263"/>
    </row>
    <row r="891">
      <c r="A891" s="129"/>
      <c r="B891" s="129"/>
      <c r="C891" s="263"/>
    </row>
    <row r="892">
      <c r="A892" s="129"/>
      <c r="B892" s="129"/>
      <c r="C892" s="263"/>
    </row>
    <row r="893">
      <c r="A893" s="129"/>
      <c r="B893" s="129"/>
      <c r="C893" s="263"/>
    </row>
    <row r="894">
      <c r="A894" s="129"/>
      <c r="B894" s="129"/>
      <c r="C894" s="263"/>
    </row>
    <row r="895">
      <c r="C895" s="263"/>
    </row>
    <row r="896">
      <c r="C896" s="263"/>
    </row>
    <row r="897">
      <c r="C897" s="263"/>
    </row>
    <row r="898">
      <c r="C898" s="263"/>
    </row>
    <row r="899">
      <c r="C899" s="263"/>
    </row>
    <row r="900">
      <c r="C900" s="263"/>
    </row>
    <row r="901">
      <c r="C901" s="263"/>
    </row>
    <row r="902">
      <c r="C902" s="263"/>
    </row>
    <row r="903">
      <c r="C903" s="263"/>
    </row>
    <row r="904">
      <c r="C904" s="263"/>
    </row>
    <row r="905">
      <c r="C905" s="263"/>
    </row>
    <row r="906">
      <c r="C906" s="263"/>
    </row>
    <row r="907">
      <c r="C907" s="263"/>
    </row>
    <row r="908">
      <c r="C908" s="263"/>
    </row>
    <row r="909">
      <c r="C909" s="263"/>
    </row>
    <row r="910">
      <c r="C910" s="263"/>
    </row>
    <row r="911">
      <c r="C911" s="263"/>
    </row>
    <row r="912">
      <c r="C912" s="263"/>
    </row>
    <row r="913">
      <c r="C913" s="263"/>
    </row>
    <row r="914">
      <c r="C914" s="263"/>
    </row>
    <row r="915">
      <c r="C915" s="263"/>
    </row>
    <row r="916">
      <c r="C916" s="263"/>
    </row>
    <row r="917">
      <c r="C917" s="263"/>
    </row>
    <row r="918">
      <c r="C918" s="263"/>
    </row>
    <row r="919">
      <c r="C919" s="263"/>
    </row>
    <row r="920">
      <c r="C920" s="263"/>
    </row>
    <row r="921">
      <c r="C921" s="263"/>
    </row>
    <row r="922">
      <c r="C922" s="263"/>
    </row>
    <row r="923">
      <c r="C923" s="263"/>
    </row>
    <row r="924">
      <c r="C924" s="263"/>
    </row>
    <row r="925">
      <c r="C925" s="263"/>
    </row>
    <row r="926">
      <c r="C926" s="263"/>
    </row>
    <row r="927">
      <c r="C927" s="263"/>
    </row>
    <row r="928">
      <c r="C928" s="263"/>
    </row>
    <row r="929">
      <c r="C929" s="263"/>
    </row>
    <row r="930">
      <c r="C930" s="263"/>
    </row>
    <row r="931">
      <c r="C931" s="263"/>
    </row>
    <row r="932">
      <c r="C932" s="263"/>
    </row>
    <row r="933">
      <c r="C933" s="263"/>
    </row>
    <row r="934">
      <c r="C934" s="263"/>
    </row>
    <row r="935">
      <c r="C935" s="263"/>
    </row>
    <row r="936">
      <c r="C936" s="263"/>
    </row>
    <row r="937">
      <c r="C937" s="263"/>
    </row>
    <row r="938">
      <c r="C938" s="263"/>
    </row>
    <row r="939">
      <c r="C939" s="263"/>
    </row>
    <row r="940">
      <c r="C940" s="263"/>
    </row>
    <row r="941">
      <c r="C941" s="263"/>
    </row>
    <row r="942">
      <c r="C942" s="263"/>
    </row>
    <row r="943">
      <c r="C943" s="263"/>
    </row>
    <row r="944">
      <c r="C944" s="263"/>
    </row>
    <row r="945">
      <c r="C945" s="263"/>
    </row>
    <row r="946">
      <c r="C946" s="263"/>
    </row>
    <row r="947">
      <c r="C947" s="263"/>
    </row>
    <row r="948">
      <c r="C948" s="263"/>
    </row>
    <row r="949">
      <c r="C949" s="263"/>
    </row>
    <row r="950">
      <c r="C950" s="263"/>
    </row>
    <row r="951">
      <c r="C951" s="263"/>
    </row>
    <row r="952">
      <c r="C952" s="263"/>
    </row>
    <row r="953">
      <c r="C953" s="263"/>
    </row>
    <row r="954">
      <c r="C954" s="263"/>
    </row>
    <row r="955">
      <c r="C955" s="263"/>
    </row>
    <row r="956">
      <c r="C956" s="263"/>
    </row>
    <row r="957">
      <c r="C957" s="263"/>
    </row>
    <row r="958">
      <c r="C958" s="263"/>
    </row>
    <row r="959">
      <c r="C959" s="263"/>
    </row>
    <row r="960">
      <c r="C960" s="263"/>
    </row>
    <row r="961">
      <c r="C961" s="263"/>
    </row>
    <row r="962">
      <c r="C962" s="263"/>
    </row>
    <row r="963">
      <c r="C963" s="263"/>
    </row>
    <row r="964">
      <c r="C964" s="263"/>
    </row>
    <row r="965">
      <c r="C965" s="263"/>
    </row>
    <row r="966">
      <c r="C966" s="263"/>
    </row>
    <row r="967">
      <c r="C967" s="263"/>
    </row>
    <row r="968">
      <c r="C968" s="263"/>
    </row>
    <row r="969">
      <c r="C969" s="263"/>
    </row>
    <row r="970">
      <c r="C970" s="263"/>
    </row>
    <row r="971">
      <c r="C971" s="263"/>
    </row>
    <row r="972">
      <c r="C972" s="263"/>
    </row>
    <row r="973">
      <c r="C973" s="263"/>
    </row>
    <row r="974">
      <c r="C974" s="263"/>
    </row>
    <row r="975">
      <c r="C975" s="263"/>
    </row>
    <row r="976">
      <c r="C976" s="263"/>
    </row>
    <row r="977">
      <c r="C977" s="263"/>
    </row>
    <row r="978">
      <c r="C978" s="263"/>
    </row>
    <row r="979">
      <c r="C979" s="263"/>
    </row>
    <row r="980">
      <c r="C980" s="263"/>
    </row>
    <row r="981">
      <c r="C981" s="263"/>
    </row>
    <row r="982">
      <c r="C982" s="263"/>
    </row>
    <row r="983">
      <c r="C983" s="263"/>
    </row>
    <row r="984">
      <c r="C984" s="263"/>
    </row>
    <row r="985">
      <c r="C985" s="263"/>
    </row>
    <row r="986">
      <c r="C986" s="263"/>
    </row>
    <row r="987">
      <c r="C987" s="263"/>
    </row>
    <row r="988">
      <c r="C988" s="263"/>
    </row>
    <row r="989">
      <c r="C989" s="263"/>
    </row>
    <row r="990">
      <c r="C990" s="263"/>
    </row>
    <row r="991">
      <c r="C991" s="263"/>
    </row>
    <row r="992">
      <c r="C992" s="263"/>
    </row>
    <row r="993">
      <c r="C993" s="263"/>
    </row>
    <row r="994">
      <c r="C994" s="263"/>
    </row>
    <row r="995">
      <c r="C995" s="263"/>
    </row>
    <row r="996">
      <c r="C996" s="263"/>
    </row>
    <row r="997">
      <c r="C997" s="263"/>
    </row>
    <row r="998">
      <c r="C998" s="263"/>
    </row>
    <row r="999">
      <c r="C999" s="263"/>
    </row>
    <row r="1000">
      <c r="C1000" s="263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8.88"/>
    <col customWidth="1" min="3" max="3" width="15.0"/>
    <col customWidth="1" min="7" max="7" width="10.5"/>
    <col customWidth="1" min="8" max="8" width="18.88"/>
    <col customWidth="1" min="9" max="9" width="16.13"/>
  </cols>
  <sheetData>
    <row r="1" ht="20.25" customHeight="1">
      <c r="A1" s="7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  <c r="Z1" s="5"/>
      <c r="AA1" s="5"/>
      <c r="AB1" s="141"/>
      <c r="AC1" s="141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</row>
    <row r="2" ht="27.75" customHeight="1">
      <c r="A2" s="267" t="s">
        <v>203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9"/>
      <c r="Z2" s="5"/>
      <c r="AA2" s="5"/>
      <c r="AB2" s="141"/>
      <c r="AC2" s="141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</row>
    <row r="3" ht="18.75" customHeight="1">
      <c r="A3" s="268"/>
      <c r="B3" s="13"/>
      <c r="C3" s="13"/>
      <c r="D3" s="13"/>
      <c r="E3" s="7"/>
      <c r="F3" s="7"/>
      <c r="G3" s="13"/>
      <c r="H3" s="13"/>
      <c r="I3" s="13"/>
      <c r="J3" s="1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9"/>
      <c r="Z3" s="144"/>
      <c r="AA3" s="144"/>
      <c r="AB3" s="141"/>
      <c r="AC3" s="141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</row>
    <row r="4" ht="44.25" customHeight="1">
      <c r="A4" s="269" t="s">
        <v>1</v>
      </c>
      <c r="B4" s="270" t="s">
        <v>113</v>
      </c>
      <c r="C4" s="269" t="s">
        <v>3</v>
      </c>
      <c r="D4" s="269" t="s">
        <v>114</v>
      </c>
      <c r="E4" s="271"/>
      <c r="F4" s="272"/>
      <c r="G4" s="273" t="s">
        <v>204</v>
      </c>
      <c r="H4" s="20"/>
      <c r="I4" s="20"/>
      <c r="J4" s="21"/>
      <c r="K4" s="274"/>
      <c r="L4" s="275"/>
      <c r="M4" s="275"/>
      <c r="N4" s="275"/>
      <c r="O4" s="275"/>
      <c r="P4" s="275"/>
      <c r="Q4" s="275"/>
      <c r="R4" s="275"/>
      <c r="S4" s="275"/>
      <c r="T4" s="275"/>
      <c r="U4" s="275"/>
      <c r="V4" s="275"/>
      <c r="W4" s="275"/>
      <c r="X4" s="275"/>
      <c r="Y4" s="272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/>
      <c r="BE4" s="147"/>
      <c r="BF4" s="147"/>
      <c r="BG4" s="147"/>
      <c r="BH4" s="147"/>
    </row>
    <row r="5">
      <c r="A5" s="151">
        <v>1.0</v>
      </c>
      <c r="B5" s="152" t="str">
        <f>IFERROR(__xludf.DUMMYFUNCTION("IFERROR(FILTER('Лист3'!A16:B31,'Лист3'!B16:B31&gt;0),"" "")"),"Coach")</f>
        <v>Coach</v>
      </c>
      <c r="C5" s="153">
        <f>IFERROR(__xludf.DUMMYFUNCTION("""COMPUTED_VALUE"""),42.25)</f>
        <v>42.25</v>
      </c>
      <c r="D5" s="154">
        <v>1.0</v>
      </c>
      <c r="E5" s="274"/>
      <c r="F5" s="89"/>
      <c r="G5" s="276" t="s">
        <v>1</v>
      </c>
      <c r="H5" s="277" t="s">
        <v>113</v>
      </c>
      <c r="I5" s="276" t="s">
        <v>3</v>
      </c>
      <c r="J5" s="276" t="s">
        <v>114</v>
      </c>
      <c r="K5" s="274"/>
      <c r="L5" s="278"/>
      <c r="M5" s="278"/>
      <c r="N5" s="278"/>
      <c r="O5" s="278"/>
      <c r="P5" s="278"/>
      <c r="Q5" s="278"/>
      <c r="R5" s="278"/>
      <c r="S5" s="278"/>
      <c r="T5" s="278"/>
      <c r="U5" s="278"/>
      <c r="V5" s="278"/>
      <c r="W5" s="278"/>
      <c r="X5" s="278"/>
      <c r="Y5" s="89"/>
    </row>
    <row r="6">
      <c r="A6" s="156">
        <v>2.0</v>
      </c>
      <c r="B6" s="279" t="str">
        <f>IFERROR(__xludf.DUMMYFUNCTION("""COMPUTED_VALUE"""),"Дракарис")</f>
        <v>Дракарис</v>
      </c>
      <c r="C6" s="158">
        <f>IFERROR(__xludf.DUMMYFUNCTION("""COMPUTED_VALUE"""),34.75)</f>
        <v>34.75</v>
      </c>
      <c r="D6" s="159">
        <v>2.0</v>
      </c>
      <c r="E6" s="274"/>
      <c r="F6" s="89"/>
      <c r="G6" s="160">
        <v>1.0</v>
      </c>
      <c r="H6" s="163" t="str">
        <f>IFERROR(__xludf.DUMMYFUNCTION("QUERY('Лист3'!AX3:BA18, ""SELECT AX, AY, AZ WHERE AY &gt;0 ORDER BY AY DESC, BA desc"")"),"Тихий Закат")</f>
        <v>Тихий Закат</v>
      </c>
      <c r="I6" s="280">
        <f>IFERROR(__xludf.DUMMYFUNCTION("""COMPUTED_VALUE"""),35.75)</f>
        <v>35.75</v>
      </c>
      <c r="J6" s="162">
        <f>IFERROR(__xludf.DUMMYFUNCTION("""COMPUTED_VALUE"""),1.0)</f>
        <v>1</v>
      </c>
      <c r="K6" s="274"/>
      <c r="L6" s="278"/>
      <c r="M6" s="278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89"/>
    </row>
    <row r="7">
      <c r="A7" s="151">
        <v>3.0</v>
      </c>
      <c r="B7" s="152" t="str">
        <f>IFERROR(__xludf.DUMMYFUNCTION("""COMPUTED_VALUE"""),"Админ")</f>
        <v>Админ</v>
      </c>
      <c r="C7" s="153">
        <f>IFERROR(__xludf.DUMMYFUNCTION("""COMPUTED_VALUE"""),34.5)</f>
        <v>34.5</v>
      </c>
      <c r="D7" s="154">
        <v>3.0</v>
      </c>
      <c r="E7" s="274"/>
      <c r="F7" s="89"/>
      <c r="G7" s="160">
        <v>2.0</v>
      </c>
      <c r="H7" s="163" t="str">
        <f>IFERROR(__xludf.DUMMYFUNCTION("""COMPUTED_VALUE"""),"Тихий Закат")</f>
        <v>Тихий Закат</v>
      </c>
      <c r="I7" s="161">
        <f>IFERROR(__xludf.DUMMYFUNCTION("""COMPUTED_VALUE"""),33.75)</f>
        <v>33.75</v>
      </c>
      <c r="J7" s="162">
        <f>IFERROR(__xludf.DUMMYFUNCTION("""COMPUTED_VALUE"""),2.0)</f>
        <v>2</v>
      </c>
      <c r="K7" s="274"/>
      <c r="L7" s="278"/>
      <c r="M7" s="27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89"/>
    </row>
    <row r="8">
      <c r="A8" s="156">
        <v>4.0</v>
      </c>
      <c r="B8" s="157"/>
      <c r="C8" s="158"/>
      <c r="D8" s="159">
        <v>4.0</v>
      </c>
      <c r="E8" s="274"/>
      <c r="F8" s="89"/>
      <c r="G8" s="160">
        <v>3.0</v>
      </c>
      <c r="H8" s="163" t="str">
        <f>IFERROR(__xludf.DUMMYFUNCTION("""COMPUTED_VALUE"""),"Никнейм")</f>
        <v>Никнейм</v>
      </c>
      <c r="I8" s="280">
        <f>IFERROR(__xludf.DUMMYFUNCTION("""COMPUTED_VALUE"""),33.25)</f>
        <v>33.25</v>
      </c>
      <c r="J8" s="162">
        <f>IFERROR(__xludf.DUMMYFUNCTION("""COMPUTED_VALUE"""),3.0)</f>
        <v>3</v>
      </c>
      <c r="K8" s="274"/>
      <c r="L8" s="278"/>
      <c r="M8" s="27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  <c r="Y8" s="89"/>
    </row>
    <row r="9">
      <c r="A9" s="151">
        <v>5.0</v>
      </c>
      <c r="B9" s="152"/>
      <c r="C9" s="153"/>
      <c r="D9" s="154">
        <v>5.0</v>
      </c>
      <c r="E9" s="274"/>
      <c r="F9" s="89"/>
      <c r="G9" s="165">
        <v>4.0</v>
      </c>
      <c r="H9" s="166"/>
      <c r="I9" s="166"/>
      <c r="J9" s="281"/>
      <c r="K9" s="274"/>
      <c r="L9" s="278"/>
      <c r="M9" s="27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89"/>
    </row>
    <row r="10">
      <c r="A10" s="156">
        <v>6.0</v>
      </c>
      <c r="B10" s="157"/>
      <c r="C10" s="158"/>
      <c r="D10" s="159">
        <v>6.0</v>
      </c>
      <c r="E10" s="274"/>
      <c r="F10" s="89"/>
      <c r="G10" s="169">
        <v>5.0</v>
      </c>
      <c r="H10" s="163"/>
      <c r="I10" s="163"/>
      <c r="J10" s="164"/>
      <c r="K10" s="274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89"/>
    </row>
    <row r="11">
      <c r="A11" s="151">
        <v>7.0</v>
      </c>
      <c r="B11" s="152"/>
      <c r="C11" s="153"/>
      <c r="D11" s="154">
        <v>7.0</v>
      </c>
      <c r="E11" s="274"/>
      <c r="F11" s="89"/>
      <c r="G11" s="169">
        <v>6.0</v>
      </c>
      <c r="H11" s="163"/>
      <c r="I11" s="163"/>
      <c r="J11" s="164"/>
      <c r="K11" s="274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89"/>
    </row>
    <row r="12">
      <c r="A12" s="156">
        <v>8.0</v>
      </c>
      <c r="B12" s="157"/>
      <c r="C12" s="158"/>
      <c r="D12" s="159">
        <v>8.0</v>
      </c>
      <c r="E12" s="274"/>
      <c r="F12" s="89"/>
      <c r="G12" s="169">
        <v>7.0</v>
      </c>
      <c r="H12" s="163"/>
      <c r="I12" s="163"/>
      <c r="J12" s="164"/>
      <c r="K12" s="274"/>
      <c r="L12" s="278"/>
      <c r="M12" s="27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89"/>
    </row>
    <row r="13">
      <c r="A13" s="151">
        <v>9.0</v>
      </c>
      <c r="B13" s="152"/>
      <c r="C13" s="153"/>
      <c r="D13" s="154">
        <v>9.0</v>
      </c>
      <c r="E13" s="274"/>
      <c r="F13" s="89"/>
      <c r="G13" s="169">
        <v>8.0</v>
      </c>
      <c r="H13" s="163"/>
      <c r="I13" s="163"/>
      <c r="J13" s="164"/>
      <c r="K13" s="274"/>
      <c r="L13" s="278"/>
      <c r="M13" s="27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89"/>
    </row>
    <row r="14">
      <c r="A14" s="156">
        <v>10.0</v>
      </c>
      <c r="B14" s="157"/>
      <c r="C14" s="158"/>
      <c r="D14" s="159">
        <v>10.0</v>
      </c>
      <c r="E14" s="274"/>
      <c r="F14" s="89"/>
      <c r="G14" s="169">
        <v>9.0</v>
      </c>
      <c r="H14" s="163"/>
      <c r="I14" s="163"/>
      <c r="J14" s="164"/>
      <c r="K14" s="274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89"/>
    </row>
    <row r="15">
      <c r="A15" s="151">
        <v>11.0</v>
      </c>
      <c r="B15" s="152"/>
      <c r="C15" s="153"/>
      <c r="D15" s="154">
        <v>11.0</v>
      </c>
      <c r="E15" s="274"/>
      <c r="F15" s="89"/>
      <c r="G15" s="169">
        <v>10.0</v>
      </c>
      <c r="H15" s="163"/>
      <c r="I15" s="163"/>
      <c r="J15" s="164"/>
      <c r="K15" s="274"/>
      <c r="L15" s="278"/>
      <c r="M15" s="27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89"/>
    </row>
    <row r="16">
      <c r="A16" s="156">
        <v>12.0</v>
      </c>
      <c r="B16" s="157"/>
      <c r="C16" s="158"/>
      <c r="D16" s="159">
        <v>12.0</v>
      </c>
      <c r="E16" s="274"/>
      <c r="F16" s="89"/>
      <c r="G16" s="169">
        <v>11.0</v>
      </c>
      <c r="H16" s="163"/>
      <c r="I16" s="163"/>
      <c r="J16" s="164"/>
      <c r="K16" s="274"/>
      <c r="L16" s="278"/>
      <c r="M16" s="27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89"/>
    </row>
    <row r="17">
      <c r="A17" s="151">
        <v>13.0</v>
      </c>
      <c r="B17" s="152"/>
      <c r="C17" s="153"/>
      <c r="D17" s="154">
        <v>13.0</v>
      </c>
      <c r="E17" s="274"/>
      <c r="F17" s="89"/>
      <c r="G17" s="169">
        <v>12.0</v>
      </c>
      <c r="H17" s="163"/>
      <c r="I17" s="163"/>
      <c r="J17" s="164"/>
      <c r="K17" s="274"/>
      <c r="L17" s="278"/>
      <c r="M17" s="278"/>
      <c r="N17" s="278"/>
      <c r="O17" s="278"/>
      <c r="P17" s="278"/>
      <c r="Q17" s="278"/>
      <c r="R17" s="278"/>
      <c r="S17" s="278"/>
      <c r="T17" s="278"/>
      <c r="U17" s="278"/>
      <c r="V17" s="278"/>
      <c r="W17" s="278"/>
      <c r="X17" s="278"/>
      <c r="Y17" s="89"/>
    </row>
    <row r="18">
      <c r="A18" s="156">
        <v>14.0</v>
      </c>
      <c r="B18" s="157"/>
      <c r="C18" s="158"/>
      <c r="D18" s="159">
        <v>14.0</v>
      </c>
      <c r="E18" s="274"/>
      <c r="F18" s="89"/>
      <c r="G18" s="169">
        <v>13.0</v>
      </c>
      <c r="H18" s="163"/>
      <c r="I18" s="163"/>
      <c r="J18" s="164"/>
      <c r="K18" s="274"/>
      <c r="L18" s="278"/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89"/>
    </row>
    <row r="19">
      <c r="A19" s="151">
        <v>15.0</v>
      </c>
      <c r="B19" s="152"/>
      <c r="C19" s="153"/>
      <c r="D19" s="154">
        <v>15.0</v>
      </c>
      <c r="E19" s="274"/>
      <c r="F19" s="89"/>
      <c r="G19" s="169">
        <v>14.0</v>
      </c>
      <c r="H19" s="163"/>
      <c r="I19" s="163"/>
      <c r="J19" s="164"/>
      <c r="K19" s="274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89"/>
    </row>
    <row r="20">
      <c r="A20" s="156">
        <v>16.0</v>
      </c>
      <c r="B20" s="157"/>
      <c r="C20" s="158"/>
      <c r="D20" s="159">
        <v>16.0</v>
      </c>
      <c r="E20" s="274"/>
      <c r="F20" s="89"/>
      <c r="G20" s="169">
        <v>15.0</v>
      </c>
      <c r="H20" s="163"/>
      <c r="I20" s="163"/>
      <c r="J20" s="282"/>
      <c r="K20" s="274"/>
      <c r="L20" s="278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89"/>
    </row>
    <row r="21">
      <c r="A21" s="170">
        <v>17.0</v>
      </c>
      <c r="B21" s="171" t="str">
        <f t="shared" ref="B21:D21" si="1">H6</f>
        <v>Тихий Закат</v>
      </c>
      <c r="C21" s="171">
        <f t="shared" si="1"/>
        <v>35.75</v>
      </c>
      <c r="D21" s="172">
        <f t="shared" si="1"/>
        <v>1</v>
      </c>
      <c r="E21" s="274"/>
      <c r="F21" s="89"/>
      <c r="G21" s="173">
        <v>16.0</v>
      </c>
      <c r="H21" s="174"/>
      <c r="I21" s="174"/>
      <c r="J21" s="283"/>
      <c r="K21" s="274"/>
      <c r="L21" s="278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89"/>
    </row>
    <row r="22">
      <c r="A22" s="170">
        <v>18.0</v>
      </c>
      <c r="B22" s="177" t="str">
        <f t="shared" ref="B22:D22" si="2">H7</f>
        <v>Тихий Закат</v>
      </c>
      <c r="C22" s="177">
        <f t="shared" si="2"/>
        <v>33.75</v>
      </c>
      <c r="D22" s="284">
        <f t="shared" si="2"/>
        <v>2</v>
      </c>
      <c r="E22" s="274"/>
      <c r="F22" s="278"/>
      <c r="G22" s="285"/>
      <c r="H22" s="285"/>
      <c r="I22" s="285"/>
      <c r="J22" s="285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89"/>
    </row>
    <row r="23">
      <c r="A23" s="170">
        <v>19.0</v>
      </c>
      <c r="B23" s="152" t="str">
        <f t="shared" ref="B23:D23" si="3">H8</f>
        <v>Никнейм</v>
      </c>
      <c r="C23" s="153">
        <f t="shared" si="3"/>
        <v>33.25</v>
      </c>
      <c r="D23" s="286">
        <f t="shared" si="3"/>
        <v>3</v>
      </c>
      <c r="E23" s="274"/>
      <c r="F23" s="278"/>
      <c r="G23" s="278"/>
      <c r="H23" s="278"/>
      <c r="I23" s="278"/>
      <c r="J23" s="278"/>
      <c r="K23" s="278"/>
      <c r="L23" s="278"/>
      <c r="M23" s="278"/>
      <c r="N23" s="278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89"/>
    </row>
    <row r="24">
      <c r="A24" s="179">
        <v>20.0</v>
      </c>
      <c r="B24" s="180" t="str">
        <f t="shared" ref="B24:D24" si="4">H9</f>
        <v/>
      </c>
      <c r="C24" s="181" t="str">
        <f t="shared" si="4"/>
        <v/>
      </c>
      <c r="D24" s="182" t="str">
        <f t="shared" si="4"/>
        <v/>
      </c>
      <c r="E24" s="274"/>
      <c r="F24" s="278"/>
      <c r="G24" s="278"/>
      <c r="H24" s="278"/>
      <c r="I24" s="278"/>
      <c r="J24" s="278"/>
      <c r="K24" s="278"/>
      <c r="L24" s="278"/>
      <c r="M24" s="278"/>
      <c r="N24" s="278"/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89"/>
    </row>
    <row r="25">
      <c r="A25" s="287"/>
      <c r="B25" s="285"/>
      <c r="C25" s="285"/>
      <c r="D25" s="285"/>
      <c r="E25" s="278"/>
      <c r="F25" s="278"/>
      <c r="G25" s="278"/>
      <c r="H25" s="278"/>
      <c r="I25" s="278"/>
      <c r="J25" s="278"/>
      <c r="K25" s="278"/>
      <c r="L25" s="278"/>
      <c r="M25" s="278"/>
      <c r="N25" s="278"/>
      <c r="O25" s="278"/>
      <c r="P25" s="278"/>
      <c r="Q25" s="278"/>
      <c r="R25" s="278"/>
      <c r="S25" s="278"/>
      <c r="T25" s="278"/>
      <c r="U25" s="278"/>
      <c r="V25" s="278"/>
      <c r="W25" s="278"/>
      <c r="X25" s="278"/>
      <c r="Y25" s="89"/>
    </row>
    <row r="26">
      <c r="A26" s="274"/>
      <c r="B26" s="278"/>
      <c r="C26" s="278"/>
      <c r="D26" s="278"/>
      <c r="E26" s="278"/>
      <c r="F26" s="278"/>
      <c r="G26" s="278"/>
      <c r="H26" s="278"/>
      <c r="I26" s="278"/>
      <c r="J26" s="278"/>
      <c r="K26" s="278"/>
      <c r="L26" s="278"/>
      <c r="M26" s="278"/>
      <c r="N26" s="278"/>
      <c r="O26" s="278"/>
      <c r="P26" s="278"/>
      <c r="Q26" s="278"/>
      <c r="R26" s="278"/>
      <c r="S26" s="278"/>
      <c r="T26" s="278"/>
      <c r="U26" s="278"/>
      <c r="V26" s="278"/>
      <c r="W26" s="278"/>
      <c r="X26" s="278"/>
      <c r="Y26" s="89"/>
    </row>
    <row r="27">
      <c r="A27" s="288"/>
      <c r="B27" s="278"/>
      <c r="C27" s="278"/>
      <c r="D27" s="278"/>
      <c r="E27" s="278"/>
      <c r="F27" s="278"/>
      <c r="G27" s="278"/>
      <c r="H27" s="278"/>
      <c r="I27" s="278"/>
      <c r="J27" s="278"/>
      <c r="K27" s="278"/>
      <c r="L27" s="278"/>
      <c r="M27" s="278"/>
      <c r="N27" s="278"/>
      <c r="O27" s="278"/>
      <c r="P27" s="278"/>
      <c r="Q27" s="278"/>
      <c r="R27" s="278"/>
      <c r="S27" s="278"/>
      <c r="T27" s="278"/>
      <c r="U27" s="278"/>
      <c r="V27" s="278"/>
      <c r="W27" s="278"/>
      <c r="X27" s="278"/>
      <c r="Y27" s="278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85"/>
      <c r="BD27" s="285"/>
      <c r="BE27" s="285"/>
      <c r="BF27" s="285"/>
      <c r="BG27" s="285"/>
      <c r="BH27" s="289"/>
    </row>
    <row r="28">
      <c r="A28" s="274"/>
      <c r="B28" s="278"/>
      <c r="C28" s="278"/>
      <c r="D28" s="278"/>
      <c r="E28" s="278"/>
      <c r="F28" s="278"/>
      <c r="G28" s="278"/>
      <c r="H28" s="278"/>
      <c r="I28" s="278"/>
      <c r="J28" s="278"/>
      <c r="K28" s="278"/>
      <c r="L28" s="278"/>
      <c r="M28" s="278"/>
      <c r="N28" s="278"/>
      <c r="O28" s="278"/>
      <c r="P28" s="278"/>
      <c r="Q28" s="278"/>
      <c r="R28" s="278"/>
      <c r="S28" s="278"/>
      <c r="T28" s="278"/>
      <c r="U28" s="278"/>
      <c r="V28" s="278"/>
      <c r="W28" s="278"/>
      <c r="X28" s="278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  <c r="AN28" s="278"/>
      <c r="AO28" s="278"/>
      <c r="AP28" s="278"/>
      <c r="AQ28" s="278"/>
      <c r="AR28" s="278"/>
      <c r="AS28" s="278"/>
      <c r="AT28" s="278"/>
      <c r="AU28" s="278"/>
      <c r="AV28" s="278"/>
      <c r="AW28" s="278"/>
      <c r="AX28" s="278"/>
      <c r="AY28" s="278"/>
      <c r="AZ28" s="278"/>
      <c r="BA28" s="278"/>
      <c r="BB28" s="278"/>
      <c r="BC28" s="278"/>
      <c r="BD28" s="278"/>
      <c r="BE28" s="278"/>
      <c r="BF28" s="278"/>
      <c r="BG28" s="278"/>
      <c r="BH28" s="89"/>
    </row>
    <row r="29">
      <c r="A29" s="274"/>
      <c r="B29" s="278"/>
      <c r="C29" s="278"/>
      <c r="D29" s="278"/>
      <c r="E29" s="278"/>
      <c r="F29" s="278"/>
      <c r="G29" s="278"/>
      <c r="H29" s="278"/>
      <c r="I29" s="278"/>
      <c r="J29" s="278"/>
      <c r="K29" s="278"/>
      <c r="L29" s="278"/>
      <c r="M29" s="278"/>
      <c r="N29" s="278"/>
      <c r="O29" s="278"/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8"/>
      <c r="AD29" s="278"/>
      <c r="AE29" s="278"/>
      <c r="AF29" s="278"/>
      <c r="AG29" s="278"/>
      <c r="AH29" s="278"/>
      <c r="AI29" s="278"/>
      <c r="AJ29" s="278"/>
      <c r="AK29" s="278"/>
      <c r="AL29" s="278"/>
      <c r="AM29" s="278"/>
      <c r="AN29" s="278"/>
      <c r="AO29" s="278"/>
      <c r="AP29" s="278"/>
      <c r="AQ29" s="278"/>
      <c r="AR29" s="278"/>
      <c r="AS29" s="278"/>
      <c r="AT29" s="278"/>
      <c r="AU29" s="278"/>
      <c r="AV29" s="278"/>
      <c r="AW29" s="278"/>
      <c r="AX29" s="278"/>
      <c r="AY29" s="278"/>
      <c r="AZ29" s="278"/>
      <c r="BA29" s="278"/>
      <c r="BB29" s="278"/>
      <c r="BC29" s="278"/>
      <c r="BD29" s="278"/>
      <c r="BE29" s="278"/>
      <c r="BF29" s="278"/>
      <c r="BG29" s="278"/>
      <c r="BH29" s="89"/>
    </row>
    <row r="30">
      <c r="A30" s="274"/>
      <c r="B30" s="278"/>
      <c r="C30" s="278"/>
      <c r="D30" s="278"/>
      <c r="E30" s="278"/>
      <c r="F30" s="278"/>
      <c r="G30" s="278"/>
      <c r="H30" s="278"/>
      <c r="I30" s="278"/>
      <c r="J30" s="278"/>
      <c r="K30" s="278"/>
      <c r="L30" s="278"/>
      <c r="M30" s="278"/>
      <c r="N30" s="278"/>
      <c r="O30" s="278"/>
      <c r="P30" s="278"/>
      <c r="Q30" s="278"/>
      <c r="R30" s="278"/>
      <c r="S30" s="278"/>
      <c r="T30" s="278"/>
      <c r="U30" s="278"/>
      <c r="V30" s="278"/>
      <c r="W30" s="278"/>
      <c r="X30" s="278"/>
      <c r="Y30" s="278"/>
      <c r="Z30" s="278"/>
      <c r="AA30" s="278"/>
      <c r="AB30" s="278"/>
      <c r="AC30" s="278"/>
      <c r="AD30" s="278"/>
      <c r="AE30" s="278"/>
      <c r="AF30" s="278"/>
      <c r="AG30" s="278"/>
      <c r="AH30" s="278"/>
      <c r="AI30" s="278"/>
      <c r="AJ30" s="278"/>
      <c r="AK30" s="278"/>
      <c r="AL30" s="278"/>
      <c r="AM30" s="278"/>
      <c r="AN30" s="278"/>
      <c r="AO30" s="278"/>
      <c r="AP30" s="278"/>
      <c r="AQ30" s="278"/>
      <c r="AR30" s="278"/>
      <c r="AS30" s="278"/>
      <c r="AT30" s="278"/>
      <c r="AU30" s="278"/>
      <c r="AV30" s="278"/>
      <c r="AW30" s="278"/>
      <c r="AX30" s="278"/>
      <c r="AY30" s="278"/>
      <c r="AZ30" s="278"/>
      <c r="BA30" s="278"/>
      <c r="BB30" s="278"/>
      <c r="BC30" s="278"/>
      <c r="BD30" s="278"/>
      <c r="BE30" s="278"/>
      <c r="BF30" s="278"/>
      <c r="BG30" s="278"/>
      <c r="BH30" s="89"/>
    </row>
    <row r="31">
      <c r="A31" s="274"/>
      <c r="B31" s="278"/>
      <c r="C31" s="278"/>
      <c r="D31" s="278"/>
      <c r="E31" s="278"/>
      <c r="F31" s="278"/>
      <c r="G31" s="278"/>
      <c r="H31" s="278"/>
      <c r="I31" s="278"/>
      <c r="J31" s="278"/>
      <c r="K31" s="278"/>
      <c r="L31" s="278"/>
      <c r="M31" s="278"/>
      <c r="N31" s="278"/>
      <c r="O31" s="278"/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8"/>
      <c r="AA31" s="278"/>
      <c r="AB31" s="278"/>
      <c r="AC31" s="278"/>
      <c r="AD31" s="278"/>
      <c r="AE31" s="278"/>
      <c r="AF31" s="278"/>
      <c r="AG31" s="278"/>
      <c r="AH31" s="278"/>
      <c r="AI31" s="278"/>
      <c r="AJ31" s="278"/>
      <c r="AK31" s="278"/>
      <c r="AL31" s="278"/>
      <c r="AM31" s="278"/>
      <c r="AN31" s="278"/>
      <c r="AO31" s="278"/>
      <c r="AP31" s="278"/>
      <c r="AQ31" s="278"/>
      <c r="AR31" s="278"/>
      <c r="AS31" s="278"/>
      <c r="AT31" s="278"/>
      <c r="AU31" s="278"/>
      <c r="AV31" s="278"/>
      <c r="AW31" s="278"/>
      <c r="AX31" s="278"/>
      <c r="AY31" s="278"/>
      <c r="AZ31" s="278"/>
      <c r="BA31" s="278"/>
      <c r="BB31" s="278"/>
      <c r="BC31" s="278"/>
      <c r="BD31" s="278"/>
      <c r="BE31" s="278"/>
      <c r="BF31" s="278"/>
      <c r="BG31" s="278"/>
      <c r="BH31" s="89"/>
    </row>
    <row r="32">
      <c r="A32" s="274"/>
      <c r="B32" s="278"/>
      <c r="C32" s="278"/>
      <c r="D32" s="278"/>
      <c r="E32" s="278"/>
      <c r="F32" s="278"/>
      <c r="G32" s="278"/>
      <c r="H32" s="278"/>
      <c r="I32" s="278"/>
      <c r="J32" s="278"/>
      <c r="K32" s="278"/>
      <c r="L32" s="278"/>
      <c r="M32" s="278"/>
      <c r="N32" s="278"/>
      <c r="O32" s="278"/>
      <c r="P32" s="278"/>
      <c r="Q32" s="278"/>
      <c r="R32" s="278"/>
      <c r="S32" s="278"/>
      <c r="T32" s="278"/>
      <c r="U32" s="278"/>
      <c r="V32" s="278"/>
      <c r="W32" s="278"/>
      <c r="X32" s="278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89"/>
    </row>
    <row r="33">
      <c r="A33" s="274"/>
      <c r="B33" s="278"/>
      <c r="C33" s="278"/>
      <c r="D33" s="278"/>
      <c r="E33" s="278"/>
      <c r="F33" s="278"/>
      <c r="G33" s="278"/>
      <c r="H33" s="278"/>
      <c r="I33" s="278"/>
      <c r="J33" s="278"/>
      <c r="K33" s="278"/>
      <c r="L33" s="278"/>
      <c r="M33" s="278"/>
      <c r="N33" s="278"/>
      <c r="O33" s="278"/>
      <c r="P33" s="278"/>
      <c r="Q33" s="278"/>
      <c r="R33" s="278"/>
      <c r="S33" s="278"/>
      <c r="T33" s="278"/>
      <c r="U33" s="278"/>
      <c r="V33" s="278"/>
      <c r="W33" s="278"/>
      <c r="X33" s="278"/>
      <c r="Y33" s="278"/>
      <c r="Z33" s="278"/>
      <c r="AA33" s="278"/>
      <c r="AB33" s="278"/>
      <c r="AC33" s="278"/>
      <c r="AD33" s="278"/>
      <c r="AE33" s="278"/>
      <c r="AF33" s="278"/>
      <c r="AG33" s="278"/>
      <c r="AH33" s="278"/>
      <c r="AI33" s="278"/>
      <c r="AJ33" s="278"/>
      <c r="AK33" s="278"/>
      <c r="AL33" s="278"/>
      <c r="AM33" s="278"/>
      <c r="AN33" s="278"/>
      <c r="AO33" s="278"/>
      <c r="AP33" s="278"/>
      <c r="AQ33" s="278"/>
      <c r="AR33" s="278"/>
      <c r="AS33" s="278"/>
      <c r="AT33" s="278"/>
      <c r="AU33" s="278"/>
      <c r="AV33" s="278"/>
      <c r="AW33" s="278"/>
      <c r="AX33" s="278"/>
      <c r="AY33" s="278"/>
      <c r="AZ33" s="278"/>
      <c r="BA33" s="278"/>
      <c r="BB33" s="278"/>
      <c r="BC33" s="278"/>
      <c r="BD33" s="278"/>
      <c r="BE33" s="278"/>
      <c r="BF33" s="278"/>
      <c r="BG33" s="278"/>
      <c r="BH33" s="89"/>
    </row>
    <row r="34">
      <c r="A34" s="274"/>
      <c r="B34" s="278"/>
      <c r="C34" s="278"/>
      <c r="D34" s="278"/>
      <c r="E34" s="278"/>
      <c r="F34" s="278"/>
      <c r="G34" s="278"/>
      <c r="H34" s="278"/>
      <c r="I34" s="278"/>
      <c r="J34" s="278"/>
      <c r="K34" s="278"/>
      <c r="L34" s="278"/>
      <c r="M34" s="278"/>
      <c r="N34" s="278"/>
      <c r="O34" s="278"/>
      <c r="P34" s="278"/>
      <c r="Q34" s="278"/>
      <c r="R34" s="278"/>
      <c r="S34" s="278"/>
      <c r="T34" s="278"/>
      <c r="U34" s="278"/>
      <c r="V34" s="278"/>
      <c r="W34" s="278"/>
      <c r="X34" s="278"/>
      <c r="Y34" s="278"/>
      <c r="Z34" s="278"/>
      <c r="AA34" s="278"/>
      <c r="AB34" s="278"/>
      <c r="AC34" s="278"/>
      <c r="AD34" s="278"/>
      <c r="AE34" s="278"/>
      <c r="AF34" s="278"/>
      <c r="AG34" s="278"/>
      <c r="AH34" s="278"/>
      <c r="AI34" s="278"/>
      <c r="AJ34" s="278"/>
      <c r="AK34" s="278"/>
      <c r="AL34" s="278"/>
      <c r="AM34" s="278"/>
      <c r="AN34" s="278"/>
      <c r="AO34" s="278"/>
      <c r="AP34" s="278"/>
      <c r="AQ34" s="278"/>
      <c r="AR34" s="278"/>
      <c r="AS34" s="278"/>
      <c r="AT34" s="278"/>
      <c r="AU34" s="278"/>
      <c r="AV34" s="278"/>
      <c r="AW34" s="278"/>
      <c r="AX34" s="278"/>
      <c r="AY34" s="278"/>
      <c r="AZ34" s="278"/>
      <c r="BA34" s="278"/>
      <c r="BB34" s="278"/>
      <c r="BC34" s="278"/>
      <c r="BD34" s="278"/>
      <c r="BE34" s="278"/>
      <c r="BF34" s="278"/>
      <c r="BG34" s="278"/>
      <c r="BH34" s="89"/>
    </row>
    <row r="35">
      <c r="A35" s="274"/>
      <c r="B35" s="278"/>
      <c r="C35" s="278"/>
      <c r="D35" s="278"/>
      <c r="E35" s="278"/>
      <c r="F35" s="278"/>
      <c r="G35" s="278"/>
      <c r="H35" s="278"/>
      <c r="I35" s="278"/>
      <c r="J35" s="278"/>
      <c r="K35" s="278"/>
      <c r="L35" s="278"/>
      <c r="M35" s="278"/>
      <c r="N35" s="278"/>
      <c r="O35" s="278"/>
      <c r="P35" s="278"/>
      <c r="Q35" s="278"/>
      <c r="R35" s="278"/>
      <c r="S35" s="278"/>
      <c r="T35" s="278"/>
      <c r="U35" s="278"/>
      <c r="V35" s="278"/>
      <c r="W35" s="278"/>
      <c r="X35" s="278"/>
      <c r="Y35" s="278"/>
      <c r="Z35" s="278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  <c r="AK35" s="278"/>
      <c r="AL35" s="278"/>
      <c r="AM35" s="278"/>
      <c r="AN35" s="278"/>
      <c r="AO35" s="278"/>
      <c r="AP35" s="278"/>
      <c r="AQ35" s="278"/>
      <c r="AR35" s="278"/>
      <c r="AS35" s="278"/>
      <c r="AT35" s="278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  <c r="BH35" s="89"/>
    </row>
    <row r="36">
      <c r="A36" s="274"/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8"/>
      <c r="P36" s="278"/>
      <c r="Q36" s="278"/>
      <c r="R36" s="278"/>
      <c r="S36" s="278"/>
      <c r="T36" s="278"/>
      <c r="U36" s="278"/>
      <c r="V36" s="278"/>
      <c r="W36" s="278"/>
      <c r="X36" s="278"/>
      <c r="Y36" s="278"/>
      <c r="Z36" s="278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  <c r="AK36" s="278"/>
      <c r="AL36" s="278"/>
      <c r="AM36" s="278"/>
      <c r="AN36" s="278"/>
      <c r="AO36" s="278"/>
      <c r="AP36" s="278"/>
      <c r="AQ36" s="278"/>
      <c r="AR36" s="278"/>
      <c r="AS36" s="278"/>
      <c r="AT36" s="278"/>
      <c r="AU36" s="278"/>
      <c r="AV36" s="278"/>
      <c r="AW36" s="278"/>
      <c r="AX36" s="278"/>
      <c r="AY36" s="278"/>
      <c r="AZ36" s="278"/>
      <c r="BA36" s="278"/>
      <c r="BB36" s="278"/>
      <c r="BC36" s="278"/>
      <c r="BD36" s="278"/>
      <c r="BE36" s="278"/>
      <c r="BF36" s="278"/>
      <c r="BG36" s="278"/>
      <c r="BH36" s="89"/>
    </row>
    <row r="37">
      <c r="A37" s="274"/>
      <c r="B37" s="278"/>
      <c r="C37" s="278"/>
      <c r="D37" s="278"/>
      <c r="E37" s="278"/>
      <c r="F37" s="278"/>
      <c r="G37" s="278"/>
      <c r="H37" s="278"/>
      <c r="I37" s="278"/>
      <c r="J37" s="278"/>
      <c r="K37" s="278"/>
      <c r="L37" s="278"/>
      <c r="M37" s="278"/>
      <c r="N37" s="278"/>
      <c r="O37" s="278"/>
      <c r="P37" s="278"/>
      <c r="Q37" s="278"/>
      <c r="R37" s="278"/>
      <c r="S37" s="278"/>
      <c r="T37" s="278"/>
      <c r="U37" s="278"/>
      <c r="V37" s="278"/>
      <c r="W37" s="278"/>
      <c r="X37" s="278"/>
      <c r="Y37" s="278"/>
      <c r="Z37" s="278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  <c r="AK37" s="278"/>
      <c r="AL37" s="278"/>
      <c r="AM37" s="278"/>
      <c r="AN37" s="278"/>
      <c r="AO37" s="278"/>
      <c r="AP37" s="278"/>
      <c r="AQ37" s="278"/>
      <c r="AR37" s="278"/>
      <c r="AS37" s="278"/>
      <c r="AT37" s="278"/>
      <c r="AU37" s="278"/>
      <c r="AV37" s="278"/>
      <c r="AW37" s="278"/>
      <c r="AX37" s="278"/>
      <c r="AY37" s="278"/>
      <c r="AZ37" s="278"/>
      <c r="BA37" s="278"/>
      <c r="BB37" s="278"/>
      <c r="BC37" s="278"/>
      <c r="BD37" s="278"/>
      <c r="BE37" s="278"/>
      <c r="BF37" s="278"/>
      <c r="BG37" s="278"/>
      <c r="BH37" s="89"/>
    </row>
    <row r="38">
      <c r="A38" s="274"/>
      <c r="B38" s="278"/>
      <c r="C38" s="278"/>
      <c r="D38" s="278"/>
      <c r="E38" s="278"/>
      <c r="F38" s="278"/>
      <c r="G38" s="278"/>
      <c r="H38" s="278"/>
      <c r="I38" s="278"/>
      <c r="J38" s="278"/>
      <c r="K38" s="278"/>
      <c r="L38" s="278"/>
      <c r="M38" s="278"/>
      <c r="N38" s="278"/>
      <c r="O38" s="278"/>
      <c r="P38" s="278"/>
      <c r="Q38" s="278"/>
      <c r="R38" s="278"/>
      <c r="S38" s="278"/>
      <c r="T38" s="278"/>
      <c r="U38" s="278"/>
      <c r="V38" s="278"/>
      <c r="W38" s="278"/>
      <c r="X38" s="278"/>
      <c r="Y38" s="278"/>
      <c r="Z38" s="278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278"/>
      <c r="AL38" s="278"/>
      <c r="AM38" s="278"/>
      <c r="AN38" s="278"/>
      <c r="AO38" s="278"/>
      <c r="AP38" s="278"/>
      <c r="AQ38" s="278"/>
      <c r="AR38" s="278"/>
      <c r="AS38" s="278"/>
      <c r="AT38" s="278"/>
      <c r="AU38" s="278"/>
      <c r="AV38" s="278"/>
      <c r="AW38" s="278"/>
      <c r="AX38" s="278"/>
      <c r="AY38" s="278"/>
      <c r="AZ38" s="278"/>
      <c r="BA38" s="278"/>
      <c r="BB38" s="278"/>
      <c r="BC38" s="278"/>
      <c r="BD38" s="278"/>
      <c r="BE38" s="278"/>
      <c r="BF38" s="278"/>
      <c r="BG38" s="278"/>
      <c r="BH38" s="89"/>
    </row>
    <row r="39">
      <c r="A39" s="274"/>
      <c r="B39" s="278"/>
      <c r="C39" s="278"/>
      <c r="D39" s="278"/>
      <c r="E39" s="278"/>
      <c r="F39" s="278"/>
      <c r="G39" s="278"/>
      <c r="H39" s="278"/>
      <c r="I39" s="278"/>
      <c r="J39" s="278"/>
      <c r="K39" s="278"/>
      <c r="L39" s="278"/>
      <c r="M39" s="278"/>
      <c r="N39" s="278"/>
      <c r="O39" s="278"/>
      <c r="P39" s="278"/>
      <c r="Q39" s="278"/>
      <c r="R39" s="278"/>
      <c r="S39" s="278"/>
      <c r="T39" s="278"/>
      <c r="U39" s="278"/>
      <c r="V39" s="278"/>
      <c r="W39" s="278"/>
      <c r="X39" s="278"/>
      <c r="Y39" s="278"/>
      <c r="Z39" s="278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278"/>
      <c r="AL39" s="278"/>
      <c r="AM39" s="278"/>
      <c r="AN39" s="278"/>
      <c r="AO39" s="278"/>
      <c r="AP39" s="278"/>
      <c r="AQ39" s="278"/>
      <c r="AR39" s="278"/>
      <c r="AS39" s="278"/>
      <c r="AT39" s="278"/>
      <c r="AU39" s="278"/>
      <c r="AV39" s="278"/>
      <c r="AW39" s="278"/>
      <c r="AX39" s="278"/>
      <c r="AY39" s="278"/>
      <c r="AZ39" s="278"/>
      <c r="BA39" s="278"/>
      <c r="BB39" s="278"/>
      <c r="BC39" s="278"/>
      <c r="BD39" s="278"/>
      <c r="BE39" s="278"/>
      <c r="BF39" s="278"/>
      <c r="BG39" s="278"/>
      <c r="BH39" s="89"/>
    </row>
    <row r="40">
      <c r="A40" s="274"/>
      <c r="B40" s="278"/>
      <c r="C40" s="278"/>
      <c r="D40" s="278"/>
      <c r="E40" s="278"/>
      <c r="F40" s="278"/>
      <c r="G40" s="278"/>
      <c r="H40" s="278"/>
      <c r="I40" s="278"/>
      <c r="J40" s="278"/>
      <c r="K40" s="278"/>
      <c r="L40" s="278"/>
      <c r="M40" s="278"/>
      <c r="N40" s="278"/>
      <c r="O40" s="278"/>
      <c r="P40" s="278"/>
      <c r="Q40" s="278"/>
      <c r="R40" s="278"/>
      <c r="S40" s="278"/>
      <c r="T40" s="278"/>
      <c r="U40" s="278"/>
      <c r="V40" s="278"/>
      <c r="W40" s="278"/>
      <c r="X40" s="278"/>
      <c r="Y40" s="278"/>
      <c r="Z40" s="278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278"/>
      <c r="AL40" s="278"/>
      <c r="AM40" s="278"/>
      <c r="AN40" s="278"/>
      <c r="AO40" s="278"/>
      <c r="AP40" s="278"/>
      <c r="AQ40" s="278"/>
      <c r="AR40" s="278"/>
      <c r="AS40" s="278"/>
      <c r="AT40" s="278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8"/>
      <c r="BH40" s="89"/>
    </row>
    <row r="41">
      <c r="A41" s="274"/>
      <c r="B41" s="278"/>
      <c r="C41" s="278"/>
      <c r="D41" s="278"/>
      <c r="E41" s="278"/>
      <c r="F41" s="278"/>
      <c r="G41" s="278"/>
      <c r="H41" s="278"/>
      <c r="I41" s="278"/>
      <c r="J41" s="278"/>
      <c r="K41" s="278"/>
      <c r="L41" s="278"/>
      <c r="M41" s="278"/>
      <c r="N41" s="278"/>
      <c r="O41" s="278"/>
      <c r="P41" s="278"/>
      <c r="Q41" s="278"/>
      <c r="R41" s="278"/>
      <c r="S41" s="278"/>
      <c r="T41" s="278"/>
      <c r="U41" s="278"/>
      <c r="V41" s="278"/>
      <c r="W41" s="278"/>
      <c r="X41" s="278"/>
      <c r="Y41" s="278"/>
      <c r="Z41" s="278"/>
      <c r="AA41" s="278"/>
      <c r="AB41" s="278"/>
      <c r="AC41" s="278"/>
      <c r="AD41" s="278"/>
      <c r="AE41" s="278"/>
      <c r="AF41" s="278"/>
      <c r="AG41" s="278"/>
      <c r="AH41" s="278"/>
      <c r="AI41" s="278"/>
      <c r="AJ41" s="278"/>
      <c r="AK41" s="278"/>
      <c r="AL41" s="278"/>
      <c r="AM41" s="278"/>
      <c r="AN41" s="278"/>
      <c r="AO41" s="278"/>
      <c r="AP41" s="278"/>
      <c r="AQ41" s="278"/>
      <c r="AR41" s="278"/>
      <c r="AS41" s="278"/>
      <c r="AT41" s="278"/>
      <c r="AU41" s="278"/>
      <c r="AV41" s="278"/>
      <c r="AW41" s="278"/>
      <c r="AX41" s="278"/>
      <c r="AY41" s="278"/>
      <c r="AZ41" s="278"/>
      <c r="BA41" s="278"/>
      <c r="BB41" s="278"/>
      <c r="BC41" s="278"/>
      <c r="BD41" s="278"/>
      <c r="BE41" s="278"/>
      <c r="BF41" s="278"/>
      <c r="BG41" s="278"/>
      <c r="BH41" s="89"/>
    </row>
    <row r="42">
      <c r="A42" s="274"/>
      <c r="B42" s="278"/>
      <c r="C42" s="278"/>
      <c r="D42" s="278"/>
      <c r="E42" s="278"/>
      <c r="F42" s="278"/>
      <c r="G42" s="278"/>
      <c r="H42" s="278"/>
      <c r="I42" s="278"/>
      <c r="J42" s="278"/>
      <c r="K42" s="278"/>
      <c r="L42" s="278"/>
      <c r="M42" s="278"/>
      <c r="N42" s="278"/>
      <c r="O42" s="278"/>
      <c r="P42" s="278"/>
      <c r="Q42" s="278"/>
      <c r="R42" s="278"/>
      <c r="S42" s="278"/>
      <c r="T42" s="278"/>
      <c r="U42" s="278"/>
      <c r="V42" s="278"/>
      <c r="W42" s="278"/>
      <c r="X42" s="278"/>
      <c r="Y42" s="278"/>
      <c r="Z42" s="278"/>
      <c r="AA42" s="278"/>
      <c r="AB42" s="278"/>
      <c r="AC42" s="278"/>
      <c r="AD42" s="278"/>
      <c r="AE42" s="278"/>
      <c r="AF42" s="278"/>
      <c r="AG42" s="278"/>
      <c r="AH42" s="278"/>
      <c r="AI42" s="278"/>
      <c r="AJ42" s="278"/>
      <c r="AK42" s="278"/>
      <c r="AL42" s="278"/>
      <c r="AM42" s="278"/>
      <c r="AN42" s="278"/>
      <c r="AO42" s="278"/>
      <c r="AP42" s="278"/>
      <c r="AQ42" s="278"/>
      <c r="AR42" s="278"/>
      <c r="AS42" s="278"/>
      <c r="AT42" s="278"/>
      <c r="AU42" s="278"/>
      <c r="AV42" s="278"/>
      <c r="AW42" s="278"/>
      <c r="AX42" s="278"/>
      <c r="AY42" s="278"/>
      <c r="AZ42" s="278"/>
      <c r="BA42" s="278"/>
      <c r="BB42" s="278"/>
      <c r="BC42" s="278"/>
      <c r="BD42" s="278"/>
      <c r="BE42" s="278"/>
      <c r="BF42" s="278"/>
      <c r="BG42" s="278"/>
      <c r="BH42" s="89"/>
    </row>
    <row r="43">
      <c r="A43" s="274"/>
      <c r="B43" s="278"/>
      <c r="C43" s="278"/>
      <c r="D43" s="278"/>
      <c r="E43" s="278"/>
      <c r="F43" s="278"/>
      <c r="G43" s="278"/>
      <c r="H43" s="278"/>
      <c r="I43" s="278"/>
      <c r="J43" s="278"/>
      <c r="K43" s="278"/>
      <c r="L43" s="278"/>
      <c r="M43" s="278"/>
      <c r="N43" s="278"/>
      <c r="O43" s="278"/>
      <c r="P43" s="278"/>
      <c r="Q43" s="278"/>
      <c r="R43" s="278"/>
      <c r="S43" s="278"/>
      <c r="T43" s="278"/>
      <c r="U43" s="278"/>
      <c r="V43" s="278"/>
      <c r="W43" s="278"/>
      <c r="X43" s="278"/>
      <c r="Y43" s="278"/>
      <c r="Z43" s="278"/>
      <c r="AA43" s="278"/>
      <c r="AB43" s="278"/>
      <c r="AC43" s="278"/>
      <c r="AD43" s="278"/>
      <c r="AE43" s="278"/>
      <c r="AF43" s="278"/>
      <c r="AG43" s="278"/>
      <c r="AH43" s="278"/>
      <c r="AI43" s="278"/>
      <c r="AJ43" s="278"/>
      <c r="AK43" s="278"/>
      <c r="AL43" s="278"/>
      <c r="AM43" s="278"/>
      <c r="AN43" s="278"/>
      <c r="AO43" s="278"/>
      <c r="AP43" s="278"/>
      <c r="AQ43" s="278"/>
      <c r="AR43" s="278"/>
      <c r="AS43" s="278"/>
      <c r="AT43" s="278"/>
      <c r="AU43" s="278"/>
      <c r="AV43" s="278"/>
      <c r="AW43" s="278"/>
      <c r="AX43" s="278"/>
      <c r="AY43" s="278"/>
      <c r="AZ43" s="278"/>
      <c r="BA43" s="278"/>
      <c r="BB43" s="278"/>
      <c r="BC43" s="278"/>
      <c r="BD43" s="278"/>
      <c r="BE43" s="278"/>
      <c r="BF43" s="278"/>
      <c r="BG43" s="278"/>
      <c r="BH43" s="89"/>
    </row>
    <row r="44">
      <c r="A44" s="274"/>
      <c r="B44" s="278"/>
      <c r="C44" s="278"/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  <c r="AE44" s="278"/>
      <c r="AF44" s="278"/>
      <c r="AG44" s="278"/>
      <c r="AH44" s="278"/>
      <c r="AI44" s="278"/>
      <c r="AJ44" s="278"/>
      <c r="AK44" s="278"/>
      <c r="AL44" s="278"/>
      <c r="AM44" s="278"/>
      <c r="AN44" s="278"/>
      <c r="AO44" s="278"/>
      <c r="AP44" s="278"/>
      <c r="AQ44" s="278"/>
      <c r="AR44" s="278"/>
      <c r="AS44" s="278"/>
      <c r="AT44" s="278"/>
      <c r="AU44" s="278"/>
      <c r="AV44" s="278"/>
      <c r="AW44" s="278"/>
      <c r="AX44" s="278"/>
      <c r="AY44" s="278"/>
      <c r="AZ44" s="278"/>
      <c r="BA44" s="278"/>
      <c r="BB44" s="278"/>
      <c r="BC44" s="278"/>
      <c r="BD44" s="278"/>
      <c r="BE44" s="278"/>
      <c r="BF44" s="278"/>
      <c r="BG44" s="278"/>
      <c r="BH44" s="89"/>
    </row>
    <row r="45">
      <c r="A45" s="274"/>
      <c r="B45" s="278"/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278"/>
      <c r="V45" s="278"/>
      <c r="W45" s="278"/>
      <c r="X45" s="278"/>
      <c r="Y45" s="278"/>
      <c r="Z45" s="278"/>
      <c r="AA45" s="278"/>
      <c r="AB45" s="278"/>
      <c r="AC45" s="278"/>
      <c r="AD45" s="278"/>
      <c r="AE45" s="278"/>
      <c r="AF45" s="278"/>
      <c r="AG45" s="278"/>
      <c r="AH45" s="278"/>
      <c r="AI45" s="278"/>
      <c r="AJ45" s="278"/>
      <c r="AK45" s="278"/>
      <c r="AL45" s="278"/>
      <c r="AM45" s="278"/>
      <c r="AN45" s="278"/>
      <c r="AO45" s="278"/>
      <c r="AP45" s="278"/>
      <c r="AQ45" s="278"/>
      <c r="AR45" s="278"/>
      <c r="AS45" s="278"/>
      <c r="AT45" s="278"/>
      <c r="AU45" s="278"/>
      <c r="AV45" s="278"/>
      <c r="AW45" s="278"/>
      <c r="AX45" s="278"/>
      <c r="AY45" s="278"/>
      <c r="AZ45" s="278"/>
      <c r="BA45" s="278"/>
      <c r="BB45" s="278"/>
      <c r="BC45" s="278"/>
      <c r="BD45" s="278"/>
      <c r="BE45" s="278"/>
      <c r="BF45" s="278"/>
      <c r="BG45" s="278"/>
      <c r="BH45" s="89"/>
    </row>
    <row r="46">
      <c r="A46" s="274"/>
      <c r="B46" s="278"/>
      <c r="C46" s="278"/>
      <c r="D46" s="278"/>
      <c r="E46" s="278"/>
      <c r="F46" s="278"/>
      <c r="G46" s="278"/>
      <c r="H46" s="278"/>
      <c r="I46" s="278"/>
      <c r="J46" s="278"/>
      <c r="K46" s="278"/>
      <c r="L46" s="278"/>
      <c r="M46" s="278"/>
      <c r="N46" s="278"/>
      <c r="O46" s="278"/>
      <c r="P46" s="278"/>
      <c r="Q46" s="278"/>
      <c r="R46" s="278"/>
      <c r="S46" s="278"/>
      <c r="T46" s="278"/>
      <c r="U46" s="278"/>
      <c r="V46" s="278"/>
      <c r="W46" s="278"/>
      <c r="X46" s="278"/>
      <c r="Y46" s="278"/>
      <c r="Z46" s="278"/>
      <c r="AA46" s="278"/>
      <c r="AB46" s="278"/>
      <c r="AC46" s="278"/>
      <c r="AD46" s="278"/>
      <c r="AE46" s="278"/>
      <c r="AF46" s="278"/>
      <c r="AG46" s="278"/>
      <c r="AH46" s="278"/>
      <c r="AI46" s="278"/>
      <c r="AJ46" s="278"/>
      <c r="AK46" s="278"/>
      <c r="AL46" s="278"/>
      <c r="AM46" s="278"/>
      <c r="AN46" s="278"/>
      <c r="AO46" s="278"/>
      <c r="AP46" s="278"/>
      <c r="AQ46" s="278"/>
      <c r="AR46" s="278"/>
      <c r="AS46" s="278"/>
      <c r="AT46" s="278"/>
      <c r="AU46" s="278"/>
      <c r="AV46" s="278"/>
      <c r="AW46" s="278"/>
      <c r="AX46" s="278"/>
      <c r="AY46" s="278"/>
      <c r="AZ46" s="278"/>
      <c r="BA46" s="278"/>
      <c r="BB46" s="278"/>
      <c r="BC46" s="278"/>
      <c r="BD46" s="278"/>
      <c r="BE46" s="278"/>
      <c r="BF46" s="278"/>
      <c r="BG46" s="278"/>
      <c r="BH46" s="89"/>
    </row>
    <row r="47">
      <c r="A47" s="274"/>
      <c r="B47" s="278"/>
      <c r="C47" s="278"/>
      <c r="D47" s="278"/>
      <c r="E47" s="278"/>
      <c r="F47" s="278"/>
      <c r="G47" s="278"/>
      <c r="H47" s="278"/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  <c r="Y47" s="278"/>
      <c r="Z47" s="278"/>
      <c r="AA47" s="278"/>
      <c r="AB47" s="278"/>
      <c r="AC47" s="278"/>
      <c r="AD47" s="278"/>
      <c r="AE47" s="278"/>
      <c r="AF47" s="278"/>
      <c r="AG47" s="278"/>
      <c r="AH47" s="278"/>
      <c r="AI47" s="278"/>
      <c r="AJ47" s="278"/>
      <c r="AK47" s="278"/>
      <c r="AL47" s="278"/>
      <c r="AM47" s="278"/>
      <c r="AN47" s="278"/>
      <c r="AO47" s="278"/>
      <c r="AP47" s="278"/>
      <c r="AQ47" s="278"/>
      <c r="AR47" s="278"/>
      <c r="AS47" s="278"/>
      <c r="AT47" s="278"/>
      <c r="AU47" s="278"/>
      <c r="AV47" s="278"/>
      <c r="AW47" s="278"/>
      <c r="AX47" s="278"/>
      <c r="AY47" s="278"/>
      <c r="AZ47" s="278"/>
      <c r="BA47" s="278"/>
      <c r="BB47" s="278"/>
      <c r="BC47" s="278"/>
      <c r="BD47" s="278"/>
      <c r="BE47" s="278"/>
      <c r="BF47" s="278"/>
      <c r="BG47" s="278"/>
      <c r="BH47" s="89"/>
    </row>
    <row r="48">
      <c r="A48" s="274"/>
      <c r="B48" s="278"/>
      <c r="C48" s="278"/>
      <c r="D48" s="278"/>
      <c r="E48" s="278"/>
      <c r="F48" s="278"/>
      <c r="G48" s="278"/>
      <c r="H48" s="278"/>
      <c r="I48" s="278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8"/>
      <c r="X48" s="278"/>
      <c r="Y48" s="278"/>
      <c r="Z48" s="278"/>
      <c r="AA48" s="278"/>
      <c r="AB48" s="278"/>
      <c r="AC48" s="278"/>
      <c r="AD48" s="278"/>
      <c r="AE48" s="278"/>
      <c r="AF48" s="278"/>
      <c r="AG48" s="278"/>
      <c r="AH48" s="278"/>
      <c r="AI48" s="278"/>
      <c r="AJ48" s="278"/>
      <c r="AK48" s="278"/>
      <c r="AL48" s="278"/>
      <c r="AM48" s="278"/>
      <c r="AN48" s="278"/>
      <c r="AO48" s="278"/>
      <c r="AP48" s="278"/>
      <c r="AQ48" s="278"/>
      <c r="AR48" s="278"/>
      <c r="AS48" s="278"/>
      <c r="AT48" s="278"/>
      <c r="AU48" s="278"/>
      <c r="AV48" s="278"/>
      <c r="AW48" s="278"/>
      <c r="AX48" s="278"/>
      <c r="AY48" s="278"/>
      <c r="AZ48" s="278"/>
      <c r="BA48" s="278"/>
      <c r="BB48" s="278"/>
      <c r="BC48" s="278"/>
      <c r="BD48" s="278"/>
      <c r="BE48" s="278"/>
      <c r="BF48" s="278"/>
      <c r="BG48" s="278"/>
      <c r="BH48" s="89"/>
    </row>
    <row r="49">
      <c r="A49" s="274"/>
      <c r="B49" s="278"/>
      <c r="C49" s="278"/>
      <c r="D49" s="278"/>
      <c r="E49" s="278"/>
      <c r="F49" s="278"/>
      <c r="G49" s="278"/>
      <c r="H49" s="278"/>
      <c r="I49" s="278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8"/>
      <c r="Y49" s="278"/>
      <c r="Z49" s="278"/>
      <c r="AA49" s="278"/>
      <c r="AB49" s="278"/>
      <c r="AC49" s="278"/>
      <c r="AD49" s="278"/>
      <c r="AE49" s="278"/>
      <c r="AF49" s="278"/>
      <c r="AG49" s="278"/>
      <c r="AH49" s="278"/>
      <c r="AI49" s="278"/>
      <c r="AJ49" s="278"/>
      <c r="AK49" s="278"/>
      <c r="AL49" s="278"/>
      <c r="AM49" s="278"/>
      <c r="AN49" s="278"/>
      <c r="AO49" s="278"/>
      <c r="AP49" s="278"/>
      <c r="AQ49" s="278"/>
      <c r="AR49" s="278"/>
      <c r="AS49" s="278"/>
      <c r="AT49" s="278"/>
      <c r="AU49" s="278"/>
      <c r="AV49" s="278"/>
      <c r="AW49" s="278"/>
      <c r="AX49" s="278"/>
      <c r="AY49" s="278"/>
      <c r="AZ49" s="278"/>
      <c r="BA49" s="278"/>
      <c r="BB49" s="278"/>
      <c r="BC49" s="278"/>
      <c r="BD49" s="278"/>
      <c r="BE49" s="278"/>
      <c r="BF49" s="278"/>
      <c r="BG49" s="278"/>
      <c r="BH49" s="89"/>
    </row>
    <row r="50">
      <c r="A50" s="274"/>
      <c r="B50" s="278"/>
      <c r="C50" s="278"/>
      <c r="D50" s="278"/>
      <c r="E50" s="278"/>
      <c r="F50" s="278"/>
      <c r="G50" s="278"/>
      <c r="H50" s="278"/>
      <c r="I50" s="278"/>
      <c r="J50" s="278"/>
      <c r="K50" s="278"/>
      <c r="L50" s="278"/>
      <c r="M50" s="278"/>
      <c r="N50" s="278"/>
      <c r="O50" s="278"/>
      <c r="P50" s="278"/>
      <c r="Q50" s="278"/>
      <c r="R50" s="278"/>
      <c r="S50" s="278"/>
      <c r="T50" s="278"/>
      <c r="U50" s="278"/>
      <c r="V50" s="278"/>
      <c r="W50" s="278"/>
      <c r="X50" s="278"/>
      <c r="Y50" s="278"/>
      <c r="Z50" s="278"/>
      <c r="AA50" s="278"/>
      <c r="AB50" s="278"/>
      <c r="AC50" s="278"/>
      <c r="AD50" s="278"/>
      <c r="AE50" s="278"/>
      <c r="AF50" s="278"/>
      <c r="AG50" s="278"/>
      <c r="AH50" s="278"/>
      <c r="AI50" s="278"/>
      <c r="AJ50" s="278"/>
      <c r="AK50" s="278"/>
      <c r="AL50" s="278"/>
      <c r="AM50" s="278"/>
      <c r="AN50" s="278"/>
      <c r="AO50" s="278"/>
      <c r="AP50" s="278"/>
      <c r="AQ50" s="278"/>
      <c r="AR50" s="278"/>
      <c r="AS50" s="278"/>
      <c r="AT50" s="278"/>
      <c r="AU50" s="278"/>
      <c r="AV50" s="278"/>
      <c r="AW50" s="278"/>
      <c r="AX50" s="278"/>
      <c r="AY50" s="278"/>
      <c r="AZ50" s="278"/>
      <c r="BA50" s="278"/>
      <c r="BB50" s="278"/>
      <c r="BC50" s="278"/>
      <c r="BD50" s="278"/>
      <c r="BE50" s="278"/>
      <c r="BF50" s="278"/>
      <c r="BG50" s="278"/>
      <c r="BH50" s="89"/>
    </row>
    <row r="51">
      <c r="A51" s="274"/>
      <c r="B51" s="278"/>
      <c r="C51" s="278"/>
      <c r="D51" s="278"/>
      <c r="E51" s="278"/>
      <c r="F51" s="278"/>
      <c r="G51" s="278"/>
      <c r="H51" s="278"/>
      <c r="I51" s="278"/>
      <c r="J51" s="278"/>
      <c r="K51" s="278"/>
      <c r="L51" s="278"/>
      <c r="M51" s="278"/>
      <c r="N51" s="278"/>
      <c r="O51" s="278"/>
      <c r="P51" s="278"/>
      <c r="Q51" s="278"/>
      <c r="R51" s="278"/>
      <c r="S51" s="278"/>
      <c r="T51" s="278"/>
      <c r="U51" s="278"/>
      <c r="V51" s="278"/>
      <c r="W51" s="278"/>
      <c r="X51" s="278"/>
      <c r="Y51" s="278"/>
      <c r="Z51" s="278"/>
      <c r="AA51" s="278"/>
      <c r="AB51" s="278"/>
      <c r="AC51" s="278"/>
      <c r="AD51" s="278"/>
      <c r="AE51" s="278"/>
      <c r="AF51" s="278"/>
      <c r="AG51" s="278"/>
      <c r="AH51" s="278"/>
      <c r="AI51" s="278"/>
      <c r="AJ51" s="278"/>
      <c r="AK51" s="278"/>
      <c r="AL51" s="278"/>
      <c r="AM51" s="278"/>
      <c r="AN51" s="278"/>
      <c r="AO51" s="278"/>
      <c r="AP51" s="278"/>
      <c r="AQ51" s="278"/>
      <c r="AR51" s="278"/>
      <c r="AS51" s="278"/>
      <c r="AT51" s="278"/>
      <c r="AU51" s="278"/>
      <c r="AV51" s="278"/>
      <c r="AW51" s="278"/>
      <c r="AX51" s="278"/>
      <c r="AY51" s="278"/>
      <c r="AZ51" s="278"/>
      <c r="BA51" s="278"/>
      <c r="BB51" s="278"/>
      <c r="BC51" s="278"/>
      <c r="BD51" s="278"/>
      <c r="BE51" s="278"/>
      <c r="BF51" s="278"/>
      <c r="BG51" s="278"/>
      <c r="BH51" s="89"/>
    </row>
    <row r="52">
      <c r="A52" s="274"/>
      <c r="B52" s="278"/>
      <c r="C52" s="278"/>
      <c r="D52" s="278"/>
      <c r="E52" s="278"/>
      <c r="F52" s="278"/>
      <c r="G52" s="278"/>
      <c r="H52" s="278"/>
      <c r="I52" s="278"/>
      <c r="J52" s="278"/>
      <c r="K52" s="278"/>
      <c r="L52" s="278"/>
      <c r="M52" s="278"/>
      <c r="N52" s="278"/>
      <c r="O52" s="278"/>
      <c r="P52" s="278"/>
      <c r="Q52" s="278"/>
      <c r="R52" s="278"/>
      <c r="S52" s="278"/>
      <c r="T52" s="278"/>
      <c r="U52" s="278"/>
      <c r="V52" s="278"/>
      <c r="W52" s="278"/>
      <c r="X52" s="278"/>
      <c r="Y52" s="278"/>
      <c r="Z52" s="278"/>
      <c r="AA52" s="278"/>
      <c r="AB52" s="278"/>
      <c r="AC52" s="278"/>
      <c r="AD52" s="278"/>
      <c r="AE52" s="278"/>
      <c r="AF52" s="278"/>
      <c r="AG52" s="278"/>
      <c r="AH52" s="278"/>
      <c r="AI52" s="278"/>
      <c r="AJ52" s="278"/>
      <c r="AK52" s="278"/>
      <c r="AL52" s="278"/>
      <c r="AM52" s="278"/>
      <c r="AN52" s="278"/>
      <c r="AO52" s="278"/>
      <c r="AP52" s="278"/>
      <c r="AQ52" s="278"/>
      <c r="AR52" s="278"/>
      <c r="AS52" s="278"/>
      <c r="AT52" s="278"/>
      <c r="AU52" s="278"/>
      <c r="AV52" s="278"/>
      <c r="AW52" s="278"/>
      <c r="AX52" s="278"/>
      <c r="AY52" s="278"/>
      <c r="AZ52" s="278"/>
      <c r="BA52" s="278"/>
      <c r="BB52" s="278"/>
      <c r="BC52" s="278"/>
      <c r="BD52" s="278"/>
      <c r="BE52" s="278"/>
      <c r="BF52" s="278"/>
      <c r="BG52" s="278"/>
      <c r="BH52" s="89"/>
    </row>
    <row r="53">
      <c r="A53" s="274"/>
      <c r="B53" s="278"/>
      <c r="C53" s="278"/>
      <c r="D53" s="278"/>
      <c r="E53" s="278"/>
      <c r="F53" s="278"/>
      <c r="G53" s="278"/>
      <c r="H53" s="278"/>
      <c r="I53" s="278"/>
      <c r="J53" s="278"/>
      <c r="K53" s="278"/>
      <c r="L53" s="278"/>
      <c r="M53" s="278"/>
      <c r="N53" s="278"/>
      <c r="O53" s="278"/>
      <c r="P53" s="278"/>
      <c r="Q53" s="278"/>
      <c r="R53" s="278"/>
      <c r="S53" s="278"/>
      <c r="T53" s="278"/>
      <c r="U53" s="278"/>
      <c r="V53" s="278"/>
      <c r="W53" s="278"/>
      <c r="X53" s="278"/>
      <c r="Y53" s="278"/>
      <c r="Z53" s="278"/>
      <c r="AA53" s="278"/>
      <c r="AB53" s="278"/>
      <c r="AC53" s="278"/>
      <c r="AD53" s="278"/>
      <c r="AE53" s="278"/>
      <c r="AF53" s="278"/>
      <c r="AG53" s="278"/>
      <c r="AH53" s="278"/>
      <c r="AI53" s="278"/>
      <c r="AJ53" s="278"/>
      <c r="AK53" s="278"/>
      <c r="AL53" s="278"/>
      <c r="AM53" s="278"/>
      <c r="AN53" s="278"/>
      <c r="AO53" s="278"/>
      <c r="AP53" s="278"/>
      <c r="AQ53" s="278"/>
      <c r="AR53" s="278"/>
      <c r="AS53" s="278"/>
      <c r="AT53" s="278"/>
      <c r="AU53" s="278"/>
      <c r="AV53" s="278"/>
      <c r="AW53" s="278"/>
      <c r="AX53" s="278"/>
      <c r="AY53" s="278"/>
      <c r="AZ53" s="278"/>
      <c r="BA53" s="278"/>
      <c r="BB53" s="278"/>
      <c r="BC53" s="278"/>
      <c r="BD53" s="278"/>
      <c r="BE53" s="278"/>
      <c r="BF53" s="278"/>
      <c r="BG53" s="278"/>
      <c r="BH53" s="89"/>
    </row>
    <row r="54">
      <c r="A54" s="274"/>
      <c r="B54" s="278"/>
      <c r="C54" s="278"/>
      <c r="D54" s="278"/>
      <c r="E54" s="278"/>
      <c r="F54" s="278"/>
      <c r="G54" s="278"/>
      <c r="H54" s="278"/>
      <c r="I54" s="278"/>
      <c r="J54" s="278"/>
      <c r="K54" s="278"/>
      <c r="L54" s="278"/>
      <c r="M54" s="278"/>
      <c r="N54" s="278"/>
      <c r="O54" s="278"/>
      <c r="P54" s="278"/>
      <c r="Q54" s="278"/>
      <c r="R54" s="278"/>
      <c r="S54" s="278"/>
      <c r="T54" s="278"/>
      <c r="U54" s="278"/>
      <c r="V54" s="278"/>
      <c r="W54" s="278"/>
      <c r="X54" s="278"/>
      <c r="Y54" s="278"/>
      <c r="Z54" s="278"/>
      <c r="AA54" s="278"/>
      <c r="AB54" s="278"/>
      <c r="AC54" s="278"/>
      <c r="AD54" s="278"/>
      <c r="AE54" s="278"/>
      <c r="AF54" s="278"/>
      <c r="AG54" s="278"/>
      <c r="AH54" s="278"/>
      <c r="AI54" s="278"/>
      <c r="AJ54" s="278"/>
      <c r="AK54" s="278"/>
      <c r="AL54" s="278"/>
      <c r="AM54" s="278"/>
      <c r="AN54" s="278"/>
      <c r="AO54" s="278"/>
      <c r="AP54" s="278"/>
      <c r="AQ54" s="278"/>
      <c r="AR54" s="278"/>
      <c r="AS54" s="278"/>
      <c r="AT54" s="278"/>
      <c r="AU54" s="278"/>
      <c r="AV54" s="278"/>
      <c r="AW54" s="278"/>
      <c r="AX54" s="278"/>
      <c r="AY54" s="278"/>
      <c r="AZ54" s="278"/>
      <c r="BA54" s="278"/>
      <c r="BB54" s="278"/>
      <c r="BC54" s="278"/>
      <c r="BD54" s="278"/>
      <c r="BE54" s="278"/>
      <c r="BF54" s="278"/>
      <c r="BG54" s="278"/>
      <c r="BH54" s="89"/>
    </row>
    <row r="55">
      <c r="A55" s="274"/>
      <c r="B55" s="278"/>
      <c r="C55" s="278"/>
      <c r="D55" s="278"/>
      <c r="E55" s="278"/>
      <c r="F55" s="278"/>
      <c r="G55" s="278"/>
      <c r="H55" s="278"/>
      <c r="I55" s="278"/>
      <c r="J55" s="278"/>
      <c r="K55" s="278"/>
      <c r="L55" s="278"/>
      <c r="M55" s="278"/>
      <c r="N55" s="278"/>
      <c r="O55" s="278"/>
      <c r="P55" s="278"/>
      <c r="Q55" s="278"/>
      <c r="R55" s="278"/>
      <c r="S55" s="278"/>
      <c r="T55" s="278"/>
      <c r="U55" s="278"/>
      <c r="V55" s="278"/>
      <c r="W55" s="278"/>
      <c r="X55" s="278"/>
      <c r="Y55" s="278"/>
      <c r="Z55" s="278"/>
      <c r="AA55" s="278"/>
      <c r="AB55" s="278"/>
      <c r="AC55" s="278"/>
      <c r="AD55" s="278"/>
      <c r="AE55" s="278"/>
      <c r="AF55" s="278"/>
      <c r="AG55" s="278"/>
      <c r="AH55" s="278"/>
      <c r="AI55" s="278"/>
      <c r="AJ55" s="278"/>
      <c r="AK55" s="278"/>
      <c r="AL55" s="278"/>
      <c r="AM55" s="278"/>
      <c r="AN55" s="278"/>
      <c r="AO55" s="278"/>
      <c r="AP55" s="278"/>
      <c r="AQ55" s="278"/>
      <c r="AR55" s="278"/>
      <c r="AS55" s="278"/>
      <c r="AT55" s="278"/>
      <c r="AU55" s="278"/>
      <c r="AV55" s="278"/>
      <c r="AW55" s="278"/>
      <c r="AX55" s="278"/>
      <c r="AY55" s="278"/>
      <c r="AZ55" s="278"/>
      <c r="BA55" s="278"/>
      <c r="BB55" s="278"/>
      <c r="BC55" s="278"/>
      <c r="BD55" s="278"/>
      <c r="BE55" s="278"/>
      <c r="BF55" s="278"/>
      <c r="BG55" s="278"/>
      <c r="BH55" s="89"/>
    </row>
    <row r="56">
      <c r="A56" s="274"/>
      <c r="B56" s="278"/>
      <c r="C56" s="278"/>
      <c r="D56" s="278"/>
      <c r="E56" s="278"/>
      <c r="F56" s="278"/>
      <c r="G56" s="278"/>
      <c r="H56" s="278"/>
      <c r="I56" s="278"/>
      <c r="J56" s="278"/>
      <c r="K56" s="278"/>
      <c r="L56" s="278"/>
      <c r="M56" s="278"/>
      <c r="N56" s="278"/>
      <c r="O56" s="278"/>
      <c r="P56" s="278"/>
      <c r="Q56" s="278"/>
      <c r="R56" s="278"/>
      <c r="S56" s="278"/>
      <c r="T56" s="278"/>
      <c r="U56" s="278"/>
      <c r="V56" s="278"/>
      <c r="W56" s="278"/>
      <c r="X56" s="278"/>
      <c r="Y56" s="278"/>
      <c r="Z56" s="278"/>
      <c r="AA56" s="278"/>
      <c r="AB56" s="278"/>
      <c r="AC56" s="278"/>
      <c r="AD56" s="278"/>
      <c r="AE56" s="278"/>
      <c r="AF56" s="278"/>
      <c r="AG56" s="278"/>
      <c r="AH56" s="278"/>
      <c r="AI56" s="278"/>
      <c r="AJ56" s="278"/>
      <c r="AK56" s="278"/>
      <c r="AL56" s="278"/>
      <c r="AM56" s="278"/>
      <c r="AN56" s="278"/>
      <c r="AO56" s="278"/>
      <c r="AP56" s="278"/>
      <c r="AQ56" s="278"/>
      <c r="AR56" s="278"/>
      <c r="AS56" s="278"/>
      <c r="AT56" s="278"/>
      <c r="AU56" s="278"/>
      <c r="AV56" s="278"/>
      <c r="AW56" s="278"/>
      <c r="AX56" s="278"/>
      <c r="AY56" s="278"/>
      <c r="AZ56" s="278"/>
      <c r="BA56" s="278"/>
      <c r="BB56" s="278"/>
      <c r="BC56" s="278"/>
      <c r="BD56" s="278"/>
      <c r="BE56" s="278"/>
      <c r="BF56" s="278"/>
      <c r="BG56" s="278"/>
      <c r="BH56" s="89"/>
    </row>
    <row r="57">
      <c r="A57" s="274"/>
      <c r="B57" s="278"/>
      <c r="C57" s="278"/>
      <c r="D57" s="278"/>
      <c r="E57" s="278"/>
      <c r="F57" s="278"/>
      <c r="G57" s="278"/>
      <c r="H57" s="278"/>
      <c r="I57" s="278"/>
      <c r="J57" s="278"/>
      <c r="K57" s="278"/>
      <c r="L57" s="278"/>
      <c r="M57" s="278"/>
      <c r="N57" s="278"/>
      <c r="O57" s="278"/>
      <c r="P57" s="278"/>
      <c r="Q57" s="278"/>
      <c r="R57" s="278"/>
      <c r="S57" s="278"/>
      <c r="T57" s="278"/>
      <c r="U57" s="278"/>
      <c r="V57" s="278"/>
      <c r="W57" s="278"/>
      <c r="X57" s="278"/>
      <c r="Y57" s="278"/>
      <c r="Z57" s="278"/>
      <c r="AA57" s="278"/>
      <c r="AB57" s="278"/>
      <c r="AC57" s="278"/>
      <c r="AD57" s="278"/>
      <c r="AE57" s="278"/>
      <c r="AF57" s="278"/>
      <c r="AG57" s="278"/>
      <c r="AH57" s="278"/>
      <c r="AI57" s="278"/>
      <c r="AJ57" s="278"/>
      <c r="AK57" s="278"/>
      <c r="AL57" s="278"/>
      <c r="AM57" s="278"/>
      <c r="AN57" s="278"/>
      <c r="AO57" s="278"/>
      <c r="AP57" s="278"/>
      <c r="AQ57" s="278"/>
      <c r="AR57" s="278"/>
      <c r="AS57" s="278"/>
      <c r="AT57" s="278"/>
      <c r="AU57" s="278"/>
      <c r="AV57" s="278"/>
      <c r="AW57" s="278"/>
      <c r="AX57" s="278"/>
      <c r="AY57" s="278"/>
      <c r="AZ57" s="278"/>
      <c r="BA57" s="278"/>
      <c r="BB57" s="278"/>
      <c r="BC57" s="278"/>
      <c r="BD57" s="278"/>
      <c r="BE57" s="278"/>
      <c r="BF57" s="278"/>
      <c r="BG57" s="278"/>
      <c r="BH57" s="89"/>
    </row>
    <row r="58">
      <c r="A58" s="274"/>
      <c r="B58" s="278"/>
      <c r="C58" s="278"/>
      <c r="D58" s="278"/>
      <c r="E58" s="278"/>
      <c r="F58" s="278"/>
      <c r="G58" s="278"/>
      <c r="H58" s="278"/>
      <c r="I58" s="278"/>
      <c r="J58" s="278"/>
      <c r="K58" s="278"/>
      <c r="L58" s="278"/>
      <c r="M58" s="278"/>
      <c r="N58" s="278"/>
      <c r="O58" s="278"/>
      <c r="P58" s="278"/>
      <c r="Q58" s="278"/>
      <c r="R58" s="278"/>
      <c r="S58" s="278"/>
      <c r="T58" s="278"/>
      <c r="U58" s="278"/>
      <c r="V58" s="278"/>
      <c r="W58" s="278"/>
      <c r="X58" s="278"/>
      <c r="Y58" s="278"/>
      <c r="Z58" s="278"/>
      <c r="AA58" s="278"/>
      <c r="AB58" s="278"/>
      <c r="AC58" s="278"/>
      <c r="AD58" s="278"/>
      <c r="AE58" s="278"/>
      <c r="AF58" s="278"/>
      <c r="AG58" s="278"/>
      <c r="AH58" s="278"/>
      <c r="AI58" s="278"/>
      <c r="AJ58" s="278"/>
      <c r="AK58" s="278"/>
      <c r="AL58" s="278"/>
      <c r="AM58" s="278"/>
      <c r="AN58" s="278"/>
      <c r="AO58" s="278"/>
      <c r="AP58" s="278"/>
      <c r="AQ58" s="278"/>
      <c r="AR58" s="278"/>
      <c r="AS58" s="278"/>
      <c r="AT58" s="278"/>
      <c r="AU58" s="278"/>
      <c r="AV58" s="278"/>
      <c r="AW58" s="278"/>
      <c r="AX58" s="278"/>
      <c r="AY58" s="278"/>
      <c r="AZ58" s="278"/>
      <c r="BA58" s="278"/>
      <c r="BB58" s="278"/>
      <c r="BC58" s="278"/>
      <c r="BD58" s="278"/>
      <c r="BE58" s="278"/>
      <c r="BF58" s="278"/>
      <c r="BG58" s="278"/>
      <c r="BH58" s="89"/>
    </row>
    <row r="59">
      <c r="A59" s="274"/>
      <c r="B59" s="278"/>
      <c r="C59" s="278"/>
      <c r="D59" s="278"/>
      <c r="E59" s="278"/>
      <c r="F59" s="278"/>
      <c r="G59" s="278"/>
      <c r="H59" s="278"/>
      <c r="I59" s="278"/>
      <c r="J59" s="278"/>
      <c r="K59" s="278"/>
      <c r="L59" s="278"/>
      <c r="M59" s="278"/>
      <c r="N59" s="278"/>
      <c r="O59" s="278"/>
      <c r="P59" s="278"/>
      <c r="Q59" s="278"/>
      <c r="R59" s="278"/>
      <c r="S59" s="278"/>
      <c r="T59" s="278"/>
      <c r="U59" s="278"/>
      <c r="V59" s="278"/>
      <c r="W59" s="278"/>
      <c r="X59" s="278"/>
      <c r="Y59" s="278"/>
      <c r="Z59" s="278"/>
      <c r="AA59" s="278"/>
      <c r="AB59" s="278"/>
      <c r="AC59" s="278"/>
      <c r="AD59" s="278"/>
      <c r="AE59" s="278"/>
      <c r="AF59" s="278"/>
      <c r="AG59" s="278"/>
      <c r="AH59" s="278"/>
      <c r="AI59" s="278"/>
      <c r="AJ59" s="278"/>
      <c r="AK59" s="278"/>
      <c r="AL59" s="278"/>
      <c r="AM59" s="278"/>
      <c r="AN59" s="278"/>
      <c r="AO59" s="278"/>
      <c r="AP59" s="278"/>
      <c r="AQ59" s="278"/>
      <c r="AR59" s="278"/>
      <c r="AS59" s="278"/>
      <c r="AT59" s="278"/>
      <c r="AU59" s="278"/>
      <c r="AV59" s="278"/>
      <c r="AW59" s="278"/>
      <c r="AX59" s="278"/>
      <c r="AY59" s="278"/>
      <c r="AZ59" s="278"/>
      <c r="BA59" s="278"/>
      <c r="BB59" s="278"/>
      <c r="BC59" s="278"/>
      <c r="BD59" s="278"/>
      <c r="BE59" s="278"/>
      <c r="BF59" s="278"/>
      <c r="BG59" s="278"/>
      <c r="BH59" s="89"/>
    </row>
    <row r="60">
      <c r="A60" s="274"/>
      <c r="B60" s="278"/>
      <c r="C60" s="278"/>
      <c r="D60" s="278"/>
      <c r="E60" s="278"/>
      <c r="F60" s="278"/>
      <c r="G60" s="278"/>
      <c r="H60" s="278"/>
      <c r="I60" s="278"/>
      <c r="J60" s="278"/>
      <c r="K60" s="278"/>
      <c r="L60" s="278"/>
      <c r="M60" s="278"/>
      <c r="N60" s="278"/>
      <c r="O60" s="278"/>
      <c r="P60" s="278"/>
      <c r="Q60" s="278"/>
      <c r="R60" s="278"/>
      <c r="S60" s="278"/>
      <c r="T60" s="278"/>
      <c r="U60" s="278"/>
      <c r="V60" s="278"/>
      <c r="W60" s="278"/>
      <c r="X60" s="278"/>
      <c r="Y60" s="278"/>
      <c r="Z60" s="278"/>
      <c r="AA60" s="278"/>
      <c r="AB60" s="278"/>
      <c r="AC60" s="278"/>
      <c r="AD60" s="278"/>
      <c r="AE60" s="278"/>
      <c r="AF60" s="278"/>
      <c r="AG60" s="278"/>
      <c r="AH60" s="278"/>
      <c r="AI60" s="278"/>
      <c r="AJ60" s="278"/>
      <c r="AK60" s="278"/>
      <c r="AL60" s="278"/>
      <c r="AM60" s="278"/>
      <c r="AN60" s="278"/>
      <c r="AO60" s="278"/>
      <c r="AP60" s="278"/>
      <c r="AQ60" s="278"/>
      <c r="AR60" s="278"/>
      <c r="AS60" s="278"/>
      <c r="AT60" s="278"/>
      <c r="AU60" s="278"/>
      <c r="AV60" s="278"/>
      <c r="AW60" s="278"/>
      <c r="AX60" s="278"/>
      <c r="AY60" s="278"/>
      <c r="AZ60" s="278"/>
      <c r="BA60" s="278"/>
      <c r="BB60" s="278"/>
      <c r="BC60" s="278"/>
      <c r="BD60" s="278"/>
      <c r="BE60" s="278"/>
      <c r="BF60" s="278"/>
      <c r="BG60" s="278"/>
      <c r="BH60" s="89"/>
    </row>
    <row r="61">
      <c r="A61" s="274"/>
      <c r="B61" s="278"/>
      <c r="C61" s="278"/>
      <c r="D61" s="278"/>
      <c r="E61" s="278"/>
      <c r="F61" s="278"/>
      <c r="G61" s="278"/>
      <c r="H61" s="278"/>
      <c r="I61" s="278"/>
      <c r="J61" s="278"/>
      <c r="K61" s="278"/>
      <c r="L61" s="278"/>
      <c r="M61" s="278"/>
      <c r="N61" s="278"/>
      <c r="O61" s="278"/>
      <c r="P61" s="278"/>
      <c r="Q61" s="278"/>
      <c r="R61" s="278"/>
      <c r="S61" s="278"/>
      <c r="T61" s="278"/>
      <c r="U61" s="278"/>
      <c r="V61" s="278"/>
      <c r="W61" s="278"/>
      <c r="X61" s="278"/>
      <c r="Y61" s="278"/>
      <c r="Z61" s="278"/>
      <c r="AA61" s="278"/>
      <c r="AB61" s="278"/>
      <c r="AC61" s="278"/>
      <c r="AD61" s="278"/>
      <c r="AE61" s="278"/>
      <c r="AF61" s="278"/>
      <c r="AG61" s="278"/>
      <c r="AH61" s="278"/>
      <c r="AI61" s="278"/>
      <c r="AJ61" s="278"/>
      <c r="AK61" s="278"/>
      <c r="AL61" s="278"/>
      <c r="AM61" s="278"/>
      <c r="AN61" s="278"/>
      <c r="AO61" s="278"/>
      <c r="AP61" s="278"/>
      <c r="AQ61" s="278"/>
      <c r="AR61" s="278"/>
      <c r="AS61" s="278"/>
      <c r="AT61" s="278"/>
      <c r="AU61" s="278"/>
      <c r="AV61" s="278"/>
      <c r="AW61" s="278"/>
      <c r="AX61" s="278"/>
      <c r="AY61" s="278"/>
      <c r="AZ61" s="278"/>
      <c r="BA61" s="278"/>
      <c r="BB61" s="278"/>
      <c r="BC61" s="278"/>
      <c r="BD61" s="278"/>
      <c r="BE61" s="278"/>
      <c r="BF61" s="278"/>
      <c r="BG61" s="278"/>
      <c r="BH61" s="89"/>
    </row>
    <row r="62">
      <c r="A62" s="274"/>
      <c r="B62" s="278"/>
      <c r="C62" s="278"/>
      <c r="D62" s="278"/>
      <c r="E62" s="278"/>
      <c r="F62" s="278"/>
      <c r="G62" s="278"/>
      <c r="H62" s="278"/>
      <c r="I62" s="278"/>
      <c r="J62" s="278"/>
      <c r="K62" s="278"/>
      <c r="L62" s="278"/>
      <c r="M62" s="278"/>
      <c r="N62" s="278"/>
      <c r="O62" s="278"/>
      <c r="P62" s="278"/>
      <c r="Q62" s="278"/>
      <c r="R62" s="278"/>
      <c r="S62" s="278"/>
      <c r="T62" s="278"/>
      <c r="U62" s="278"/>
      <c r="V62" s="278"/>
      <c r="W62" s="278"/>
      <c r="X62" s="278"/>
      <c r="Y62" s="278"/>
      <c r="Z62" s="278"/>
      <c r="AA62" s="278"/>
      <c r="AB62" s="278"/>
      <c r="AC62" s="278"/>
      <c r="AD62" s="278"/>
      <c r="AE62" s="278"/>
      <c r="AF62" s="278"/>
      <c r="AG62" s="278"/>
      <c r="AH62" s="278"/>
      <c r="AI62" s="278"/>
      <c r="AJ62" s="278"/>
      <c r="AK62" s="278"/>
      <c r="AL62" s="278"/>
      <c r="AM62" s="278"/>
      <c r="AN62" s="278"/>
      <c r="AO62" s="278"/>
      <c r="AP62" s="278"/>
      <c r="AQ62" s="278"/>
      <c r="AR62" s="278"/>
      <c r="AS62" s="278"/>
      <c r="AT62" s="278"/>
      <c r="AU62" s="278"/>
      <c r="AV62" s="278"/>
      <c r="AW62" s="278"/>
      <c r="AX62" s="278"/>
      <c r="AY62" s="278"/>
      <c r="AZ62" s="278"/>
      <c r="BA62" s="278"/>
      <c r="BB62" s="278"/>
      <c r="BC62" s="278"/>
      <c r="BD62" s="278"/>
      <c r="BE62" s="278"/>
      <c r="BF62" s="278"/>
      <c r="BG62" s="278"/>
      <c r="BH62" s="89"/>
    </row>
    <row r="63">
      <c r="A63" s="274"/>
      <c r="B63" s="278"/>
      <c r="C63" s="278"/>
      <c r="D63" s="278"/>
      <c r="E63" s="278"/>
      <c r="F63" s="278"/>
      <c r="G63" s="278"/>
      <c r="H63" s="278"/>
      <c r="I63" s="278"/>
      <c r="J63" s="278"/>
      <c r="K63" s="278"/>
      <c r="L63" s="278"/>
      <c r="M63" s="278"/>
      <c r="N63" s="278"/>
      <c r="O63" s="278"/>
      <c r="P63" s="278"/>
      <c r="Q63" s="278"/>
      <c r="R63" s="278"/>
      <c r="S63" s="278"/>
      <c r="T63" s="278"/>
      <c r="U63" s="278"/>
      <c r="V63" s="278"/>
      <c r="W63" s="278"/>
      <c r="X63" s="278"/>
      <c r="Y63" s="278"/>
      <c r="Z63" s="278"/>
      <c r="AA63" s="278"/>
      <c r="AB63" s="278"/>
      <c r="AC63" s="278"/>
      <c r="AD63" s="278"/>
      <c r="AE63" s="278"/>
      <c r="AF63" s="278"/>
      <c r="AG63" s="278"/>
      <c r="AH63" s="278"/>
      <c r="AI63" s="278"/>
      <c r="AJ63" s="278"/>
      <c r="AK63" s="278"/>
      <c r="AL63" s="278"/>
      <c r="AM63" s="278"/>
      <c r="AN63" s="278"/>
      <c r="AO63" s="278"/>
      <c r="AP63" s="278"/>
      <c r="AQ63" s="278"/>
      <c r="AR63" s="278"/>
      <c r="AS63" s="278"/>
      <c r="AT63" s="278"/>
      <c r="AU63" s="278"/>
      <c r="AV63" s="278"/>
      <c r="AW63" s="278"/>
      <c r="AX63" s="278"/>
      <c r="AY63" s="278"/>
      <c r="AZ63" s="278"/>
      <c r="BA63" s="278"/>
      <c r="BB63" s="278"/>
      <c r="BC63" s="278"/>
      <c r="BD63" s="278"/>
      <c r="BE63" s="278"/>
      <c r="BF63" s="278"/>
      <c r="BG63" s="278"/>
      <c r="BH63" s="89"/>
    </row>
    <row r="64">
      <c r="A64" s="274"/>
      <c r="B64" s="278"/>
      <c r="C64" s="278"/>
      <c r="D64" s="278"/>
      <c r="E64" s="278"/>
      <c r="F64" s="278"/>
      <c r="G64" s="278"/>
      <c r="H64" s="278"/>
      <c r="I64" s="278"/>
      <c r="J64" s="278"/>
      <c r="K64" s="278"/>
      <c r="L64" s="278"/>
      <c r="M64" s="278"/>
      <c r="N64" s="278"/>
      <c r="O64" s="278"/>
      <c r="P64" s="278"/>
      <c r="Q64" s="278"/>
      <c r="R64" s="278"/>
      <c r="S64" s="278"/>
      <c r="T64" s="278"/>
      <c r="U64" s="278"/>
      <c r="V64" s="278"/>
      <c r="W64" s="278"/>
      <c r="X64" s="278"/>
      <c r="Y64" s="278"/>
      <c r="Z64" s="278"/>
      <c r="AA64" s="278"/>
      <c r="AB64" s="278"/>
      <c r="AC64" s="278"/>
      <c r="AD64" s="278"/>
      <c r="AE64" s="278"/>
      <c r="AF64" s="278"/>
      <c r="AG64" s="278"/>
      <c r="AH64" s="278"/>
      <c r="AI64" s="278"/>
      <c r="AJ64" s="278"/>
      <c r="AK64" s="278"/>
      <c r="AL64" s="278"/>
      <c r="AM64" s="278"/>
      <c r="AN64" s="278"/>
      <c r="AO64" s="278"/>
      <c r="AP64" s="278"/>
      <c r="AQ64" s="278"/>
      <c r="AR64" s="278"/>
      <c r="AS64" s="278"/>
      <c r="AT64" s="278"/>
      <c r="AU64" s="278"/>
      <c r="AV64" s="278"/>
      <c r="AW64" s="278"/>
      <c r="AX64" s="278"/>
      <c r="AY64" s="278"/>
      <c r="AZ64" s="278"/>
      <c r="BA64" s="278"/>
      <c r="BB64" s="278"/>
      <c r="BC64" s="278"/>
      <c r="BD64" s="278"/>
      <c r="BE64" s="278"/>
      <c r="BF64" s="278"/>
      <c r="BG64" s="278"/>
      <c r="BH64" s="89"/>
    </row>
    <row r="65">
      <c r="A65" s="274"/>
      <c r="B65" s="278"/>
      <c r="C65" s="278"/>
      <c r="D65" s="278"/>
      <c r="E65" s="278"/>
      <c r="F65" s="278"/>
      <c r="G65" s="278"/>
      <c r="H65" s="278"/>
      <c r="I65" s="278"/>
      <c r="J65" s="278"/>
      <c r="K65" s="278"/>
      <c r="L65" s="278"/>
      <c r="M65" s="278"/>
      <c r="N65" s="278"/>
      <c r="O65" s="278"/>
      <c r="P65" s="278"/>
      <c r="Q65" s="278"/>
      <c r="R65" s="278"/>
      <c r="S65" s="278"/>
      <c r="T65" s="278"/>
      <c r="U65" s="278"/>
      <c r="V65" s="278"/>
      <c r="W65" s="278"/>
      <c r="X65" s="278"/>
      <c r="Y65" s="278"/>
      <c r="Z65" s="278"/>
      <c r="AA65" s="278"/>
      <c r="AB65" s="278"/>
      <c r="AC65" s="278"/>
      <c r="AD65" s="278"/>
      <c r="AE65" s="278"/>
      <c r="AF65" s="278"/>
      <c r="AG65" s="278"/>
      <c r="AH65" s="278"/>
      <c r="AI65" s="278"/>
      <c r="AJ65" s="278"/>
      <c r="AK65" s="278"/>
      <c r="AL65" s="278"/>
      <c r="AM65" s="278"/>
      <c r="AN65" s="278"/>
      <c r="AO65" s="278"/>
      <c r="AP65" s="278"/>
      <c r="AQ65" s="278"/>
      <c r="AR65" s="278"/>
      <c r="AS65" s="278"/>
      <c r="AT65" s="278"/>
      <c r="AU65" s="278"/>
      <c r="AV65" s="278"/>
      <c r="AW65" s="278"/>
      <c r="AX65" s="278"/>
      <c r="AY65" s="278"/>
      <c r="AZ65" s="278"/>
      <c r="BA65" s="278"/>
      <c r="BB65" s="278"/>
      <c r="BC65" s="278"/>
      <c r="BD65" s="278"/>
      <c r="BE65" s="278"/>
      <c r="BF65" s="278"/>
      <c r="BG65" s="278"/>
      <c r="BH65" s="89"/>
    </row>
    <row r="66">
      <c r="A66" s="274"/>
      <c r="B66" s="278"/>
      <c r="C66" s="278"/>
      <c r="D66" s="278"/>
      <c r="E66" s="278"/>
      <c r="F66" s="278"/>
      <c r="G66" s="278"/>
      <c r="H66" s="278"/>
      <c r="I66" s="278"/>
      <c r="J66" s="278"/>
      <c r="K66" s="278"/>
      <c r="L66" s="278"/>
      <c r="M66" s="278"/>
      <c r="N66" s="278"/>
      <c r="O66" s="278"/>
      <c r="P66" s="278"/>
      <c r="Q66" s="278"/>
      <c r="R66" s="278"/>
      <c r="S66" s="278"/>
      <c r="T66" s="278"/>
      <c r="U66" s="278"/>
      <c r="V66" s="278"/>
      <c r="W66" s="278"/>
      <c r="X66" s="278"/>
      <c r="Y66" s="278"/>
      <c r="Z66" s="278"/>
      <c r="AA66" s="278"/>
      <c r="AB66" s="278"/>
      <c r="AC66" s="278"/>
      <c r="AD66" s="278"/>
      <c r="AE66" s="278"/>
      <c r="AF66" s="278"/>
      <c r="AG66" s="278"/>
      <c r="AH66" s="278"/>
      <c r="AI66" s="278"/>
      <c r="AJ66" s="278"/>
      <c r="AK66" s="278"/>
      <c r="AL66" s="278"/>
      <c r="AM66" s="278"/>
      <c r="AN66" s="278"/>
      <c r="AO66" s="278"/>
      <c r="AP66" s="278"/>
      <c r="AQ66" s="278"/>
      <c r="AR66" s="278"/>
      <c r="AS66" s="278"/>
      <c r="AT66" s="278"/>
      <c r="AU66" s="278"/>
      <c r="AV66" s="278"/>
      <c r="AW66" s="278"/>
      <c r="AX66" s="278"/>
      <c r="AY66" s="278"/>
      <c r="AZ66" s="278"/>
      <c r="BA66" s="278"/>
      <c r="BB66" s="278"/>
      <c r="BC66" s="278"/>
      <c r="BD66" s="278"/>
      <c r="BE66" s="278"/>
      <c r="BF66" s="278"/>
      <c r="BG66" s="278"/>
      <c r="BH66" s="89"/>
    </row>
    <row r="67">
      <c r="A67" s="274"/>
      <c r="B67" s="278"/>
      <c r="C67" s="278"/>
      <c r="D67" s="278"/>
      <c r="E67" s="278"/>
      <c r="F67" s="278"/>
      <c r="G67" s="278"/>
      <c r="H67" s="278"/>
      <c r="I67" s="278"/>
      <c r="J67" s="278"/>
      <c r="K67" s="278"/>
      <c r="L67" s="278"/>
      <c r="M67" s="278"/>
      <c r="N67" s="278"/>
      <c r="O67" s="278"/>
      <c r="P67" s="278"/>
      <c r="Q67" s="278"/>
      <c r="R67" s="278"/>
      <c r="S67" s="278"/>
      <c r="T67" s="278"/>
      <c r="U67" s="278"/>
      <c r="V67" s="278"/>
      <c r="W67" s="278"/>
      <c r="X67" s="278"/>
      <c r="Y67" s="278"/>
      <c r="Z67" s="278"/>
      <c r="AA67" s="278"/>
      <c r="AB67" s="278"/>
      <c r="AC67" s="278"/>
      <c r="AD67" s="278"/>
      <c r="AE67" s="278"/>
      <c r="AF67" s="278"/>
      <c r="AG67" s="278"/>
      <c r="AH67" s="278"/>
      <c r="AI67" s="278"/>
      <c r="AJ67" s="278"/>
      <c r="AK67" s="278"/>
      <c r="AL67" s="278"/>
      <c r="AM67" s="278"/>
      <c r="AN67" s="278"/>
      <c r="AO67" s="278"/>
      <c r="AP67" s="278"/>
      <c r="AQ67" s="278"/>
      <c r="AR67" s="278"/>
      <c r="AS67" s="278"/>
      <c r="AT67" s="278"/>
      <c r="AU67" s="278"/>
      <c r="AV67" s="278"/>
      <c r="AW67" s="278"/>
      <c r="AX67" s="278"/>
      <c r="AY67" s="278"/>
      <c r="AZ67" s="278"/>
      <c r="BA67" s="278"/>
      <c r="BB67" s="278"/>
      <c r="BC67" s="278"/>
      <c r="BD67" s="278"/>
      <c r="BE67" s="278"/>
      <c r="BF67" s="278"/>
      <c r="BG67" s="278"/>
      <c r="BH67" s="89"/>
    </row>
    <row r="68">
      <c r="A68" s="274"/>
      <c r="B68" s="278"/>
      <c r="C68" s="278"/>
      <c r="D68" s="278"/>
      <c r="E68" s="278"/>
      <c r="F68" s="278"/>
      <c r="G68" s="278"/>
      <c r="H68" s="278"/>
      <c r="I68" s="278"/>
      <c r="J68" s="278"/>
      <c r="K68" s="278"/>
      <c r="L68" s="278"/>
      <c r="M68" s="278"/>
      <c r="N68" s="278"/>
      <c r="O68" s="278"/>
      <c r="P68" s="278"/>
      <c r="Q68" s="278"/>
      <c r="R68" s="278"/>
      <c r="S68" s="278"/>
      <c r="T68" s="278"/>
      <c r="U68" s="278"/>
      <c r="V68" s="278"/>
      <c r="W68" s="278"/>
      <c r="X68" s="278"/>
      <c r="Y68" s="278"/>
      <c r="Z68" s="278"/>
      <c r="AA68" s="278"/>
      <c r="AB68" s="278"/>
      <c r="AC68" s="278"/>
      <c r="AD68" s="278"/>
      <c r="AE68" s="278"/>
      <c r="AF68" s="278"/>
      <c r="AG68" s="278"/>
      <c r="AH68" s="278"/>
      <c r="AI68" s="278"/>
      <c r="AJ68" s="278"/>
      <c r="AK68" s="278"/>
      <c r="AL68" s="278"/>
      <c r="AM68" s="278"/>
      <c r="AN68" s="278"/>
      <c r="AO68" s="278"/>
      <c r="AP68" s="278"/>
      <c r="AQ68" s="278"/>
      <c r="AR68" s="278"/>
      <c r="AS68" s="278"/>
      <c r="AT68" s="278"/>
      <c r="AU68" s="278"/>
      <c r="AV68" s="278"/>
      <c r="AW68" s="278"/>
      <c r="AX68" s="278"/>
      <c r="AY68" s="278"/>
      <c r="AZ68" s="278"/>
      <c r="BA68" s="278"/>
      <c r="BB68" s="278"/>
      <c r="BC68" s="278"/>
      <c r="BD68" s="278"/>
      <c r="BE68" s="278"/>
      <c r="BF68" s="278"/>
      <c r="BG68" s="278"/>
      <c r="BH68" s="89"/>
    </row>
    <row r="69">
      <c r="A69" s="274"/>
      <c r="B69" s="278"/>
      <c r="C69" s="278"/>
      <c r="D69" s="278"/>
      <c r="E69" s="278"/>
      <c r="F69" s="278"/>
      <c r="G69" s="278"/>
      <c r="H69" s="278"/>
      <c r="I69" s="278"/>
      <c r="J69" s="278"/>
      <c r="K69" s="278"/>
      <c r="L69" s="278"/>
      <c r="M69" s="278"/>
      <c r="N69" s="278"/>
      <c r="O69" s="278"/>
      <c r="P69" s="278"/>
      <c r="Q69" s="278"/>
      <c r="R69" s="278"/>
      <c r="S69" s="278"/>
      <c r="T69" s="278"/>
      <c r="U69" s="278"/>
      <c r="V69" s="278"/>
      <c r="W69" s="278"/>
      <c r="X69" s="278"/>
      <c r="Y69" s="278"/>
      <c r="Z69" s="278"/>
      <c r="AA69" s="278"/>
      <c r="AB69" s="278"/>
      <c r="AC69" s="278"/>
      <c r="AD69" s="278"/>
      <c r="AE69" s="278"/>
      <c r="AF69" s="278"/>
      <c r="AG69" s="278"/>
      <c r="AH69" s="278"/>
      <c r="AI69" s="278"/>
      <c r="AJ69" s="278"/>
      <c r="AK69" s="278"/>
      <c r="AL69" s="278"/>
      <c r="AM69" s="278"/>
      <c r="AN69" s="278"/>
      <c r="AO69" s="278"/>
      <c r="AP69" s="278"/>
      <c r="AQ69" s="278"/>
      <c r="AR69" s="278"/>
      <c r="AS69" s="278"/>
      <c r="AT69" s="278"/>
      <c r="AU69" s="278"/>
      <c r="AV69" s="278"/>
      <c r="AW69" s="278"/>
      <c r="AX69" s="278"/>
      <c r="AY69" s="278"/>
      <c r="AZ69" s="278"/>
      <c r="BA69" s="278"/>
      <c r="BB69" s="278"/>
      <c r="BC69" s="278"/>
      <c r="BD69" s="278"/>
      <c r="BE69" s="278"/>
      <c r="BF69" s="278"/>
      <c r="BG69" s="278"/>
      <c r="BH69" s="89"/>
    </row>
    <row r="70">
      <c r="A70" s="274"/>
      <c r="B70" s="278"/>
      <c r="C70" s="278"/>
      <c r="D70" s="278"/>
      <c r="E70" s="278"/>
      <c r="F70" s="278"/>
      <c r="G70" s="278"/>
      <c r="H70" s="278"/>
      <c r="I70" s="278"/>
      <c r="J70" s="278"/>
      <c r="K70" s="278"/>
      <c r="L70" s="278"/>
      <c r="M70" s="278"/>
      <c r="N70" s="278"/>
      <c r="O70" s="278"/>
      <c r="P70" s="278"/>
      <c r="Q70" s="278"/>
      <c r="R70" s="278"/>
      <c r="S70" s="278"/>
      <c r="T70" s="278"/>
      <c r="U70" s="278"/>
      <c r="V70" s="278"/>
      <c r="W70" s="278"/>
      <c r="X70" s="278"/>
      <c r="Y70" s="278"/>
      <c r="Z70" s="278"/>
      <c r="AA70" s="278"/>
      <c r="AB70" s="278"/>
      <c r="AC70" s="278"/>
      <c r="AD70" s="278"/>
      <c r="AE70" s="278"/>
      <c r="AF70" s="278"/>
      <c r="AG70" s="278"/>
      <c r="AH70" s="278"/>
      <c r="AI70" s="278"/>
      <c r="AJ70" s="278"/>
      <c r="AK70" s="278"/>
      <c r="AL70" s="278"/>
      <c r="AM70" s="278"/>
      <c r="AN70" s="278"/>
      <c r="AO70" s="278"/>
      <c r="AP70" s="278"/>
      <c r="AQ70" s="278"/>
      <c r="AR70" s="278"/>
      <c r="AS70" s="278"/>
      <c r="AT70" s="278"/>
      <c r="AU70" s="278"/>
      <c r="AV70" s="278"/>
      <c r="AW70" s="278"/>
      <c r="AX70" s="278"/>
      <c r="AY70" s="278"/>
      <c r="AZ70" s="278"/>
      <c r="BA70" s="278"/>
      <c r="BB70" s="278"/>
      <c r="BC70" s="278"/>
      <c r="BD70" s="278"/>
      <c r="BE70" s="278"/>
      <c r="BF70" s="278"/>
      <c r="BG70" s="278"/>
      <c r="BH70" s="89"/>
    </row>
    <row r="71">
      <c r="A71" s="274"/>
      <c r="B71" s="278"/>
      <c r="C71" s="278"/>
      <c r="D71" s="278"/>
      <c r="E71" s="278"/>
      <c r="F71" s="278"/>
      <c r="G71" s="278"/>
      <c r="H71" s="278"/>
      <c r="I71" s="278"/>
      <c r="J71" s="278"/>
      <c r="K71" s="278"/>
      <c r="L71" s="278"/>
      <c r="M71" s="278"/>
      <c r="N71" s="278"/>
      <c r="O71" s="278"/>
      <c r="P71" s="278"/>
      <c r="Q71" s="278"/>
      <c r="R71" s="278"/>
      <c r="S71" s="278"/>
      <c r="T71" s="278"/>
      <c r="U71" s="278"/>
      <c r="V71" s="278"/>
      <c r="W71" s="278"/>
      <c r="X71" s="278"/>
      <c r="Y71" s="278"/>
      <c r="Z71" s="278"/>
      <c r="AA71" s="278"/>
      <c r="AB71" s="278"/>
      <c r="AC71" s="278"/>
      <c r="AD71" s="278"/>
      <c r="AE71" s="278"/>
      <c r="AF71" s="278"/>
      <c r="AG71" s="278"/>
      <c r="AH71" s="278"/>
      <c r="AI71" s="278"/>
      <c r="AJ71" s="278"/>
      <c r="AK71" s="278"/>
      <c r="AL71" s="278"/>
      <c r="AM71" s="278"/>
      <c r="AN71" s="278"/>
      <c r="AO71" s="278"/>
      <c r="AP71" s="278"/>
      <c r="AQ71" s="278"/>
      <c r="AR71" s="278"/>
      <c r="AS71" s="278"/>
      <c r="AT71" s="278"/>
      <c r="AU71" s="278"/>
      <c r="AV71" s="278"/>
      <c r="AW71" s="278"/>
      <c r="AX71" s="278"/>
      <c r="AY71" s="278"/>
      <c r="AZ71" s="278"/>
      <c r="BA71" s="278"/>
      <c r="BB71" s="278"/>
      <c r="BC71" s="278"/>
      <c r="BD71" s="278"/>
      <c r="BE71" s="278"/>
      <c r="BF71" s="278"/>
      <c r="BG71" s="278"/>
      <c r="BH71" s="89"/>
    </row>
    <row r="72">
      <c r="A72" s="274"/>
      <c r="B72" s="278"/>
      <c r="C72" s="278"/>
      <c r="D72" s="278"/>
      <c r="E72" s="278"/>
      <c r="F72" s="278"/>
      <c r="G72" s="278"/>
      <c r="H72" s="278"/>
      <c r="I72" s="278"/>
      <c r="J72" s="278"/>
      <c r="K72" s="278"/>
      <c r="L72" s="278"/>
      <c r="M72" s="278"/>
      <c r="N72" s="278"/>
      <c r="O72" s="278"/>
      <c r="P72" s="278"/>
      <c r="Q72" s="278"/>
      <c r="R72" s="278"/>
      <c r="S72" s="278"/>
      <c r="T72" s="278"/>
      <c r="U72" s="278"/>
      <c r="V72" s="278"/>
      <c r="W72" s="278"/>
      <c r="X72" s="278"/>
      <c r="Y72" s="278"/>
      <c r="Z72" s="278"/>
      <c r="AA72" s="278"/>
      <c r="AB72" s="278"/>
      <c r="AC72" s="278"/>
      <c r="AD72" s="278"/>
      <c r="AE72" s="278"/>
      <c r="AF72" s="278"/>
      <c r="AG72" s="278"/>
      <c r="AH72" s="278"/>
      <c r="AI72" s="278"/>
      <c r="AJ72" s="278"/>
      <c r="AK72" s="278"/>
      <c r="AL72" s="278"/>
      <c r="AM72" s="278"/>
      <c r="AN72" s="278"/>
      <c r="AO72" s="278"/>
      <c r="AP72" s="278"/>
      <c r="AQ72" s="278"/>
      <c r="AR72" s="278"/>
      <c r="AS72" s="278"/>
      <c r="AT72" s="278"/>
      <c r="AU72" s="278"/>
      <c r="AV72" s="278"/>
      <c r="AW72" s="278"/>
      <c r="AX72" s="278"/>
      <c r="AY72" s="278"/>
      <c r="AZ72" s="278"/>
      <c r="BA72" s="278"/>
      <c r="BB72" s="278"/>
      <c r="BC72" s="278"/>
      <c r="BD72" s="278"/>
      <c r="BE72" s="278"/>
      <c r="BF72" s="278"/>
      <c r="BG72" s="278"/>
      <c r="BH72" s="89"/>
    </row>
    <row r="73">
      <c r="A73" s="274"/>
      <c r="B73" s="278"/>
      <c r="C73" s="278"/>
      <c r="D73" s="278"/>
      <c r="E73" s="278"/>
      <c r="F73" s="278"/>
      <c r="G73" s="278"/>
      <c r="H73" s="278"/>
      <c r="I73" s="278"/>
      <c r="J73" s="278"/>
      <c r="K73" s="278"/>
      <c r="L73" s="278"/>
      <c r="M73" s="278"/>
      <c r="N73" s="278"/>
      <c r="O73" s="278"/>
      <c r="P73" s="278"/>
      <c r="Q73" s="278"/>
      <c r="R73" s="278"/>
      <c r="S73" s="278"/>
      <c r="T73" s="278"/>
      <c r="U73" s="278"/>
      <c r="V73" s="278"/>
      <c r="W73" s="278"/>
      <c r="X73" s="278"/>
      <c r="Y73" s="278"/>
      <c r="Z73" s="278"/>
      <c r="AA73" s="278"/>
      <c r="AB73" s="278"/>
      <c r="AC73" s="278"/>
      <c r="AD73" s="278"/>
      <c r="AE73" s="278"/>
      <c r="AF73" s="278"/>
      <c r="AG73" s="278"/>
      <c r="AH73" s="278"/>
      <c r="AI73" s="278"/>
      <c r="AJ73" s="278"/>
      <c r="AK73" s="278"/>
      <c r="AL73" s="278"/>
      <c r="AM73" s="278"/>
      <c r="AN73" s="278"/>
      <c r="AO73" s="278"/>
      <c r="AP73" s="278"/>
      <c r="AQ73" s="278"/>
      <c r="AR73" s="278"/>
      <c r="AS73" s="278"/>
      <c r="AT73" s="278"/>
      <c r="AU73" s="278"/>
      <c r="AV73" s="278"/>
      <c r="AW73" s="278"/>
      <c r="AX73" s="278"/>
      <c r="AY73" s="278"/>
      <c r="AZ73" s="278"/>
      <c r="BA73" s="278"/>
      <c r="BB73" s="278"/>
      <c r="BC73" s="278"/>
      <c r="BD73" s="278"/>
      <c r="BE73" s="278"/>
      <c r="BF73" s="278"/>
      <c r="BG73" s="278"/>
      <c r="BH73" s="89"/>
    </row>
    <row r="74">
      <c r="A74" s="274"/>
      <c r="B74" s="278"/>
      <c r="C74" s="278"/>
      <c r="D74" s="278"/>
      <c r="E74" s="278"/>
      <c r="F74" s="278"/>
      <c r="G74" s="278"/>
      <c r="H74" s="278"/>
      <c r="I74" s="278"/>
      <c r="J74" s="278"/>
      <c r="K74" s="278"/>
      <c r="L74" s="278"/>
      <c r="M74" s="278"/>
      <c r="N74" s="278"/>
      <c r="O74" s="278"/>
      <c r="P74" s="278"/>
      <c r="Q74" s="278"/>
      <c r="R74" s="278"/>
      <c r="S74" s="278"/>
      <c r="T74" s="278"/>
      <c r="U74" s="278"/>
      <c r="V74" s="278"/>
      <c r="W74" s="278"/>
      <c r="X74" s="278"/>
      <c r="Y74" s="278"/>
      <c r="Z74" s="278"/>
      <c r="AA74" s="278"/>
      <c r="AB74" s="278"/>
      <c r="AC74" s="278"/>
      <c r="AD74" s="278"/>
      <c r="AE74" s="278"/>
      <c r="AF74" s="278"/>
      <c r="AG74" s="278"/>
      <c r="AH74" s="278"/>
      <c r="AI74" s="278"/>
      <c r="AJ74" s="278"/>
      <c r="AK74" s="278"/>
      <c r="AL74" s="278"/>
      <c r="AM74" s="278"/>
      <c r="AN74" s="278"/>
      <c r="AO74" s="278"/>
      <c r="AP74" s="278"/>
      <c r="AQ74" s="278"/>
      <c r="AR74" s="278"/>
      <c r="AS74" s="278"/>
      <c r="AT74" s="278"/>
      <c r="AU74" s="278"/>
      <c r="AV74" s="278"/>
      <c r="AW74" s="278"/>
      <c r="AX74" s="278"/>
      <c r="AY74" s="278"/>
      <c r="AZ74" s="278"/>
      <c r="BA74" s="278"/>
      <c r="BB74" s="278"/>
      <c r="BC74" s="278"/>
      <c r="BD74" s="278"/>
      <c r="BE74" s="278"/>
      <c r="BF74" s="278"/>
      <c r="BG74" s="278"/>
      <c r="BH74" s="89"/>
    </row>
    <row r="75">
      <c r="A75" s="274"/>
      <c r="B75" s="278"/>
      <c r="C75" s="278"/>
      <c r="D75" s="278"/>
      <c r="E75" s="278"/>
      <c r="F75" s="278"/>
      <c r="G75" s="278"/>
      <c r="H75" s="278"/>
      <c r="I75" s="278"/>
      <c r="J75" s="278"/>
      <c r="K75" s="278"/>
      <c r="L75" s="278"/>
      <c r="M75" s="278"/>
      <c r="N75" s="278"/>
      <c r="O75" s="278"/>
      <c r="P75" s="278"/>
      <c r="Q75" s="278"/>
      <c r="R75" s="278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278"/>
      <c r="AQ75" s="278"/>
      <c r="AR75" s="278"/>
      <c r="AS75" s="278"/>
      <c r="AT75" s="278"/>
      <c r="AU75" s="278"/>
      <c r="AV75" s="278"/>
      <c r="AW75" s="278"/>
      <c r="AX75" s="278"/>
      <c r="AY75" s="278"/>
      <c r="AZ75" s="278"/>
      <c r="BA75" s="278"/>
      <c r="BB75" s="278"/>
      <c r="BC75" s="278"/>
      <c r="BD75" s="278"/>
      <c r="BE75" s="278"/>
      <c r="BF75" s="278"/>
      <c r="BG75" s="278"/>
      <c r="BH75" s="89"/>
    </row>
    <row r="76">
      <c r="A76" s="274"/>
      <c r="B76" s="278"/>
      <c r="C76" s="278"/>
      <c r="D76" s="278"/>
      <c r="E76" s="278"/>
      <c r="F76" s="278"/>
      <c r="G76" s="278"/>
      <c r="H76" s="278"/>
      <c r="I76" s="278"/>
      <c r="J76" s="278"/>
      <c r="K76" s="278"/>
      <c r="L76" s="278"/>
      <c r="M76" s="278"/>
      <c r="N76" s="278"/>
      <c r="O76" s="278"/>
      <c r="P76" s="278"/>
      <c r="Q76" s="278"/>
      <c r="R76" s="278"/>
      <c r="S76" s="278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278"/>
      <c r="AQ76" s="278"/>
      <c r="AR76" s="278"/>
      <c r="AS76" s="278"/>
      <c r="AT76" s="278"/>
      <c r="AU76" s="278"/>
      <c r="AV76" s="278"/>
      <c r="AW76" s="278"/>
      <c r="AX76" s="278"/>
      <c r="AY76" s="278"/>
      <c r="AZ76" s="278"/>
      <c r="BA76" s="278"/>
      <c r="BB76" s="278"/>
      <c r="BC76" s="278"/>
      <c r="BD76" s="278"/>
      <c r="BE76" s="278"/>
      <c r="BF76" s="278"/>
      <c r="BG76" s="278"/>
      <c r="BH76" s="89"/>
    </row>
    <row r="77">
      <c r="A77" s="274"/>
      <c r="B77" s="278"/>
      <c r="C77" s="278"/>
      <c r="D77" s="278"/>
      <c r="E77" s="278"/>
      <c r="F77" s="278"/>
      <c r="G77" s="278"/>
      <c r="H77" s="278"/>
      <c r="I77" s="278"/>
      <c r="J77" s="278"/>
      <c r="K77" s="278"/>
      <c r="L77" s="278"/>
      <c r="M77" s="278"/>
      <c r="N77" s="278"/>
      <c r="O77" s="278"/>
      <c r="P77" s="278"/>
      <c r="Q77" s="278"/>
      <c r="R77" s="278"/>
      <c r="S77" s="278"/>
      <c r="T77" s="278"/>
      <c r="U77" s="278"/>
      <c r="V77" s="278"/>
      <c r="W77" s="278"/>
      <c r="X77" s="278"/>
      <c r="Y77" s="278"/>
      <c r="Z77" s="278"/>
      <c r="AA77" s="278"/>
      <c r="AB77" s="278"/>
      <c r="AC77" s="278"/>
      <c r="AD77" s="278"/>
      <c r="AE77" s="278"/>
      <c r="AF77" s="278"/>
      <c r="AG77" s="278"/>
      <c r="AH77" s="278"/>
      <c r="AI77" s="278"/>
      <c r="AJ77" s="278"/>
      <c r="AK77" s="278"/>
      <c r="AL77" s="278"/>
      <c r="AM77" s="278"/>
      <c r="AN77" s="278"/>
      <c r="AO77" s="278"/>
      <c r="AP77" s="278"/>
      <c r="AQ77" s="278"/>
      <c r="AR77" s="278"/>
      <c r="AS77" s="278"/>
      <c r="AT77" s="278"/>
      <c r="AU77" s="278"/>
      <c r="AV77" s="278"/>
      <c r="AW77" s="278"/>
      <c r="AX77" s="278"/>
      <c r="AY77" s="278"/>
      <c r="AZ77" s="278"/>
      <c r="BA77" s="278"/>
      <c r="BB77" s="278"/>
      <c r="BC77" s="278"/>
      <c r="BD77" s="278"/>
      <c r="BE77" s="278"/>
      <c r="BF77" s="278"/>
      <c r="BG77" s="278"/>
      <c r="BH77" s="89"/>
    </row>
    <row r="78">
      <c r="A78" s="274"/>
      <c r="B78" s="278"/>
      <c r="C78" s="278"/>
      <c r="D78" s="278"/>
      <c r="E78" s="278"/>
      <c r="F78" s="278"/>
      <c r="G78" s="278"/>
      <c r="H78" s="278"/>
      <c r="I78" s="278"/>
      <c r="J78" s="278"/>
      <c r="K78" s="278"/>
      <c r="L78" s="278"/>
      <c r="M78" s="278"/>
      <c r="N78" s="278"/>
      <c r="O78" s="278"/>
      <c r="P78" s="278"/>
      <c r="Q78" s="278"/>
      <c r="R78" s="278"/>
      <c r="S78" s="278"/>
      <c r="T78" s="278"/>
      <c r="U78" s="278"/>
      <c r="V78" s="278"/>
      <c r="W78" s="278"/>
      <c r="X78" s="278"/>
      <c r="Y78" s="278"/>
      <c r="Z78" s="278"/>
      <c r="AA78" s="278"/>
      <c r="AB78" s="278"/>
      <c r="AC78" s="278"/>
      <c r="AD78" s="278"/>
      <c r="AE78" s="278"/>
      <c r="AF78" s="278"/>
      <c r="AG78" s="278"/>
      <c r="AH78" s="278"/>
      <c r="AI78" s="278"/>
      <c r="AJ78" s="278"/>
      <c r="AK78" s="278"/>
      <c r="AL78" s="278"/>
      <c r="AM78" s="278"/>
      <c r="AN78" s="278"/>
      <c r="AO78" s="278"/>
      <c r="AP78" s="278"/>
      <c r="AQ78" s="278"/>
      <c r="AR78" s="278"/>
      <c r="AS78" s="278"/>
      <c r="AT78" s="278"/>
      <c r="AU78" s="278"/>
      <c r="AV78" s="278"/>
      <c r="AW78" s="278"/>
      <c r="AX78" s="278"/>
      <c r="AY78" s="278"/>
      <c r="AZ78" s="278"/>
      <c r="BA78" s="278"/>
      <c r="BB78" s="278"/>
      <c r="BC78" s="278"/>
      <c r="BD78" s="278"/>
      <c r="BE78" s="278"/>
      <c r="BF78" s="278"/>
      <c r="BG78" s="278"/>
      <c r="BH78" s="89"/>
    </row>
    <row r="79">
      <c r="A79" s="274"/>
      <c r="B79" s="278"/>
      <c r="C79" s="278"/>
      <c r="D79" s="278"/>
      <c r="E79" s="278"/>
      <c r="F79" s="278"/>
      <c r="G79" s="278"/>
      <c r="H79" s="278"/>
      <c r="I79" s="278"/>
      <c r="J79" s="278"/>
      <c r="K79" s="278"/>
      <c r="L79" s="278"/>
      <c r="M79" s="278"/>
      <c r="N79" s="278"/>
      <c r="O79" s="278"/>
      <c r="P79" s="278"/>
      <c r="Q79" s="278"/>
      <c r="R79" s="278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278"/>
      <c r="AQ79" s="278"/>
      <c r="AR79" s="278"/>
      <c r="AS79" s="278"/>
      <c r="AT79" s="278"/>
      <c r="AU79" s="278"/>
      <c r="AV79" s="278"/>
      <c r="AW79" s="278"/>
      <c r="AX79" s="278"/>
      <c r="AY79" s="278"/>
      <c r="AZ79" s="278"/>
      <c r="BA79" s="278"/>
      <c r="BB79" s="278"/>
      <c r="BC79" s="278"/>
      <c r="BD79" s="278"/>
      <c r="BE79" s="278"/>
      <c r="BF79" s="278"/>
      <c r="BG79" s="278"/>
      <c r="BH79" s="89"/>
    </row>
    <row r="80">
      <c r="A80" s="274"/>
      <c r="B80" s="278"/>
      <c r="C80" s="278"/>
      <c r="D80" s="278"/>
      <c r="E80" s="278"/>
      <c r="F80" s="278"/>
      <c r="G80" s="278"/>
      <c r="H80" s="278"/>
      <c r="I80" s="278"/>
      <c r="J80" s="278"/>
      <c r="K80" s="278"/>
      <c r="L80" s="278"/>
      <c r="M80" s="278"/>
      <c r="N80" s="278"/>
      <c r="O80" s="278"/>
      <c r="P80" s="278"/>
      <c r="Q80" s="278"/>
      <c r="R80" s="278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278"/>
      <c r="AQ80" s="278"/>
      <c r="AR80" s="278"/>
      <c r="AS80" s="278"/>
      <c r="AT80" s="278"/>
      <c r="AU80" s="278"/>
      <c r="AV80" s="278"/>
      <c r="AW80" s="278"/>
      <c r="AX80" s="278"/>
      <c r="AY80" s="278"/>
      <c r="AZ80" s="278"/>
      <c r="BA80" s="278"/>
      <c r="BB80" s="278"/>
      <c r="BC80" s="278"/>
      <c r="BD80" s="278"/>
      <c r="BE80" s="278"/>
      <c r="BF80" s="278"/>
      <c r="BG80" s="278"/>
      <c r="BH80" s="89"/>
    </row>
    <row r="81">
      <c r="A81" s="274"/>
      <c r="B81" s="278"/>
      <c r="C81" s="278"/>
      <c r="D81" s="278"/>
      <c r="E81" s="278"/>
      <c r="F81" s="278"/>
      <c r="G81" s="278"/>
      <c r="H81" s="278"/>
      <c r="I81" s="278"/>
      <c r="J81" s="278"/>
      <c r="K81" s="278"/>
      <c r="L81" s="278"/>
      <c r="M81" s="278"/>
      <c r="N81" s="278"/>
      <c r="O81" s="278"/>
      <c r="P81" s="278"/>
      <c r="Q81" s="278"/>
      <c r="R81" s="278"/>
      <c r="S81" s="278"/>
      <c r="T81" s="278"/>
      <c r="U81" s="278"/>
      <c r="V81" s="278"/>
      <c r="W81" s="278"/>
      <c r="X81" s="278"/>
      <c r="Y81" s="278"/>
      <c r="Z81" s="278"/>
      <c r="AA81" s="278"/>
      <c r="AB81" s="278"/>
      <c r="AC81" s="278"/>
      <c r="AD81" s="278"/>
      <c r="AE81" s="278"/>
      <c r="AF81" s="278"/>
      <c r="AG81" s="278"/>
      <c r="AH81" s="278"/>
      <c r="AI81" s="278"/>
      <c r="AJ81" s="278"/>
      <c r="AK81" s="278"/>
      <c r="AL81" s="278"/>
      <c r="AM81" s="278"/>
      <c r="AN81" s="278"/>
      <c r="AO81" s="278"/>
      <c r="AP81" s="278"/>
      <c r="AQ81" s="278"/>
      <c r="AR81" s="278"/>
      <c r="AS81" s="278"/>
      <c r="AT81" s="278"/>
      <c r="AU81" s="278"/>
      <c r="AV81" s="278"/>
      <c r="AW81" s="278"/>
      <c r="AX81" s="278"/>
      <c r="AY81" s="278"/>
      <c r="AZ81" s="278"/>
      <c r="BA81" s="278"/>
      <c r="BB81" s="278"/>
      <c r="BC81" s="278"/>
      <c r="BD81" s="278"/>
      <c r="BE81" s="278"/>
      <c r="BF81" s="278"/>
      <c r="BG81" s="278"/>
      <c r="BH81" s="89"/>
    </row>
    <row r="82">
      <c r="A82" s="274"/>
      <c r="B82" s="278"/>
      <c r="C82" s="278"/>
      <c r="D82" s="278"/>
      <c r="E82" s="278"/>
      <c r="F82" s="278"/>
      <c r="G82" s="278"/>
      <c r="H82" s="278"/>
      <c r="I82" s="278"/>
      <c r="J82" s="278"/>
      <c r="K82" s="278"/>
      <c r="L82" s="278"/>
      <c r="M82" s="278"/>
      <c r="N82" s="278"/>
      <c r="O82" s="278"/>
      <c r="P82" s="278"/>
      <c r="Q82" s="278"/>
      <c r="R82" s="278"/>
      <c r="S82" s="278"/>
      <c r="T82" s="278"/>
      <c r="U82" s="278"/>
      <c r="V82" s="278"/>
      <c r="W82" s="278"/>
      <c r="X82" s="278"/>
      <c r="Y82" s="278"/>
      <c r="Z82" s="278"/>
      <c r="AA82" s="278"/>
      <c r="AB82" s="278"/>
      <c r="AC82" s="278"/>
      <c r="AD82" s="278"/>
      <c r="AE82" s="278"/>
      <c r="AF82" s="278"/>
      <c r="AG82" s="278"/>
      <c r="AH82" s="278"/>
      <c r="AI82" s="278"/>
      <c r="AJ82" s="278"/>
      <c r="AK82" s="278"/>
      <c r="AL82" s="278"/>
      <c r="AM82" s="278"/>
      <c r="AN82" s="278"/>
      <c r="AO82" s="278"/>
      <c r="AP82" s="278"/>
      <c r="AQ82" s="278"/>
      <c r="AR82" s="278"/>
      <c r="AS82" s="278"/>
      <c r="AT82" s="278"/>
      <c r="AU82" s="278"/>
      <c r="AV82" s="278"/>
      <c r="AW82" s="278"/>
      <c r="AX82" s="278"/>
      <c r="AY82" s="278"/>
      <c r="AZ82" s="278"/>
      <c r="BA82" s="278"/>
      <c r="BB82" s="278"/>
      <c r="BC82" s="278"/>
      <c r="BD82" s="278"/>
      <c r="BE82" s="278"/>
      <c r="BF82" s="278"/>
      <c r="BG82" s="278"/>
      <c r="BH82" s="89"/>
    </row>
    <row r="83">
      <c r="A83" s="274"/>
      <c r="B83" s="278"/>
      <c r="C83" s="278"/>
      <c r="D83" s="278"/>
      <c r="E83" s="278"/>
      <c r="F83" s="278"/>
      <c r="G83" s="278"/>
      <c r="H83" s="278"/>
      <c r="I83" s="278"/>
      <c r="J83" s="278"/>
      <c r="K83" s="278"/>
      <c r="L83" s="278"/>
      <c r="M83" s="278"/>
      <c r="N83" s="278"/>
      <c r="O83" s="278"/>
      <c r="P83" s="278"/>
      <c r="Q83" s="278"/>
      <c r="R83" s="278"/>
      <c r="S83" s="278"/>
      <c r="T83" s="278"/>
      <c r="U83" s="278"/>
      <c r="V83" s="278"/>
      <c r="W83" s="278"/>
      <c r="X83" s="278"/>
      <c r="Y83" s="278"/>
      <c r="Z83" s="278"/>
      <c r="AA83" s="278"/>
      <c r="AB83" s="278"/>
      <c r="AC83" s="278"/>
      <c r="AD83" s="278"/>
      <c r="AE83" s="278"/>
      <c r="AF83" s="278"/>
      <c r="AG83" s="278"/>
      <c r="AH83" s="278"/>
      <c r="AI83" s="278"/>
      <c r="AJ83" s="278"/>
      <c r="AK83" s="278"/>
      <c r="AL83" s="278"/>
      <c r="AM83" s="278"/>
      <c r="AN83" s="278"/>
      <c r="AO83" s="278"/>
      <c r="AP83" s="278"/>
      <c r="AQ83" s="278"/>
      <c r="AR83" s="278"/>
      <c r="AS83" s="278"/>
      <c r="AT83" s="278"/>
      <c r="AU83" s="278"/>
      <c r="AV83" s="278"/>
      <c r="AW83" s="278"/>
      <c r="AX83" s="278"/>
      <c r="AY83" s="278"/>
      <c r="AZ83" s="278"/>
      <c r="BA83" s="278"/>
      <c r="BB83" s="278"/>
      <c r="BC83" s="278"/>
      <c r="BD83" s="278"/>
      <c r="BE83" s="278"/>
      <c r="BF83" s="278"/>
      <c r="BG83" s="278"/>
      <c r="BH83" s="89"/>
    </row>
    <row r="84">
      <c r="A84" s="274"/>
      <c r="B84" s="278"/>
      <c r="C84" s="278"/>
      <c r="D84" s="278"/>
      <c r="E84" s="278"/>
      <c r="F84" s="278"/>
      <c r="G84" s="278"/>
      <c r="H84" s="278"/>
      <c r="I84" s="278"/>
      <c r="J84" s="278"/>
      <c r="K84" s="278"/>
      <c r="L84" s="278"/>
      <c r="M84" s="278"/>
      <c r="N84" s="278"/>
      <c r="O84" s="278"/>
      <c r="P84" s="278"/>
      <c r="Q84" s="278"/>
      <c r="R84" s="278"/>
      <c r="S84" s="278"/>
      <c r="T84" s="278"/>
      <c r="U84" s="278"/>
      <c r="V84" s="278"/>
      <c r="W84" s="278"/>
      <c r="X84" s="278"/>
      <c r="Y84" s="278"/>
      <c r="Z84" s="278"/>
      <c r="AA84" s="278"/>
      <c r="AB84" s="278"/>
      <c r="AC84" s="278"/>
      <c r="AD84" s="278"/>
      <c r="AE84" s="278"/>
      <c r="AF84" s="278"/>
      <c r="AG84" s="278"/>
      <c r="AH84" s="278"/>
      <c r="AI84" s="278"/>
      <c r="AJ84" s="278"/>
      <c r="AK84" s="278"/>
      <c r="AL84" s="278"/>
      <c r="AM84" s="278"/>
      <c r="AN84" s="278"/>
      <c r="AO84" s="278"/>
      <c r="AP84" s="278"/>
      <c r="AQ84" s="278"/>
      <c r="AR84" s="278"/>
      <c r="AS84" s="278"/>
      <c r="AT84" s="278"/>
      <c r="AU84" s="278"/>
      <c r="AV84" s="278"/>
      <c r="AW84" s="278"/>
      <c r="AX84" s="278"/>
      <c r="AY84" s="278"/>
      <c r="AZ84" s="278"/>
      <c r="BA84" s="278"/>
      <c r="BB84" s="278"/>
      <c r="BC84" s="278"/>
      <c r="BD84" s="278"/>
      <c r="BE84" s="278"/>
      <c r="BF84" s="278"/>
      <c r="BG84" s="278"/>
      <c r="BH84" s="89"/>
    </row>
    <row r="85">
      <c r="A85" s="274"/>
      <c r="B85" s="278"/>
      <c r="C85" s="278"/>
      <c r="D85" s="278"/>
      <c r="E85" s="278"/>
      <c r="F85" s="278"/>
      <c r="G85" s="278"/>
      <c r="H85" s="278"/>
      <c r="I85" s="278"/>
      <c r="J85" s="278"/>
      <c r="K85" s="278"/>
      <c r="L85" s="278"/>
      <c r="M85" s="278"/>
      <c r="N85" s="278"/>
      <c r="O85" s="278"/>
      <c r="P85" s="278"/>
      <c r="Q85" s="278"/>
      <c r="R85" s="278"/>
      <c r="S85" s="278"/>
      <c r="T85" s="278"/>
      <c r="U85" s="278"/>
      <c r="V85" s="278"/>
      <c r="W85" s="278"/>
      <c r="X85" s="278"/>
      <c r="Y85" s="278"/>
      <c r="Z85" s="278"/>
      <c r="AA85" s="278"/>
      <c r="AB85" s="278"/>
      <c r="AC85" s="278"/>
      <c r="AD85" s="278"/>
      <c r="AE85" s="278"/>
      <c r="AF85" s="278"/>
      <c r="AG85" s="278"/>
      <c r="AH85" s="278"/>
      <c r="AI85" s="278"/>
      <c r="AJ85" s="278"/>
      <c r="AK85" s="278"/>
      <c r="AL85" s="278"/>
      <c r="AM85" s="278"/>
      <c r="AN85" s="278"/>
      <c r="AO85" s="278"/>
      <c r="AP85" s="278"/>
      <c r="AQ85" s="278"/>
      <c r="AR85" s="278"/>
      <c r="AS85" s="278"/>
      <c r="AT85" s="278"/>
      <c r="AU85" s="278"/>
      <c r="AV85" s="278"/>
      <c r="AW85" s="278"/>
      <c r="AX85" s="278"/>
      <c r="AY85" s="278"/>
      <c r="AZ85" s="278"/>
      <c r="BA85" s="278"/>
      <c r="BB85" s="278"/>
      <c r="BC85" s="278"/>
      <c r="BD85" s="278"/>
      <c r="BE85" s="278"/>
      <c r="BF85" s="278"/>
      <c r="BG85" s="278"/>
      <c r="BH85" s="89"/>
    </row>
    <row r="86">
      <c r="A86" s="274"/>
      <c r="B86" s="278"/>
      <c r="C86" s="278"/>
      <c r="D86" s="278"/>
      <c r="E86" s="278"/>
      <c r="F86" s="278"/>
      <c r="G86" s="278"/>
      <c r="H86" s="278"/>
      <c r="I86" s="278"/>
      <c r="J86" s="278"/>
      <c r="K86" s="278"/>
      <c r="L86" s="278"/>
      <c r="M86" s="278"/>
      <c r="N86" s="278"/>
      <c r="O86" s="278"/>
      <c r="P86" s="278"/>
      <c r="Q86" s="278"/>
      <c r="R86" s="278"/>
      <c r="S86" s="278"/>
      <c r="T86" s="278"/>
      <c r="U86" s="278"/>
      <c r="V86" s="278"/>
      <c r="W86" s="278"/>
      <c r="X86" s="278"/>
      <c r="Y86" s="278"/>
      <c r="Z86" s="278"/>
      <c r="AA86" s="278"/>
      <c r="AB86" s="278"/>
      <c r="AC86" s="278"/>
      <c r="AD86" s="278"/>
      <c r="AE86" s="278"/>
      <c r="AF86" s="278"/>
      <c r="AG86" s="278"/>
      <c r="AH86" s="278"/>
      <c r="AI86" s="278"/>
      <c r="AJ86" s="278"/>
      <c r="AK86" s="278"/>
      <c r="AL86" s="278"/>
      <c r="AM86" s="278"/>
      <c r="AN86" s="278"/>
      <c r="AO86" s="278"/>
      <c r="AP86" s="278"/>
      <c r="AQ86" s="278"/>
      <c r="AR86" s="278"/>
      <c r="AS86" s="278"/>
      <c r="AT86" s="278"/>
      <c r="AU86" s="278"/>
      <c r="AV86" s="278"/>
      <c r="AW86" s="278"/>
      <c r="AX86" s="278"/>
      <c r="AY86" s="278"/>
      <c r="AZ86" s="278"/>
      <c r="BA86" s="278"/>
      <c r="BB86" s="278"/>
      <c r="BC86" s="278"/>
      <c r="BD86" s="278"/>
      <c r="BE86" s="278"/>
      <c r="BF86" s="278"/>
      <c r="BG86" s="278"/>
      <c r="BH86" s="89"/>
    </row>
    <row r="87">
      <c r="A87" s="274"/>
      <c r="B87" s="278"/>
      <c r="C87" s="278"/>
      <c r="D87" s="278"/>
      <c r="E87" s="278"/>
      <c r="F87" s="278"/>
      <c r="G87" s="278"/>
      <c r="H87" s="278"/>
      <c r="I87" s="278"/>
      <c r="J87" s="278"/>
      <c r="K87" s="278"/>
      <c r="L87" s="278"/>
      <c r="M87" s="278"/>
      <c r="N87" s="278"/>
      <c r="O87" s="278"/>
      <c r="P87" s="278"/>
      <c r="Q87" s="278"/>
      <c r="R87" s="278"/>
      <c r="S87" s="278"/>
      <c r="T87" s="278"/>
      <c r="U87" s="278"/>
      <c r="V87" s="278"/>
      <c r="W87" s="278"/>
      <c r="X87" s="278"/>
      <c r="Y87" s="278"/>
      <c r="Z87" s="278"/>
      <c r="AA87" s="278"/>
      <c r="AB87" s="278"/>
      <c r="AC87" s="278"/>
      <c r="AD87" s="278"/>
      <c r="AE87" s="278"/>
      <c r="AF87" s="278"/>
      <c r="AG87" s="278"/>
      <c r="AH87" s="278"/>
      <c r="AI87" s="278"/>
      <c r="AJ87" s="278"/>
      <c r="AK87" s="278"/>
      <c r="AL87" s="278"/>
      <c r="AM87" s="278"/>
      <c r="AN87" s="278"/>
      <c r="AO87" s="278"/>
      <c r="AP87" s="278"/>
      <c r="AQ87" s="278"/>
      <c r="AR87" s="278"/>
      <c r="AS87" s="278"/>
      <c r="AT87" s="278"/>
      <c r="AU87" s="278"/>
      <c r="AV87" s="278"/>
      <c r="AW87" s="278"/>
      <c r="AX87" s="278"/>
      <c r="AY87" s="278"/>
      <c r="AZ87" s="278"/>
      <c r="BA87" s="278"/>
      <c r="BB87" s="278"/>
      <c r="BC87" s="278"/>
      <c r="BD87" s="278"/>
      <c r="BE87" s="278"/>
      <c r="BF87" s="278"/>
      <c r="BG87" s="278"/>
      <c r="BH87" s="89"/>
    </row>
    <row r="88">
      <c r="A88" s="274"/>
      <c r="B88" s="278"/>
      <c r="C88" s="278"/>
      <c r="D88" s="278"/>
      <c r="E88" s="278"/>
      <c r="F88" s="278"/>
      <c r="G88" s="278"/>
      <c r="H88" s="278"/>
      <c r="I88" s="278"/>
      <c r="J88" s="278"/>
      <c r="K88" s="278"/>
      <c r="L88" s="278"/>
      <c r="M88" s="278"/>
      <c r="N88" s="278"/>
      <c r="O88" s="278"/>
      <c r="P88" s="278"/>
      <c r="Q88" s="278"/>
      <c r="R88" s="278"/>
      <c r="S88" s="278"/>
      <c r="T88" s="278"/>
      <c r="U88" s="278"/>
      <c r="V88" s="278"/>
      <c r="W88" s="278"/>
      <c r="X88" s="278"/>
      <c r="Y88" s="278"/>
      <c r="Z88" s="278"/>
      <c r="AA88" s="278"/>
      <c r="AB88" s="278"/>
      <c r="AC88" s="278"/>
      <c r="AD88" s="278"/>
      <c r="AE88" s="278"/>
      <c r="AF88" s="278"/>
      <c r="AG88" s="278"/>
      <c r="AH88" s="278"/>
      <c r="AI88" s="278"/>
      <c r="AJ88" s="278"/>
      <c r="AK88" s="278"/>
      <c r="AL88" s="278"/>
      <c r="AM88" s="278"/>
      <c r="AN88" s="278"/>
      <c r="AO88" s="278"/>
      <c r="AP88" s="278"/>
      <c r="AQ88" s="278"/>
      <c r="AR88" s="278"/>
      <c r="AS88" s="278"/>
      <c r="AT88" s="278"/>
      <c r="AU88" s="278"/>
      <c r="AV88" s="278"/>
      <c r="AW88" s="278"/>
      <c r="AX88" s="278"/>
      <c r="AY88" s="278"/>
      <c r="AZ88" s="278"/>
      <c r="BA88" s="278"/>
      <c r="BB88" s="278"/>
      <c r="BC88" s="278"/>
      <c r="BD88" s="278"/>
      <c r="BE88" s="278"/>
      <c r="BF88" s="278"/>
      <c r="BG88" s="278"/>
      <c r="BH88" s="89"/>
    </row>
    <row r="89">
      <c r="A89" s="274"/>
      <c r="B89" s="278"/>
      <c r="C89" s="278"/>
      <c r="D89" s="278"/>
      <c r="E89" s="278"/>
      <c r="F89" s="278"/>
      <c r="G89" s="278"/>
      <c r="H89" s="278"/>
      <c r="I89" s="278"/>
      <c r="J89" s="278"/>
      <c r="K89" s="278"/>
      <c r="L89" s="278"/>
      <c r="M89" s="278"/>
      <c r="N89" s="278"/>
      <c r="O89" s="278"/>
      <c r="P89" s="278"/>
      <c r="Q89" s="278"/>
      <c r="R89" s="278"/>
      <c r="S89" s="278"/>
      <c r="T89" s="278"/>
      <c r="U89" s="278"/>
      <c r="V89" s="278"/>
      <c r="W89" s="278"/>
      <c r="X89" s="278"/>
      <c r="Y89" s="278"/>
      <c r="Z89" s="278"/>
      <c r="AA89" s="278"/>
      <c r="AB89" s="278"/>
      <c r="AC89" s="278"/>
      <c r="AD89" s="278"/>
      <c r="AE89" s="278"/>
      <c r="AF89" s="278"/>
      <c r="AG89" s="278"/>
      <c r="AH89" s="278"/>
      <c r="AI89" s="278"/>
      <c r="AJ89" s="278"/>
      <c r="AK89" s="278"/>
      <c r="AL89" s="278"/>
      <c r="AM89" s="278"/>
      <c r="AN89" s="278"/>
      <c r="AO89" s="278"/>
      <c r="AP89" s="278"/>
      <c r="AQ89" s="278"/>
      <c r="AR89" s="278"/>
      <c r="AS89" s="278"/>
      <c r="AT89" s="278"/>
      <c r="AU89" s="278"/>
      <c r="AV89" s="278"/>
      <c r="AW89" s="278"/>
      <c r="AX89" s="278"/>
      <c r="AY89" s="278"/>
      <c r="AZ89" s="278"/>
      <c r="BA89" s="278"/>
      <c r="BB89" s="278"/>
      <c r="BC89" s="278"/>
      <c r="BD89" s="278"/>
      <c r="BE89" s="278"/>
      <c r="BF89" s="278"/>
      <c r="BG89" s="278"/>
      <c r="BH89" s="89"/>
    </row>
    <row r="90">
      <c r="A90" s="274"/>
      <c r="B90" s="278"/>
      <c r="C90" s="278"/>
      <c r="D90" s="278"/>
      <c r="E90" s="278"/>
      <c r="F90" s="278"/>
      <c r="G90" s="278"/>
      <c r="H90" s="278"/>
      <c r="I90" s="278"/>
      <c r="J90" s="278"/>
      <c r="K90" s="278"/>
      <c r="L90" s="278"/>
      <c r="M90" s="278"/>
      <c r="N90" s="278"/>
      <c r="O90" s="278"/>
      <c r="P90" s="278"/>
      <c r="Q90" s="278"/>
      <c r="R90" s="278"/>
      <c r="S90" s="278"/>
      <c r="T90" s="278"/>
      <c r="U90" s="278"/>
      <c r="V90" s="278"/>
      <c r="W90" s="278"/>
      <c r="X90" s="278"/>
      <c r="Y90" s="278"/>
      <c r="Z90" s="278"/>
      <c r="AA90" s="278"/>
      <c r="AB90" s="278"/>
      <c r="AC90" s="278"/>
      <c r="AD90" s="278"/>
      <c r="AE90" s="278"/>
      <c r="AF90" s="278"/>
      <c r="AG90" s="278"/>
      <c r="AH90" s="278"/>
      <c r="AI90" s="278"/>
      <c r="AJ90" s="278"/>
      <c r="AK90" s="278"/>
      <c r="AL90" s="278"/>
      <c r="AM90" s="278"/>
      <c r="AN90" s="278"/>
      <c r="AO90" s="278"/>
      <c r="AP90" s="278"/>
      <c r="AQ90" s="278"/>
      <c r="AR90" s="278"/>
      <c r="AS90" s="278"/>
      <c r="AT90" s="278"/>
      <c r="AU90" s="278"/>
      <c r="AV90" s="278"/>
      <c r="AW90" s="278"/>
      <c r="AX90" s="278"/>
      <c r="AY90" s="278"/>
      <c r="AZ90" s="278"/>
      <c r="BA90" s="278"/>
      <c r="BB90" s="278"/>
      <c r="BC90" s="278"/>
      <c r="BD90" s="278"/>
      <c r="BE90" s="278"/>
      <c r="BF90" s="278"/>
      <c r="BG90" s="278"/>
      <c r="BH90" s="89"/>
    </row>
    <row r="91">
      <c r="A91" s="274"/>
      <c r="B91" s="278"/>
      <c r="C91" s="278"/>
      <c r="D91" s="278"/>
      <c r="E91" s="278"/>
      <c r="F91" s="278"/>
      <c r="G91" s="278"/>
      <c r="H91" s="278"/>
      <c r="I91" s="278"/>
      <c r="J91" s="278"/>
      <c r="K91" s="278"/>
      <c r="L91" s="278"/>
      <c r="M91" s="278"/>
      <c r="N91" s="278"/>
      <c r="O91" s="278"/>
      <c r="P91" s="278"/>
      <c r="Q91" s="278"/>
      <c r="R91" s="278"/>
      <c r="S91" s="278"/>
      <c r="T91" s="278"/>
      <c r="U91" s="278"/>
      <c r="V91" s="278"/>
      <c r="W91" s="278"/>
      <c r="X91" s="278"/>
      <c r="Y91" s="278"/>
      <c r="Z91" s="278"/>
      <c r="AA91" s="278"/>
      <c r="AB91" s="278"/>
      <c r="AC91" s="278"/>
      <c r="AD91" s="278"/>
      <c r="AE91" s="278"/>
      <c r="AF91" s="278"/>
      <c r="AG91" s="278"/>
      <c r="AH91" s="278"/>
      <c r="AI91" s="278"/>
      <c r="AJ91" s="278"/>
      <c r="AK91" s="278"/>
      <c r="AL91" s="278"/>
      <c r="AM91" s="278"/>
      <c r="AN91" s="278"/>
      <c r="AO91" s="278"/>
      <c r="AP91" s="278"/>
      <c r="AQ91" s="278"/>
      <c r="AR91" s="278"/>
      <c r="AS91" s="278"/>
      <c r="AT91" s="278"/>
      <c r="AU91" s="278"/>
      <c r="AV91" s="278"/>
      <c r="AW91" s="278"/>
      <c r="AX91" s="278"/>
      <c r="AY91" s="278"/>
      <c r="AZ91" s="278"/>
      <c r="BA91" s="278"/>
      <c r="BB91" s="278"/>
      <c r="BC91" s="278"/>
      <c r="BD91" s="278"/>
      <c r="BE91" s="278"/>
      <c r="BF91" s="278"/>
      <c r="BG91" s="278"/>
      <c r="BH91" s="89"/>
    </row>
    <row r="92">
      <c r="A92" s="274"/>
      <c r="B92" s="278"/>
      <c r="C92" s="278"/>
      <c r="D92" s="278"/>
      <c r="E92" s="278"/>
      <c r="F92" s="278"/>
      <c r="G92" s="278"/>
      <c r="H92" s="278"/>
      <c r="I92" s="278"/>
      <c r="J92" s="278"/>
      <c r="K92" s="278"/>
      <c r="L92" s="278"/>
      <c r="M92" s="278"/>
      <c r="N92" s="278"/>
      <c r="O92" s="278"/>
      <c r="P92" s="278"/>
      <c r="Q92" s="278"/>
      <c r="R92" s="278"/>
      <c r="S92" s="278"/>
      <c r="T92" s="278"/>
      <c r="U92" s="278"/>
      <c r="V92" s="278"/>
      <c r="W92" s="278"/>
      <c r="X92" s="278"/>
      <c r="Y92" s="278"/>
      <c r="Z92" s="278"/>
      <c r="AA92" s="278"/>
      <c r="AB92" s="278"/>
      <c r="AC92" s="278"/>
      <c r="AD92" s="278"/>
      <c r="AE92" s="278"/>
      <c r="AF92" s="278"/>
      <c r="AG92" s="278"/>
      <c r="AH92" s="278"/>
      <c r="AI92" s="278"/>
      <c r="AJ92" s="278"/>
      <c r="AK92" s="278"/>
      <c r="AL92" s="278"/>
      <c r="AM92" s="278"/>
      <c r="AN92" s="278"/>
      <c r="AO92" s="278"/>
      <c r="AP92" s="278"/>
      <c r="AQ92" s="278"/>
      <c r="AR92" s="278"/>
      <c r="AS92" s="278"/>
      <c r="AT92" s="278"/>
      <c r="AU92" s="278"/>
      <c r="AV92" s="278"/>
      <c r="AW92" s="278"/>
      <c r="AX92" s="278"/>
      <c r="AY92" s="278"/>
      <c r="AZ92" s="278"/>
      <c r="BA92" s="278"/>
      <c r="BB92" s="278"/>
      <c r="BC92" s="278"/>
      <c r="BD92" s="278"/>
      <c r="BE92" s="278"/>
      <c r="BF92" s="278"/>
      <c r="BG92" s="278"/>
      <c r="BH92" s="89"/>
    </row>
    <row r="93">
      <c r="A93" s="274"/>
      <c r="B93" s="278"/>
      <c r="C93" s="278"/>
      <c r="D93" s="278"/>
      <c r="E93" s="278"/>
      <c r="F93" s="278"/>
      <c r="G93" s="278"/>
      <c r="H93" s="278"/>
      <c r="I93" s="278"/>
      <c r="J93" s="278"/>
      <c r="K93" s="278"/>
      <c r="L93" s="278"/>
      <c r="M93" s="278"/>
      <c r="N93" s="278"/>
      <c r="O93" s="278"/>
      <c r="P93" s="278"/>
      <c r="Q93" s="278"/>
      <c r="R93" s="278"/>
      <c r="S93" s="278"/>
      <c r="T93" s="278"/>
      <c r="U93" s="278"/>
      <c r="V93" s="278"/>
      <c r="W93" s="278"/>
      <c r="X93" s="278"/>
      <c r="Y93" s="278"/>
      <c r="Z93" s="278"/>
      <c r="AA93" s="278"/>
      <c r="AB93" s="278"/>
      <c r="AC93" s="278"/>
      <c r="AD93" s="278"/>
      <c r="AE93" s="278"/>
      <c r="AF93" s="278"/>
      <c r="AG93" s="278"/>
      <c r="AH93" s="278"/>
      <c r="AI93" s="278"/>
      <c r="AJ93" s="278"/>
      <c r="AK93" s="278"/>
      <c r="AL93" s="278"/>
      <c r="AM93" s="278"/>
      <c r="AN93" s="278"/>
      <c r="AO93" s="278"/>
      <c r="AP93" s="278"/>
      <c r="AQ93" s="278"/>
      <c r="AR93" s="278"/>
      <c r="AS93" s="278"/>
      <c r="AT93" s="278"/>
      <c r="AU93" s="278"/>
      <c r="AV93" s="278"/>
      <c r="AW93" s="278"/>
      <c r="AX93" s="278"/>
      <c r="AY93" s="278"/>
      <c r="AZ93" s="278"/>
      <c r="BA93" s="278"/>
      <c r="BB93" s="278"/>
      <c r="BC93" s="278"/>
      <c r="BD93" s="278"/>
      <c r="BE93" s="278"/>
      <c r="BF93" s="278"/>
      <c r="BG93" s="278"/>
      <c r="BH93" s="89"/>
    </row>
    <row r="94">
      <c r="A94" s="274"/>
      <c r="B94" s="278"/>
      <c r="C94" s="278"/>
      <c r="D94" s="278"/>
      <c r="E94" s="278"/>
      <c r="F94" s="278"/>
      <c r="G94" s="278"/>
      <c r="H94" s="278"/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  <c r="U94" s="278"/>
      <c r="V94" s="278"/>
      <c r="W94" s="278"/>
      <c r="X94" s="278"/>
      <c r="Y94" s="278"/>
      <c r="Z94" s="278"/>
      <c r="AA94" s="278"/>
      <c r="AB94" s="278"/>
      <c r="AC94" s="278"/>
      <c r="AD94" s="278"/>
      <c r="AE94" s="278"/>
      <c r="AF94" s="278"/>
      <c r="AG94" s="278"/>
      <c r="AH94" s="278"/>
      <c r="AI94" s="278"/>
      <c r="AJ94" s="278"/>
      <c r="AK94" s="278"/>
      <c r="AL94" s="278"/>
      <c r="AM94" s="278"/>
      <c r="AN94" s="278"/>
      <c r="AO94" s="278"/>
      <c r="AP94" s="278"/>
      <c r="AQ94" s="278"/>
      <c r="AR94" s="278"/>
      <c r="AS94" s="278"/>
      <c r="AT94" s="278"/>
      <c r="AU94" s="278"/>
      <c r="AV94" s="278"/>
      <c r="AW94" s="278"/>
      <c r="AX94" s="278"/>
      <c r="AY94" s="278"/>
      <c r="AZ94" s="278"/>
      <c r="BA94" s="278"/>
      <c r="BB94" s="278"/>
      <c r="BC94" s="278"/>
      <c r="BD94" s="278"/>
      <c r="BE94" s="278"/>
      <c r="BF94" s="278"/>
      <c r="BG94" s="278"/>
      <c r="BH94" s="89"/>
    </row>
    <row r="95">
      <c r="A95" s="274"/>
      <c r="B95" s="278"/>
      <c r="C95" s="278"/>
      <c r="D95" s="278"/>
      <c r="E95" s="278"/>
      <c r="F95" s="278"/>
      <c r="G95" s="278"/>
      <c r="H95" s="278"/>
      <c r="I95" s="278"/>
      <c r="J95" s="278"/>
      <c r="K95" s="278"/>
      <c r="L95" s="278"/>
      <c r="M95" s="278"/>
      <c r="N95" s="278"/>
      <c r="O95" s="278"/>
      <c r="P95" s="278"/>
      <c r="Q95" s="278"/>
      <c r="R95" s="278"/>
      <c r="S95" s="278"/>
      <c r="T95" s="278"/>
      <c r="U95" s="278"/>
      <c r="V95" s="278"/>
      <c r="W95" s="278"/>
      <c r="X95" s="278"/>
      <c r="Y95" s="278"/>
      <c r="Z95" s="278"/>
      <c r="AA95" s="278"/>
      <c r="AB95" s="278"/>
      <c r="AC95" s="278"/>
      <c r="AD95" s="278"/>
      <c r="AE95" s="278"/>
      <c r="AF95" s="278"/>
      <c r="AG95" s="278"/>
      <c r="AH95" s="278"/>
      <c r="AI95" s="278"/>
      <c r="AJ95" s="278"/>
      <c r="AK95" s="278"/>
      <c r="AL95" s="278"/>
      <c r="AM95" s="278"/>
      <c r="AN95" s="278"/>
      <c r="AO95" s="278"/>
      <c r="AP95" s="278"/>
      <c r="AQ95" s="278"/>
      <c r="AR95" s="278"/>
      <c r="AS95" s="278"/>
      <c r="AT95" s="278"/>
      <c r="AU95" s="278"/>
      <c r="AV95" s="278"/>
      <c r="AW95" s="278"/>
      <c r="AX95" s="278"/>
      <c r="AY95" s="278"/>
      <c r="AZ95" s="278"/>
      <c r="BA95" s="278"/>
      <c r="BB95" s="278"/>
      <c r="BC95" s="278"/>
      <c r="BD95" s="278"/>
      <c r="BE95" s="278"/>
      <c r="BF95" s="278"/>
      <c r="BG95" s="278"/>
      <c r="BH95" s="89"/>
    </row>
    <row r="96">
      <c r="A96" s="274"/>
      <c r="B96" s="278"/>
      <c r="C96" s="278"/>
      <c r="D96" s="278"/>
      <c r="E96" s="278"/>
      <c r="F96" s="278"/>
      <c r="G96" s="278"/>
      <c r="H96" s="278"/>
      <c r="I96" s="278"/>
      <c r="J96" s="278"/>
      <c r="K96" s="278"/>
      <c r="L96" s="278"/>
      <c r="M96" s="278"/>
      <c r="N96" s="278"/>
      <c r="O96" s="278"/>
      <c r="P96" s="278"/>
      <c r="Q96" s="278"/>
      <c r="R96" s="278"/>
      <c r="S96" s="278"/>
      <c r="T96" s="278"/>
      <c r="U96" s="278"/>
      <c r="V96" s="278"/>
      <c r="W96" s="278"/>
      <c r="X96" s="278"/>
      <c r="Y96" s="278"/>
      <c r="Z96" s="278"/>
      <c r="AA96" s="278"/>
      <c r="AB96" s="278"/>
      <c r="AC96" s="278"/>
      <c r="AD96" s="278"/>
      <c r="AE96" s="278"/>
      <c r="AF96" s="278"/>
      <c r="AG96" s="278"/>
      <c r="AH96" s="278"/>
      <c r="AI96" s="278"/>
      <c r="AJ96" s="278"/>
      <c r="AK96" s="278"/>
      <c r="AL96" s="278"/>
      <c r="AM96" s="278"/>
      <c r="AN96" s="278"/>
      <c r="AO96" s="278"/>
      <c r="AP96" s="278"/>
      <c r="AQ96" s="278"/>
      <c r="AR96" s="278"/>
      <c r="AS96" s="278"/>
      <c r="AT96" s="278"/>
      <c r="AU96" s="278"/>
      <c r="AV96" s="278"/>
      <c r="AW96" s="278"/>
      <c r="AX96" s="278"/>
      <c r="AY96" s="278"/>
      <c r="AZ96" s="278"/>
      <c r="BA96" s="278"/>
      <c r="BB96" s="278"/>
      <c r="BC96" s="278"/>
      <c r="BD96" s="278"/>
      <c r="BE96" s="278"/>
      <c r="BF96" s="278"/>
      <c r="BG96" s="278"/>
      <c r="BH96" s="89"/>
    </row>
    <row r="97">
      <c r="A97" s="274"/>
      <c r="B97" s="278"/>
      <c r="C97" s="278"/>
      <c r="D97" s="278"/>
      <c r="E97" s="278"/>
      <c r="F97" s="278"/>
      <c r="G97" s="278"/>
      <c r="H97" s="278"/>
      <c r="I97" s="278"/>
      <c r="J97" s="278"/>
      <c r="K97" s="278"/>
      <c r="L97" s="278"/>
      <c r="M97" s="278"/>
      <c r="N97" s="278"/>
      <c r="O97" s="278"/>
      <c r="P97" s="278"/>
      <c r="Q97" s="278"/>
      <c r="R97" s="278"/>
      <c r="S97" s="278"/>
      <c r="T97" s="278"/>
      <c r="U97" s="278"/>
      <c r="V97" s="278"/>
      <c r="W97" s="278"/>
      <c r="X97" s="278"/>
      <c r="Y97" s="278"/>
      <c r="Z97" s="278"/>
      <c r="AA97" s="278"/>
      <c r="AB97" s="278"/>
      <c r="AC97" s="278"/>
      <c r="AD97" s="278"/>
      <c r="AE97" s="278"/>
      <c r="AF97" s="278"/>
      <c r="AG97" s="278"/>
      <c r="AH97" s="278"/>
      <c r="AI97" s="278"/>
      <c r="AJ97" s="278"/>
      <c r="AK97" s="278"/>
      <c r="AL97" s="278"/>
      <c r="AM97" s="278"/>
      <c r="AN97" s="278"/>
      <c r="AO97" s="278"/>
      <c r="AP97" s="278"/>
      <c r="AQ97" s="278"/>
      <c r="AR97" s="278"/>
      <c r="AS97" s="278"/>
      <c r="AT97" s="278"/>
      <c r="AU97" s="278"/>
      <c r="AV97" s="278"/>
      <c r="AW97" s="278"/>
      <c r="AX97" s="278"/>
      <c r="AY97" s="278"/>
      <c r="AZ97" s="278"/>
      <c r="BA97" s="278"/>
      <c r="BB97" s="278"/>
      <c r="BC97" s="278"/>
      <c r="BD97" s="278"/>
      <c r="BE97" s="278"/>
      <c r="BF97" s="278"/>
      <c r="BG97" s="278"/>
      <c r="BH97" s="89"/>
    </row>
    <row r="98">
      <c r="A98" s="274"/>
      <c r="B98" s="278"/>
      <c r="C98" s="278"/>
      <c r="D98" s="278"/>
      <c r="E98" s="278"/>
      <c r="F98" s="278"/>
      <c r="G98" s="278"/>
      <c r="H98" s="278"/>
      <c r="I98" s="278"/>
      <c r="J98" s="278"/>
      <c r="K98" s="278"/>
      <c r="L98" s="278"/>
      <c r="M98" s="278"/>
      <c r="N98" s="278"/>
      <c r="O98" s="278"/>
      <c r="P98" s="278"/>
      <c r="Q98" s="278"/>
      <c r="R98" s="278"/>
      <c r="S98" s="278"/>
      <c r="T98" s="278"/>
      <c r="U98" s="278"/>
      <c r="V98" s="278"/>
      <c r="W98" s="278"/>
      <c r="X98" s="278"/>
      <c r="Y98" s="278"/>
      <c r="Z98" s="278"/>
      <c r="AA98" s="278"/>
      <c r="AB98" s="278"/>
      <c r="AC98" s="278"/>
      <c r="AD98" s="278"/>
      <c r="AE98" s="278"/>
      <c r="AF98" s="278"/>
      <c r="AG98" s="278"/>
      <c r="AH98" s="278"/>
      <c r="AI98" s="278"/>
      <c r="AJ98" s="278"/>
      <c r="AK98" s="278"/>
      <c r="AL98" s="278"/>
      <c r="AM98" s="278"/>
      <c r="AN98" s="278"/>
      <c r="AO98" s="278"/>
      <c r="AP98" s="278"/>
      <c r="AQ98" s="278"/>
      <c r="AR98" s="278"/>
      <c r="AS98" s="278"/>
      <c r="AT98" s="278"/>
      <c r="AU98" s="278"/>
      <c r="AV98" s="278"/>
      <c r="AW98" s="278"/>
      <c r="AX98" s="278"/>
      <c r="AY98" s="278"/>
      <c r="AZ98" s="278"/>
      <c r="BA98" s="278"/>
      <c r="BB98" s="278"/>
      <c r="BC98" s="278"/>
      <c r="BD98" s="278"/>
      <c r="BE98" s="278"/>
      <c r="BF98" s="278"/>
      <c r="BG98" s="278"/>
      <c r="BH98" s="89"/>
    </row>
    <row r="99">
      <c r="A99" s="274"/>
      <c r="B99" s="278"/>
      <c r="C99" s="278"/>
      <c r="D99" s="278"/>
      <c r="E99" s="278"/>
      <c r="F99" s="278"/>
      <c r="G99" s="278"/>
      <c r="H99" s="278"/>
      <c r="I99" s="278"/>
      <c r="J99" s="278"/>
      <c r="K99" s="278"/>
      <c r="L99" s="278"/>
      <c r="M99" s="278"/>
      <c r="N99" s="278"/>
      <c r="O99" s="278"/>
      <c r="P99" s="278"/>
      <c r="Q99" s="278"/>
      <c r="R99" s="278"/>
      <c r="S99" s="278"/>
      <c r="T99" s="278"/>
      <c r="U99" s="278"/>
      <c r="V99" s="278"/>
      <c r="W99" s="278"/>
      <c r="X99" s="278"/>
      <c r="Y99" s="278"/>
      <c r="Z99" s="278"/>
      <c r="AA99" s="278"/>
      <c r="AB99" s="278"/>
      <c r="AC99" s="278"/>
      <c r="AD99" s="278"/>
      <c r="AE99" s="278"/>
      <c r="AF99" s="278"/>
      <c r="AG99" s="278"/>
      <c r="AH99" s="278"/>
      <c r="AI99" s="278"/>
      <c r="AJ99" s="278"/>
      <c r="AK99" s="278"/>
      <c r="AL99" s="278"/>
      <c r="AM99" s="278"/>
      <c r="AN99" s="278"/>
      <c r="AO99" s="278"/>
      <c r="AP99" s="278"/>
      <c r="AQ99" s="278"/>
      <c r="AR99" s="278"/>
      <c r="AS99" s="278"/>
      <c r="AT99" s="278"/>
      <c r="AU99" s="278"/>
      <c r="AV99" s="278"/>
      <c r="AW99" s="278"/>
      <c r="AX99" s="278"/>
      <c r="AY99" s="278"/>
      <c r="AZ99" s="278"/>
      <c r="BA99" s="278"/>
      <c r="BB99" s="278"/>
      <c r="BC99" s="278"/>
      <c r="BD99" s="278"/>
      <c r="BE99" s="278"/>
      <c r="BF99" s="278"/>
      <c r="BG99" s="278"/>
      <c r="BH99" s="89"/>
    </row>
    <row r="100">
      <c r="A100" s="274"/>
      <c r="B100" s="278"/>
      <c r="C100" s="278"/>
      <c r="D100" s="278"/>
      <c r="E100" s="278"/>
      <c r="F100" s="278"/>
      <c r="G100" s="278"/>
      <c r="H100" s="278"/>
      <c r="I100" s="278"/>
      <c r="J100" s="278"/>
      <c r="K100" s="278"/>
      <c r="L100" s="278"/>
      <c r="M100" s="278"/>
      <c r="N100" s="278"/>
      <c r="O100" s="278"/>
      <c r="P100" s="278"/>
      <c r="Q100" s="278"/>
      <c r="R100" s="278"/>
      <c r="S100" s="278"/>
      <c r="T100" s="278"/>
      <c r="U100" s="278"/>
      <c r="V100" s="278"/>
      <c r="W100" s="278"/>
      <c r="X100" s="278"/>
      <c r="Y100" s="278"/>
      <c r="Z100" s="278"/>
      <c r="AA100" s="278"/>
      <c r="AB100" s="278"/>
      <c r="AC100" s="278"/>
      <c r="AD100" s="278"/>
      <c r="AE100" s="278"/>
      <c r="AF100" s="278"/>
      <c r="AG100" s="278"/>
      <c r="AH100" s="278"/>
      <c r="AI100" s="278"/>
      <c r="AJ100" s="278"/>
      <c r="AK100" s="278"/>
      <c r="AL100" s="278"/>
      <c r="AM100" s="278"/>
      <c r="AN100" s="278"/>
      <c r="AO100" s="278"/>
      <c r="AP100" s="278"/>
      <c r="AQ100" s="278"/>
      <c r="AR100" s="278"/>
      <c r="AS100" s="278"/>
      <c r="AT100" s="278"/>
      <c r="AU100" s="278"/>
      <c r="AV100" s="278"/>
      <c r="AW100" s="278"/>
      <c r="AX100" s="278"/>
      <c r="AY100" s="278"/>
      <c r="AZ100" s="278"/>
      <c r="BA100" s="278"/>
      <c r="BB100" s="278"/>
      <c r="BC100" s="278"/>
      <c r="BD100" s="278"/>
      <c r="BE100" s="278"/>
      <c r="BF100" s="278"/>
      <c r="BG100" s="278"/>
      <c r="BH100" s="89"/>
    </row>
    <row r="101">
      <c r="A101" s="274"/>
      <c r="B101" s="278"/>
      <c r="C101" s="278"/>
      <c r="D101" s="278"/>
      <c r="E101" s="278"/>
      <c r="F101" s="278"/>
      <c r="G101" s="278"/>
      <c r="H101" s="278"/>
      <c r="I101" s="278"/>
      <c r="J101" s="278"/>
      <c r="K101" s="278"/>
      <c r="L101" s="278"/>
      <c r="M101" s="278"/>
      <c r="N101" s="278"/>
      <c r="O101" s="278"/>
      <c r="P101" s="278"/>
      <c r="Q101" s="278"/>
      <c r="R101" s="278"/>
      <c r="S101" s="278"/>
      <c r="T101" s="278"/>
      <c r="U101" s="278"/>
      <c r="V101" s="278"/>
      <c r="W101" s="278"/>
      <c r="X101" s="278"/>
      <c r="Y101" s="278"/>
      <c r="Z101" s="278"/>
      <c r="AA101" s="278"/>
      <c r="AB101" s="278"/>
      <c r="AC101" s="278"/>
      <c r="AD101" s="278"/>
      <c r="AE101" s="278"/>
      <c r="AF101" s="278"/>
      <c r="AG101" s="278"/>
      <c r="AH101" s="278"/>
      <c r="AI101" s="278"/>
      <c r="AJ101" s="278"/>
      <c r="AK101" s="278"/>
      <c r="AL101" s="278"/>
      <c r="AM101" s="278"/>
      <c r="AN101" s="278"/>
      <c r="AO101" s="278"/>
      <c r="AP101" s="278"/>
      <c r="AQ101" s="278"/>
      <c r="AR101" s="278"/>
      <c r="AS101" s="278"/>
      <c r="AT101" s="278"/>
      <c r="AU101" s="278"/>
      <c r="AV101" s="278"/>
      <c r="AW101" s="278"/>
      <c r="AX101" s="278"/>
      <c r="AY101" s="278"/>
      <c r="AZ101" s="278"/>
      <c r="BA101" s="278"/>
      <c r="BB101" s="278"/>
      <c r="BC101" s="278"/>
      <c r="BD101" s="278"/>
      <c r="BE101" s="278"/>
      <c r="BF101" s="278"/>
      <c r="BG101" s="278"/>
      <c r="BH101" s="89"/>
    </row>
    <row r="102">
      <c r="A102" s="274"/>
      <c r="B102" s="278"/>
      <c r="C102" s="278"/>
      <c r="D102" s="278"/>
      <c r="E102" s="278"/>
      <c r="F102" s="278"/>
      <c r="G102" s="278"/>
      <c r="H102" s="278"/>
      <c r="I102" s="278"/>
      <c r="J102" s="278"/>
      <c r="K102" s="278"/>
      <c r="L102" s="278"/>
      <c r="M102" s="278"/>
      <c r="N102" s="278"/>
      <c r="O102" s="278"/>
      <c r="P102" s="278"/>
      <c r="Q102" s="278"/>
      <c r="R102" s="278"/>
      <c r="S102" s="278"/>
      <c r="T102" s="278"/>
      <c r="U102" s="278"/>
      <c r="V102" s="278"/>
      <c r="W102" s="278"/>
      <c r="X102" s="278"/>
      <c r="Y102" s="278"/>
      <c r="Z102" s="278"/>
      <c r="AA102" s="278"/>
      <c r="AB102" s="278"/>
      <c r="AC102" s="278"/>
      <c r="AD102" s="278"/>
      <c r="AE102" s="278"/>
      <c r="AF102" s="278"/>
      <c r="AG102" s="278"/>
      <c r="AH102" s="278"/>
      <c r="AI102" s="278"/>
      <c r="AJ102" s="278"/>
      <c r="AK102" s="278"/>
      <c r="AL102" s="278"/>
      <c r="AM102" s="278"/>
      <c r="AN102" s="278"/>
      <c r="AO102" s="278"/>
      <c r="AP102" s="278"/>
      <c r="AQ102" s="278"/>
      <c r="AR102" s="278"/>
      <c r="AS102" s="278"/>
      <c r="AT102" s="278"/>
      <c r="AU102" s="278"/>
      <c r="AV102" s="278"/>
      <c r="AW102" s="278"/>
      <c r="AX102" s="278"/>
      <c r="AY102" s="278"/>
      <c r="AZ102" s="278"/>
      <c r="BA102" s="278"/>
      <c r="BB102" s="278"/>
      <c r="BC102" s="278"/>
      <c r="BD102" s="278"/>
      <c r="BE102" s="278"/>
      <c r="BF102" s="278"/>
      <c r="BG102" s="278"/>
      <c r="BH102" s="89"/>
    </row>
    <row r="103">
      <c r="A103" s="274"/>
      <c r="B103" s="278"/>
      <c r="C103" s="278"/>
      <c r="D103" s="278"/>
      <c r="E103" s="278"/>
      <c r="F103" s="278"/>
      <c r="G103" s="278"/>
      <c r="H103" s="278"/>
      <c r="I103" s="278"/>
      <c r="J103" s="278"/>
      <c r="K103" s="278"/>
      <c r="L103" s="278"/>
      <c r="M103" s="278"/>
      <c r="N103" s="278"/>
      <c r="O103" s="278"/>
      <c r="P103" s="278"/>
      <c r="Q103" s="278"/>
      <c r="R103" s="278"/>
      <c r="S103" s="278"/>
      <c r="T103" s="278"/>
      <c r="U103" s="278"/>
      <c r="V103" s="278"/>
      <c r="W103" s="278"/>
      <c r="X103" s="278"/>
      <c r="Y103" s="278"/>
      <c r="Z103" s="278"/>
      <c r="AA103" s="278"/>
      <c r="AB103" s="278"/>
      <c r="AC103" s="278"/>
      <c r="AD103" s="278"/>
      <c r="AE103" s="278"/>
      <c r="AF103" s="278"/>
      <c r="AG103" s="278"/>
      <c r="AH103" s="278"/>
      <c r="AI103" s="278"/>
      <c r="AJ103" s="278"/>
      <c r="AK103" s="278"/>
      <c r="AL103" s="278"/>
      <c r="AM103" s="278"/>
      <c r="AN103" s="278"/>
      <c r="AO103" s="278"/>
      <c r="AP103" s="278"/>
      <c r="AQ103" s="278"/>
      <c r="AR103" s="278"/>
      <c r="AS103" s="278"/>
      <c r="AT103" s="278"/>
      <c r="AU103" s="278"/>
      <c r="AV103" s="278"/>
      <c r="AW103" s="278"/>
      <c r="AX103" s="278"/>
      <c r="AY103" s="278"/>
      <c r="AZ103" s="278"/>
      <c r="BA103" s="278"/>
      <c r="BB103" s="278"/>
      <c r="BC103" s="278"/>
      <c r="BD103" s="278"/>
      <c r="BE103" s="278"/>
      <c r="BF103" s="278"/>
      <c r="BG103" s="278"/>
      <c r="BH103" s="89"/>
    </row>
    <row r="104">
      <c r="A104" s="274"/>
      <c r="B104" s="278"/>
      <c r="C104" s="278"/>
      <c r="D104" s="278"/>
      <c r="E104" s="278"/>
      <c r="F104" s="278"/>
      <c r="G104" s="278"/>
      <c r="H104" s="278"/>
      <c r="I104" s="278"/>
      <c r="J104" s="278"/>
      <c r="K104" s="278"/>
      <c r="L104" s="278"/>
      <c r="M104" s="278"/>
      <c r="N104" s="278"/>
      <c r="O104" s="278"/>
      <c r="P104" s="278"/>
      <c r="Q104" s="278"/>
      <c r="R104" s="278"/>
      <c r="S104" s="278"/>
      <c r="T104" s="278"/>
      <c r="U104" s="278"/>
      <c r="V104" s="278"/>
      <c r="W104" s="278"/>
      <c r="X104" s="278"/>
      <c r="Y104" s="278"/>
      <c r="Z104" s="278"/>
      <c r="AA104" s="278"/>
      <c r="AB104" s="278"/>
      <c r="AC104" s="278"/>
      <c r="AD104" s="278"/>
      <c r="AE104" s="278"/>
      <c r="AF104" s="278"/>
      <c r="AG104" s="278"/>
      <c r="AH104" s="278"/>
      <c r="AI104" s="278"/>
      <c r="AJ104" s="278"/>
      <c r="AK104" s="278"/>
      <c r="AL104" s="278"/>
      <c r="AM104" s="278"/>
      <c r="AN104" s="278"/>
      <c r="AO104" s="278"/>
      <c r="AP104" s="278"/>
      <c r="AQ104" s="278"/>
      <c r="AR104" s="278"/>
      <c r="AS104" s="278"/>
      <c r="AT104" s="278"/>
      <c r="AU104" s="278"/>
      <c r="AV104" s="278"/>
      <c r="AW104" s="278"/>
      <c r="AX104" s="278"/>
      <c r="AY104" s="278"/>
      <c r="AZ104" s="278"/>
      <c r="BA104" s="278"/>
      <c r="BB104" s="278"/>
      <c r="BC104" s="278"/>
      <c r="BD104" s="278"/>
      <c r="BE104" s="278"/>
      <c r="BF104" s="278"/>
      <c r="BG104" s="278"/>
      <c r="BH104" s="89"/>
    </row>
    <row r="105">
      <c r="A105" s="274"/>
      <c r="B105" s="278"/>
      <c r="C105" s="278"/>
      <c r="D105" s="278"/>
      <c r="E105" s="278"/>
      <c r="F105" s="278"/>
      <c r="G105" s="278"/>
      <c r="H105" s="278"/>
      <c r="I105" s="278"/>
      <c r="J105" s="278"/>
      <c r="K105" s="278"/>
      <c r="L105" s="278"/>
      <c r="M105" s="278"/>
      <c r="N105" s="278"/>
      <c r="O105" s="278"/>
      <c r="P105" s="278"/>
      <c r="Q105" s="278"/>
      <c r="R105" s="278"/>
      <c r="S105" s="278"/>
      <c r="T105" s="278"/>
      <c r="U105" s="278"/>
      <c r="V105" s="278"/>
      <c r="W105" s="278"/>
      <c r="X105" s="278"/>
      <c r="Y105" s="278"/>
      <c r="Z105" s="278"/>
      <c r="AA105" s="278"/>
      <c r="AB105" s="278"/>
      <c r="AC105" s="278"/>
      <c r="AD105" s="278"/>
      <c r="AE105" s="278"/>
      <c r="AF105" s="278"/>
      <c r="AG105" s="278"/>
      <c r="AH105" s="278"/>
      <c r="AI105" s="278"/>
      <c r="AJ105" s="278"/>
      <c r="AK105" s="278"/>
      <c r="AL105" s="278"/>
      <c r="AM105" s="278"/>
      <c r="AN105" s="278"/>
      <c r="AO105" s="278"/>
      <c r="AP105" s="278"/>
      <c r="AQ105" s="278"/>
      <c r="AR105" s="278"/>
      <c r="AS105" s="278"/>
      <c r="AT105" s="278"/>
      <c r="AU105" s="278"/>
      <c r="AV105" s="278"/>
      <c r="AW105" s="278"/>
      <c r="AX105" s="278"/>
      <c r="AY105" s="278"/>
      <c r="AZ105" s="278"/>
      <c r="BA105" s="278"/>
      <c r="BB105" s="278"/>
      <c r="BC105" s="278"/>
      <c r="BD105" s="278"/>
      <c r="BE105" s="278"/>
      <c r="BF105" s="278"/>
      <c r="BG105" s="278"/>
      <c r="BH105" s="89"/>
    </row>
    <row r="106">
      <c r="A106" s="274"/>
      <c r="B106" s="278"/>
      <c r="C106" s="278"/>
      <c r="D106" s="278"/>
      <c r="E106" s="278"/>
      <c r="F106" s="278"/>
      <c r="G106" s="278"/>
      <c r="H106" s="278"/>
      <c r="I106" s="278"/>
      <c r="J106" s="278"/>
      <c r="K106" s="278"/>
      <c r="L106" s="278"/>
      <c r="M106" s="278"/>
      <c r="N106" s="278"/>
      <c r="O106" s="278"/>
      <c r="P106" s="278"/>
      <c r="Q106" s="278"/>
      <c r="R106" s="278"/>
      <c r="S106" s="278"/>
      <c r="T106" s="278"/>
      <c r="U106" s="278"/>
      <c r="V106" s="278"/>
      <c r="W106" s="278"/>
      <c r="X106" s="278"/>
      <c r="Y106" s="278"/>
      <c r="Z106" s="278"/>
      <c r="AA106" s="278"/>
      <c r="AB106" s="278"/>
      <c r="AC106" s="278"/>
      <c r="AD106" s="278"/>
      <c r="AE106" s="278"/>
      <c r="AF106" s="278"/>
      <c r="AG106" s="278"/>
      <c r="AH106" s="278"/>
      <c r="AI106" s="278"/>
      <c r="AJ106" s="278"/>
      <c r="AK106" s="278"/>
      <c r="AL106" s="278"/>
      <c r="AM106" s="278"/>
      <c r="AN106" s="278"/>
      <c r="AO106" s="278"/>
      <c r="AP106" s="278"/>
      <c r="AQ106" s="278"/>
      <c r="AR106" s="278"/>
      <c r="AS106" s="278"/>
      <c r="AT106" s="278"/>
      <c r="AU106" s="278"/>
      <c r="AV106" s="278"/>
      <c r="AW106" s="278"/>
      <c r="AX106" s="278"/>
      <c r="AY106" s="278"/>
      <c r="AZ106" s="278"/>
      <c r="BA106" s="278"/>
      <c r="BB106" s="278"/>
      <c r="BC106" s="278"/>
      <c r="BD106" s="278"/>
      <c r="BE106" s="278"/>
      <c r="BF106" s="278"/>
      <c r="BG106" s="278"/>
      <c r="BH106" s="89"/>
    </row>
    <row r="107">
      <c r="A107" s="274"/>
      <c r="B107" s="278"/>
      <c r="C107" s="278"/>
      <c r="D107" s="278"/>
      <c r="E107" s="278"/>
      <c r="F107" s="278"/>
      <c r="G107" s="278"/>
      <c r="H107" s="278"/>
      <c r="I107" s="278"/>
      <c r="J107" s="278"/>
      <c r="K107" s="278"/>
      <c r="L107" s="278"/>
      <c r="M107" s="278"/>
      <c r="N107" s="278"/>
      <c r="O107" s="278"/>
      <c r="P107" s="278"/>
      <c r="Q107" s="278"/>
      <c r="R107" s="278"/>
      <c r="S107" s="278"/>
      <c r="T107" s="278"/>
      <c r="U107" s="278"/>
      <c r="V107" s="278"/>
      <c r="W107" s="278"/>
      <c r="X107" s="278"/>
      <c r="Y107" s="278"/>
      <c r="Z107" s="278"/>
      <c r="AA107" s="278"/>
      <c r="AB107" s="278"/>
      <c r="AC107" s="278"/>
      <c r="AD107" s="278"/>
      <c r="AE107" s="278"/>
      <c r="AF107" s="278"/>
      <c r="AG107" s="278"/>
      <c r="AH107" s="278"/>
      <c r="AI107" s="278"/>
      <c r="AJ107" s="278"/>
      <c r="AK107" s="278"/>
      <c r="AL107" s="278"/>
      <c r="AM107" s="278"/>
      <c r="AN107" s="278"/>
      <c r="AO107" s="278"/>
      <c r="AP107" s="278"/>
      <c r="AQ107" s="278"/>
      <c r="AR107" s="278"/>
      <c r="AS107" s="278"/>
      <c r="AT107" s="278"/>
      <c r="AU107" s="278"/>
      <c r="AV107" s="278"/>
      <c r="AW107" s="278"/>
      <c r="AX107" s="278"/>
      <c r="AY107" s="278"/>
      <c r="AZ107" s="278"/>
      <c r="BA107" s="278"/>
      <c r="BB107" s="278"/>
      <c r="BC107" s="278"/>
      <c r="BD107" s="278"/>
      <c r="BE107" s="278"/>
      <c r="BF107" s="278"/>
      <c r="BG107" s="278"/>
      <c r="BH107" s="89"/>
    </row>
    <row r="108">
      <c r="A108" s="274"/>
      <c r="B108" s="278"/>
      <c r="C108" s="278"/>
      <c r="D108" s="278"/>
      <c r="E108" s="278"/>
      <c r="F108" s="278"/>
      <c r="G108" s="278"/>
      <c r="H108" s="278"/>
      <c r="I108" s="278"/>
      <c r="J108" s="278"/>
      <c r="K108" s="278"/>
      <c r="L108" s="278"/>
      <c r="M108" s="278"/>
      <c r="N108" s="278"/>
      <c r="O108" s="278"/>
      <c r="P108" s="278"/>
      <c r="Q108" s="278"/>
      <c r="R108" s="278"/>
      <c r="S108" s="278"/>
      <c r="T108" s="278"/>
      <c r="U108" s="278"/>
      <c r="V108" s="278"/>
      <c r="W108" s="278"/>
      <c r="X108" s="278"/>
      <c r="Y108" s="278"/>
      <c r="Z108" s="278"/>
      <c r="AA108" s="278"/>
      <c r="AB108" s="278"/>
      <c r="AC108" s="278"/>
      <c r="AD108" s="278"/>
      <c r="AE108" s="278"/>
      <c r="AF108" s="278"/>
      <c r="AG108" s="278"/>
      <c r="AH108" s="278"/>
      <c r="AI108" s="278"/>
      <c r="AJ108" s="278"/>
      <c r="AK108" s="278"/>
      <c r="AL108" s="278"/>
      <c r="AM108" s="278"/>
      <c r="AN108" s="278"/>
      <c r="AO108" s="278"/>
      <c r="AP108" s="278"/>
      <c r="AQ108" s="278"/>
      <c r="AR108" s="278"/>
      <c r="AS108" s="278"/>
      <c r="AT108" s="278"/>
      <c r="AU108" s="278"/>
      <c r="AV108" s="278"/>
      <c r="AW108" s="278"/>
      <c r="AX108" s="278"/>
      <c r="AY108" s="278"/>
      <c r="AZ108" s="278"/>
      <c r="BA108" s="278"/>
      <c r="BB108" s="278"/>
      <c r="BC108" s="278"/>
      <c r="BD108" s="278"/>
      <c r="BE108" s="278"/>
      <c r="BF108" s="278"/>
      <c r="BG108" s="278"/>
      <c r="BH108" s="89"/>
    </row>
    <row r="109">
      <c r="A109" s="274"/>
      <c r="B109" s="278"/>
      <c r="C109" s="278"/>
      <c r="D109" s="278"/>
      <c r="E109" s="278"/>
      <c r="F109" s="278"/>
      <c r="G109" s="278"/>
      <c r="H109" s="278"/>
      <c r="I109" s="278"/>
      <c r="J109" s="278"/>
      <c r="K109" s="278"/>
      <c r="L109" s="278"/>
      <c r="M109" s="278"/>
      <c r="N109" s="278"/>
      <c r="O109" s="278"/>
      <c r="P109" s="278"/>
      <c r="Q109" s="278"/>
      <c r="R109" s="278"/>
      <c r="S109" s="278"/>
      <c r="T109" s="278"/>
      <c r="U109" s="278"/>
      <c r="V109" s="278"/>
      <c r="W109" s="278"/>
      <c r="X109" s="278"/>
      <c r="Y109" s="278"/>
      <c r="Z109" s="278"/>
      <c r="AA109" s="278"/>
      <c r="AB109" s="278"/>
      <c r="AC109" s="278"/>
      <c r="AD109" s="278"/>
      <c r="AE109" s="278"/>
      <c r="AF109" s="278"/>
      <c r="AG109" s="278"/>
      <c r="AH109" s="278"/>
      <c r="AI109" s="278"/>
      <c r="AJ109" s="278"/>
      <c r="AK109" s="278"/>
      <c r="AL109" s="278"/>
      <c r="AM109" s="278"/>
      <c r="AN109" s="278"/>
      <c r="AO109" s="278"/>
      <c r="AP109" s="278"/>
      <c r="AQ109" s="278"/>
      <c r="AR109" s="278"/>
      <c r="AS109" s="278"/>
      <c r="AT109" s="278"/>
      <c r="AU109" s="278"/>
      <c r="AV109" s="278"/>
      <c r="AW109" s="278"/>
      <c r="AX109" s="278"/>
      <c r="AY109" s="278"/>
      <c r="AZ109" s="278"/>
      <c r="BA109" s="278"/>
      <c r="BB109" s="278"/>
      <c r="BC109" s="278"/>
      <c r="BD109" s="278"/>
      <c r="BE109" s="278"/>
      <c r="BF109" s="278"/>
      <c r="BG109" s="278"/>
      <c r="BH109" s="89"/>
    </row>
    <row r="110">
      <c r="A110" s="274"/>
      <c r="B110" s="278"/>
      <c r="C110" s="278"/>
      <c r="D110" s="278"/>
      <c r="E110" s="278"/>
      <c r="F110" s="278"/>
      <c r="G110" s="278"/>
      <c r="H110" s="278"/>
      <c r="I110" s="278"/>
      <c r="J110" s="278"/>
      <c r="K110" s="278"/>
      <c r="L110" s="278"/>
      <c r="M110" s="278"/>
      <c r="N110" s="278"/>
      <c r="O110" s="278"/>
      <c r="P110" s="278"/>
      <c r="Q110" s="278"/>
      <c r="R110" s="278"/>
      <c r="S110" s="278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278"/>
      <c r="AQ110" s="278"/>
      <c r="AR110" s="278"/>
      <c r="AS110" s="278"/>
      <c r="AT110" s="278"/>
      <c r="AU110" s="278"/>
      <c r="AV110" s="278"/>
      <c r="AW110" s="278"/>
      <c r="AX110" s="278"/>
      <c r="AY110" s="278"/>
      <c r="AZ110" s="278"/>
      <c r="BA110" s="278"/>
      <c r="BB110" s="278"/>
      <c r="BC110" s="278"/>
      <c r="BD110" s="278"/>
      <c r="BE110" s="278"/>
      <c r="BF110" s="278"/>
      <c r="BG110" s="278"/>
      <c r="BH110" s="89"/>
    </row>
    <row r="111">
      <c r="A111" s="274"/>
      <c r="B111" s="278"/>
      <c r="C111" s="278"/>
      <c r="D111" s="278"/>
      <c r="E111" s="278"/>
      <c r="F111" s="278"/>
      <c r="G111" s="278"/>
      <c r="H111" s="278"/>
      <c r="I111" s="278"/>
      <c r="J111" s="278"/>
      <c r="K111" s="278"/>
      <c r="L111" s="278"/>
      <c r="M111" s="278"/>
      <c r="N111" s="278"/>
      <c r="O111" s="278"/>
      <c r="P111" s="278"/>
      <c r="Q111" s="278"/>
      <c r="R111" s="278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278"/>
      <c r="AQ111" s="278"/>
      <c r="AR111" s="278"/>
      <c r="AS111" s="278"/>
      <c r="AT111" s="278"/>
      <c r="AU111" s="278"/>
      <c r="AV111" s="278"/>
      <c r="AW111" s="278"/>
      <c r="AX111" s="278"/>
      <c r="AY111" s="278"/>
      <c r="AZ111" s="278"/>
      <c r="BA111" s="278"/>
      <c r="BB111" s="278"/>
      <c r="BC111" s="278"/>
      <c r="BD111" s="278"/>
      <c r="BE111" s="278"/>
      <c r="BF111" s="278"/>
      <c r="BG111" s="278"/>
      <c r="BH111" s="89"/>
    </row>
    <row r="112">
      <c r="A112" s="274"/>
      <c r="B112" s="278"/>
      <c r="C112" s="278"/>
      <c r="D112" s="278"/>
      <c r="E112" s="278"/>
      <c r="F112" s="278"/>
      <c r="G112" s="278"/>
      <c r="H112" s="278"/>
      <c r="I112" s="278"/>
      <c r="J112" s="278"/>
      <c r="K112" s="278"/>
      <c r="L112" s="278"/>
      <c r="M112" s="278"/>
      <c r="N112" s="278"/>
      <c r="O112" s="278"/>
      <c r="P112" s="278"/>
      <c r="Q112" s="278"/>
      <c r="R112" s="278"/>
      <c r="S112" s="278"/>
      <c r="T112" s="278"/>
      <c r="U112" s="278"/>
      <c r="V112" s="278"/>
      <c r="W112" s="278"/>
      <c r="X112" s="278"/>
      <c r="Y112" s="278"/>
      <c r="Z112" s="278"/>
      <c r="AA112" s="278"/>
      <c r="AB112" s="278"/>
      <c r="AC112" s="278"/>
      <c r="AD112" s="278"/>
      <c r="AE112" s="278"/>
      <c r="AF112" s="278"/>
      <c r="AG112" s="278"/>
      <c r="AH112" s="278"/>
      <c r="AI112" s="278"/>
      <c r="AJ112" s="278"/>
      <c r="AK112" s="278"/>
      <c r="AL112" s="278"/>
      <c r="AM112" s="278"/>
      <c r="AN112" s="278"/>
      <c r="AO112" s="278"/>
      <c r="AP112" s="278"/>
      <c r="AQ112" s="278"/>
      <c r="AR112" s="278"/>
      <c r="AS112" s="278"/>
      <c r="AT112" s="278"/>
      <c r="AU112" s="278"/>
      <c r="AV112" s="278"/>
      <c r="AW112" s="278"/>
      <c r="AX112" s="278"/>
      <c r="AY112" s="278"/>
      <c r="AZ112" s="278"/>
      <c r="BA112" s="278"/>
      <c r="BB112" s="278"/>
      <c r="BC112" s="278"/>
      <c r="BD112" s="278"/>
      <c r="BE112" s="278"/>
      <c r="BF112" s="278"/>
      <c r="BG112" s="278"/>
      <c r="BH112" s="89"/>
    </row>
    <row r="113">
      <c r="A113" s="274"/>
      <c r="B113" s="278"/>
      <c r="C113" s="278"/>
      <c r="D113" s="278"/>
      <c r="E113" s="278"/>
      <c r="F113" s="278"/>
      <c r="G113" s="278"/>
      <c r="H113" s="278"/>
      <c r="I113" s="278"/>
      <c r="J113" s="278"/>
      <c r="K113" s="278"/>
      <c r="L113" s="278"/>
      <c r="M113" s="278"/>
      <c r="N113" s="278"/>
      <c r="O113" s="278"/>
      <c r="P113" s="278"/>
      <c r="Q113" s="278"/>
      <c r="R113" s="278"/>
      <c r="S113" s="278"/>
      <c r="T113" s="278"/>
      <c r="U113" s="278"/>
      <c r="V113" s="278"/>
      <c r="W113" s="278"/>
      <c r="X113" s="278"/>
      <c r="Y113" s="278"/>
      <c r="Z113" s="278"/>
      <c r="AA113" s="278"/>
      <c r="AB113" s="278"/>
      <c r="AC113" s="278"/>
      <c r="AD113" s="278"/>
      <c r="AE113" s="278"/>
      <c r="AF113" s="278"/>
      <c r="AG113" s="278"/>
      <c r="AH113" s="278"/>
      <c r="AI113" s="278"/>
      <c r="AJ113" s="278"/>
      <c r="AK113" s="278"/>
      <c r="AL113" s="278"/>
      <c r="AM113" s="278"/>
      <c r="AN113" s="278"/>
      <c r="AO113" s="278"/>
      <c r="AP113" s="278"/>
      <c r="AQ113" s="278"/>
      <c r="AR113" s="278"/>
      <c r="AS113" s="278"/>
      <c r="AT113" s="278"/>
      <c r="AU113" s="278"/>
      <c r="AV113" s="278"/>
      <c r="AW113" s="278"/>
      <c r="AX113" s="278"/>
      <c r="AY113" s="278"/>
      <c r="AZ113" s="278"/>
      <c r="BA113" s="278"/>
      <c r="BB113" s="278"/>
      <c r="BC113" s="278"/>
      <c r="BD113" s="278"/>
      <c r="BE113" s="278"/>
      <c r="BF113" s="278"/>
      <c r="BG113" s="278"/>
      <c r="BH113" s="89"/>
    </row>
    <row r="114">
      <c r="A114" s="274"/>
      <c r="B114" s="278"/>
      <c r="C114" s="278"/>
      <c r="D114" s="278"/>
      <c r="E114" s="278"/>
      <c r="F114" s="278"/>
      <c r="G114" s="278"/>
      <c r="H114" s="278"/>
      <c r="I114" s="278"/>
      <c r="J114" s="278"/>
      <c r="K114" s="278"/>
      <c r="L114" s="278"/>
      <c r="M114" s="278"/>
      <c r="N114" s="278"/>
      <c r="O114" s="278"/>
      <c r="P114" s="278"/>
      <c r="Q114" s="278"/>
      <c r="R114" s="278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278"/>
      <c r="AQ114" s="278"/>
      <c r="AR114" s="278"/>
      <c r="AS114" s="278"/>
      <c r="AT114" s="278"/>
      <c r="AU114" s="278"/>
      <c r="AV114" s="278"/>
      <c r="AW114" s="278"/>
      <c r="AX114" s="278"/>
      <c r="AY114" s="278"/>
      <c r="AZ114" s="278"/>
      <c r="BA114" s="278"/>
      <c r="BB114" s="278"/>
      <c r="BC114" s="278"/>
      <c r="BD114" s="278"/>
      <c r="BE114" s="278"/>
      <c r="BF114" s="278"/>
      <c r="BG114" s="278"/>
      <c r="BH114" s="89"/>
    </row>
    <row r="115">
      <c r="A115" s="274"/>
      <c r="B115" s="278"/>
      <c r="C115" s="278"/>
      <c r="D115" s="278"/>
      <c r="E115" s="278"/>
      <c r="F115" s="278"/>
      <c r="G115" s="278"/>
      <c r="H115" s="278"/>
      <c r="I115" s="278"/>
      <c r="J115" s="278"/>
      <c r="K115" s="278"/>
      <c r="L115" s="278"/>
      <c r="M115" s="278"/>
      <c r="N115" s="278"/>
      <c r="O115" s="278"/>
      <c r="P115" s="278"/>
      <c r="Q115" s="278"/>
      <c r="R115" s="278"/>
      <c r="S115" s="278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278"/>
      <c r="AQ115" s="278"/>
      <c r="AR115" s="278"/>
      <c r="AS115" s="278"/>
      <c r="AT115" s="278"/>
      <c r="AU115" s="278"/>
      <c r="AV115" s="278"/>
      <c r="AW115" s="278"/>
      <c r="AX115" s="278"/>
      <c r="AY115" s="278"/>
      <c r="AZ115" s="278"/>
      <c r="BA115" s="278"/>
      <c r="BB115" s="278"/>
      <c r="BC115" s="278"/>
      <c r="BD115" s="278"/>
      <c r="BE115" s="278"/>
      <c r="BF115" s="278"/>
      <c r="BG115" s="278"/>
      <c r="BH115" s="89"/>
    </row>
    <row r="116">
      <c r="A116" s="274"/>
      <c r="B116" s="278"/>
      <c r="C116" s="278"/>
      <c r="D116" s="278"/>
      <c r="E116" s="278"/>
      <c r="F116" s="278"/>
      <c r="G116" s="278"/>
      <c r="H116" s="278"/>
      <c r="I116" s="278"/>
      <c r="J116" s="278"/>
      <c r="K116" s="278"/>
      <c r="L116" s="278"/>
      <c r="M116" s="278"/>
      <c r="N116" s="278"/>
      <c r="O116" s="278"/>
      <c r="P116" s="278"/>
      <c r="Q116" s="278"/>
      <c r="R116" s="278"/>
      <c r="S116" s="278"/>
      <c r="T116" s="278"/>
      <c r="U116" s="278"/>
      <c r="V116" s="278"/>
      <c r="W116" s="278"/>
      <c r="X116" s="278"/>
      <c r="Y116" s="278"/>
      <c r="Z116" s="278"/>
      <c r="AA116" s="278"/>
      <c r="AB116" s="278"/>
      <c r="AC116" s="278"/>
      <c r="AD116" s="278"/>
      <c r="AE116" s="278"/>
      <c r="AF116" s="278"/>
      <c r="AG116" s="278"/>
      <c r="AH116" s="278"/>
      <c r="AI116" s="278"/>
      <c r="AJ116" s="278"/>
      <c r="AK116" s="278"/>
      <c r="AL116" s="278"/>
      <c r="AM116" s="278"/>
      <c r="AN116" s="278"/>
      <c r="AO116" s="278"/>
      <c r="AP116" s="278"/>
      <c r="AQ116" s="278"/>
      <c r="AR116" s="278"/>
      <c r="AS116" s="278"/>
      <c r="AT116" s="278"/>
      <c r="AU116" s="278"/>
      <c r="AV116" s="278"/>
      <c r="AW116" s="278"/>
      <c r="AX116" s="278"/>
      <c r="AY116" s="278"/>
      <c r="AZ116" s="278"/>
      <c r="BA116" s="278"/>
      <c r="BB116" s="278"/>
      <c r="BC116" s="278"/>
      <c r="BD116" s="278"/>
      <c r="BE116" s="278"/>
      <c r="BF116" s="278"/>
      <c r="BG116" s="278"/>
      <c r="BH116" s="89"/>
    </row>
    <row r="117">
      <c r="A117" s="274"/>
      <c r="B117" s="278"/>
      <c r="C117" s="278"/>
      <c r="D117" s="278"/>
      <c r="E117" s="278"/>
      <c r="F117" s="278"/>
      <c r="G117" s="278"/>
      <c r="H117" s="278"/>
      <c r="I117" s="278"/>
      <c r="J117" s="278"/>
      <c r="K117" s="278"/>
      <c r="L117" s="278"/>
      <c r="M117" s="278"/>
      <c r="N117" s="278"/>
      <c r="O117" s="278"/>
      <c r="P117" s="278"/>
      <c r="Q117" s="278"/>
      <c r="R117" s="278"/>
      <c r="S117" s="278"/>
      <c r="T117" s="278"/>
      <c r="U117" s="278"/>
      <c r="V117" s="278"/>
      <c r="W117" s="278"/>
      <c r="X117" s="278"/>
      <c r="Y117" s="278"/>
      <c r="Z117" s="278"/>
      <c r="AA117" s="278"/>
      <c r="AB117" s="278"/>
      <c r="AC117" s="278"/>
      <c r="AD117" s="278"/>
      <c r="AE117" s="278"/>
      <c r="AF117" s="278"/>
      <c r="AG117" s="278"/>
      <c r="AH117" s="278"/>
      <c r="AI117" s="278"/>
      <c r="AJ117" s="278"/>
      <c r="AK117" s="278"/>
      <c r="AL117" s="278"/>
      <c r="AM117" s="278"/>
      <c r="AN117" s="278"/>
      <c r="AO117" s="278"/>
      <c r="AP117" s="278"/>
      <c r="AQ117" s="278"/>
      <c r="AR117" s="278"/>
      <c r="AS117" s="278"/>
      <c r="AT117" s="278"/>
      <c r="AU117" s="278"/>
      <c r="AV117" s="278"/>
      <c r="AW117" s="278"/>
      <c r="AX117" s="278"/>
      <c r="AY117" s="278"/>
      <c r="AZ117" s="278"/>
      <c r="BA117" s="278"/>
      <c r="BB117" s="278"/>
      <c r="BC117" s="278"/>
      <c r="BD117" s="278"/>
      <c r="BE117" s="278"/>
      <c r="BF117" s="278"/>
      <c r="BG117" s="278"/>
      <c r="BH117" s="89"/>
    </row>
    <row r="118">
      <c r="A118" s="274"/>
      <c r="B118" s="278"/>
      <c r="C118" s="278"/>
      <c r="D118" s="278"/>
      <c r="E118" s="278"/>
      <c r="F118" s="278"/>
      <c r="G118" s="278"/>
      <c r="H118" s="278"/>
      <c r="I118" s="278"/>
      <c r="J118" s="278"/>
      <c r="K118" s="278"/>
      <c r="L118" s="278"/>
      <c r="M118" s="278"/>
      <c r="N118" s="278"/>
      <c r="O118" s="278"/>
      <c r="P118" s="278"/>
      <c r="Q118" s="278"/>
      <c r="R118" s="278"/>
      <c r="S118" s="278"/>
      <c r="T118" s="278"/>
      <c r="U118" s="278"/>
      <c r="V118" s="278"/>
      <c r="W118" s="278"/>
      <c r="X118" s="278"/>
      <c r="Y118" s="278"/>
      <c r="Z118" s="278"/>
      <c r="AA118" s="278"/>
      <c r="AB118" s="278"/>
      <c r="AC118" s="278"/>
      <c r="AD118" s="278"/>
      <c r="AE118" s="278"/>
      <c r="AF118" s="278"/>
      <c r="AG118" s="278"/>
      <c r="AH118" s="278"/>
      <c r="AI118" s="278"/>
      <c r="AJ118" s="278"/>
      <c r="AK118" s="278"/>
      <c r="AL118" s="278"/>
      <c r="AM118" s="278"/>
      <c r="AN118" s="278"/>
      <c r="AO118" s="278"/>
      <c r="AP118" s="278"/>
      <c r="AQ118" s="278"/>
      <c r="AR118" s="278"/>
      <c r="AS118" s="278"/>
      <c r="AT118" s="278"/>
      <c r="AU118" s="278"/>
      <c r="AV118" s="278"/>
      <c r="AW118" s="278"/>
      <c r="AX118" s="278"/>
      <c r="AY118" s="278"/>
      <c r="AZ118" s="278"/>
      <c r="BA118" s="278"/>
      <c r="BB118" s="278"/>
      <c r="BC118" s="278"/>
      <c r="BD118" s="278"/>
      <c r="BE118" s="278"/>
      <c r="BF118" s="278"/>
      <c r="BG118" s="278"/>
      <c r="BH118" s="89"/>
    </row>
    <row r="119">
      <c r="A119" s="274"/>
      <c r="B119" s="278"/>
      <c r="C119" s="278"/>
      <c r="D119" s="278"/>
      <c r="E119" s="278"/>
      <c r="F119" s="278"/>
      <c r="G119" s="278"/>
      <c r="H119" s="278"/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278"/>
      <c r="V119" s="278"/>
      <c r="W119" s="278"/>
      <c r="X119" s="278"/>
      <c r="Y119" s="278"/>
      <c r="Z119" s="278"/>
      <c r="AA119" s="278"/>
      <c r="AB119" s="278"/>
      <c r="AC119" s="278"/>
      <c r="AD119" s="278"/>
      <c r="AE119" s="278"/>
      <c r="AF119" s="278"/>
      <c r="AG119" s="278"/>
      <c r="AH119" s="278"/>
      <c r="AI119" s="278"/>
      <c r="AJ119" s="278"/>
      <c r="AK119" s="278"/>
      <c r="AL119" s="278"/>
      <c r="AM119" s="278"/>
      <c r="AN119" s="278"/>
      <c r="AO119" s="278"/>
      <c r="AP119" s="278"/>
      <c r="AQ119" s="278"/>
      <c r="AR119" s="278"/>
      <c r="AS119" s="278"/>
      <c r="AT119" s="278"/>
      <c r="AU119" s="278"/>
      <c r="AV119" s="278"/>
      <c r="AW119" s="278"/>
      <c r="AX119" s="278"/>
      <c r="AY119" s="278"/>
      <c r="AZ119" s="278"/>
      <c r="BA119" s="278"/>
      <c r="BB119" s="278"/>
      <c r="BC119" s="278"/>
      <c r="BD119" s="278"/>
      <c r="BE119" s="278"/>
      <c r="BF119" s="278"/>
      <c r="BG119" s="278"/>
      <c r="BH119" s="89"/>
    </row>
    <row r="120">
      <c r="A120" s="274"/>
      <c r="B120" s="278"/>
      <c r="C120" s="278"/>
      <c r="D120" s="278"/>
      <c r="E120" s="278"/>
      <c r="F120" s="278"/>
      <c r="G120" s="278"/>
      <c r="H120" s="278"/>
      <c r="I120" s="278"/>
      <c r="J120" s="278"/>
      <c r="K120" s="278"/>
      <c r="L120" s="278"/>
      <c r="M120" s="278"/>
      <c r="N120" s="278"/>
      <c r="O120" s="278"/>
      <c r="P120" s="278"/>
      <c r="Q120" s="278"/>
      <c r="R120" s="278"/>
      <c r="S120" s="278"/>
      <c r="T120" s="278"/>
      <c r="U120" s="278"/>
      <c r="V120" s="278"/>
      <c r="W120" s="278"/>
      <c r="X120" s="278"/>
      <c r="Y120" s="278"/>
      <c r="Z120" s="278"/>
      <c r="AA120" s="278"/>
      <c r="AB120" s="278"/>
      <c r="AC120" s="278"/>
      <c r="AD120" s="278"/>
      <c r="AE120" s="278"/>
      <c r="AF120" s="278"/>
      <c r="AG120" s="278"/>
      <c r="AH120" s="278"/>
      <c r="AI120" s="278"/>
      <c r="AJ120" s="278"/>
      <c r="AK120" s="278"/>
      <c r="AL120" s="278"/>
      <c r="AM120" s="278"/>
      <c r="AN120" s="278"/>
      <c r="AO120" s="278"/>
      <c r="AP120" s="278"/>
      <c r="AQ120" s="278"/>
      <c r="AR120" s="278"/>
      <c r="AS120" s="278"/>
      <c r="AT120" s="278"/>
      <c r="AU120" s="278"/>
      <c r="AV120" s="278"/>
      <c r="AW120" s="278"/>
      <c r="AX120" s="278"/>
      <c r="AY120" s="278"/>
      <c r="AZ120" s="278"/>
      <c r="BA120" s="278"/>
      <c r="BB120" s="278"/>
      <c r="BC120" s="278"/>
      <c r="BD120" s="278"/>
      <c r="BE120" s="278"/>
      <c r="BF120" s="278"/>
      <c r="BG120" s="278"/>
      <c r="BH120" s="89"/>
    </row>
    <row r="121">
      <c r="A121" s="93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278"/>
      <c r="M121" s="278"/>
      <c r="N121" s="278"/>
      <c r="O121" s="278"/>
      <c r="P121" s="278"/>
      <c r="Q121" s="278"/>
      <c r="R121" s="278"/>
      <c r="S121" s="278"/>
      <c r="T121" s="278"/>
      <c r="U121" s="278"/>
      <c r="V121" s="278"/>
      <c r="W121" s="278"/>
      <c r="X121" s="278"/>
      <c r="Y121" s="278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5"/>
    </row>
    <row r="122">
      <c r="L122" s="290"/>
      <c r="M122" s="278"/>
      <c r="N122" s="278"/>
      <c r="O122" s="278"/>
      <c r="P122" s="278"/>
      <c r="Q122" s="278"/>
      <c r="R122" s="278"/>
      <c r="S122" s="278"/>
      <c r="T122" s="278"/>
      <c r="U122" s="278"/>
      <c r="V122" s="278"/>
      <c r="W122" s="278"/>
      <c r="X122" s="278"/>
      <c r="Y122" s="89"/>
    </row>
    <row r="123">
      <c r="L123" s="290"/>
      <c r="M123" s="278"/>
      <c r="N123" s="278"/>
      <c r="O123" s="278"/>
      <c r="P123" s="278"/>
      <c r="Q123" s="278"/>
      <c r="R123" s="278"/>
      <c r="S123" s="278"/>
      <c r="T123" s="278"/>
      <c r="U123" s="278"/>
      <c r="V123" s="278"/>
      <c r="W123" s="278"/>
      <c r="X123" s="278"/>
      <c r="Y123" s="89"/>
    </row>
    <row r="124">
      <c r="L124" s="290"/>
      <c r="M124" s="278"/>
      <c r="N124" s="278"/>
      <c r="O124" s="278"/>
      <c r="P124" s="278"/>
      <c r="Q124" s="278"/>
      <c r="R124" s="278"/>
      <c r="S124" s="278"/>
      <c r="T124" s="278"/>
      <c r="U124" s="278"/>
      <c r="V124" s="278"/>
      <c r="W124" s="278"/>
      <c r="X124" s="278"/>
      <c r="Y124" s="89"/>
    </row>
    <row r="125">
      <c r="L125" s="290"/>
      <c r="M125" s="278"/>
      <c r="N125" s="278"/>
      <c r="O125" s="278"/>
      <c r="P125" s="278"/>
      <c r="Q125" s="278"/>
      <c r="R125" s="278"/>
      <c r="S125" s="278"/>
      <c r="T125" s="278"/>
      <c r="U125" s="278"/>
      <c r="V125" s="278"/>
      <c r="W125" s="278"/>
      <c r="X125" s="278"/>
      <c r="Y125" s="89"/>
    </row>
    <row r="126">
      <c r="L126" s="290"/>
      <c r="M126" s="278"/>
      <c r="N126" s="278"/>
      <c r="O126" s="278"/>
      <c r="P126" s="278"/>
      <c r="Q126" s="278"/>
      <c r="R126" s="278"/>
      <c r="S126" s="278"/>
      <c r="T126" s="278"/>
      <c r="U126" s="278"/>
      <c r="V126" s="278"/>
      <c r="W126" s="278"/>
      <c r="X126" s="278"/>
      <c r="Y126" s="89"/>
    </row>
    <row r="127">
      <c r="L127" s="290"/>
      <c r="M127" s="278"/>
      <c r="N127" s="278"/>
      <c r="O127" s="278"/>
      <c r="P127" s="278"/>
      <c r="Q127" s="278"/>
      <c r="R127" s="278"/>
      <c r="S127" s="278"/>
      <c r="T127" s="278"/>
      <c r="U127" s="278"/>
      <c r="V127" s="278"/>
      <c r="W127" s="278"/>
      <c r="X127" s="278"/>
      <c r="Y127" s="89"/>
    </row>
    <row r="128">
      <c r="L128" s="290"/>
      <c r="M128" s="278"/>
      <c r="N128" s="278"/>
      <c r="O128" s="278"/>
      <c r="P128" s="278"/>
      <c r="Q128" s="278"/>
      <c r="R128" s="278"/>
      <c r="S128" s="278"/>
      <c r="T128" s="278"/>
      <c r="U128" s="278"/>
      <c r="V128" s="278"/>
      <c r="W128" s="278"/>
      <c r="X128" s="278"/>
      <c r="Y128" s="89"/>
    </row>
    <row r="129">
      <c r="L129" s="290"/>
      <c r="M129" s="278"/>
      <c r="N129" s="278"/>
      <c r="O129" s="278"/>
      <c r="P129" s="278"/>
      <c r="Q129" s="278"/>
      <c r="R129" s="278"/>
      <c r="S129" s="278"/>
      <c r="T129" s="278"/>
      <c r="U129" s="278"/>
      <c r="V129" s="278"/>
      <c r="W129" s="278"/>
      <c r="X129" s="278"/>
      <c r="Y129" s="89"/>
    </row>
    <row r="130">
      <c r="L130" s="290"/>
      <c r="M130" s="278"/>
      <c r="N130" s="278"/>
      <c r="O130" s="278"/>
      <c r="P130" s="278"/>
      <c r="Q130" s="278"/>
      <c r="R130" s="278"/>
      <c r="S130" s="278"/>
      <c r="T130" s="278"/>
      <c r="U130" s="278"/>
      <c r="V130" s="278"/>
      <c r="W130" s="278"/>
      <c r="X130" s="278"/>
      <c r="Y130" s="89"/>
    </row>
    <row r="131">
      <c r="L131" s="290"/>
      <c r="M131" s="278"/>
      <c r="N131" s="278"/>
      <c r="O131" s="278"/>
      <c r="P131" s="278"/>
      <c r="Q131" s="278"/>
      <c r="R131" s="278"/>
      <c r="S131" s="278"/>
      <c r="T131" s="278"/>
      <c r="U131" s="278"/>
      <c r="V131" s="278"/>
      <c r="W131" s="278"/>
      <c r="X131" s="278"/>
      <c r="Y131" s="89"/>
    </row>
    <row r="132">
      <c r="L132" s="290"/>
      <c r="M132" s="278"/>
      <c r="N132" s="278"/>
      <c r="O132" s="278"/>
      <c r="P132" s="278"/>
      <c r="Q132" s="278"/>
      <c r="R132" s="278"/>
      <c r="S132" s="278"/>
      <c r="T132" s="278"/>
      <c r="U132" s="278"/>
      <c r="V132" s="278"/>
      <c r="W132" s="278"/>
      <c r="X132" s="278"/>
      <c r="Y132" s="89"/>
    </row>
    <row r="133">
      <c r="L133" s="290"/>
      <c r="M133" s="278"/>
      <c r="N133" s="278"/>
      <c r="O133" s="278"/>
      <c r="P133" s="278"/>
      <c r="Q133" s="278"/>
      <c r="R133" s="278"/>
      <c r="S133" s="278"/>
      <c r="T133" s="278"/>
      <c r="U133" s="278"/>
      <c r="V133" s="278"/>
      <c r="W133" s="278"/>
      <c r="X133" s="278"/>
      <c r="Y133" s="89"/>
    </row>
    <row r="134">
      <c r="L134" s="290"/>
      <c r="M134" s="278"/>
      <c r="N134" s="278"/>
      <c r="O134" s="278"/>
      <c r="P134" s="278"/>
      <c r="Q134" s="278"/>
      <c r="R134" s="278"/>
      <c r="S134" s="278"/>
      <c r="T134" s="278"/>
      <c r="U134" s="278"/>
      <c r="V134" s="278"/>
      <c r="W134" s="278"/>
      <c r="X134" s="278"/>
      <c r="Y134" s="89"/>
    </row>
    <row r="135">
      <c r="L135" s="290"/>
      <c r="M135" s="278"/>
      <c r="N135" s="278"/>
      <c r="O135" s="278"/>
      <c r="P135" s="278"/>
      <c r="Q135" s="278"/>
      <c r="R135" s="278"/>
      <c r="S135" s="278"/>
      <c r="T135" s="278"/>
      <c r="U135" s="278"/>
      <c r="V135" s="278"/>
      <c r="W135" s="278"/>
      <c r="X135" s="278"/>
      <c r="Y135" s="89"/>
    </row>
    <row r="136">
      <c r="L136" s="290"/>
      <c r="M136" s="278"/>
      <c r="N136" s="278"/>
      <c r="O136" s="278"/>
      <c r="P136" s="278"/>
      <c r="Q136" s="278"/>
      <c r="R136" s="278"/>
      <c r="S136" s="278"/>
      <c r="T136" s="278"/>
      <c r="U136" s="278"/>
      <c r="V136" s="278"/>
      <c r="W136" s="278"/>
      <c r="X136" s="278"/>
      <c r="Y136" s="89"/>
    </row>
    <row r="137">
      <c r="L137" s="290"/>
      <c r="M137" s="278"/>
      <c r="N137" s="278"/>
      <c r="O137" s="278"/>
      <c r="P137" s="278"/>
      <c r="Q137" s="278"/>
      <c r="R137" s="278"/>
      <c r="S137" s="278"/>
      <c r="T137" s="278"/>
      <c r="U137" s="278"/>
      <c r="V137" s="278"/>
      <c r="W137" s="278"/>
      <c r="X137" s="278"/>
      <c r="Y137" s="89"/>
    </row>
    <row r="138">
      <c r="L138" s="290"/>
      <c r="M138" s="278"/>
      <c r="N138" s="278"/>
      <c r="O138" s="278"/>
      <c r="P138" s="278"/>
      <c r="Q138" s="278"/>
      <c r="R138" s="278"/>
      <c r="S138" s="278"/>
      <c r="T138" s="278"/>
      <c r="U138" s="278"/>
      <c r="V138" s="278"/>
      <c r="W138" s="278"/>
      <c r="X138" s="278"/>
      <c r="Y138" s="89"/>
    </row>
    <row r="139">
      <c r="L139" s="290"/>
      <c r="M139" s="278"/>
      <c r="N139" s="278"/>
      <c r="O139" s="278"/>
      <c r="P139" s="278"/>
      <c r="Q139" s="278"/>
      <c r="R139" s="278"/>
      <c r="S139" s="278"/>
      <c r="T139" s="278"/>
      <c r="U139" s="278"/>
      <c r="V139" s="278"/>
      <c r="W139" s="278"/>
      <c r="X139" s="278"/>
      <c r="Y139" s="89"/>
    </row>
    <row r="140">
      <c r="L140" s="290"/>
      <c r="M140" s="278"/>
      <c r="N140" s="278"/>
      <c r="O140" s="278"/>
      <c r="P140" s="278"/>
      <c r="Q140" s="278"/>
      <c r="R140" s="278"/>
      <c r="S140" s="278"/>
      <c r="T140" s="278"/>
      <c r="U140" s="278"/>
      <c r="V140" s="278"/>
      <c r="W140" s="278"/>
      <c r="X140" s="278"/>
      <c r="Y140" s="89"/>
    </row>
    <row r="141">
      <c r="L141" s="290"/>
      <c r="M141" s="278"/>
      <c r="N141" s="278"/>
      <c r="O141" s="278"/>
      <c r="P141" s="278"/>
      <c r="Q141" s="278"/>
      <c r="R141" s="278"/>
      <c r="S141" s="278"/>
      <c r="T141" s="278"/>
      <c r="U141" s="278"/>
      <c r="V141" s="278"/>
      <c r="W141" s="278"/>
      <c r="X141" s="278"/>
      <c r="Y141" s="89"/>
    </row>
    <row r="142">
      <c r="L142" s="290"/>
      <c r="M142" s="278"/>
      <c r="N142" s="278"/>
      <c r="O142" s="278"/>
      <c r="P142" s="278"/>
      <c r="Q142" s="278"/>
      <c r="R142" s="278"/>
      <c r="S142" s="278"/>
      <c r="T142" s="278"/>
      <c r="U142" s="278"/>
      <c r="V142" s="278"/>
      <c r="W142" s="278"/>
      <c r="X142" s="278"/>
      <c r="Y142" s="89"/>
    </row>
    <row r="143">
      <c r="L143" s="290"/>
      <c r="M143" s="278"/>
      <c r="N143" s="278"/>
      <c r="O143" s="278"/>
      <c r="P143" s="278"/>
      <c r="Q143" s="278"/>
      <c r="R143" s="278"/>
      <c r="S143" s="278"/>
      <c r="T143" s="278"/>
      <c r="U143" s="278"/>
      <c r="V143" s="278"/>
      <c r="W143" s="278"/>
      <c r="X143" s="278"/>
      <c r="Y143" s="89"/>
    </row>
    <row r="144">
      <c r="L144" s="290"/>
      <c r="M144" s="278"/>
      <c r="N144" s="278"/>
      <c r="O144" s="278"/>
      <c r="P144" s="278"/>
      <c r="Q144" s="278"/>
      <c r="R144" s="278"/>
      <c r="S144" s="278"/>
      <c r="T144" s="278"/>
      <c r="U144" s="278"/>
      <c r="V144" s="278"/>
      <c r="W144" s="278"/>
      <c r="X144" s="278"/>
      <c r="Y144" s="89"/>
    </row>
    <row r="145">
      <c r="L145" s="290"/>
      <c r="M145" s="278"/>
      <c r="N145" s="278"/>
      <c r="O145" s="278"/>
      <c r="P145" s="278"/>
      <c r="Q145" s="278"/>
      <c r="R145" s="278"/>
      <c r="S145" s="278"/>
      <c r="T145" s="278"/>
      <c r="U145" s="278"/>
      <c r="V145" s="278"/>
      <c r="W145" s="278"/>
      <c r="X145" s="278"/>
      <c r="Y145" s="89"/>
    </row>
    <row r="146">
      <c r="L146" s="290"/>
      <c r="M146" s="278"/>
      <c r="N146" s="278"/>
      <c r="O146" s="278"/>
      <c r="P146" s="278"/>
      <c r="Q146" s="278"/>
      <c r="R146" s="278"/>
      <c r="S146" s="278"/>
      <c r="T146" s="278"/>
      <c r="U146" s="278"/>
      <c r="V146" s="278"/>
      <c r="W146" s="278"/>
      <c r="X146" s="278"/>
      <c r="Y146" s="89"/>
    </row>
    <row r="147">
      <c r="L147" s="290"/>
      <c r="M147" s="278"/>
      <c r="N147" s="278"/>
      <c r="O147" s="278"/>
      <c r="P147" s="278"/>
      <c r="Q147" s="278"/>
      <c r="R147" s="278"/>
      <c r="S147" s="278"/>
      <c r="T147" s="278"/>
      <c r="U147" s="278"/>
      <c r="V147" s="278"/>
      <c r="W147" s="278"/>
      <c r="X147" s="278"/>
      <c r="Y147" s="89"/>
    </row>
    <row r="148">
      <c r="L148" s="290"/>
      <c r="M148" s="278"/>
      <c r="N148" s="278"/>
      <c r="O148" s="278"/>
      <c r="P148" s="278"/>
      <c r="Q148" s="278"/>
      <c r="R148" s="278"/>
      <c r="S148" s="278"/>
      <c r="T148" s="278"/>
      <c r="U148" s="278"/>
      <c r="V148" s="278"/>
      <c r="W148" s="278"/>
      <c r="X148" s="278"/>
      <c r="Y148" s="89"/>
    </row>
    <row r="149">
      <c r="L149" s="290"/>
      <c r="M149" s="278"/>
      <c r="N149" s="278"/>
      <c r="O149" s="278"/>
      <c r="P149" s="278"/>
      <c r="Q149" s="278"/>
      <c r="R149" s="278"/>
      <c r="S149" s="278"/>
      <c r="T149" s="278"/>
      <c r="U149" s="278"/>
      <c r="V149" s="278"/>
      <c r="W149" s="278"/>
      <c r="X149" s="278"/>
      <c r="Y149" s="89"/>
    </row>
    <row r="150">
      <c r="L150" s="290"/>
      <c r="M150" s="278"/>
      <c r="N150" s="278"/>
      <c r="O150" s="278"/>
      <c r="P150" s="278"/>
      <c r="Q150" s="278"/>
      <c r="R150" s="278"/>
      <c r="S150" s="278"/>
      <c r="T150" s="278"/>
      <c r="U150" s="278"/>
      <c r="V150" s="278"/>
      <c r="W150" s="278"/>
      <c r="X150" s="278"/>
      <c r="Y150" s="89"/>
    </row>
    <row r="151">
      <c r="L151" s="290"/>
      <c r="M151" s="278"/>
      <c r="N151" s="278"/>
      <c r="O151" s="278"/>
      <c r="P151" s="278"/>
      <c r="Q151" s="278"/>
      <c r="R151" s="278"/>
      <c r="S151" s="278"/>
      <c r="T151" s="278"/>
      <c r="U151" s="278"/>
      <c r="V151" s="278"/>
      <c r="W151" s="278"/>
      <c r="X151" s="278"/>
      <c r="Y151" s="89"/>
    </row>
    <row r="152">
      <c r="L152" s="290"/>
      <c r="M152" s="278"/>
      <c r="N152" s="278"/>
      <c r="O152" s="278"/>
      <c r="P152" s="278"/>
      <c r="Q152" s="278"/>
      <c r="R152" s="278"/>
      <c r="S152" s="278"/>
      <c r="T152" s="278"/>
      <c r="U152" s="278"/>
      <c r="V152" s="278"/>
      <c r="W152" s="278"/>
      <c r="X152" s="278"/>
      <c r="Y152" s="89"/>
    </row>
    <row r="153">
      <c r="L153" s="290"/>
      <c r="M153" s="278"/>
      <c r="N153" s="278"/>
      <c r="O153" s="278"/>
      <c r="P153" s="278"/>
      <c r="Q153" s="278"/>
      <c r="R153" s="278"/>
      <c r="S153" s="278"/>
      <c r="T153" s="278"/>
      <c r="U153" s="278"/>
      <c r="V153" s="278"/>
      <c r="W153" s="278"/>
      <c r="X153" s="278"/>
      <c r="Y153" s="89"/>
    </row>
    <row r="154">
      <c r="L154" s="290"/>
      <c r="M154" s="278"/>
      <c r="N154" s="278"/>
      <c r="O154" s="278"/>
      <c r="P154" s="278"/>
      <c r="Q154" s="278"/>
      <c r="R154" s="278"/>
      <c r="S154" s="278"/>
      <c r="T154" s="278"/>
      <c r="U154" s="278"/>
      <c r="V154" s="278"/>
      <c r="W154" s="278"/>
      <c r="X154" s="278"/>
      <c r="Y154" s="89"/>
    </row>
    <row r="155">
      <c r="L155" s="290"/>
      <c r="M155" s="278"/>
      <c r="N155" s="278"/>
      <c r="O155" s="278"/>
      <c r="P155" s="278"/>
      <c r="Q155" s="278"/>
      <c r="R155" s="278"/>
      <c r="S155" s="278"/>
      <c r="T155" s="278"/>
      <c r="U155" s="278"/>
      <c r="V155" s="278"/>
      <c r="W155" s="278"/>
      <c r="X155" s="278"/>
      <c r="Y155" s="89"/>
    </row>
    <row r="156">
      <c r="L156" s="290"/>
      <c r="M156" s="278"/>
      <c r="N156" s="278"/>
      <c r="O156" s="278"/>
      <c r="P156" s="278"/>
      <c r="Q156" s="278"/>
      <c r="R156" s="278"/>
      <c r="S156" s="278"/>
      <c r="T156" s="278"/>
      <c r="U156" s="278"/>
      <c r="V156" s="278"/>
      <c r="W156" s="278"/>
      <c r="X156" s="278"/>
      <c r="Y156" s="89"/>
    </row>
    <row r="157">
      <c r="L157" s="290"/>
      <c r="M157" s="278"/>
      <c r="N157" s="278"/>
      <c r="O157" s="278"/>
      <c r="P157" s="278"/>
      <c r="Q157" s="278"/>
      <c r="R157" s="278"/>
      <c r="S157" s="278"/>
      <c r="T157" s="278"/>
      <c r="U157" s="278"/>
      <c r="V157" s="278"/>
      <c r="W157" s="278"/>
      <c r="X157" s="278"/>
      <c r="Y157" s="89"/>
    </row>
    <row r="158">
      <c r="L158" s="290"/>
      <c r="M158" s="278"/>
      <c r="N158" s="278"/>
      <c r="O158" s="278"/>
      <c r="P158" s="278"/>
      <c r="Q158" s="278"/>
      <c r="R158" s="278"/>
      <c r="S158" s="278"/>
      <c r="T158" s="278"/>
      <c r="U158" s="278"/>
      <c r="V158" s="278"/>
      <c r="W158" s="278"/>
      <c r="X158" s="278"/>
      <c r="Y158" s="89"/>
    </row>
    <row r="159">
      <c r="L159" s="290"/>
      <c r="M159" s="278"/>
      <c r="N159" s="278"/>
      <c r="O159" s="278"/>
      <c r="P159" s="278"/>
      <c r="Q159" s="278"/>
      <c r="R159" s="278"/>
      <c r="S159" s="278"/>
      <c r="T159" s="278"/>
      <c r="U159" s="278"/>
      <c r="V159" s="278"/>
      <c r="W159" s="278"/>
      <c r="X159" s="278"/>
      <c r="Y159" s="89"/>
    </row>
    <row r="160">
      <c r="L160" s="290"/>
      <c r="M160" s="278"/>
      <c r="N160" s="278"/>
      <c r="O160" s="278"/>
      <c r="P160" s="278"/>
      <c r="Q160" s="278"/>
      <c r="R160" s="278"/>
      <c r="S160" s="278"/>
      <c r="T160" s="278"/>
      <c r="U160" s="278"/>
      <c r="V160" s="278"/>
      <c r="W160" s="278"/>
      <c r="X160" s="278"/>
      <c r="Y160" s="89"/>
    </row>
    <row r="161">
      <c r="L161" s="290"/>
      <c r="M161" s="278"/>
      <c r="N161" s="278"/>
      <c r="O161" s="278"/>
      <c r="P161" s="278"/>
      <c r="Q161" s="278"/>
      <c r="R161" s="278"/>
      <c r="S161" s="278"/>
      <c r="T161" s="278"/>
      <c r="U161" s="278"/>
      <c r="V161" s="278"/>
      <c r="W161" s="278"/>
      <c r="X161" s="278"/>
      <c r="Y161" s="89"/>
    </row>
    <row r="162">
      <c r="L162" s="290"/>
      <c r="M162" s="278"/>
      <c r="N162" s="278"/>
      <c r="O162" s="278"/>
      <c r="P162" s="278"/>
      <c r="Q162" s="278"/>
      <c r="R162" s="278"/>
      <c r="S162" s="278"/>
      <c r="T162" s="278"/>
      <c r="U162" s="278"/>
      <c r="V162" s="278"/>
      <c r="W162" s="278"/>
      <c r="X162" s="278"/>
      <c r="Y162" s="89"/>
    </row>
    <row r="163">
      <c r="L163" s="290"/>
      <c r="M163" s="278"/>
      <c r="N163" s="278"/>
      <c r="O163" s="278"/>
      <c r="P163" s="278"/>
      <c r="Q163" s="278"/>
      <c r="R163" s="278"/>
      <c r="S163" s="278"/>
      <c r="T163" s="278"/>
      <c r="U163" s="278"/>
      <c r="V163" s="278"/>
      <c r="W163" s="278"/>
      <c r="X163" s="278"/>
      <c r="Y163" s="89"/>
    </row>
    <row r="164">
      <c r="L164" s="290"/>
      <c r="M164" s="278"/>
      <c r="N164" s="278"/>
      <c r="O164" s="278"/>
      <c r="P164" s="278"/>
      <c r="Q164" s="278"/>
      <c r="R164" s="278"/>
      <c r="S164" s="278"/>
      <c r="T164" s="278"/>
      <c r="U164" s="278"/>
      <c r="V164" s="278"/>
      <c r="W164" s="278"/>
      <c r="X164" s="278"/>
      <c r="Y164" s="89"/>
    </row>
    <row r="165">
      <c r="L165" s="290"/>
      <c r="M165" s="278"/>
      <c r="N165" s="278"/>
      <c r="O165" s="278"/>
      <c r="P165" s="278"/>
      <c r="Q165" s="278"/>
      <c r="R165" s="278"/>
      <c r="S165" s="278"/>
      <c r="T165" s="278"/>
      <c r="U165" s="278"/>
      <c r="V165" s="278"/>
      <c r="W165" s="278"/>
      <c r="X165" s="278"/>
      <c r="Y165" s="89"/>
    </row>
    <row r="166">
      <c r="L166" s="290"/>
      <c r="M166" s="278"/>
      <c r="N166" s="278"/>
      <c r="O166" s="278"/>
      <c r="P166" s="278"/>
      <c r="Q166" s="278"/>
      <c r="R166" s="278"/>
      <c r="S166" s="278"/>
      <c r="T166" s="278"/>
      <c r="U166" s="278"/>
      <c r="V166" s="278"/>
      <c r="W166" s="278"/>
      <c r="X166" s="278"/>
      <c r="Y166" s="89"/>
    </row>
    <row r="167">
      <c r="L167" s="290"/>
      <c r="M167" s="278"/>
      <c r="N167" s="278"/>
      <c r="O167" s="278"/>
      <c r="P167" s="278"/>
      <c r="Q167" s="278"/>
      <c r="R167" s="278"/>
      <c r="S167" s="278"/>
      <c r="T167" s="278"/>
      <c r="U167" s="278"/>
      <c r="V167" s="278"/>
      <c r="W167" s="278"/>
      <c r="X167" s="278"/>
      <c r="Y167" s="89"/>
    </row>
    <row r="168">
      <c r="L168" s="290"/>
      <c r="M168" s="278"/>
      <c r="N168" s="278"/>
      <c r="O168" s="278"/>
      <c r="P168" s="278"/>
      <c r="Q168" s="278"/>
      <c r="R168" s="278"/>
      <c r="S168" s="278"/>
      <c r="T168" s="278"/>
      <c r="U168" s="278"/>
      <c r="V168" s="278"/>
      <c r="W168" s="278"/>
      <c r="X168" s="278"/>
      <c r="Y168" s="89"/>
    </row>
    <row r="169">
      <c r="L169" s="290"/>
      <c r="M169" s="278"/>
      <c r="N169" s="278"/>
      <c r="O169" s="278"/>
      <c r="P169" s="278"/>
      <c r="Q169" s="278"/>
      <c r="R169" s="278"/>
      <c r="S169" s="278"/>
      <c r="T169" s="278"/>
      <c r="U169" s="278"/>
      <c r="V169" s="278"/>
      <c r="W169" s="278"/>
      <c r="X169" s="278"/>
      <c r="Y169" s="89"/>
    </row>
    <row r="170">
      <c r="L170" s="290"/>
      <c r="M170" s="278"/>
      <c r="N170" s="278"/>
      <c r="O170" s="278"/>
      <c r="P170" s="278"/>
      <c r="Q170" s="278"/>
      <c r="R170" s="278"/>
      <c r="S170" s="278"/>
      <c r="T170" s="278"/>
      <c r="U170" s="278"/>
      <c r="V170" s="278"/>
      <c r="W170" s="278"/>
      <c r="X170" s="278"/>
      <c r="Y170" s="89"/>
    </row>
    <row r="171">
      <c r="L171" s="290"/>
      <c r="M171" s="278"/>
      <c r="N171" s="278"/>
      <c r="O171" s="278"/>
      <c r="P171" s="278"/>
      <c r="Q171" s="278"/>
      <c r="R171" s="278"/>
      <c r="S171" s="278"/>
      <c r="T171" s="278"/>
      <c r="U171" s="278"/>
      <c r="V171" s="278"/>
      <c r="W171" s="278"/>
      <c r="X171" s="278"/>
      <c r="Y171" s="89"/>
    </row>
    <row r="172">
      <c r="L172" s="290"/>
      <c r="M172" s="278"/>
      <c r="N172" s="278"/>
      <c r="O172" s="278"/>
      <c r="P172" s="278"/>
      <c r="Q172" s="278"/>
      <c r="R172" s="278"/>
      <c r="S172" s="278"/>
      <c r="T172" s="278"/>
      <c r="U172" s="278"/>
      <c r="V172" s="278"/>
      <c r="W172" s="278"/>
      <c r="X172" s="278"/>
      <c r="Y172" s="89"/>
    </row>
    <row r="173">
      <c r="L173" s="290"/>
      <c r="M173" s="278"/>
      <c r="N173" s="278"/>
      <c r="O173" s="278"/>
      <c r="P173" s="278"/>
      <c r="Q173" s="278"/>
      <c r="R173" s="278"/>
      <c r="S173" s="278"/>
      <c r="T173" s="278"/>
      <c r="U173" s="278"/>
      <c r="V173" s="278"/>
      <c r="W173" s="278"/>
      <c r="X173" s="278"/>
      <c r="Y173" s="89"/>
    </row>
    <row r="174">
      <c r="L174" s="290"/>
      <c r="M174" s="278"/>
      <c r="N174" s="278"/>
      <c r="O174" s="278"/>
      <c r="P174" s="278"/>
      <c r="Q174" s="278"/>
      <c r="R174" s="278"/>
      <c r="S174" s="278"/>
      <c r="T174" s="278"/>
      <c r="U174" s="278"/>
      <c r="V174" s="278"/>
      <c r="W174" s="278"/>
      <c r="X174" s="278"/>
      <c r="Y174" s="89"/>
    </row>
    <row r="175">
      <c r="L175" s="290"/>
      <c r="M175" s="278"/>
      <c r="N175" s="278"/>
      <c r="O175" s="278"/>
      <c r="P175" s="278"/>
      <c r="Q175" s="278"/>
      <c r="R175" s="278"/>
      <c r="S175" s="278"/>
      <c r="T175" s="278"/>
      <c r="U175" s="278"/>
      <c r="V175" s="278"/>
      <c r="W175" s="278"/>
      <c r="X175" s="278"/>
      <c r="Y175" s="89"/>
    </row>
    <row r="176">
      <c r="L176" s="290"/>
      <c r="M176" s="278"/>
      <c r="N176" s="278"/>
      <c r="O176" s="278"/>
      <c r="P176" s="278"/>
      <c r="Q176" s="278"/>
      <c r="R176" s="278"/>
      <c r="S176" s="278"/>
      <c r="T176" s="278"/>
      <c r="U176" s="278"/>
      <c r="V176" s="278"/>
      <c r="W176" s="278"/>
      <c r="X176" s="278"/>
      <c r="Y176" s="89"/>
    </row>
    <row r="177">
      <c r="L177" s="290"/>
      <c r="M177" s="278"/>
      <c r="N177" s="278"/>
      <c r="O177" s="278"/>
      <c r="P177" s="278"/>
      <c r="Q177" s="278"/>
      <c r="R177" s="278"/>
      <c r="S177" s="278"/>
      <c r="T177" s="278"/>
      <c r="U177" s="278"/>
      <c r="V177" s="278"/>
      <c r="W177" s="278"/>
      <c r="X177" s="278"/>
      <c r="Y177" s="89"/>
    </row>
    <row r="178">
      <c r="L178" s="290"/>
      <c r="M178" s="278"/>
      <c r="N178" s="278"/>
      <c r="O178" s="278"/>
      <c r="P178" s="278"/>
      <c r="Q178" s="278"/>
      <c r="R178" s="278"/>
      <c r="S178" s="278"/>
      <c r="T178" s="278"/>
      <c r="U178" s="278"/>
      <c r="V178" s="278"/>
      <c r="W178" s="278"/>
      <c r="X178" s="278"/>
      <c r="Y178" s="89"/>
    </row>
    <row r="179">
      <c r="L179" s="290"/>
      <c r="M179" s="278"/>
      <c r="N179" s="278"/>
      <c r="O179" s="278"/>
      <c r="P179" s="278"/>
      <c r="Q179" s="278"/>
      <c r="R179" s="278"/>
      <c r="S179" s="278"/>
      <c r="T179" s="278"/>
      <c r="U179" s="278"/>
      <c r="V179" s="278"/>
      <c r="W179" s="278"/>
      <c r="X179" s="278"/>
      <c r="Y179" s="89"/>
    </row>
    <row r="180">
      <c r="L180" s="290"/>
      <c r="M180" s="278"/>
      <c r="N180" s="278"/>
      <c r="O180" s="278"/>
      <c r="P180" s="278"/>
      <c r="Q180" s="278"/>
      <c r="R180" s="278"/>
      <c r="S180" s="278"/>
      <c r="T180" s="278"/>
      <c r="U180" s="278"/>
      <c r="V180" s="278"/>
      <c r="W180" s="278"/>
      <c r="X180" s="278"/>
      <c r="Y180" s="89"/>
    </row>
    <row r="181">
      <c r="L181" s="290"/>
      <c r="M181" s="278"/>
      <c r="N181" s="278"/>
      <c r="O181" s="278"/>
      <c r="P181" s="278"/>
      <c r="Q181" s="278"/>
      <c r="R181" s="278"/>
      <c r="S181" s="278"/>
      <c r="T181" s="278"/>
      <c r="U181" s="278"/>
      <c r="V181" s="278"/>
      <c r="W181" s="278"/>
      <c r="X181" s="278"/>
      <c r="Y181" s="89"/>
    </row>
    <row r="182">
      <c r="L182" s="290"/>
      <c r="M182" s="278"/>
      <c r="N182" s="278"/>
      <c r="O182" s="278"/>
      <c r="P182" s="278"/>
      <c r="Q182" s="278"/>
      <c r="R182" s="278"/>
      <c r="S182" s="278"/>
      <c r="T182" s="278"/>
      <c r="U182" s="278"/>
      <c r="V182" s="278"/>
      <c r="W182" s="278"/>
      <c r="X182" s="278"/>
      <c r="Y182" s="89"/>
    </row>
    <row r="183">
      <c r="L183" s="290"/>
      <c r="M183" s="278"/>
      <c r="N183" s="278"/>
      <c r="O183" s="278"/>
      <c r="P183" s="278"/>
      <c r="Q183" s="278"/>
      <c r="R183" s="278"/>
      <c r="S183" s="278"/>
      <c r="T183" s="278"/>
      <c r="U183" s="278"/>
      <c r="V183" s="278"/>
      <c r="W183" s="278"/>
      <c r="X183" s="278"/>
      <c r="Y183" s="89"/>
    </row>
    <row r="184">
      <c r="L184" s="290"/>
      <c r="M184" s="278"/>
      <c r="N184" s="278"/>
      <c r="O184" s="278"/>
      <c r="P184" s="278"/>
      <c r="Q184" s="278"/>
      <c r="R184" s="278"/>
      <c r="S184" s="278"/>
      <c r="T184" s="278"/>
      <c r="U184" s="278"/>
      <c r="V184" s="278"/>
      <c r="W184" s="278"/>
      <c r="X184" s="278"/>
      <c r="Y184" s="89"/>
    </row>
    <row r="185">
      <c r="L185" s="290"/>
      <c r="M185" s="278"/>
      <c r="N185" s="278"/>
      <c r="O185" s="278"/>
      <c r="P185" s="278"/>
      <c r="Q185" s="278"/>
      <c r="R185" s="278"/>
      <c r="S185" s="278"/>
      <c r="T185" s="278"/>
      <c r="U185" s="278"/>
      <c r="V185" s="278"/>
      <c r="W185" s="278"/>
      <c r="X185" s="278"/>
      <c r="Y185" s="89"/>
    </row>
    <row r="186">
      <c r="L186" s="290"/>
      <c r="M186" s="278"/>
      <c r="N186" s="278"/>
      <c r="O186" s="278"/>
      <c r="P186" s="278"/>
      <c r="Q186" s="278"/>
      <c r="R186" s="278"/>
      <c r="S186" s="278"/>
      <c r="T186" s="278"/>
      <c r="U186" s="278"/>
      <c r="V186" s="278"/>
      <c r="W186" s="278"/>
      <c r="X186" s="278"/>
      <c r="Y186" s="89"/>
    </row>
    <row r="187">
      <c r="L187" s="290"/>
      <c r="M187" s="278"/>
      <c r="N187" s="278"/>
      <c r="O187" s="278"/>
      <c r="P187" s="278"/>
      <c r="Q187" s="278"/>
      <c r="R187" s="278"/>
      <c r="S187" s="278"/>
      <c r="T187" s="278"/>
      <c r="U187" s="278"/>
      <c r="V187" s="278"/>
      <c r="W187" s="278"/>
      <c r="X187" s="278"/>
      <c r="Y187" s="89"/>
    </row>
    <row r="188">
      <c r="L188" s="290"/>
      <c r="M188" s="278"/>
      <c r="N188" s="278"/>
      <c r="O188" s="278"/>
      <c r="P188" s="278"/>
      <c r="Q188" s="278"/>
      <c r="R188" s="278"/>
      <c r="S188" s="278"/>
      <c r="T188" s="278"/>
      <c r="U188" s="278"/>
      <c r="V188" s="278"/>
      <c r="W188" s="278"/>
      <c r="X188" s="278"/>
      <c r="Y188" s="89"/>
    </row>
    <row r="189">
      <c r="L189" s="290"/>
      <c r="M189" s="278"/>
      <c r="N189" s="278"/>
      <c r="O189" s="278"/>
      <c r="P189" s="278"/>
      <c r="Q189" s="278"/>
      <c r="R189" s="278"/>
      <c r="S189" s="278"/>
      <c r="T189" s="278"/>
      <c r="U189" s="278"/>
      <c r="V189" s="278"/>
      <c r="W189" s="278"/>
      <c r="X189" s="278"/>
      <c r="Y189" s="89"/>
    </row>
    <row r="190">
      <c r="L190" s="290"/>
      <c r="M190" s="278"/>
      <c r="N190" s="278"/>
      <c r="O190" s="278"/>
      <c r="P190" s="278"/>
      <c r="Q190" s="278"/>
      <c r="R190" s="278"/>
      <c r="S190" s="278"/>
      <c r="T190" s="278"/>
      <c r="U190" s="278"/>
      <c r="V190" s="278"/>
      <c r="W190" s="278"/>
      <c r="X190" s="278"/>
      <c r="Y190" s="89"/>
    </row>
    <row r="191">
      <c r="L191" s="290"/>
      <c r="M191" s="278"/>
      <c r="N191" s="278"/>
      <c r="O191" s="278"/>
      <c r="P191" s="278"/>
      <c r="Q191" s="278"/>
      <c r="R191" s="278"/>
      <c r="S191" s="278"/>
      <c r="T191" s="278"/>
      <c r="U191" s="278"/>
      <c r="V191" s="278"/>
      <c r="W191" s="278"/>
      <c r="X191" s="278"/>
      <c r="Y191" s="89"/>
    </row>
    <row r="192">
      <c r="L192" s="290"/>
      <c r="M192" s="278"/>
      <c r="N192" s="278"/>
      <c r="O192" s="278"/>
      <c r="P192" s="278"/>
      <c r="Q192" s="278"/>
      <c r="R192" s="278"/>
      <c r="S192" s="278"/>
      <c r="T192" s="278"/>
      <c r="U192" s="278"/>
      <c r="V192" s="278"/>
      <c r="W192" s="278"/>
      <c r="X192" s="278"/>
      <c r="Y192" s="89"/>
    </row>
    <row r="193">
      <c r="L193" s="290"/>
      <c r="M193" s="278"/>
      <c r="N193" s="278"/>
      <c r="O193" s="278"/>
      <c r="P193" s="278"/>
      <c r="Q193" s="278"/>
      <c r="R193" s="278"/>
      <c r="S193" s="278"/>
      <c r="T193" s="278"/>
      <c r="U193" s="278"/>
      <c r="V193" s="278"/>
      <c r="W193" s="278"/>
      <c r="X193" s="278"/>
      <c r="Y193" s="89"/>
    </row>
    <row r="194">
      <c r="L194" s="290"/>
      <c r="M194" s="278"/>
      <c r="N194" s="278"/>
      <c r="O194" s="278"/>
      <c r="P194" s="278"/>
      <c r="Q194" s="278"/>
      <c r="R194" s="278"/>
      <c r="S194" s="278"/>
      <c r="T194" s="278"/>
      <c r="U194" s="278"/>
      <c r="V194" s="278"/>
      <c r="W194" s="278"/>
      <c r="X194" s="278"/>
      <c r="Y194" s="89"/>
    </row>
    <row r="195">
      <c r="L195" s="290"/>
      <c r="M195" s="278"/>
      <c r="N195" s="278"/>
      <c r="O195" s="278"/>
      <c r="P195" s="278"/>
      <c r="Q195" s="278"/>
      <c r="R195" s="278"/>
      <c r="S195" s="278"/>
      <c r="T195" s="278"/>
      <c r="U195" s="278"/>
      <c r="V195" s="278"/>
      <c r="W195" s="278"/>
      <c r="X195" s="278"/>
      <c r="Y195" s="89"/>
    </row>
    <row r="196">
      <c r="L196" s="290"/>
      <c r="M196" s="278"/>
      <c r="N196" s="278"/>
      <c r="O196" s="278"/>
      <c r="P196" s="278"/>
      <c r="Q196" s="278"/>
      <c r="R196" s="278"/>
      <c r="S196" s="278"/>
      <c r="T196" s="278"/>
      <c r="U196" s="278"/>
      <c r="V196" s="278"/>
      <c r="W196" s="278"/>
      <c r="X196" s="278"/>
      <c r="Y196" s="89"/>
    </row>
    <row r="197">
      <c r="L197" s="290"/>
      <c r="M197" s="278"/>
      <c r="N197" s="278"/>
      <c r="O197" s="278"/>
      <c r="P197" s="278"/>
      <c r="Q197" s="278"/>
      <c r="R197" s="278"/>
      <c r="S197" s="278"/>
      <c r="T197" s="278"/>
      <c r="U197" s="278"/>
      <c r="V197" s="278"/>
      <c r="W197" s="278"/>
      <c r="X197" s="278"/>
      <c r="Y197" s="89"/>
    </row>
    <row r="198">
      <c r="L198" s="290"/>
      <c r="M198" s="278"/>
      <c r="N198" s="278"/>
      <c r="O198" s="278"/>
      <c r="P198" s="278"/>
      <c r="Q198" s="278"/>
      <c r="R198" s="278"/>
      <c r="S198" s="278"/>
      <c r="T198" s="278"/>
      <c r="U198" s="278"/>
      <c r="V198" s="278"/>
      <c r="W198" s="278"/>
      <c r="X198" s="278"/>
      <c r="Y198" s="89"/>
    </row>
    <row r="199">
      <c r="L199" s="290"/>
      <c r="M199" s="278"/>
      <c r="N199" s="278"/>
      <c r="O199" s="278"/>
      <c r="P199" s="278"/>
      <c r="Q199" s="278"/>
      <c r="R199" s="278"/>
      <c r="S199" s="278"/>
      <c r="T199" s="278"/>
      <c r="U199" s="278"/>
      <c r="V199" s="278"/>
      <c r="W199" s="278"/>
      <c r="X199" s="278"/>
      <c r="Y199" s="89"/>
    </row>
    <row r="200">
      <c r="L200" s="290"/>
      <c r="M200" s="278"/>
      <c r="N200" s="278"/>
      <c r="O200" s="278"/>
      <c r="P200" s="278"/>
      <c r="Q200" s="278"/>
      <c r="R200" s="278"/>
      <c r="S200" s="278"/>
      <c r="T200" s="278"/>
      <c r="U200" s="278"/>
      <c r="V200" s="278"/>
      <c r="W200" s="278"/>
      <c r="X200" s="278"/>
      <c r="Y200" s="89"/>
    </row>
    <row r="201">
      <c r="L201" s="290"/>
      <c r="M201" s="278"/>
      <c r="N201" s="278"/>
      <c r="O201" s="278"/>
      <c r="P201" s="278"/>
      <c r="Q201" s="278"/>
      <c r="R201" s="278"/>
      <c r="S201" s="278"/>
      <c r="T201" s="278"/>
      <c r="U201" s="278"/>
      <c r="V201" s="278"/>
      <c r="W201" s="278"/>
      <c r="X201" s="278"/>
      <c r="Y201" s="89"/>
    </row>
    <row r="202">
      <c r="L202" s="290"/>
      <c r="M202" s="278"/>
      <c r="N202" s="278"/>
      <c r="O202" s="278"/>
      <c r="P202" s="278"/>
      <c r="Q202" s="278"/>
      <c r="R202" s="278"/>
      <c r="S202" s="278"/>
      <c r="T202" s="278"/>
      <c r="U202" s="278"/>
      <c r="V202" s="278"/>
      <c r="W202" s="278"/>
      <c r="X202" s="278"/>
      <c r="Y202" s="89"/>
    </row>
    <row r="203">
      <c r="L203" s="290"/>
      <c r="M203" s="278"/>
      <c r="N203" s="278"/>
      <c r="O203" s="278"/>
      <c r="P203" s="278"/>
      <c r="Q203" s="278"/>
      <c r="R203" s="278"/>
      <c r="S203" s="278"/>
      <c r="T203" s="278"/>
      <c r="U203" s="278"/>
      <c r="V203" s="278"/>
      <c r="W203" s="278"/>
      <c r="X203" s="278"/>
      <c r="Y203" s="89"/>
    </row>
    <row r="204">
      <c r="L204" s="290"/>
      <c r="M204" s="278"/>
      <c r="N204" s="278"/>
      <c r="O204" s="278"/>
      <c r="P204" s="278"/>
      <c r="Q204" s="278"/>
      <c r="R204" s="278"/>
      <c r="S204" s="278"/>
      <c r="T204" s="278"/>
      <c r="U204" s="278"/>
      <c r="V204" s="278"/>
      <c r="W204" s="278"/>
      <c r="X204" s="278"/>
      <c r="Y204" s="89"/>
    </row>
    <row r="205">
      <c r="L205" s="290"/>
      <c r="M205" s="278"/>
      <c r="N205" s="278"/>
      <c r="O205" s="278"/>
      <c r="P205" s="278"/>
      <c r="Q205" s="278"/>
      <c r="R205" s="278"/>
      <c r="S205" s="278"/>
      <c r="T205" s="278"/>
      <c r="U205" s="278"/>
      <c r="V205" s="278"/>
      <c r="W205" s="278"/>
      <c r="X205" s="278"/>
      <c r="Y205" s="89"/>
    </row>
    <row r="206">
      <c r="L206" s="290"/>
      <c r="M206" s="278"/>
      <c r="N206" s="278"/>
      <c r="O206" s="278"/>
      <c r="P206" s="278"/>
      <c r="Q206" s="278"/>
      <c r="R206" s="278"/>
      <c r="S206" s="278"/>
      <c r="T206" s="278"/>
      <c r="U206" s="278"/>
      <c r="V206" s="278"/>
      <c r="W206" s="278"/>
      <c r="X206" s="278"/>
      <c r="Y206" s="89"/>
    </row>
    <row r="207">
      <c r="L207" s="290"/>
      <c r="M207" s="278"/>
      <c r="N207" s="278"/>
      <c r="O207" s="278"/>
      <c r="P207" s="278"/>
      <c r="Q207" s="278"/>
      <c r="R207" s="278"/>
      <c r="S207" s="278"/>
      <c r="T207" s="278"/>
      <c r="U207" s="278"/>
      <c r="V207" s="278"/>
      <c r="W207" s="278"/>
      <c r="X207" s="278"/>
      <c r="Y207" s="89"/>
    </row>
    <row r="208">
      <c r="L208" s="290"/>
      <c r="M208" s="278"/>
      <c r="N208" s="278"/>
      <c r="O208" s="278"/>
      <c r="P208" s="278"/>
      <c r="Q208" s="278"/>
      <c r="R208" s="278"/>
      <c r="S208" s="278"/>
      <c r="T208" s="278"/>
      <c r="U208" s="278"/>
      <c r="V208" s="278"/>
      <c r="W208" s="278"/>
      <c r="X208" s="278"/>
      <c r="Y208" s="89"/>
    </row>
    <row r="209">
      <c r="L209" s="290"/>
      <c r="M209" s="278"/>
      <c r="N209" s="278"/>
      <c r="O209" s="278"/>
      <c r="P209" s="278"/>
      <c r="Q209" s="278"/>
      <c r="R209" s="278"/>
      <c r="S209" s="278"/>
      <c r="T209" s="278"/>
      <c r="U209" s="278"/>
      <c r="V209" s="278"/>
      <c r="W209" s="278"/>
      <c r="X209" s="278"/>
      <c r="Y209" s="89"/>
    </row>
    <row r="210">
      <c r="L210" s="290"/>
      <c r="M210" s="278"/>
      <c r="N210" s="278"/>
      <c r="O210" s="278"/>
      <c r="P210" s="278"/>
      <c r="Q210" s="278"/>
      <c r="R210" s="278"/>
      <c r="S210" s="278"/>
      <c r="T210" s="278"/>
      <c r="U210" s="278"/>
      <c r="V210" s="278"/>
      <c r="W210" s="278"/>
      <c r="X210" s="278"/>
      <c r="Y210" s="89"/>
    </row>
    <row r="211">
      <c r="L211" s="290"/>
      <c r="M211" s="278"/>
      <c r="N211" s="278"/>
      <c r="O211" s="278"/>
      <c r="P211" s="278"/>
      <c r="Q211" s="278"/>
      <c r="R211" s="278"/>
      <c r="S211" s="278"/>
      <c r="T211" s="278"/>
      <c r="U211" s="278"/>
      <c r="V211" s="278"/>
      <c r="W211" s="278"/>
      <c r="X211" s="278"/>
      <c r="Y211" s="89"/>
    </row>
    <row r="212">
      <c r="L212" s="290"/>
      <c r="M212" s="278"/>
      <c r="N212" s="278"/>
      <c r="O212" s="278"/>
      <c r="P212" s="278"/>
      <c r="Q212" s="278"/>
      <c r="R212" s="278"/>
      <c r="S212" s="278"/>
      <c r="T212" s="278"/>
      <c r="U212" s="278"/>
      <c r="V212" s="278"/>
      <c r="W212" s="278"/>
      <c r="X212" s="278"/>
      <c r="Y212" s="89"/>
    </row>
    <row r="213">
      <c r="L213" s="290"/>
      <c r="M213" s="278"/>
      <c r="N213" s="278"/>
      <c r="O213" s="278"/>
      <c r="P213" s="278"/>
      <c r="Q213" s="278"/>
      <c r="R213" s="278"/>
      <c r="S213" s="278"/>
      <c r="T213" s="278"/>
      <c r="U213" s="278"/>
      <c r="V213" s="278"/>
      <c r="W213" s="278"/>
      <c r="X213" s="278"/>
      <c r="Y213" s="89"/>
    </row>
    <row r="214">
      <c r="L214" s="290"/>
      <c r="M214" s="278"/>
      <c r="N214" s="278"/>
      <c r="O214" s="278"/>
      <c r="P214" s="278"/>
      <c r="Q214" s="278"/>
      <c r="R214" s="278"/>
      <c r="S214" s="278"/>
      <c r="T214" s="278"/>
      <c r="U214" s="278"/>
      <c r="V214" s="278"/>
      <c r="W214" s="278"/>
      <c r="X214" s="278"/>
      <c r="Y214" s="89"/>
    </row>
    <row r="215">
      <c r="L215" s="290"/>
      <c r="M215" s="278"/>
      <c r="N215" s="278"/>
      <c r="O215" s="278"/>
      <c r="P215" s="278"/>
      <c r="Q215" s="278"/>
      <c r="R215" s="278"/>
      <c r="S215" s="278"/>
      <c r="T215" s="278"/>
      <c r="U215" s="278"/>
      <c r="V215" s="278"/>
      <c r="W215" s="278"/>
      <c r="X215" s="278"/>
      <c r="Y215" s="89"/>
    </row>
    <row r="216">
      <c r="L216" s="290"/>
      <c r="M216" s="278"/>
      <c r="N216" s="278"/>
      <c r="O216" s="278"/>
      <c r="P216" s="278"/>
      <c r="Q216" s="278"/>
      <c r="R216" s="278"/>
      <c r="S216" s="278"/>
      <c r="T216" s="278"/>
      <c r="U216" s="278"/>
      <c r="V216" s="278"/>
      <c r="W216" s="278"/>
      <c r="X216" s="278"/>
      <c r="Y216" s="89"/>
    </row>
    <row r="217">
      <c r="L217" s="290"/>
      <c r="M217" s="278"/>
      <c r="N217" s="278"/>
      <c r="O217" s="278"/>
      <c r="P217" s="278"/>
      <c r="Q217" s="278"/>
      <c r="R217" s="278"/>
      <c r="S217" s="278"/>
      <c r="T217" s="278"/>
      <c r="U217" s="278"/>
      <c r="V217" s="278"/>
      <c r="W217" s="278"/>
      <c r="X217" s="278"/>
      <c r="Y217" s="89"/>
    </row>
    <row r="218">
      <c r="L218" s="290"/>
      <c r="M218" s="278"/>
      <c r="N218" s="278"/>
      <c r="O218" s="278"/>
      <c r="P218" s="278"/>
      <c r="Q218" s="278"/>
      <c r="R218" s="278"/>
      <c r="S218" s="278"/>
      <c r="T218" s="278"/>
      <c r="U218" s="278"/>
      <c r="V218" s="278"/>
      <c r="W218" s="278"/>
      <c r="X218" s="278"/>
      <c r="Y218" s="89"/>
    </row>
    <row r="219">
      <c r="L219" s="290"/>
      <c r="M219" s="278"/>
      <c r="N219" s="278"/>
      <c r="O219" s="278"/>
      <c r="P219" s="278"/>
      <c r="Q219" s="278"/>
      <c r="R219" s="278"/>
      <c r="S219" s="278"/>
      <c r="T219" s="278"/>
      <c r="U219" s="278"/>
      <c r="V219" s="278"/>
      <c r="W219" s="278"/>
      <c r="X219" s="278"/>
      <c r="Y219" s="89"/>
    </row>
    <row r="220">
      <c r="L220" s="290"/>
      <c r="M220" s="278"/>
      <c r="N220" s="278"/>
      <c r="O220" s="278"/>
      <c r="P220" s="278"/>
      <c r="Q220" s="278"/>
      <c r="R220" s="278"/>
      <c r="S220" s="278"/>
      <c r="T220" s="278"/>
      <c r="U220" s="278"/>
      <c r="V220" s="278"/>
      <c r="W220" s="278"/>
      <c r="X220" s="278"/>
      <c r="Y220" s="89"/>
    </row>
    <row r="221">
      <c r="L221" s="290"/>
      <c r="M221" s="278"/>
      <c r="N221" s="278"/>
      <c r="O221" s="278"/>
      <c r="P221" s="278"/>
      <c r="Q221" s="278"/>
      <c r="R221" s="278"/>
      <c r="S221" s="278"/>
      <c r="T221" s="278"/>
      <c r="U221" s="278"/>
      <c r="V221" s="278"/>
      <c r="W221" s="278"/>
      <c r="X221" s="278"/>
      <c r="Y221" s="89"/>
    </row>
    <row r="222">
      <c r="L222" s="290"/>
      <c r="M222" s="278"/>
      <c r="N222" s="278"/>
      <c r="O222" s="278"/>
      <c r="P222" s="278"/>
      <c r="Q222" s="278"/>
      <c r="R222" s="278"/>
      <c r="S222" s="278"/>
      <c r="T222" s="278"/>
      <c r="U222" s="278"/>
      <c r="V222" s="278"/>
      <c r="W222" s="278"/>
      <c r="X222" s="278"/>
      <c r="Y222" s="89"/>
    </row>
    <row r="223">
      <c r="L223" s="290"/>
      <c r="M223" s="278"/>
      <c r="N223" s="278"/>
      <c r="O223" s="278"/>
      <c r="P223" s="278"/>
      <c r="Q223" s="278"/>
      <c r="R223" s="278"/>
      <c r="S223" s="278"/>
      <c r="T223" s="278"/>
      <c r="U223" s="278"/>
      <c r="V223" s="278"/>
      <c r="W223" s="278"/>
      <c r="X223" s="278"/>
      <c r="Y223" s="89"/>
    </row>
    <row r="224">
      <c r="L224" s="290"/>
      <c r="M224" s="278"/>
      <c r="N224" s="278"/>
      <c r="O224" s="278"/>
      <c r="P224" s="278"/>
      <c r="Q224" s="278"/>
      <c r="R224" s="278"/>
      <c r="S224" s="278"/>
      <c r="T224" s="278"/>
      <c r="U224" s="278"/>
      <c r="V224" s="278"/>
      <c r="W224" s="278"/>
      <c r="X224" s="278"/>
      <c r="Y224" s="89"/>
    </row>
    <row r="225">
      <c r="L225" s="290"/>
      <c r="M225" s="278"/>
      <c r="N225" s="278"/>
      <c r="O225" s="278"/>
      <c r="P225" s="278"/>
      <c r="Q225" s="278"/>
      <c r="R225" s="278"/>
      <c r="S225" s="278"/>
      <c r="T225" s="278"/>
      <c r="U225" s="278"/>
      <c r="V225" s="278"/>
      <c r="W225" s="278"/>
      <c r="X225" s="278"/>
      <c r="Y225" s="89"/>
    </row>
    <row r="226">
      <c r="L226" s="290"/>
      <c r="M226" s="278"/>
      <c r="N226" s="278"/>
      <c r="O226" s="278"/>
      <c r="P226" s="278"/>
      <c r="Q226" s="278"/>
      <c r="R226" s="278"/>
      <c r="S226" s="278"/>
      <c r="T226" s="278"/>
      <c r="U226" s="278"/>
      <c r="V226" s="278"/>
      <c r="W226" s="278"/>
      <c r="X226" s="278"/>
      <c r="Y226" s="89"/>
    </row>
    <row r="227">
      <c r="L227" s="290"/>
      <c r="M227" s="278"/>
      <c r="N227" s="278"/>
      <c r="O227" s="278"/>
      <c r="P227" s="278"/>
      <c r="Q227" s="278"/>
      <c r="R227" s="278"/>
      <c r="S227" s="278"/>
      <c r="T227" s="278"/>
      <c r="U227" s="278"/>
      <c r="V227" s="278"/>
      <c r="W227" s="278"/>
      <c r="X227" s="278"/>
      <c r="Y227" s="89"/>
    </row>
    <row r="228">
      <c r="L228" s="290"/>
      <c r="M228" s="278"/>
      <c r="N228" s="278"/>
      <c r="O228" s="278"/>
      <c r="P228" s="278"/>
      <c r="Q228" s="278"/>
      <c r="R228" s="278"/>
      <c r="S228" s="278"/>
      <c r="T228" s="278"/>
      <c r="U228" s="278"/>
      <c r="V228" s="278"/>
      <c r="W228" s="278"/>
      <c r="X228" s="278"/>
      <c r="Y228" s="89"/>
    </row>
    <row r="229">
      <c r="L229" s="290"/>
      <c r="M229" s="278"/>
      <c r="N229" s="278"/>
      <c r="O229" s="278"/>
      <c r="P229" s="278"/>
      <c r="Q229" s="278"/>
      <c r="R229" s="278"/>
      <c r="S229" s="278"/>
      <c r="T229" s="278"/>
      <c r="U229" s="278"/>
      <c r="V229" s="278"/>
      <c r="W229" s="278"/>
      <c r="X229" s="278"/>
      <c r="Y229" s="89"/>
    </row>
    <row r="230">
      <c r="L230" s="290"/>
      <c r="M230" s="278"/>
      <c r="N230" s="278"/>
      <c r="O230" s="278"/>
      <c r="P230" s="278"/>
      <c r="Q230" s="278"/>
      <c r="R230" s="278"/>
      <c r="S230" s="278"/>
      <c r="T230" s="278"/>
      <c r="U230" s="278"/>
      <c r="V230" s="278"/>
      <c r="W230" s="278"/>
      <c r="X230" s="278"/>
      <c r="Y230" s="89"/>
    </row>
    <row r="231">
      <c r="L231" s="290"/>
      <c r="M231" s="278"/>
      <c r="N231" s="278"/>
      <c r="O231" s="278"/>
      <c r="P231" s="278"/>
      <c r="Q231" s="278"/>
      <c r="R231" s="278"/>
      <c r="S231" s="278"/>
      <c r="T231" s="278"/>
      <c r="U231" s="278"/>
      <c r="V231" s="278"/>
      <c r="W231" s="278"/>
      <c r="X231" s="278"/>
      <c r="Y231" s="89"/>
    </row>
    <row r="232">
      <c r="L232" s="290"/>
      <c r="M232" s="278"/>
      <c r="N232" s="278"/>
      <c r="O232" s="278"/>
      <c r="P232" s="278"/>
      <c r="Q232" s="278"/>
      <c r="R232" s="278"/>
      <c r="S232" s="278"/>
      <c r="T232" s="278"/>
      <c r="U232" s="278"/>
      <c r="V232" s="278"/>
      <c r="W232" s="278"/>
      <c r="X232" s="278"/>
      <c r="Y232" s="89"/>
    </row>
    <row r="233">
      <c r="L233" s="290"/>
      <c r="M233" s="278"/>
      <c r="N233" s="278"/>
      <c r="O233" s="278"/>
      <c r="P233" s="278"/>
      <c r="Q233" s="278"/>
      <c r="R233" s="278"/>
      <c r="S233" s="278"/>
      <c r="T233" s="278"/>
      <c r="U233" s="278"/>
      <c r="V233" s="278"/>
      <c r="W233" s="278"/>
      <c r="X233" s="278"/>
      <c r="Y233" s="89"/>
    </row>
    <row r="234">
      <c r="L234" s="290"/>
      <c r="M234" s="278"/>
      <c r="N234" s="278"/>
      <c r="O234" s="278"/>
      <c r="P234" s="278"/>
      <c r="Q234" s="278"/>
      <c r="R234" s="278"/>
      <c r="S234" s="278"/>
      <c r="T234" s="278"/>
      <c r="U234" s="278"/>
      <c r="V234" s="278"/>
      <c r="W234" s="278"/>
      <c r="X234" s="278"/>
      <c r="Y234" s="89"/>
    </row>
    <row r="235">
      <c r="L235" s="290"/>
      <c r="M235" s="278"/>
      <c r="N235" s="278"/>
      <c r="O235" s="278"/>
      <c r="P235" s="278"/>
      <c r="Q235" s="278"/>
      <c r="R235" s="278"/>
      <c r="S235" s="278"/>
      <c r="T235" s="278"/>
      <c r="U235" s="278"/>
      <c r="V235" s="278"/>
      <c r="W235" s="278"/>
      <c r="X235" s="278"/>
      <c r="Y235" s="89"/>
    </row>
    <row r="236">
      <c r="L236" s="290"/>
      <c r="M236" s="278"/>
      <c r="N236" s="278"/>
      <c r="O236" s="278"/>
      <c r="P236" s="278"/>
      <c r="Q236" s="278"/>
      <c r="R236" s="278"/>
      <c r="S236" s="278"/>
      <c r="T236" s="278"/>
      <c r="U236" s="278"/>
      <c r="V236" s="278"/>
      <c r="W236" s="278"/>
      <c r="X236" s="278"/>
      <c r="Y236" s="89"/>
    </row>
    <row r="237">
      <c r="L237" s="290"/>
      <c r="M237" s="278"/>
      <c r="N237" s="278"/>
      <c r="O237" s="278"/>
      <c r="P237" s="278"/>
      <c r="Q237" s="278"/>
      <c r="R237" s="278"/>
      <c r="S237" s="278"/>
      <c r="T237" s="278"/>
      <c r="U237" s="278"/>
      <c r="V237" s="278"/>
      <c r="W237" s="278"/>
      <c r="X237" s="278"/>
      <c r="Y237" s="89"/>
    </row>
    <row r="238">
      <c r="L238" s="290"/>
      <c r="M238" s="278"/>
      <c r="N238" s="278"/>
      <c r="O238" s="278"/>
      <c r="P238" s="278"/>
      <c r="Q238" s="278"/>
      <c r="R238" s="278"/>
      <c r="S238" s="278"/>
      <c r="T238" s="278"/>
      <c r="U238" s="278"/>
      <c r="V238" s="278"/>
      <c r="W238" s="278"/>
      <c r="X238" s="278"/>
      <c r="Y238" s="89"/>
    </row>
    <row r="239">
      <c r="L239" s="290"/>
      <c r="M239" s="278"/>
      <c r="N239" s="278"/>
      <c r="O239" s="278"/>
      <c r="P239" s="278"/>
      <c r="Q239" s="278"/>
      <c r="R239" s="278"/>
      <c r="S239" s="278"/>
      <c r="T239" s="278"/>
      <c r="U239" s="278"/>
      <c r="V239" s="278"/>
      <c r="W239" s="278"/>
      <c r="X239" s="278"/>
      <c r="Y239" s="89"/>
    </row>
    <row r="240">
      <c r="L240" s="290"/>
      <c r="M240" s="278"/>
      <c r="N240" s="278"/>
      <c r="O240" s="278"/>
      <c r="P240" s="278"/>
      <c r="Q240" s="278"/>
      <c r="R240" s="278"/>
      <c r="S240" s="278"/>
      <c r="T240" s="278"/>
      <c r="U240" s="278"/>
      <c r="V240" s="278"/>
      <c r="W240" s="278"/>
      <c r="X240" s="278"/>
      <c r="Y240" s="89"/>
    </row>
    <row r="241">
      <c r="L241" s="290"/>
      <c r="M241" s="278"/>
      <c r="N241" s="278"/>
      <c r="O241" s="278"/>
      <c r="P241" s="278"/>
      <c r="Q241" s="278"/>
      <c r="R241" s="278"/>
      <c r="S241" s="278"/>
      <c r="T241" s="278"/>
      <c r="U241" s="278"/>
      <c r="V241" s="278"/>
      <c r="W241" s="278"/>
      <c r="X241" s="278"/>
      <c r="Y241" s="89"/>
    </row>
    <row r="242">
      <c r="L242" s="290"/>
      <c r="M242" s="278"/>
      <c r="N242" s="278"/>
      <c r="O242" s="278"/>
      <c r="P242" s="278"/>
      <c r="Q242" s="278"/>
      <c r="R242" s="278"/>
      <c r="S242" s="278"/>
      <c r="T242" s="278"/>
      <c r="U242" s="278"/>
      <c r="V242" s="278"/>
      <c r="W242" s="278"/>
      <c r="X242" s="278"/>
      <c r="Y242" s="89"/>
    </row>
    <row r="243">
      <c r="L243" s="290"/>
      <c r="M243" s="278"/>
      <c r="N243" s="278"/>
      <c r="O243" s="278"/>
      <c r="P243" s="278"/>
      <c r="Q243" s="278"/>
      <c r="R243" s="278"/>
      <c r="S243" s="278"/>
      <c r="T243" s="278"/>
      <c r="U243" s="278"/>
      <c r="V243" s="278"/>
      <c r="W243" s="278"/>
      <c r="X243" s="278"/>
      <c r="Y243" s="89"/>
    </row>
    <row r="244">
      <c r="L244" s="290"/>
      <c r="M244" s="278"/>
      <c r="N244" s="278"/>
      <c r="O244" s="278"/>
      <c r="P244" s="278"/>
      <c r="Q244" s="278"/>
      <c r="R244" s="278"/>
      <c r="S244" s="278"/>
      <c r="T244" s="278"/>
      <c r="U244" s="278"/>
      <c r="V244" s="278"/>
      <c r="W244" s="278"/>
      <c r="X244" s="278"/>
      <c r="Y244" s="89"/>
    </row>
    <row r="245">
      <c r="L245" s="290"/>
      <c r="M245" s="278"/>
      <c r="N245" s="278"/>
      <c r="O245" s="278"/>
      <c r="P245" s="278"/>
      <c r="Q245" s="278"/>
      <c r="R245" s="278"/>
      <c r="S245" s="278"/>
      <c r="T245" s="278"/>
      <c r="U245" s="278"/>
      <c r="V245" s="278"/>
      <c r="W245" s="278"/>
      <c r="X245" s="278"/>
      <c r="Y245" s="89"/>
    </row>
    <row r="246">
      <c r="L246" s="290"/>
      <c r="M246" s="278"/>
      <c r="N246" s="278"/>
      <c r="O246" s="278"/>
      <c r="P246" s="278"/>
      <c r="Q246" s="278"/>
      <c r="R246" s="278"/>
      <c r="S246" s="278"/>
      <c r="T246" s="278"/>
      <c r="U246" s="278"/>
      <c r="V246" s="278"/>
      <c r="W246" s="278"/>
      <c r="X246" s="278"/>
      <c r="Y246" s="89"/>
    </row>
    <row r="247">
      <c r="L247" s="290"/>
      <c r="M247" s="278"/>
      <c r="N247" s="278"/>
      <c r="O247" s="278"/>
      <c r="P247" s="278"/>
      <c r="Q247" s="278"/>
      <c r="R247" s="278"/>
      <c r="S247" s="278"/>
      <c r="T247" s="278"/>
      <c r="U247" s="278"/>
      <c r="V247" s="278"/>
      <c r="W247" s="278"/>
      <c r="X247" s="278"/>
      <c r="Y247" s="89"/>
    </row>
    <row r="248">
      <c r="L248" s="290"/>
      <c r="M248" s="278"/>
      <c r="N248" s="278"/>
      <c r="O248" s="278"/>
      <c r="P248" s="278"/>
      <c r="Q248" s="278"/>
      <c r="R248" s="278"/>
      <c r="S248" s="278"/>
      <c r="T248" s="278"/>
      <c r="U248" s="278"/>
      <c r="V248" s="278"/>
      <c r="W248" s="278"/>
      <c r="X248" s="278"/>
      <c r="Y248" s="89"/>
    </row>
    <row r="249">
      <c r="L249" s="290"/>
      <c r="M249" s="278"/>
      <c r="N249" s="278"/>
      <c r="O249" s="278"/>
      <c r="P249" s="278"/>
      <c r="Q249" s="278"/>
      <c r="R249" s="278"/>
      <c r="S249" s="278"/>
      <c r="T249" s="278"/>
      <c r="U249" s="278"/>
      <c r="V249" s="278"/>
      <c r="W249" s="278"/>
      <c r="X249" s="278"/>
      <c r="Y249" s="89"/>
    </row>
    <row r="250">
      <c r="L250" s="290"/>
      <c r="M250" s="278"/>
      <c r="N250" s="278"/>
      <c r="O250" s="278"/>
      <c r="P250" s="278"/>
      <c r="Q250" s="278"/>
      <c r="R250" s="278"/>
      <c r="S250" s="278"/>
      <c r="T250" s="278"/>
      <c r="U250" s="278"/>
      <c r="V250" s="278"/>
      <c r="W250" s="278"/>
      <c r="X250" s="278"/>
      <c r="Y250" s="89"/>
    </row>
    <row r="251">
      <c r="L251" s="290"/>
      <c r="M251" s="278"/>
      <c r="N251" s="278"/>
      <c r="O251" s="278"/>
      <c r="P251" s="278"/>
      <c r="Q251" s="278"/>
      <c r="R251" s="278"/>
      <c r="S251" s="278"/>
      <c r="T251" s="278"/>
      <c r="U251" s="278"/>
      <c r="V251" s="278"/>
      <c r="W251" s="278"/>
      <c r="X251" s="278"/>
      <c r="Y251" s="89"/>
    </row>
    <row r="252">
      <c r="L252" s="290"/>
      <c r="M252" s="278"/>
      <c r="N252" s="278"/>
      <c r="O252" s="278"/>
      <c r="P252" s="278"/>
      <c r="Q252" s="278"/>
      <c r="R252" s="278"/>
      <c r="S252" s="278"/>
      <c r="T252" s="278"/>
      <c r="U252" s="278"/>
      <c r="V252" s="278"/>
      <c r="W252" s="278"/>
      <c r="X252" s="278"/>
      <c r="Y252" s="89"/>
    </row>
    <row r="253">
      <c r="L253" s="290"/>
      <c r="M253" s="278"/>
      <c r="N253" s="278"/>
      <c r="O253" s="278"/>
      <c r="P253" s="278"/>
      <c r="Q253" s="278"/>
      <c r="R253" s="278"/>
      <c r="S253" s="278"/>
      <c r="T253" s="278"/>
      <c r="U253" s="278"/>
      <c r="V253" s="278"/>
      <c r="W253" s="278"/>
      <c r="X253" s="278"/>
      <c r="Y253" s="89"/>
    </row>
    <row r="254">
      <c r="L254" s="290"/>
      <c r="M254" s="278"/>
      <c r="N254" s="278"/>
      <c r="O254" s="278"/>
      <c r="P254" s="278"/>
      <c r="Q254" s="278"/>
      <c r="R254" s="278"/>
      <c r="S254" s="278"/>
      <c r="T254" s="278"/>
      <c r="U254" s="278"/>
      <c r="V254" s="278"/>
      <c r="W254" s="278"/>
      <c r="X254" s="278"/>
      <c r="Y254" s="89"/>
    </row>
    <row r="255">
      <c r="L255" s="290"/>
      <c r="M255" s="278"/>
      <c r="N255" s="278"/>
      <c r="O255" s="278"/>
      <c r="P255" s="278"/>
      <c r="Q255" s="278"/>
      <c r="R255" s="278"/>
      <c r="S255" s="278"/>
      <c r="T255" s="278"/>
      <c r="U255" s="278"/>
      <c r="V255" s="278"/>
      <c r="W255" s="278"/>
      <c r="X255" s="278"/>
      <c r="Y255" s="89"/>
    </row>
    <row r="256">
      <c r="L256" s="290"/>
      <c r="M256" s="278"/>
      <c r="N256" s="278"/>
      <c r="O256" s="278"/>
      <c r="P256" s="278"/>
      <c r="Q256" s="278"/>
      <c r="R256" s="278"/>
      <c r="S256" s="278"/>
      <c r="T256" s="278"/>
      <c r="U256" s="278"/>
      <c r="V256" s="278"/>
      <c r="W256" s="278"/>
      <c r="X256" s="278"/>
      <c r="Y256" s="89"/>
    </row>
    <row r="257">
      <c r="L257" s="290"/>
      <c r="M257" s="278"/>
      <c r="N257" s="278"/>
      <c r="O257" s="278"/>
      <c r="P257" s="278"/>
      <c r="Q257" s="278"/>
      <c r="R257" s="278"/>
      <c r="S257" s="278"/>
      <c r="T257" s="278"/>
      <c r="U257" s="278"/>
      <c r="V257" s="278"/>
      <c r="W257" s="278"/>
      <c r="X257" s="278"/>
      <c r="Y257" s="89"/>
    </row>
    <row r="258">
      <c r="L258" s="290"/>
      <c r="M258" s="278"/>
      <c r="N258" s="278"/>
      <c r="O258" s="278"/>
      <c r="P258" s="278"/>
      <c r="Q258" s="278"/>
      <c r="R258" s="278"/>
      <c r="S258" s="278"/>
      <c r="T258" s="278"/>
      <c r="U258" s="278"/>
      <c r="V258" s="278"/>
      <c r="W258" s="278"/>
      <c r="X258" s="278"/>
      <c r="Y258" s="89"/>
    </row>
    <row r="259">
      <c r="L259" s="290"/>
      <c r="M259" s="278"/>
      <c r="N259" s="278"/>
      <c r="O259" s="278"/>
      <c r="P259" s="278"/>
      <c r="Q259" s="278"/>
      <c r="R259" s="278"/>
      <c r="S259" s="278"/>
      <c r="T259" s="278"/>
      <c r="U259" s="278"/>
      <c r="V259" s="278"/>
      <c r="W259" s="278"/>
      <c r="X259" s="278"/>
      <c r="Y259" s="89"/>
    </row>
    <row r="260">
      <c r="L260" s="290"/>
      <c r="M260" s="278"/>
      <c r="N260" s="278"/>
      <c r="O260" s="278"/>
      <c r="P260" s="278"/>
      <c r="Q260" s="278"/>
      <c r="R260" s="278"/>
      <c r="S260" s="278"/>
      <c r="T260" s="278"/>
      <c r="U260" s="278"/>
      <c r="V260" s="278"/>
      <c r="W260" s="278"/>
      <c r="X260" s="278"/>
      <c r="Y260" s="89"/>
    </row>
    <row r="261">
      <c r="L261" s="290"/>
      <c r="M261" s="278"/>
      <c r="N261" s="278"/>
      <c r="O261" s="278"/>
      <c r="P261" s="278"/>
      <c r="Q261" s="278"/>
      <c r="R261" s="278"/>
      <c r="S261" s="278"/>
      <c r="T261" s="278"/>
      <c r="U261" s="278"/>
      <c r="V261" s="278"/>
      <c r="W261" s="278"/>
      <c r="X261" s="278"/>
      <c r="Y261" s="89"/>
    </row>
    <row r="262">
      <c r="L262" s="290"/>
      <c r="M262" s="278"/>
      <c r="N262" s="278"/>
      <c r="O262" s="278"/>
      <c r="P262" s="278"/>
      <c r="Q262" s="278"/>
      <c r="R262" s="278"/>
      <c r="S262" s="278"/>
      <c r="T262" s="278"/>
      <c r="U262" s="278"/>
      <c r="V262" s="278"/>
      <c r="W262" s="278"/>
      <c r="X262" s="278"/>
      <c r="Y262" s="89"/>
    </row>
    <row r="263">
      <c r="L263" s="290"/>
      <c r="M263" s="278"/>
      <c r="N263" s="278"/>
      <c r="O263" s="278"/>
      <c r="P263" s="278"/>
      <c r="Q263" s="278"/>
      <c r="R263" s="278"/>
      <c r="S263" s="278"/>
      <c r="T263" s="278"/>
      <c r="U263" s="278"/>
      <c r="V263" s="278"/>
      <c r="W263" s="278"/>
      <c r="X263" s="278"/>
      <c r="Y263" s="89"/>
    </row>
    <row r="264">
      <c r="L264" s="290"/>
      <c r="M264" s="278"/>
      <c r="N264" s="278"/>
      <c r="O264" s="278"/>
      <c r="P264" s="278"/>
      <c r="Q264" s="278"/>
      <c r="R264" s="278"/>
      <c r="S264" s="278"/>
      <c r="T264" s="278"/>
      <c r="U264" s="278"/>
      <c r="V264" s="278"/>
      <c r="W264" s="278"/>
      <c r="X264" s="278"/>
      <c r="Y264" s="89"/>
    </row>
    <row r="265">
      <c r="L265" s="290"/>
      <c r="M265" s="278"/>
      <c r="N265" s="278"/>
      <c r="O265" s="278"/>
      <c r="P265" s="278"/>
      <c r="Q265" s="278"/>
      <c r="R265" s="278"/>
      <c r="S265" s="278"/>
      <c r="T265" s="278"/>
      <c r="U265" s="278"/>
      <c r="V265" s="278"/>
      <c r="W265" s="278"/>
      <c r="X265" s="278"/>
      <c r="Y265" s="89"/>
    </row>
    <row r="266">
      <c r="L266" s="290"/>
      <c r="M266" s="278"/>
      <c r="N266" s="278"/>
      <c r="O266" s="278"/>
      <c r="P266" s="278"/>
      <c r="Q266" s="278"/>
      <c r="R266" s="278"/>
      <c r="S266" s="278"/>
      <c r="T266" s="278"/>
      <c r="U266" s="278"/>
      <c r="V266" s="278"/>
      <c r="W266" s="278"/>
      <c r="X266" s="278"/>
      <c r="Y266" s="89"/>
    </row>
    <row r="267">
      <c r="L267" s="290"/>
      <c r="M267" s="278"/>
      <c r="N267" s="278"/>
      <c r="O267" s="278"/>
      <c r="P267" s="278"/>
      <c r="Q267" s="278"/>
      <c r="R267" s="278"/>
      <c r="S267" s="278"/>
      <c r="T267" s="278"/>
      <c r="U267" s="278"/>
      <c r="V267" s="278"/>
      <c r="W267" s="278"/>
      <c r="X267" s="278"/>
      <c r="Y267" s="89"/>
    </row>
    <row r="268">
      <c r="L268" s="290"/>
      <c r="M268" s="278"/>
      <c r="N268" s="278"/>
      <c r="O268" s="278"/>
      <c r="P268" s="278"/>
      <c r="Q268" s="278"/>
      <c r="R268" s="278"/>
      <c r="S268" s="278"/>
      <c r="T268" s="278"/>
      <c r="U268" s="278"/>
      <c r="V268" s="278"/>
      <c r="W268" s="278"/>
      <c r="X268" s="278"/>
      <c r="Y268" s="89"/>
    </row>
    <row r="269">
      <c r="L269" s="290"/>
      <c r="M269" s="278"/>
      <c r="N269" s="278"/>
      <c r="O269" s="278"/>
      <c r="P269" s="278"/>
      <c r="Q269" s="278"/>
      <c r="R269" s="278"/>
      <c r="S269" s="278"/>
      <c r="T269" s="278"/>
      <c r="U269" s="278"/>
      <c r="V269" s="278"/>
      <c r="W269" s="278"/>
      <c r="X269" s="278"/>
      <c r="Y269" s="89"/>
    </row>
    <row r="270">
      <c r="L270" s="290"/>
      <c r="M270" s="278"/>
      <c r="N270" s="278"/>
      <c r="O270" s="278"/>
      <c r="P270" s="278"/>
      <c r="Q270" s="278"/>
      <c r="R270" s="278"/>
      <c r="S270" s="278"/>
      <c r="T270" s="278"/>
      <c r="U270" s="278"/>
      <c r="V270" s="278"/>
      <c r="W270" s="278"/>
      <c r="X270" s="278"/>
      <c r="Y270" s="89"/>
    </row>
    <row r="271">
      <c r="L271" s="290"/>
      <c r="M271" s="278"/>
      <c r="N271" s="278"/>
      <c r="O271" s="278"/>
      <c r="P271" s="278"/>
      <c r="Q271" s="278"/>
      <c r="R271" s="278"/>
      <c r="S271" s="278"/>
      <c r="T271" s="278"/>
      <c r="U271" s="278"/>
      <c r="V271" s="278"/>
      <c r="W271" s="278"/>
      <c r="X271" s="278"/>
      <c r="Y271" s="89"/>
    </row>
    <row r="272">
      <c r="L272" s="290"/>
      <c r="M272" s="278"/>
      <c r="N272" s="278"/>
      <c r="O272" s="278"/>
      <c r="P272" s="278"/>
      <c r="Q272" s="278"/>
      <c r="R272" s="278"/>
      <c r="S272" s="278"/>
      <c r="T272" s="278"/>
      <c r="U272" s="278"/>
      <c r="V272" s="278"/>
      <c r="W272" s="278"/>
      <c r="X272" s="278"/>
      <c r="Y272" s="89"/>
    </row>
    <row r="273">
      <c r="L273" s="290"/>
      <c r="M273" s="278"/>
      <c r="N273" s="278"/>
      <c r="O273" s="278"/>
      <c r="P273" s="278"/>
      <c r="Q273" s="278"/>
      <c r="R273" s="278"/>
      <c r="S273" s="278"/>
      <c r="T273" s="278"/>
      <c r="U273" s="278"/>
      <c r="V273" s="278"/>
      <c r="W273" s="278"/>
      <c r="X273" s="278"/>
      <c r="Y273" s="89"/>
    </row>
    <row r="274">
      <c r="L274" s="290"/>
      <c r="M274" s="278"/>
      <c r="N274" s="278"/>
      <c r="O274" s="278"/>
      <c r="P274" s="278"/>
      <c r="Q274" s="278"/>
      <c r="R274" s="278"/>
      <c r="S274" s="278"/>
      <c r="T274" s="278"/>
      <c r="U274" s="278"/>
      <c r="V274" s="278"/>
      <c r="W274" s="278"/>
      <c r="X274" s="278"/>
      <c r="Y274" s="89"/>
    </row>
    <row r="275">
      <c r="L275" s="290"/>
      <c r="M275" s="278"/>
      <c r="N275" s="278"/>
      <c r="O275" s="278"/>
      <c r="P275" s="278"/>
      <c r="Q275" s="278"/>
      <c r="R275" s="278"/>
      <c r="S275" s="278"/>
      <c r="T275" s="278"/>
      <c r="U275" s="278"/>
      <c r="V275" s="278"/>
      <c r="W275" s="278"/>
      <c r="X275" s="278"/>
      <c r="Y275" s="89"/>
    </row>
    <row r="276">
      <c r="L276" s="290"/>
      <c r="M276" s="278"/>
      <c r="N276" s="278"/>
      <c r="O276" s="278"/>
      <c r="P276" s="278"/>
      <c r="Q276" s="278"/>
      <c r="R276" s="278"/>
      <c r="S276" s="278"/>
      <c r="T276" s="278"/>
      <c r="U276" s="278"/>
      <c r="V276" s="278"/>
      <c r="W276" s="278"/>
      <c r="X276" s="278"/>
      <c r="Y276" s="89"/>
    </row>
    <row r="277">
      <c r="L277" s="290"/>
      <c r="M277" s="278"/>
      <c r="N277" s="278"/>
      <c r="O277" s="278"/>
      <c r="P277" s="278"/>
      <c r="Q277" s="278"/>
      <c r="R277" s="278"/>
      <c r="S277" s="278"/>
      <c r="T277" s="278"/>
      <c r="U277" s="278"/>
      <c r="V277" s="278"/>
      <c r="W277" s="278"/>
      <c r="X277" s="278"/>
      <c r="Y277" s="89"/>
    </row>
    <row r="278">
      <c r="L278" s="290"/>
      <c r="M278" s="278"/>
      <c r="N278" s="278"/>
      <c r="O278" s="278"/>
      <c r="P278" s="278"/>
      <c r="Q278" s="278"/>
      <c r="R278" s="278"/>
      <c r="S278" s="278"/>
      <c r="T278" s="278"/>
      <c r="U278" s="278"/>
      <c r="V278" s="278"/>
      <c r="W278" s="278"/>
      <c r="X278" s="278"/>
      <c r="Y278" s="89"/>
    </row>
    <row r="279">
      <c r="L279" s="290"/>
      <c r="M279" s="278"/>
      <c r="N279" s="278"/>
      <c r="O279" s="278"/>
      <c r="P279" s="278"/>
      <c r="Q279" s="278"/>
      <c r="R279" s="278"/>
      <c r="S279" s="278"/>
      <c r="T279" s="278"/>
      <c r="U279" s="278"/>
      <c r="V279" s="278"/>
      <c r="W279" s="278"/>
      <c r="X279" s="278"/>
      <c r="Y279" s="89"/>
    </row>
    <row r="280">
      <c r="L280" s="290"/>
      <c r="M280" s="278"/>
      <c r="N280" s="278"/>
      <c r="O280" s="278"/>
      <c r="P280" s="278"/>
      <c r="Q280" s="278"/>
      <c r="R280" s="278"/>
      <c r="S280" s="278"/>
      <c r="T280" s="278"/>
      <c r="U280" s="278"/>
      <c r="V280" s="278"/>
      <c r="W280" s="278"/>
      <c r="X280" s="278"/>
      <c r="Y280" s="89"/>
    </row>
    <row r="281">
      <c r="L281" s="290"/>
      <c r="M281" s="278"/>
      <c r="N281" s="278"/>
      <c r="O281" s="278"/>
      <c r="P281" s="278"/>
      <c r="Q281" s="278"/>
      <c r="R281" s="278"/>
      <c r="S281" s="278"/>
      <c r="T281" s="278"/>
      <c r="U281" s="278"/>
      <c r="V281" s="278"/>
      <c r="W281" s="278"/>
      <c r="X281" s="278"/>
      <c r="Y281" s="89"/>
    </row>
    <row r="282">
      <c r="L282" s="290"/>
      <c r="M282" s="278"/>
      <c r="N282" s="278"/>
      <c r="O282" s="278"/>
      <c r="P282" s="278"/>
      <c r="Q282" s="278"/>
      <c r="R282" s="278"/>
      <c r="S282" s="278"/>
      <c r="T282" s="278"/>
      <c r="U282" s="278"/>
      <c r="V282" s="278"/>
      <c r="W282" s="278"/>
      <c r="X282" s="278"/>
      <c r="Y282" s="89"/>
    </row>
    <row r="283">
      <c r="L283" s="290"/>
      <c r="M283" s="278"/>
      <c r="N283" s="278"/>
      <c r="O283" s="278"/>
      <c r="P283" s="278"/>
      <c r="Q283" s="278"/>
      <c r="R283" s="278"/>
      <c r="S283" s="278"/>
      <c r="T283" s="278"/>
      <c r="U283" s="278"/>
      <c r="V283" s="278"/>
      <c r="W283" s="278"/>
      <c r="X283" s="278"/>
      <c r="Y283" s="89"/>
    </row>
    <row r="284">
      <c r="L284" s="290"/>
      <c r="M284" s="278"/>
      <c r="N284" s="278"/>
      <c r="O284" s="278"/>
      <c r="P284" s="278"/>
      <c r="Q284" s="278"/>
      <c r="R284" s="278"/>
      <c r="S284" s="278"/>
      <c r="T284" s="278"/>
      <c r="U284" s="278"/>
      <c r="V284" s="278"/>
      <c r="W284" s="278"/>
      <c r="X284" s="278"/>
      <c r="Y284" s="89"/>
    </row>
    <row r="285">
      <c r="L285" s="290"/>
      <c r="M285" s="278"/>
      <c r="N285" s="278"/>
      <c r="O285" s="278"/>
      <c r="P285" s="278"/>
      <c r="Q285" s="278"/>
      <c r="R285" s="278"/>
      <c r="S285" s="278"/>
      <c r="T285" s="278"/>
      <c r="U285" s="278"/>
      <c r="V285" s="278"/>
      <c r="W285" s="278"/>
      <c r="X285" s="278"/>
      <c r="Y285" s="89"/>
    </row>
    <row r="286">
      <c r="L286" s="290"/>
      <c r="M286" s="278"/>
      <c r="N286" s="278"/>
      <c r="O286" s="278"/>
      <c r="P286" s="278"/>
      <c r="Q286" s="278"/>
      <c r="R286" s="278"/>
      <c r="S286" s="278"/>
      <c r="T286" s="278"/>
      <c r="U286" s="278"/>
      <c r="V286" s="278"/>
      <c r="W286" s="278"/>
      <c r="X286" s="278"/>
      <c r="Y286" s="89"/>
    </row>
    <row r="287">
      <c r="L287" s="290"/>
      <c r="M287" s="278"/>
      <c r="N287" s="278"/>
      <c r="O287" s="278"/>
      <c r="P287" s="278"/>
      <c r="Q287" s="278"/>
      <c r="R287" s="278"/>
      <c r="S287" s="278"/>
      <c r="T287" s="278"/>
      <c r="U287" s="278"/>
      <c r="V287" s="278"/>
      <c r="W287" s="278"/>
      <c r="X287" s="278"/>
      <c r="Y287" s="89"/>
    </row>
    <row r="288">
      <c r="L288" s="290"/>
      <c r="M288" s="278"/>
      <c r="N288" s="278"/>
      <c r="O288" s="278"/>
      <c r="P288" s="278"/>
      <c r="Q288" s="278"/>
      <c r="R288" s="278"/>
      <c r="S288" s="278"/>
      <c r="T288" s="278"/>
      <c r="U288" s="278"/>
      <c r="V288" s="278"/>
      <c r="W288" s="278"/>
      <c r="X288" s="278"/>
      <c r="Y288" s="89"/>
    </row>
    <row r="289">
      <c r="L289" s="290"/>
      <c r="M289" s="278"/>
      <c r="N289" s="278"/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89"/>
    </row>
    <row r="290">
      <c r="L290" s="290"/>
      <c r="M290" s="278"/>
      <c r="N290" s="278"/>
      <c r="O290" s="278"/>
      <c r="P290" s="278"/>
      <c r="Q290" s="278"/>
      <c r="R290" s="278"/>
      <c r="S290" s="278"/>
      <c r="T290" s="278"/>
      <c r="U290" s="278"/>
      <c r="V290" s="278"/>
      <c r="W290" s="278"/>
      <c r="X290" s="278"/>
      <c r="Y290" s="89"/>
    </row>
    <row r="291">
      <c r="L291" s="290"/>
      <c r="M291" s="278"/>
      <c r="N291" s="278"/>
      <c r="O291" s="278"/>
      <c r="P291" s="278"/>
      <c r="Q291" s="278"/>
      <c r="R291" s="278"/>
      <c r="S291" s="278"/>
      <c r="T291" s="278"/>
      <c r="U291" s="278"/>
      <c r="V291" s="278"/>
      <c r="W291" s="278"/>
      <c r="X291" s="278"/>
      <c r="Y291" s="89"/>
    </row>
    <row r="292">
      <c r="L292" s="290"/>
      <c r="M292" s="278"/>
      <c r="N292" s="278"/>
      <c r="O292" s="278"/>
      <c r="P292" s="278"/>
      <c r="Q292" s="278"/>
      <c r="R292" s="278"/>
      <c r="S292" s="278"/>
      <c r="T292" s="278"/>
      <c r="U292" s="278"/>
      <c r="V292" s="278"/>
      <c r="W292" s="278"/>
      <c r="X292" s="278"/>
      <c r="Y292" s="89"/>
    </row>
    <row r="293">
      <c r="L293" s="290"/>
      <c r="M293" s="278"/>
      <c r="N293" s="278"/>
      <c r="O293" s="278"/>
      <c r="P293" s="278"/>
      <c r="Q293" s="278"/>
      <c r="R293" s="278"/>
      <c r="S293" s="278"/>
      <c r="T293" s="278"/>
      <c r="U293" s="278"/>
      <c r="V293" s="278"/>
      <c r="W293" s="278"/>
      <c r="X293" s="278"/>
      <c r="Y293" s="89"/>
    </row>
    <row r="294">
      <c r="L294" s="290"/>
      <c r="M294" s="278"/>
      <c r="N294" s="278"/>
      <c r="O294" s="278"/>
      <c r="P294" s="278"/>
      <c r="Q294" s="278"/>
      <c r="R294" s="278"/>
      <c r="S294" s="278"/>
      <c r="T294" s="278"/>
      <c r="U294" s="278"/>
      <c r="V294" s="278"/>
      <c r="W294" s="278"/>
      <c r="X294" s="278"/>
      <c r="Y294" s="89"/>
    </row>
    <row r="295">
      <c r="L295" s="290"/>
      <c r="M295" s="278"/>
      <c r="N295" s="278"/>
      <c r="O295" s="278"/>
      <c r="P295" s="278"/>
      <c r="Q295" s="278"/>
      <c r="R295" s="278"/>
      <c r="S295" s="278"/>
      <c r="T295" s="278"/>
      <c r="U295" s="278"/>
      <c r="V295" s="278"/>
      <c r="W295" s="278"/>
      <c r="X295" s="278"/>
      <c r="Y295" s="89"/>
    </row>
    <row r="296">
      <c r="L296" s="290"/>
      <c r="M296" s="278"/>
      <c r="N296" s="278"/>
      <c r="O296" s="278"/>
      <c r="P296" s="278"/>
      <c r="Q296" s="278"/>
      <c r="R296" s="278"/>
      <c r="S296" s="278"/>
      <c r="T296" s="278"/>
      <c r="U296" s="278"/>
      <c r="V296" s="278"/>
      <c r="W296" s="278"/>
      <c r="X296" s="278"/>
      <c r="Y296" s="89"/>
    </row>
    <row r="297">
      <c r="L297" s="290"/>
      <c r="M297" s="278"/>
      <c r="N297" s="278"/>
      <c r="O297" s="278"/>
      <c r="P297" s="278"/>
      <c r="Q297" s="278"/>
      <c r="R297" s="278"/>
      <c r="S297" s="278"/>
      <c r="T297" s="278"/>
      <c r="U297" s="278"/>
      <c r="V297" s="278"/>
      <c r="W297" s="278"/>
      <c r="X297" s="278"/>
      <c r="Y297" s="89"/>
    </row>
    <row r="298">
      <c r="L298" s="290"/>
      <c r="M298" s="278"/>
      <c r="N298" s="278"/>
      <c r="O298" s="278"/>
      <c r="P298" s="278"/>
      <c r="Q298" s="278"/>
      <c r="R298" s="278"/>
      <c r="S298" s="278"/>
      <c r="T298" s="278"/>
      <c r="U298" s="278"/>
      <c r="V298" s="278"/>
      <c r="W298" s="278"/>
      <c r="X298" s="278"/>
      <c r="Y298" s="89"/>
    </row>
    <row r="299">
      <c r="L299" s="290"/>
      <c r="M299" s="278"/>
      <c r="N299" s="278"/>
      <c r="O299" s="278"/>
      <c r="P299" s="278"/>
      <c r="Q299" s="278"/>
      <c r="R299" s="278"/>
      <c r="S299" s="278"/>
      <c r="T299" s="278"/>
      <c r="U299" s="278"/>
      <c r="V299" s="278"/>
      <c r="W299" s="278"/>
      <c r="X299" s="278"/>
      <c r="Y299" s="89"/>
    </row>
    <row r="300">
      <c r="L300" s="290"/>
      <c r="M300" s="278"/>
      <c r="N300" s="278"/>
      <c r="O300" s="278"/>
      <c r="P300" s="278"/>
      <c r="Q300" s="278"/>
      <c r="R300" s="278"/>
      <c r="S300" s="278"/>
      <c r="T300" s="278"/>
      <c r="U300" s="278"/>
      <c r="V300" s="278"/>
      <c r="W300" s="278"/>
      <c r="X300" s="278"/>
      <c r="Y300" s="89"/>
    </row>
    <row r="301">
      <c r="L301" s="290"/>
      <c r="M301" s="278"/>
      <c r="N301" s="278"/>
      <c r="O301" s="278"/>
      <c r="P301" s="278"/>
      <c r="Q301" s="278"/>
      <c r="R301" s="278"/>
      <c r="S301" s="278"/>
      <c r="T301" s="278"/>
      <c r="U301" s="278"/>
      <c r="V301" s="278"/>
      <c r="W301" s="278"/>
      <c r="X301" s="278"/>
      <c r="Y301" s="89"/>
    </row>
    <row r="302">
      <c r="L302" s="290"/>
      <c r="M302" s="278"/>
      <c r="N302" s="278"/>
      <c r="O302" s="278"/>
      <c r="P302" s="278"/>
      <c r="Q302" s="278"/>
      <c r="R302" s="278"/>
      <c r="S302" s="278"/>
      <c r="T302" s="278"/>
      <c r="U302" s="278"/>
      <c r="V302" s="278"/>
      <c r="W302" s="278"/>
      <c r="X302" s="278"/>
      <c r="Y302" s="89"/>
    </row>
    <row r="303">
      <c r="L303" s="290"/>
      <c r="M303" s="278"/>
      <c r="N303" s="278"/>
      <c r="O303" s="278"/>
      <c r="P303" s="278"/>
      <c r="Q303" s="278"/>
      <c r="R303" s="278"/>
      <c r="S303" s="278"/>
      <c r="T303" s="278"/>
      <c r="U303" s="278"/>
      <c r="V303" s="278"/>
      <c r="W303" s="278"/>
      <c r="X303" s="278"/>
      <c r="Y303" s="89"/>
    </row>
    <row r="304">
      <c r="L304" s="290"/>
      <c r="M304" s="278"/>
      <c r="N304" s="278"/>
      <c r="O304" s="278"/>
      <c r="P304" s="278"/>
      <c r="Q304" s="278"/>
      <c r="R304" s="278"/>
      <c r="S304" s="278"/>
      <c r="T304" s="278"/>
      <c r="U304" s="278"/>
      <c r="V304" s="278"/>
      <c r="W304" s="278"/>
      <c r="X304" s="278"/>
      <c r="Y304" s="89"/>
    </row>
    <row r="305">
      <c r="L305" s="290"/>
      <c r="M305" s="278"/>
      <c r="N305" s="278"/>
      <c r="O305" s="278"/>
      <c r="P305" s="278"/>
      <c r="Q305" s="278"/>
      <c r="R305" s="278"/>
      <c r="S305" s="278"/>
      <c r="T305" s="278"/>
      <c r="U305" s="278"/>
      <c r="V305" s="278"/>
      <c r="W305" s="278"/>
      <c r="X305" s="278"/>
      <c r="Y305" s="89"/>
    </row>
    <row r="306">
      <c r="L306" s="290"/>
      <c r="M306" s="278"/>
      <c r="N306" s="278"/>
      <c r="O306" s="278"/>
      <c r="P306" s="278"/>
      <c r="Q306" s="278"/>
      <c r="R306" s="278"/>
      <c r="S306" s="278"/>
      <c r="T306" s="278"/>
      <c r="U306" s="278"/>
      <c r="V306" s="278"/>
      <c r="W306" s="278"/>
      <c r="X306" s="278"/>
      <c r="Y306" s="89"/>
    </row>
    <row r="307">
      <c r="L307" s="290"/>
      <c r="M307" s="278"/>
      <c r="N307" s="278"/>
      <c r="O307" s="278"/>
      <c r="P307" s="278"/>
      <c r="Q307" s="278"/>
      <c r="R307" s="278"/>
      <c r="S307" s="278"/>
      <c r="T307" s="278"/>
      <c r="U307" s="278"/>
      <c r="V307" s="278"/>
      <c r="W307" s="278"/>
      <c r="X307" s="278"/>
      <c r="Y307" s="89"/>
    </row>
    <row r="308">
      <c r="L308" s="290"/>
      <c r="M308" s="278"/>
      <c r="N308" s="278"/>
      <c r="O308" s="278"/>
      <c r="P308" s="278"/>
      <c r="Q308" s="278"/>
      <c r="R308" s="278"/>
      <c r="S308" s="278"/>
      <c r="T308" s="278"/>
      <c r="U308" s="278"/>
      <c r="V308" s="278"/>
      <c r="W308" s="278"/>
      <c r="X308" s="278"/>
      <c r="Y308" s="89"/>
    </row>
    <row r="309">
      <c r="L309" s="290"/>
      <c r="M309" s="278"/>
      <c r="N309" s="278"/>
      <c r="O309" s="278"/>
      <c r="P309" s="278"/>
      <c r="Q309" s="278"/>
      <c r="R309" s="278"/>
      <c r="S309" s="278"/>
      <c r="T309" s="278"/>
      <c r="U309" s="278"/>
      <c r="V309" s="278"/>
      <c r="W309" s="278"/>
      <c r="X309" s="278"/>
      <c r="Y309" s="89"/>
    </row>
    <row r="310">
      <c r="L310" s="290"/>
      <c r="M310" s="278"/>
      <c r="N310" s="278"/>
      <c r="O310" s="278"/>
      <c r="P310" s="278"/>
      <c r="Q310" s="278"/>
      <c r="R310" s="278"/>
      <c r="S310" s="278"/>
      <c r="T310" s="278"/>
      <c r="U310" s="278"/>
      <c r="V310" s="278"/>
      <c r="W310" s="278"/>
      <c r="X310" s="278"/>
      <c r="Y310" s="89"/>
    </row>
    <row r="311">
      <c r="L311" s="290"/>
      <c r="M311" s="278"/>
      <c r="N311" s="278"/>
      <c r="O311" s="278"/>
      <c r="P311" s="278"/>
      <c r="Q311" s="278"/>
      <c r="R311" s="278"/>
      <c r="S311" s="278"/>
      <c r="T311" s="278"/>
      <c r="U311" s="278"/>
      <c r="V311" s="278"/>
      <c r="W311" s="278"/>
      <c r="X311" s="278"/>
      <c r="Y311" s="89"/>
    </row>
    <row r="312">
      <c r="L312" s="290"/>
      <c r="M312" s="278"/>
      <c r="N312" s="278"/>
      <c r="O312" s="278"/>
      <c r="P312" s="278"/>
      <c r="Q312" s="278"/>
      <c r="R312" s="278"/>
      <c r="S312" s="278"/>
      <c r="T312" s="278"/>
      <c r="U312" s="278"/>
      <c r="V312" s="278"/>
      <c r="W312" s="278"/>
      <c r="X312" s="278"/>
      <c r="Y312" s="89"/>
    </row>
    <row r="313">
      <c r="L313" s="290"/>
      <c r="M313" s="278"/>
      <c r="N313" s="278"/>
      <c r="O313" s="278"/>
      <c r="P313" s="278"/>
      <c r="Q313" s="278"/>
      <c r="R313" s="278"/>
      <c r="S313" s="278"/>
      <c r="T313" s="278"/>
      <c r="U313" s="278"/>
      <c r="V313" s="278"/>
      <c r="W313" s="278"/>
      <c r="X313" s="278"/>
      <c r="Y313" s="89"/>
    </row>
    <row r="314">
      <c r="L314" s="290"/>
      <c r="M314" s="278"/>
      <c r="N314" s="278"/>
      <c r="O314" s="278"/>
      <c r="P314" s="278"/>
      <c r="Q314" s="278"/>
      <c r="R314" s="278"/>
      <c r="S314" s="278"/>
      <c r="T314" s="278"/>
      <c r="U314" s="278"/>
      <c r="V314" s="278"/>
      <c r="W314" s="278"/>
      <c r="X314" s="278"/>
      <c r="Y314" s="89"/>
    </row>
    <row r="315">
      <c r="L315" s="290"/>
      <c r="M315" s="278"/>
      <c r="N315" s="278"/>
      <c r="O315" s="278"/>
      <c r="P315" s="278"/>
      <c r="Q315" s="278"/>
      <c r="R315" s="278"/>
      <c r="S315" s="278"/>
      <c r="T315" s="278"/>
      <c r="U315" s="278"/>
      <c r="V315" s="278"/>
      <c r="W315" s="278"/>
      <c r="X315" s="278"/>
      <c r="Y315" s="89"/>
    </row>
    <row r="316">
      <c r="L316" s="290"/>
      <c r="M316" s="278"/>
      <c r="N316" s="278"/>
      <c r="O316" s="278"/>
      <c r="P316" s="278"/>
      <c r="Q316" s="278"/>
      <c r="R316" s="278"/>
      <c r="S316" s="278"/>
      <c r="T316" s="278"/>
      <c r="U316" s="278"/>
      <c r="V316" s="278"/>
      <c r="W316" s="278"/>
      <c r="X316" s="278"/>
      <c r="Y316" s="89"/>
    </row>
    <row r="317">
      <c r="L317" s="290"/>
      <c r="M317" s="278"/>
      <c r="N317" s="278"/>
      <c r="O317" s="278"/>
      <c r="P317" s="278"/>
      <c r="Q317" s="278"/>
      <c r="R317" s="278"/>
      <c r="S317" s="278"/>
      <c r="T317" s="278"/>
      <c r="U317" s="278"/>
      <c r="V317" s="278"/>
      <c r="W317" s="278"/>
      <c r="X317" s="278"/>
      <c r="Y317" s="89"/>
    </row>
    <row r="318">
      <c r="L318" s="290"/>
      <c r="M318" s="278"/>
      <c r="N318" s="278"/>
      <c r="O318" s="278"/>
      <c r="P318" s="278"/>
      <c r="Q318" s="278"/>
      <c r="R318" s="278"/>
      <c r="S318" s="278"/>
      <c r="T318" s="278"/>
      <c r="U318" s="278"/>
      <c r="V318" s="278"/>
      <c r="W318" s="278"/>
      <c r="X318" s="278"/>
      <c r="Y318" s="89"/>
    </row>
    <row r="319">
      <c r="L319" s="290"/>
      <c r="M319" s="278"/>
      <c r="N319" s="278"/>
      <c r="O319" s="278"/>
      <c r="P319" s="278"/>
      <c r="Q319" s="278"/>
      <c r="R319" s="278"/>
      <c r="S319" s="278"/>
      <c r="T319" s="278"/>
      <c r="U319" s="278"/>
      <c r="V319" s="278"/>
      <c r="W319" s="278"/>
      <c r="X319" s="278"/>
      <c r="Y319" s="89"/>
    </row>
    <row r="320">
      <c r="L320" s="290"/>
      <c r="M320" s="278"/>
      <c r="N320" s="278"/>
      <c r="O320" s="278"/>
      <c r="P320" s="278"/>
      <c r="Q320" s="278"/>
      <c r="R320" s="278"/>
      <c r="S320" s="278"/>
      <c r="T320" s="278"/>
      <c r="U320" s="278"/>
      <c r="V320" s="278"/>
      <c r="W320" s="278"/>
      <c r="X320" s="278"/>
      <c r="Y320" s="89"/>
    </row>
    <row r="321">
      <c r="L321" s="290"/>
      <c r="M321" s="278"/>
      <c r="N321" s="278"/>
      <c r="O321" s="278"/>
      <c r="P321" s="278"/>
      <c r="Q321" s="278"/>
      <c r="R321" s="278"/>
      <c r="S321" s="278"/>
      <c r="T321" s="278"/>
      <c r="U321" s="278"/>
      <c r="V321" s="278"/>
      <c r="W321" s="278"/>
      <c r="X321" s="278"/>
      <c r="Y321" s="89"/>
    </row>
    <row r="322">
      <c r="L322" s="290"/>
      <c r="M322" s="278"/>
      <c r="N322" s="278"/>
      <c r="O322" s="278"/>
      <c r="P322" s="278"/>
      <c r="Q322" s="278"/>
      <c r="R322" s="278"/>
      <c r="S322" s="278"/>
      <c r="T322" s="278"/>
      <c r="U322" s="278"/>
      <c r="V322" s="278"/>
      <c r="W322" s="278"/>
      <c r="X322" s="278"/>
      <c r="Y322" s="89"/>
    </row>
    <row r="323">
      <c r="L323" s="290"/>
      <c r="M323" s="278"/>
      <c r="N323" s="278"/>
      <c r="O323" s="278"/>
      <c r="P323" s="278"/>
      <c r="Q323" s="278"/>
      <c r="R323" s="278"/>
      <c r="S323" s="278"/>
      <c r="T323" s="278"/>
      <c r="U323" s="278"/>
      <c r="V323" s="278"/>
      <c r="W323" s="278"/>
      <c r="X323" s="278"/>
      <c r="Y323" s="89"/>
    </row>
    <row r="324">
      <c r="L324" s="290"/>
      <c r="M324" s="278"/>
      <c r="N324" s="278"/>
      <c r="O324" s="278"/>
      <c r="P324" s="278"/>
      <c r="Q324" s="278"/>
      <c r="R324" s="278"/>
      <c r="S324" s="278"/>
      <c r="T324" s="278"/>
      <c r="U324" s="278"/>
      <c r="V324" s="278"/>
      <c r="W324" s="278"/>
      <c r="X324" s="278"/>
      <c r="Y324" s="89"/>
    </row>
    <row r="325">
      <c r="L325" s="290"/>
      <c r="M325" s="278"/>
      <c r="N325" s="278"/>
      <c r="O325" s="278"/>
      <c r="P325" s="278"/>
      <c r="Q325" s="278"/>
      <c r="R325" s="278"/>
      <c r="S325" s="278"/>
      <c r="T325" s="278"/>
      <c r="U325" s="278"/>
      <c r="V325" s="278"/>
      <c r="W325" s="278"/>
      <c r="X325" s="278"/>
      <c r="Y325" s="89"/>
    </row>
    <row r="326">
      <c r="L326" s="290"/>
      <c r="M326" s="278"/>
      <c r="N326" s="278"/>
      <c r="O326" s="278"/>
      <c r="P326" s="278"/>
      <c r="Q326" s="278"/>
      <c r="R326" s="278"/>
      <c r="S326" s="278"/>
      <c r="T326" s="278"/>
      <c r="U326" s="278"/>
      <c r="V326" s="278"/>
      <c r="W326" s="278"/>
      <c r="X326" s="278"/>
      <c r="Y326" s="89"/>
    </row>
    <row r="327">
      <c r="L327" s="290"/>
      <c r="M327" s="278"/>
      <c r="N327" s="278"/>
      <c r="O327" s="278"/>
      <c r="P327" s="278"/>
      <c r="Q327" s="278"/>
      <c r="R327" s="278"/>
      <c r="S327" s="278"/>
      <c r="T327" s="278"/>
      <c r="U327" s="278"/>
      <c r="V327" s="278"/>
      <c r="W327" s="278"/>
      <c r="X327" s="278"/>
      <c r="Y327" s="89"/>
    </row>
    <row r="328">
      <c r="L328" s="290"/>
      <c r="M328" s="278"/>
      <c r="N328" s="278"/>
      <c r="O328" s="278"/>
      <c r="P328" s="278"/>
      <c r="Q328" s="278"/>
      <c r="R328" s="278"/>
      <c r="S328" s="278"/>
      <c r="T328" s="278"/>
      <c r="U328" s="278"/>
      <c r="V328" s="278"/>
      <c r="W328" s="278"/>
      <c r="X328" s="278"/>
      <c r="Y328" s="89"/>
    </row>
    <row r="329">
      <c r="L329" s="290"/>
      <c r="M329" s="278"/>
      <c r="N329" s="278"/>
      <c r="O329" s="278"/>
      <c r="P329" s="278"/>
      <c r="Q329" s="278"/>
      <c r="R329" s="278"/>
      <c r="S329" s="278"/>
      <c r="T329" s="278"/>
      <c r="U329" s="278"/>
      <c r="V329" s="278"/>
      <c r="W329" s="278"/>
      <c r="X329" s="278"/>
      <c r="Y329" s="89"/>
    </row>
    <row r="330">
      <c r="L330" s="290"/>
      <c r="M330" s="278"/>
      <c r="N330" s="278"/>
      <c r="O330" s="278"/>
      <c r="P330" s="278"/>
      <c r="Q330" s="278"/>
      <c r="R330" s="278"/>
      <c r="S330" s="278"/>
      <c r="T330" s="278"/>
      <c r="U330" s="278"/>
      <c r="V330" s="278"/>
      <c r="W330" s="278"/>
      <c r="X330" s="278"/>
      <c r="Y330" s="89"/>
    </row>
    <row r="331">
      <c r="L331" s="290"/>
      <c r="M331" s="278"/>
      <c r="N331" s="278"/>
      <c r="O331" s="278"/>
      <c r="P331" s="278"/>
      <c r="Q331" s="278"/>
      <c r="R331" s="278"/>
      <c r="S331" s="278"/>
      <c r="T331" s="278"/>
      <c r="U331" s="278"/>
      <c r="V331" s="278"/>
      <c r="W331" s="278"/>
      <c r="X331" s="278"/>
      <c r="Y331" s="89"/>
    </row>
    <row r="332">
      <c r="L332" s="290"/>
      <c r="M332" s="278"/>
      <c r="N332" s="278"/>
      <c r="O332" s="278"/>
      <c r="P332" s="278"/>
      <c r="Q332" s="278"/>
      <c r="R332" s="278"/>
      <c r="S332" s="278"/>
      <c r="T332" s="278"/>
      <c r="U332" s="278"/>
      <c r="V332" s="278"/>
      <c r="W332" s="278"/>
      <c r="X332" s="278"/>
      <c r="Y332" s="89"/>
    </row>
    <row r="333">
      <c r="L333" s="290"/>
      <c r="M333" s="278"/>
      <c r="N333" s="278"/>
      <c r="O333" s="278"/>
      <c r="P333" s="278"/>
      <c r="Q333" s="278"/>
      <c r="R333" s="278"/>
      <c r="S333" s="278"/>
      <c r="T333" s="278"/>
      <c r="U333" s="278"/>
      <c r="V333" s="278"/>
      <c r="W333" s="278"/>
      <c r="X333" s="278"/>
      <c r="Y333" s="89"/>
    </row>
    <row r="334">
      <c r="L334" s="290"/>
      <c r="M334" s="278"/>
      <c r="N334" s="278"/>
      <c r="O334" s="278"/>
      <c r="P334" s="278"/>
      <c r="Q334" s="278"/>
      <c r="R334" s="278"/>
      <c r="S334" s="278"/>
      <c r="T334" s="278"/>
      <c r="U334" s="278"/>
      <c r="V334" s="278"/>
      <c r="W334" s="278"/>
      <c r="X334" s="278"/>
      <c r="Y334" s="89"/>
    </row>
    <row r="335">
      <c r="L335" s="290"/>
      <c r="M335" s="278"/>
      <c r="N335" s="278"/>
      <c r="O335" s="278"/>
      <c r="P335" s="278"/>
      <c r="Q335" s="278"/>
      <c r="R335" s="278"/>
      <c r="S335" s="278"/>
      <c r="T335" s="278"/>
      <c r="U335" s="278"/>
      <c r="V335" s="278"/>
      <c r="W335" s="278"/>
      <c r="X335" s="278"/>
      <c r="Y335" s="89"/>
    </row>
    <row r="336">
      <c r="L336" s="290"/>
      <c r="M336" s="278"/>
      <c r="N336" s="278"/>
      <c r="O336" s="278"/>
      <c r="P336" s="278"/>
      <c r="Q336" s="278"/>
      <c r="R336" s="278"/>
      <c r="S336" s="278"/>
      <c r="T336" s="278"/>
      <c r="U336" s="278"/>
      <c r="V336" s="278"/>
      <c r="W336" s="278"/>
      <c r="X336" s="278"/>
      <c r="Y336" s="89"/>
    </row>
    <row r="337">
      <c r="L337" s="290"/>
      <c r="M337" s="278"/>
      <c r="N337" s="278"/>
      <c r="O337" s="278"/>
      <c r="P337" s="278"/>
      <c r="Q337" s="278"/>
      <c r="R337" s="278"/>
      <c r="S337" s="278"/>
      <c r="T337" s="278"/>
      <c r="U337" s="278"/>
      <c r="V337" s="278"/>
      <c r="W337" s="278"/>
      <c r="X337" s="278"/>
      <c r="Y337" s="89"/>
    </row>
    <row r="338">
      <c r="L338" s="290"/>
      <c r="M338" s="278"/>
      <c r="N338" s="278"/>
      <c r="O338" s="278"/>
      <c r="P338" s="278"/>
      <c r="Q338" s="278"/>
      <c r="R338" s="278"/>
      <c r="S338" s="278"/>
      <c r="T338" s="278"/>
      <c r="U338" s="278"/>
      <c r="V338" s="278"/>
      <c r="W338" s="278"/>
      <c r="X338" s="278"/>
      <c r="Y338" s="89"/>
    </row>
    <row r="339">
      <c r="L339" s="290"/>
      <c r="M339" s="278"/>
      <c r="N339" s="278"/>
      <c r="O339" s="278"/>
      <c r="P339" s="278"/>
      <c r="Q339" s="278"/>
      <c r="R339" s="278"/>
      <c r="S339" s="278"/>
      <c r="T339" s="278"/>
      <c r="U339" s="278"/>
      <c r="V339" s="278"/>
      <c r="W339" s="278"/>
      <c r="X339" s="278"/>
      <c r="Y339" s="89"/>
    </row>
    <row r="340">
      <c r="L340" s="290"/>
      <c r="M340" s="278"/>
      <c r="N340" s="278"/>
      <c r="O340" s="278"/>
      <c r="P340" s="278"/>
      <c r="Q340" s="278"/>
      <c r="R340" s="278"/>
      <c r="S340" s="278"/>
      <c r="T340" s="278"/>
      <c r="U340" s="278"/>
      <c r="V340" s="278"/>
      <c r="W340" s="278"/>
      <c r="X340" s="278"/>
      <c r="Y340" s="89"/>
    </row>
    <row r="341">
      <c r="L341" s="290"/>
      <c r="M341" s="278"/>
      <c r="N341" s="278"/>
      <c r="O341" s="278"/>
      <c r="P341" s="278"/>
      <c r="Q341" s="278"/>
      <c r="R341" s="278"/>
      <c r="S341" s="278"/>
      <c r="T341" s="278"/>
      <c r="U341" s="278"/>
      <c r="V341" s="278"/>
      <c r="W341" s="278"/>
      <c r="X341" s="278"/>
      <c r="Y341" s="89"/>
    </row>
    <row r="342">
      <c r="L342" s="290"/>
      <c r="M342" s="278"/>
      <c r="N342" s="278"/>
      <c r="O342" s="278"/>
      <c r="P342" s="278"/>
      <c r="Q342" s="278"/>
      <c r="R342" s="278"/>
      <c r="S342" s="278"/>
      <c r="T342" s="278"/>
      <c r="U342" s="278"/>
      <c r="V342" s="278"/>
      <c r="W342" s="278"/>
      <c r="X342" s="278"/>
      <c r="Y342" s="89"/>
    </row>
    <row r="343">
      <c r="L343" s="290"/>
      <c r="M343" s="278"/>
      <c r="N343" s="278"/>
      <c r="O343" s="278"/>
      <c r="P343" s="278"/>
      <c r="Q343" s="278"/>
      <c r="R343" s="278"/>
      <c r="S343" s="278"/>
      <c r="T343" s="278"/>
      <c r="U343" s="278"/>
      <c r="V343" s="278"/>
      <c r="W343" s="278"/>
      <c r="X343" s="278"/>
      <c r="Y343" s="89"/>
    </row>
    <row r="344">
      <c r="L344" s="290"/>
      <c r="M344" s="278"/>
      <c r="N344" s="278"/>
      <c r="O344" s="278"/>
      <c r="P344" s="278"/>
      <c r="Q344" s="278"/>
      <c r="R344" s="278"/>
      <c r="S344" s="278"/>
      <c r="T344" s="278"/>
      <c r="U344" s="278"/>
      <c r="V344" s="278"/>
      <c r="W344" s="278"/>
      <c r="X344" s="278"/>
      <c r="Y344" s="89"/>
    </row>
    <row r="345">
      <c r="L345" s="290"/>
      <c r="M345" s="278"/>
      <c r="N345" s="278"/>
      <c r="O345" s="278"/>
      <c r="P345" s="278"/>
      <c r="Q345" s="278"/>
      <c r="R345" s="278"/>
      <c r="S345" s="278"/>
      <c r="T345" s="278"/>
      <c r="U345" s="278"/>
      <c r="V345" s="278"/>
      <c r="W345" s="278"/>
      <c r="X345" s="278"/>
      <c r="Y345" s="89"/>
    </row>
    <row r="346">
      <c r="L346" s="290"/>
      <c r="M346" s="278"/>
      <c r="N346" s="278"/>
      <c r="O346" s="278"/>
      <c r="P346" s="278"/>
      <c r="Q346" s="278"/>
      <c r="R346" s="278"/>
      <c r="S346" s="278"/>
      <c r="T346" s="278"/>
      <c r="U346" s="278"/>
      <c r="V346" s="278"/>
      <c r="W346" s="278"/>
      <c r="X346" s="278"/>
      <c r="Y346" s="89"/>
    </row>
    <row r="347">
      <c r="L347" s="290"/>
      <c r="M347" s="278"/>
      <c r="N347" s="278"/>
      <c r="O347" s="278"/>
      <c r="P347" s="278"/>
      <c r="Q347" s="278"/>
      <c r="R347" s="278"/>
      <c r="S347" s="278"/>
      <c r="T347" s="278"/>
      <c r="U347" s="278"/>
      <c r="V347" s="278"/>
      <c r="W347" s="278"/>
      <c r="X347" s="278"/>
      <c r="Y347" s="89"/>
    </row>
    <row r="348">
      <c r="L348" s="290"/>
      <c r="M348" s="278"/>
      <c r="N348" s="278"/>
      <c r="O348" s="278"/>
      <c r="P348" s="278"/>
      <c r="Q348" s="278"/>
      <c r="R348" s="278"/>
      <c r="S348" s="278"/>
      <c r="T348" s="278"/>
      <c r="U348" s="278"/>
      <c r="V348" s="278"/>
      <c r="W348" s="278"/>
      <c r="X348" s="278"/>
      <c r="Y348" s="89"/>
    </row>
    <row r="349">
      <c r="L349" s="290"/>
      <c r="M349" s="278"/>
      <c r="N349" s="278"/>
      <c r="O349" s="278"/>
      <c r="P349" s="278"/>
      <c r="Q349" s="278"/>
      <c r="R349" s="278"/>
      <c r="S349" s="278"/>
      <c r="T349" s="278"/>
      <c r="U349" s="278"/>
      <c r="V349" s="278"/>
      <c r="W349" s="278"/>
      <c r="X349" s="278"/>
      <c r="Y349" s="89"/>
    </row>
    <row r="350">
      <c r="L350" s="290"/>
      <c r="M350" s="278"/>
      <c r="N350" s="278"/>
      <c r="O350" s="278"/>
      <c r="P350" s="278"/>
      <c r="Q350" s="278"/>
      <c r="R350" s="278"/>
      <c r="S350" s="278"/>
      <c r="T350" s="278"/>
      <c r="U350" s="278"/>
      <c r="V350" s="278"/>
      <c r="W350" s="278"/>
      <c r="X350" s="278"/>
      <c r="Y350" s="89"/>
    </row>
    <row r="351">
      <c r="L351" s="290"/>
      <c r="M351" s="278"/>
      <c r="N351" s="278"/>
      <c r="O351" s="278"/>
      <c r="P351" s="278"/>
      <c r="Q351" s="278"/>
      <c r="R351" s="278"/>
      <c r="S351" s="278"/>
      <c r="T351" s="278"/>
      <c r="U351" s="278"/>
      <c r="V351" s="278"/>
      <c r="W351" s="278"/>
      <c r="X351" s="278"/>
      <c r="Y351" s="89"/>
    </row>
    <row r="352">
      <c r="L352" s="290"/>
      <c r="M352" s="278"/>
      <c r="N352" s="278"/>
      <c r="O352" s="278"/>
      <c r="P352" s="278"/>
      <c r="Q352" s="278"/>
      <c r="R352" s="278"/>
      <c r="S352" s="278"/>
      <c r="T352" s="278"/>
      <c r="U352" s="278"/>
      <c r="V352" s="278"/>
      <c r="W352" s="278"/>
      <c r="X352" s="278"/>
      <c r="Y352" s="89"/>
    </row>
    <row r="353">
      <c r="L353" s="290"/>
      <c r="M353" s="278"/>
      <c r="N353" s="278"/>
      <c r="O353" s="278"/>
      <c r="P353" s="278"/>
      <c r="Q353" s="278"/>
      <c r="R353" s="278"/>
      <c r="S353" s="278"/>
      <c r="T353" s="278"/>
      <c r="U353" s="278"/>
      <c r="V353" s="278"/>
      <c r="W353" s="278"/>
      <c r="X353" s="278"/>
      <c r="Y353" s="89"/>
    </row>
    <row r="354">
      <c r="L354" s="290"/>
      <c r="M354" s="278"/>
      <c r="N354" s="278"/>
      <c r="O354" s="278"/>
      <c r="P354" s="278"/>
      <c r="Q354" s="278"/>
      <c r="R354" s="278"/>
      <c r="S354" s="278"/>
      <c r="T354" s="278"/>
      <c r="U354" s="278"/>
      <c r="V354" s="278"/>
      <c r="W354" s="278"/>
      <c r="X354" s="278"/>
      <c r="Y354" s="89"/>
    </row>
    <row r="355">
      <c r="L355" s="290"/>
      <c r="M355" s="278"/>
      <c r="N355" s="278"/>
      <c r="O355" s="278"/>
      <c r="P355" s="278"/>
      <c r="Q355" s="278"/>
      <c r="R355" s="278"/>
      <c r="S355" s="278"/>
      <c r="T355" s="278"/>
      <c r="U355" s="278"/>
      <c r="V355" s="278"/>
      <c r="W355" s="278"/>
      <c r="X355" s="278"/>
      <c r="Y355" s="89"/>
    </row>
    <row r="356">
      <c r="L356" s="290"/>
      <c r="M356" s="278"/>
      <c r="N356" s="278"/>
      <c r="O356" s="278"/>
      <c r="P356" s="278"/>
      <c r="Q356" s="278"/>
      <c r="R356" s="278"/>
      <c r="S356" s="278"/>
      <c r="T356" s="278"/>
      <c r="U356" s="278"/>
      <c r="V356" s="278"/>
      <c r="W356" s="278"/>
      <c r="X356" s="278"/>
      <c r="Y356" s="89"/>
    </row>
    <row r="357">
      <c r="L357" s="290"/>
      <c r="M357" s="278"/>
      <c r="N357" s="278"/>
      <c r="O357" s="278"/>
      <c r="P357" s="278"/>
      <c r="Q357" s="278"/>
      <c r="R357" s="278"/>
      <c r="S357" s="278"/>
      <c r="T357" s="278"/>
      <c r="U357" s="278"/>
      <c r="V357" s="278"/>
      <c r="W357" s="278"/>
      <c r="X357" s="278"/>
      <c r="Y357" s="89"/>
    </row>
    <row r="358">
      <c r="L358" s="290"/>
      <c r="M358" s="278"/>
      <c r="N358" s="278"/>
      <c r="O358" s="278"/>
      <c r="P358" s="278"/>
      <c r="Q358" s="278"/>
      <c r="R358" s="278"/>
      <c r="S358" s="278"/>
      <c r="T358" s="278"/>
      <c r="U358" s="278"/>
      <c r="V358" s="278"/>
      <c r="W358" s="278"/>
      <c r="X358" s="278"/>
      <c r="Y358" s="89"/>
    </row>
    <row r="359">
      <c r="L359" s="290"/>
      <c r="M359" s="278"/>
      <c r="N359" s="278"/>
      <c r="O359" s="278"/>
      <c r="P359" s="278"/>
      <c r="Q359" s="278"/>
      <c r="R359" s="278"/>
      <c r="S359" s="278"/>
      <c r="T359" s="278"/>
      <c r="U359" s="278"/>
      <c r="V359" s="278"/>
      <c r="W359" s="278"/>
      <c r="X359" s="278"/>
      <c r="Y359" s="89"/>
    </row>
    <row r="360">
      <c r="L360" s="290"/>
      <c r="M360" s="278"/>
      <c r="N360" s="278"/>
      <c r="O360" s="278"/>
      <c r="P360" s="278"/>
      <c r="Q360" s="278"/>
      <c r="R360" s="278"/>
      <c r="S360" s="278"/>
      <c r="T360" s="278"/>
      <c r="U360" s="278"/>
      <c r="V360" s="278"/>
      <c r="W360" s="278"/>
      <c r="X360" s="278"/>
      <c r="Y360" s="89"/>
    </row>
    <row r="361">
      <c r="L361" s="290"/>
      <c r="M361" s="278"/>
      <c r="N361" s="278"/>
      <c r="O361" s="278"/>
      <c r="P361" s="278"/>
      <c r="Q361" s="278"/>
      <c r="R361" s="278"/>
      <c r="S361" s="278"/>
      <c r="T361" s="278"/>
      <c r="U361" s="278"/>
      <c r="V361" s="278"/>
      <c r="W361" s="278"/>
      <c r="X361" s="278"/>
      <c r="Y361" s="89"/>
    </row>
    <row r="362">
      <c r="L362" s="290"/>
      <c r="M362" s="278"/>
      <c r="N362" s="278"/>
      <c r="O362" s="278"/>
      <c r="P362" s="278"/>
      <c r="Q362" s="278"/>
      <c r="R362" s="278"/>
      <c r="S362" s="278"/>
      <c r="T362" s="278"/>
      <c r="U362" s="278"/>
      <c r="V362" s="278"/>
      <c r="W362" s="278"/>
      <c r="X362" s="278"/>
      <c r="Y362" s="89"/>
    </row>
    <row r="363">
      <c r="L363" s="290"/>
      <c r="M363" s="278"/>
      <c r="N363" s="278"/>
      <c r="O363" s="278"/>
      <c r="P363" s="278"/>
      <c r="Q363" s="278"/>
      <c r="R363" s="278"/>
      <c r="S363" s="278"/>
      <c r="T363" s="278"/>
      <c r="U363" s="278"/>
      <c r="V363" s="278"/>
      <c r="W363" s="278"/>
      <c r="X363" s="278"/>
      <c r="Y363" s="89"/>
    </row>
    <row r="364">
      <c r="L364" s="290"/>
      <c r="M364" s="278"/>
      <c r="N364" s="278"/>
      <c r="O364" s="278"/>
      <c r="P364" s="278"/>
      <c r="Q364" s="278"/>
      <c r="R364" s="278"/>
      <c r="S364" s="278"/>
      <c r="T364" s="278"/>
      <c r="U364" s="278"/>
      <c r="V364" s="278"/>
      <c r="W364" s="278"/>
      <c r="X364" s="278"/>
      <c r="Y364" s="89"/>
    </row>
    <row r="365">
      <c r="L365" s="290"/>
      <c r="M365" s="278"/>
      <c r="N365" s="278"/>
      <c r="O365" s="278"/>
      <c r="P365" s="278"/>
      <c r="Q365" s="278"/>
      <c r="R365" s="278"/>
      <c r="S365" s="278"/>
      <c r="T365" s="278"/>
      <c r="U365" s="278"/>
      <c r="V365" s="278"/>
      <c r="W365" s="278"/>
      <c r="X365" s="278"/>
      <c r="Y365" s="89"/>
    </row>
    <row r="366">
      <c r="L366" s="290"/>
      <c r="M366" s="278"/>
      <c r="N366" s="278"/>
      <c r="O366" s="278"/>
      <c r="P366" s="278"/>
      <c r="Q366" s="278"/>
      <c r="R366" s="278"/>
      <c r="S366" s="278"/>
      <c r="T366" s="278"/>
      <c r="U366" s="278"/>
      <c r="V366" s="278"/>
      <c r="W366" s="278"/>
      <c r="X366" s="278"/>
      <c r="Y366" s="89"/>
    </row>
    <row r="367">
      <c r="L367" s="290"/>
      <c r="M367" s="278"/>
      <c r="N367" s="278"/>
      <c r="O367" s="278"/>
      <c r="P367" s="278"/>
      <c r="Q367" s="278"/>
      <c r="R367" s="278"/>
      <c r="S367" s="278"/>
      <c r="T367" s="278"/>
      <c r="U367" s="278"/>
      <c r="V367" s="278"/>
      <c r="W367" s="278"/>
      <c r="X367" s="278"/>
      <c r="Y367" s="89"/>
    </row>
    <row r="368">
      <c r="L368" s="290"/>
      <c r="M368" s="278"/>
      <c r="N368" s="278"/>
      <c r="O368" s="278"/>
      <c r="P368" s="278"/>
      <c r="Q368" s="278"/>
      <c r="R368" s="278"/>
      <c r="S368" s="278"/>
      <c r="T368" s="278"/>
      <c r="U368" s="278"/>
      <c r="V368" s="278"/>
      <c r="W368" s="278"/>
      <c r="X368" s="278"/>
      <c r="Y368" s="89"/>
    </row>
    <row r="369">
      <c r="L369" s="290"/>
      <c r="M369" s="278"/>
      <c r="N369" s="278"/>
      <c r="O369" s="278"/>
      <c r="P369" s="278"/>
      <c r="Q369" s="278"/>
      <c r="R369" s="278"/>
      <c r="S369" s="278"/>
      <c r="T369" s="278"/>
      <c r="U369" s="278"/>
      <c r="V369" s="278"/>
      <c r="W369" s="278"/>
      <c r="X369" s="278"/>
      <c r="Y369" s="89"/>
    </row>
    <row r="370">
      <c r="L370" s="290"/>
      <c r="M370" s="278"/>
      <c r="N370" s="278"/>
      <c r="O370" s="278"/>
      <c r="P370" s="278"/>
      <c r="Q370" s="278"/>
      <c r="R370" s="278"/>
      <c r="S370" s="278"/>
      <c r="T370" s="278"/>
      <c r="U370" s="278"/>
      <c r="V370" s="278"/>
      <c r="W370" s="278"/>
      <c r="X370" s="278"/>
      <c r="Y370" s="89"/>
    </row>
    <row r="371">
      <c r="L371" s="290"/>
      <c r="M371" s="278"/>
      <c r="N371" s="278"/>
      <c r="O371" s="278"/>
      <c r="P371" s="278"/>
      <c r="Q371" s="278"/>
      <c r="R371" s="278"/>
      <c r="S371" s="278"/>
      <c r="T371" s="278"/>
      <c r="U371" s="278"/>
      <c r="V371" s="278"/>
      <c r="W371" s="278"/>
      <c r="X371" s="278"/>
      <c r="Y371" s="89"/>
    </row>
    <row r="372">
      <c r="L372" s="290"/>
      <c r="M372" s="278"/>
      <c r="N372" s="278"/>
      <c r="O372" s="278"/>
      <c r="P372" s="278"/>
      <c r="Q372" s="278"/>
      <c r="R372" s="278"/>
      <c r="S372" s="278"/>
      <c r="T372" s="278"/>
      <c r="U372" s="278"/>
      <c r="V372" s="278"/>
      <c r="W372" s="278"/>
      <c r="X372" s="278"/>
      <c r="Y372" s="89"/>
    </row>
    <row r="373">
      <c r="L373" s="290"/>
      <c r="M373" s="278"/>
      <c r="N373" s="278"/>
      <c r="O373" s="278"/>
      <c r="P373" s="278"/>
      <c r="Q373" s="278"/>
      <c r="R373" s="278"/>
      <c r="S373" s="278"/>
      <c r="T373" s="278"/>
      <c r="U373" s="278"/>
      <c r="V373" s="278"/>
      <c r="W373" s="278"/>
      <c r="X373" s="278"/>
      <c r="Y373" s="89"/>
    </row>
    <row r="374">
      <c r="L374" s="290"/>
      <c r="M374" s="278"/>
      <c r="N374" s="278"/>
      <c r="O374" s="278"/>
      <c r="P374" s="278"/>
      <c r="Q374" s="278"/>
      <c r="R374" s="278"/>
      <c r="S374" s="278"/>
      <c r="T374" s="278"/>
      <c r="U374" s="278"/>
      <c r="V374" s="278"/>
      <c r="W374" s="278"/>
      <c r="X374" s="278"/>
      <c r="Y374" s="89"/>
    </row>
    <row r="375">
      <c r="L375" s="290"/>
      <c r="M375" s="278"/>
      <c r="N375" s="278"/>
      <c r="O375" s="278"/>
      <c r="P375" s="278"/>
      <c r="Q375" s="278"/>
      <c r="R375" s="278"/>
      <c r="S375" s="278"/>
      <c r="T375" s="278"/>
      <c r="U375" s="278"/>
      <c r="V375" s="278"/>
      <c r="W375" s="278"/>
      <c r="X375" s="278"/>
      <c r="Y375" s="89"/>
    </row>
    <row r="376">
      <c r="L376" s="290"/>
      <c r="M376" s="278"/>
      <c r="N376" s="278"/>
      <c r="O376" s="278"/>
      <c r="P376" s="278"/>
      <c r="Q376" s="278"/>
      <c r="R376" s="278"/>
      <c r="S376" s="278"/>
      <c r="T376" s="278"/>
      <c r="U376" s="278"/>
      <c r="V376" s="278"/>
      <c r="W376" s="278"/>
      <c r="X376" s="278"/>
      <c r="Y376" s="89"/>
    </row>
    <row r="377">
      <c r="L377" s="290"/>
      <c r="M377" s="278"/>
      <c r="N377" s="278"/>
      <c r="O377" s="278"/>
      <c r="P377" s="278"/>
      <c r="Q377" s="278"/>
      <c r="R377" s="278"/>
      <c r="S377" s="278"/>
      <c r="T377" s="278"/>
      <c r="U377" s="278"/>
      <c r="V377" s="278"/>
      <c r="W377" s="278"/>
      <c r="X377" s="278"/>
      <c r="Y377" s="89"/>
    </row>
    <row r="378">
      <c r="L378" s="290"/>
      <c r="M378" s="278"/>
      <c r="N378" s="278"/>
      <c r="O378" s="278"/>
      <c r="P378" s="278"/>
      <c r="Q378" s="278"/>
      <c r="R378" s="278"/>
      <c r="S378" s="278"/>
      <c r="T378" s="278"/>
      <c r="U378" s="278"/>
      <c r="V378" s="278"/>
      <c r="W378" s="278"/>
      <c r="X378" s="278"/>
      <c r="Y378" s="89"/>
    </row>
    <row r="379">
      <c r="L379" s="290"/>
      <c r="M379" s="278"/>
      <c r="N379" s="278"/>
      <c r="O379" s="278"/>
      <c r="P379" s="278"/>
      <c r="Q379" s="278"/>
      <c r="R379" s="278"/>
      <c r="S379" s="278"/>
      <c r="T379" s="278"/>
      <c r="U379" s="278"/>
      <c r="V379" s="278"/>
      <c r="W379" s="278"/>
      <c r="X379" s="278"/>
      <c r="Y379" s="89"/>
    </row>
    <row r="380">
      <c r="L380" s="290"/>
      <c r="M380" s="278"/>
      <c r="N380" s="278"/>
      <c r="O380" s="278"/>
      <c r="P380" s="278"/>
      <c r="Q380" s="278"/>
      <c r="R380" s="278"/>
      <c r="S380" s="278"/>
      <c r="T380" s="278"/>
      <c r="U380" s="278"/>
      <c r="V380" s="278"/>
      <c r="W380" s="278"/>
      <c r="X380" s="278"/>
      <c r="Y380" s="89"/>
    </row>
    <row r="381">
      <c r="L381" s="290"/>
      <c r="M381" s="278"/>
      <c r="N381" s="278"/>
      <c r="O381" s="278"/>
      <c r="P381" s="278"/>
      <c r="Q381" s="278"/>
      <c r="R381" s="278"/>
      <c r="S381" s="278"/>
      <c r="T381" s="278"/>
      <c r="U381" s="278"/>
      <c r="V381" s="278"/>
      <c r="W381" s="278"/>
      <c r="X381" s="278"/>
      <c r="Y381" s="89"/>
    </row>
    <row r="382">
      <c r="L382" s="290"/>
      <c r="M382" s="278"/>
      <c r="N382" s="278"/>
      <c r="O382" s="278"/>
      <c r="P382" s="278"/>
      <c r="Q382" s="278"/>
      <c r="R382" s="278"/>
      <c r="S382" s="278"/>
      <c r="T382" s="278"/>
      <c r="U382" s="278"/>
      <c r="V382" s="278"/>
      <c r="W382" s="278"/>
      <c r="X382" s="278"/>
      <c r="Y382" s="89"/>
    </row>
    <row r="383">
      <c r="L383" s="290"/>
      <c r="M383" s="278"/>
      <c r="N383" s="278"/>
      <c r="O383" s="278"/>
      <c r="P383" s="278"/>
      <c r="Q383" s="278"/>
      <c r="R383" s="278"/>
      <c r="S383" s="278"/>
      <c r="T383" s="278"/>
      <c r="U383" s="278"/>
      <c r="V383" s="278"/>
      <c r="W383" s="278"/>
      <c r="X383" s="278"/>
      <c r="Y383" s="89"/>
    </row>
    <row r="384">
      <c r="L384" s="290"/>
      <c r="M384" s="278"/>
      <c r="N384" s="278"/>
      <c r="O384" s="278"/>
      <c r="P384" s="278"/>
      <c r="Q384" s="278"/>
      <c r="R384" s="278"/>
      <c r="S384" s="278"/>
      <c r="T384" s="278"/>
      <c r="U384" s="278"/>
      <c r="V384" s="278"/>
      <c r="W384" s="278"/>
      <c r="X384" s="278"/>
      <c r="Y384" s="89"/>
    </row>
    <row r="385">
      <c r="L385" s="290"/>
      <c r="M385" s="278"/>
      <c r="N385" s="278"/>
      <c r="O385" s="278"/>
      <c r="P385" s="278"/>
      <c r="Q385" s="278"/>
      <c r="R385" s="278"/>
      <c r="S385" s="278"/>
      <c r="T385" s="278"/>
      <c r="U385" s="278"/>
      <c r="V385" s="278"/>
      <c r="W385" s="278"/>
      <c r="X385" s="278"/>
      <c r="Y385" s="89"/>
    </row>
    <row r="386">
      <c r="L386" s="290"/>
      <c r="M386" s="278"/>
      <c r="N386" s="278"/>
      <c r="O386" s="278"/>
      <c r="P386" s="278"/>
      <c r="Q386" s="278"/>
      <c r="R386" s="278"/>
      <c r="S386" s="278"/>
      <c r="T386" s="278"/>
      <c r="U386" s="278"/>
      <c r="V386" s="278"/>
      <c r="W386" s="278"/>
      <c r="X386" s="278"/>
      <c r="Y386" s="89"/>
    </row>
    <row r="387">
      <c r="L387" s="290"/>
      <c r="M387" s="278"/>
      <c r="N387" s="278"/>
      <c r="O387" s="278"/>
      <c r="P387" s="278"/>
      <c r="Q387" s="278"/>
      <c r="R387" s="278"/>
      <c r="S387" s="278"/>
      <c r="T387" s="278"/>
      <c r="U387" s="278"/>
      <c r="V387" s="278"/>
      <c r="W387" s="278"/>
      <c r="X387" s="278"/>
      <c r="Y387" s="89"/>
    </row>
    <row r="388">
      <c r="L388" s="290"/>
      <c r="M388" s="278"/>
      <c r="N388" s="278"/>
      <c r="O388" s="278"/>
      <c r="P388" s="278"/>
      <c r="Q388" s="278"/>
      <c r="R388" s="278"/>
      <c r="S388" s="278"/>
      <c r="T388" s="278"/>
      <c r="U388" s="278"/>
      <c r="V388" s="278"/>
      <c r="W388" s="278"/>
      <c r="X388" s="278"/>
      <c r="Y388" s="89"/>
    </row>
    <row r="389">
      <c r="L389" s="290"/>
      <c r="M389" s="278"/>
      <c r="N389" s="278"/>
      <c r="O389" s="278"/>
      <c r="P389" s="278"/>
      <c r="Q389" s="278"/>
      <c r="R389" s="278"/>
      <c r="S389" s="278"/>
      <c r="T389" s="278"/>
      <c r="U389" s="278"/>
      <c r="V389" s="278"/>
      <c r="W389" s="278"/>
      <c r="X389" s="278"/>
      <c r="Y389" s="89"/>
    </row>
    <row r="390">
      <c r="L390" s="290"/>
      <c r="M390" s="278"/>
      <c r="N390" s="278"/>
      <c r="O390" s="278"/>
      <c r="P390" s="278"/>
      <c r="Q390" s="278"/>
      <c r="R390" s="278"/>
      <c r="S390" s="278"/>
      <c r="T390" s="278"/>
      <c r="U390" s="278"/>
      <c r="V390" s="278"/>
      <c r="W390" s="278"/>
      <c r="X390" s="278"/>
      <c r="Y390" s="89"/>
    </row>
    <row r="391">
      <c r="L391" s="290"/>
      <c r="M391" s="278"/>
      <c r="N391" s="278"/>
      <c r="O391" s="278"/>
      <c r="P391" s="278"/>
      <c r="Q391" s="278"/>
      <c r="R391" s="278"/>
      <c r="S391" s="278"/>
      <c r="T391" s="278"/>
      <c r="U391" s="278"/>
      <c r="V391" s="278"/>
      <c r="W391" s="278"/>
      <c r="X391" s="278"/>
      <c r="Y391" s="89"/>
    </row>
    <row r="392">
      <c r="L392" s="290"/>
      <c r="M392" s="278"/>
      <c r="N392" s="278"/>
      <c r="O392" s="278"/>
      <c r="P392" s="278"/>
      <c r="Q392" s="278"/>
      <c r="R392" s="278"/>
      <c r="S392" s="278"/>
      <c r="T392" s="278"/>
      <c r="U392" s="278"/>
      <c r="V392" s="278"/>
      <c r="W392" s="278"/>
      <c r="X392" s="278"/>
      <c r="Y392" s="89"/>
    </row>
    <row r="393">
      <c r="L393" s="290"/>
      <c r="M393" s="278"/>
      <c r="N393" s="278"/>
      <c r="O393" s="278"/>
      <c r="P393" s="278"/>
      <c r="Q393" s="278"/>
      <c r="R393" s="278"/>
      <c r="S393" s="278"/>
      <c r="T393" s="278"/>
      <c r="U393" s="278"/>
      <c r="V393" s="278"/>
      <c r="W393" s="278"/>
      <c r="X393" s="278"/>
      <c r="Y393" s="89"/>
    </row>
    <row r="394">
      <c r="L394" s="290"/>
      <c r="M394" s="278"/>
      <c r="N394" s="278"/>
      <c r="O394" s="278"/>
      <c r="P394" s="278"/>
      <c r="Q394" s="278"/>
      <c r="R394" s="278"/>
      <c r="S394" s="278"/>
      <c r="T394" s="278"/>
      <c r="U394" s="278"/>
      <c r="V394" s="278"/>
      <c r="W394" s="278"/>
      <c r="X394" s="278"/>
      <c r="Y394" s="89"/>
    </row>
    <row r="395">
      <c r="L395" s="290"/>
      <c r="M395" s="278"/>
      <c r="N395" s="278"/>
      <c r="O395" s="278"/>
      <c r="P395" s="278"/>
      <c r="Q395" s="278"/>
      <c r="R395" s="278"/>
      <c r="S395" s="278"/>
      <c r="T395" s="278"/>
      <c r="U395" s="278"/>
      <c r="V395" s="278"/>
      <c r="W395" s="278"/>
      <c r="X395" s="278"/>
      <c r="Y395" s="89"/>
    </row>
    <row r="396">
      <c r="L396" s="290"/>
      <c r="M396" s="278"/>
      <c r="N396" s="278"/>
      <c r="O396" s="278"/>
      <c r="P396" s="278"/>
      <c r="Q396" s="278"/>
      <c r="R396" s="278"/>
      <c r="S396" s="278"/>
      <c r="T396" s="278"/>
      <c r="U396" s="278"/>
      <c r="V396" s="278"/>
      <c r="W396" s="278"/>
      <c r="X396" s="278"/>
      <c r="Y396" s="89"/>
    </row>
    <row r="397">
      <c r="L397" s="290"/>
      <c r="M397" s="278"/>
      <c r="N397" s="278"/>
      <c r="O397" s="278"/>
      <c r="P397" s="278"/>
      <c r="Q397" s="278"/>
      <c r="R397" s="278"/>
      <c r="S397" s="278"/>
      <c r="T397" s="278"/>
      <c r="U397" s="278"/>
      <c r="V397" s="278"/>
      <c r="W397" s="278"/>
      <c r="X397" s="278"/>
      <c r="Y397" s="89"/>
    </row>
    <row r="398">
      <c r="L398" s="290"/>
      <c r="M398" s="278"/>
      <c r="N398" s="278"/>
      <c r="O398" s="278"/>
      <c r="P398" s="278"/>
      <c r="Q398" s="278"/>
      <c r="R398" s="278"/>
      <c r="S398" s="278"/>
      <c r="T398" s="278"/>
      <c r="U398" s="278"/>
      <c r="V398" s="278"/>
      <c r="W398" s="278"/>
      <c r="X398" s="278"/>
      <c r="Y398" s="89"/>
    </row>
    <row r="399">
      <c r="L399" s="290"/>
      <c r="M399" s="278"/>
      <c r="N399" s="278"/>
      <c r="O399" s="278"/>
      <c r="P399" s="278"/>
      <c r="Q399" s="278"/>
      <c r="R399" s="278"/>
      <c r="S399" s="278"/>
      <c r="T399" s="278"/>
      <c r="U399" s="278"/>
      <c r="V399" s="278"/>
      <c r="W399" s="278"/>
      <c r="X399" s="278"/>
      <c r="Y399" s="89"/>
    </row>
    <row r="400">
      <c r="L400" s="290"/>
      <c r="M400" s="278"/>
      <c r="N400" s="278"/>
      <c r="O400" s="278"/>
      <c r="P400" s="278"/>
      <c r="Q400" s="278"/>
      <c r="R400" s="278"/>
      <c r="S400" s="278"/>
      <c r="T400" s="278"/>
      <c r="U400" s="278"/>
      <c r="V400" s="278"/>
      <c r="W400" s="278"/>
      <c r="X400" s="278"/>
      <c r="Y400" s="89"/>
    </row>
    <row r="401">
      <c r="L401" s="290"/>
      <c r="M401" s="278"/>
      <c r="N401" s="278"/>
      <c r="O401" s="278"/>
      <c r="P401" s="278"/>
      <c r="Q401" s="278"/>
      <c r="R401" s="278"/>
      <c r="S401" s="278"/>
      <c r="T401" s="278"/>
      <c r="U401" s="278"/>
      <c r="V401" s="278"/>
      <c r="W401" s="278"/>
      <c r="X401" s="278"/>
      <c r="Y401" s="89"/>
    </row>
    <row r="402">
      <c r="L402" s="290"/>
      <c r="M402" s="278"/>
      <c r="N402" s="278"/>
      <c r="O402" s="278"/>
      <c r="P402" s="278"/>
      <c r="Q402" s="278"/>
      <c r="R402" s="278"/>
      <c r="S402" s="278"/>
      <c r="T402" s="278"/>
      <c r="U402" s="278"/>
      <c r="V402" s="278"/>
      <c r="W402" s="278"/>
      <c r="X402" s="278"/>
      <c r="Y402" s="89"/>
    </row>
    <row r="403">
      <c r="L403" s="290"/>
      <c r="M403" s="278"/>
      <c r="N403" s="278"/>
      <c r="O403" s="278"/>
      <c r="P403" s="278"/>
      <c r="Q403" s="278"/>
      <c r="R403" s="278"/>
      <c r="S403" s="278"/>
      <c r="T403" s="278"/>
      <c r="U403" s="278"/>
      <c r="V403" s="278"/>
      <c r="W403" s="278"/>
      <c r="X403" s="278"/>
      <c r="Y403" s="89"/>
    </row>
    <row r="404">
      <c r="L404" s="290"/>
      <c r="M404" s="278"/>
      <c r="N404" s="278"/>
      <c r="O404" s="278"/>
      <c r="P404" s="278"/>
      <c r="Q404" s="278"/>
      <c r="R404" s="278"/>
      <c r="S404" s="278"/>
      <c r="T404" s="278"/>
      <c r="U404" s="278"/>
      <c r="V404" s="278"/>
      <c r="W404" s="278"/>
      <c r="X404" s="278"/>
      <c r="Y404" s="89"/>
    </row>
    <row r="405">
      <c r="L405" s="290"/>
      <c r="M405" s="278"/>
      <c r="N405" s="278"/>
      <c r="O405" s="278"/>
      <c r="P405" s="278"/>
      <c r="Q405" s="278"/>
      <c r="R405" s="278"/>
      <c r="S405" s="278"/>
      <c r="T405" s="278"/>
      <c r="U405" s="278"/>
      <c r="V405" s="278"/>
      <c r="W405" s="278"/>
      <c r="X405" s="278"/>
      <c r="Y405" s="89"/>
    </row>
    <row r="406">
      <c r="L406" s="290"/>
      <c r="M406" s="278"/>
      <c r="N406" s="278"/>
      <c r="O406" s="278"/>
      <c r="P406" s="278"/>
      <c r="Q406" s="278"/>
      <c r="R406" s="278"/>
      <c r="S406" s="278"/>
      <c r="T406" s="278"/>
      <c r="U406" s="278"/>
      <c r="V406" s="278"/>
      <c r="W406" s="278"/>
      <c r="X406" s="278"/>
      <c r="Y406" s="89"/>
    </row>
    <row r="407">
      <c r="L407" s="290"/>
      <c r="M407" s="278"/>
      <c r="N407" s="278"/>
      <c r="O407" s="278"/>
      <c r="P407" s="278"/>
      <c r="Q407" s="278"/>
      <c r="R407" s="278"/>
      <c r="S407" s="278"/>
      <c r="T407" s="278"/>
      <c r="U407" s="278"/>
      <c r="V407" s="278"/>
      <c r="W407" s="278"/>
      <c r="X407" s="278"/>
      <c r="Y407" s="89"/>
    </row>
    <row r="408">
      <c r="L408" s="290"/>
      <c r="M408" s="278"/>
      <c r="N408" s="278"/>
      <c r="O408" s="278"/>
      <c r="P408" s="278"/>
      <c r="Q408" s="278"/>
      <c r="R408" s="278"/>
      <c r="S408" s="278"/>
      <c r="T408" s="278"/>
      <c r="U408" s="278"/>
      <c r="V408" s="278"/>
      <c r="W408" s="278"/>
      <c r="X408" s="278"/>
      <c r="Y408" s="89"/>
    </row>
    <row r="409">
      <c r="L409" s="290"/>
      <c r="M409" s="278"/>
      <c r="N409" s="278"/>
      <c r="O409" s="278"/>
      <c r="P409" s="278"/>
      <c r="Q409" s="278"/>
      <c r="R409" s="278"/>
      <c r="S409" s="278"/>
      <c r="T409" s="278"/>
      <c r="U409" s="278"/>
      <c r="V409" s="278"/>
      <c r="W409" s="278"/>
      <c r="X409" s="278"/>
      <c r="Y409" s="89"/>
    </row>
    <row r="410">
      <c r="L410" s="290"/>
      <c r="M410" s="278"/>
      <c r="N410" s="278"/>
      <c r="O410" s="278"/>
      <c r="P410" s="278"/>
      <c r="Q410" s="278"/>
      <c r="R410" s="278"/>
      <c r="S410" s="278"/>
      <c r="T410" s="278"/>
      <c r="U410" s="278"/>
      <c r="V410" s="278"/>
      <c r="W410" s="278"/>
      <c r="X410" s="278"/>
      <c r="Y410" s="89"/>
    </row>
    <row r="411">
      <c r="L411" s="290"/>
      <c r="M411" s="278"/>
      <c r="N411" s="278"/>
      <c r="O411" s="278"/>
      <c r="P411" s="278"/>
      <c r="Q411" s="278"/>
      <c r="R411" s="278"/>
      <c r="S411" s="278"/>
      <c r="T411" s="278"/>
      <c r="U411" s="278"/>
      <c r="V411" s="278"/>
      <c r="W411" s="278"/>
      <c r="X411" s="278"/>
      <c r="Y411" s="89"/>
    </row>
    <row r="412">
      <c r="L412" s="290"/>
      <c r="M412" s="278"/>
      <c r="N412" s="278"/>
      <c r="O412" s="278"/>
      <c r="P412" s="278"/>
      <c r="Q412" s="278"/>
      <c r="R412" s="278"/>
      <c r="S412" s="278"/>
      <c r="T412" s="278"/>
      <c r="U412" s="278"/>
      <c r="V412" s="278"/>
      <c r="W412" s="278"/>
      <c r="X412" s="278"/>
      <c r="Y412" s="89"/>
    </row>
    <row r="413">
      <c r="L413" s="290"/>
      <c r="M413" s="278"/>
      <c r="N413" s="278"/>
      <c r="O413" s="278"/>
      <c r="P413" s="278"/>
      <c r="Q413" s="278"/>
      <c r="R413" s="278"/>
      <c r="S413" s="278"/>
      <c r="T413" s="278"/>
      <c r="U413" s="278"/>
      <c r="V413" s="278"/>
      <c r="W413" s="278"/>
      <c r="X413" s="278"/>
      <c r="Y413" s="89"/>
    </row>
    <row r="414">
      <c r="L414" s="290"/>
      <c r="M414" s="278"/>
      <c r="N414" s="278"/>
      <c r="O414" s="278"/>
      <c r="P414" s="278"/>
      <c r="Q414" s="278"/>
      <c r="R414" s="278"/>
      <c r="S414" s="278"/>
      <c r="T414" s="278"/>
      <c r="U414" s="278"/>
      <c r="V414" s="278"/>
      <c r="W414" s="278"/>
      <c r="X414" s="278"/>
      <c r="Y414" s="89"/>
    </row>
    <row r="415">
      <c r="L415" s="290"/>
      <c r="M415" s="278"/>
      <c r="N415" s="278"/>
      <c r="O415" s="278"/>
      <c r="P415" s="278"/>
      <c r="Q415" s="278"/>
      <c r="R415" s="278"/>
      <c r="S415" s="278"/>
      <c r="T415" s="278"/>
      <c r="U415" s="278"/>
      <c r="V415" s="278"/>
      <c r="W415" s="278"/>
      <c r="X415" s="278"/>
      <c r="Y415" s="89"/>
    </row>
    <row r="416">
      <c r="L416" s="290"/>
      <c r="M416" s="278"/>
      <c r="N416" s="278"/>
      <c r="O416" s="278"/>
      <c r="P416" s="278"/>
      <c r="Q416" s="278"/>
      <c r="R416" s="278"/>
      <c r="S416" s="278"/>
      <c r="T416" s="278"/>
      <c r="U416" s="278"/>
      <c r="V416" s="278"/>
      <c r="W416" s="278"/>
      <c r="X416" s="278"/>
      <c r="Y416" s="89"/>
    </row>
    <row r="417">
      <c r="L417" s="290"/>
      <c r="M417" s="278"/>
      <c r="N417" s="278"/>
      <c r="O417" s="278"/>
      <c r="P417" s="278"/>
      <c r="Q417" s="278"/>
      <c r="R417" s="278"/>
      <c r="S417" s="278"/>
      <c r="T417" s="278"/>
      <c r="U417" s="278"/>
      <c r="V417" s="278"/>
      <c r="W417" s="278"/>
      <c r="X417" s="278"/>
      <c r="Y417" s="89"/>
    </row>
    <row r="418">
      <c r="L418" s="290"/>
      <c r="M418" s="278"/>
      <c r="N418" s="278"/>
      <c r="O418" s="278"/>
      <c r="P418" s="278"/>
      <c r="Q418" s="278"/>
      <c r="R418" s="278"/>
      <c r="S418" s="278"/>
      <c r="T418" s="278"/>
      <c r="U418" s="278"/>
      <c r="V418" s="278"/>
      <c r="W418" s="278"/>
      <c r="X418" s="278"/>
      <c r="Y418" s="89"/>
    </row>
    <row r="419">
      <c r="L419" s="290"/>
      <c r="M419" s="278"/>
      <c r="N419" s="278"/>
      <c r="O419" s="278"/>
      <c r="P419" s="278"/>
      <c r="Q419" s="278"/>
      <c r="R419" s="278"/>
      <c r="S419" s="278"/>
      <c r="T419" s="278"/>
      <c r="U419" s="278"/>
      <c r="V419" s="278"/>
      <c r="W419" s="278"/>
      <c r="X419" s="278"/>
      <c r="Y419" s="89"/>
    </row>
    <row r="420">
      <c r="L420" s="290"/>
      <c r="M420" s="278"/>
      <c r="N420" s="278"/>
      <c r="O420" s="278"/>
      <c r="P420" s="278"/>
      <c r="Q420" s="278"/>
      <c r="R420" s="278"/>
      <c r="S420" s="278"/>
      <c r="T420" s="278"/>
      <c r="U420" s="278"/>
      <c r="V420" s="278"/>
      <c r="W420" s="278"/>
      <c r="X420" s="278"/>
      <c r="Y420" s="89"/>
    </row>
    <row r="421">
      <c r="L421" s="290"/>
      <c r="M421" s="278"/>
      <c r="N421" s="278"/>
      <c r="O421" s="278"/>
      <c r="P421" s="278"/>
      <c r="Q421" s="278"/>
      <c r="R421" s="278"/>
      <c r="S421" s="278"/>
      <c r="T421" s="278"/>
      <c r="U421" s="278"/>
      <c r="V421" s="278"/>
      <c r="W421" s="278"/>
      <c r="X421" s="278"/>
      <c r="Y421" s="89"/>
    </row>
    <row r="422">
      <c r="L422" s="290"/>
      <c r="M422" s="278"/>
      <c r="N422" s="278"/>
      <c r="O422" s="278"/>
      <c r="P422" s="278"/>
      <c r="Q422" s="278"/>
      <c r="R422" s="278"/>
      <c r="S422" s="278"/>
      <c r="T422" s="278"/>
      <c r="U422" s="278"/>
      <c r="V422" s="278"/>
      <c r="W422" s="278"/>
      <c r="X422" s="278"/>
      <c r="Y422" s="89"/>
    </row>
    <row r="423">
      <c r="L423" s="290"/>
      <c r="M423" s="278"/>
      <c r="N423" s="278"/>
      <c r="O423" s="278"/>
      <c r="P423" s="278"/>
      <c r="Q423" s="278"/>
      <c r="R423" s="278"/>
      <c r="S423" s="278"/>
      <c r="T423" s="278"/>
      <c r="U423" s="278"/>
      <c r="V423" s="278"/>
      <c r="W423" s="278"/>
      <c r="X423" s="278"/>
      <c r="Y423" s="89"/>
    </row>
    <row r="424">
      <c r="L424" s="290"/>
      <c r="M424" s="278"/>
      <c r="N424" s="278"/>
      <c r="O424" s="278"/>
      <c r="P424" s="278"/>
      <c r="Q424" s="278"/>
      <c r="R424" s="278"/>
      <c r="S424" s="278"/>
      <c r="T424" s="278"/>
      <c r="U424" s="278"/>
      <c r="V424" s="278"/>
      <c r="W424" s="278"/>
      <c r="X424" s="278"/>
      <c r="Y424" s="89"/>
    </row>
    <row r="425">
      <c r="L425" s="290"/>
      <c r="M425" s="278"/>
      <c r="N425" s="278"/>
      <c r="O425" s="278"/>
      <c r="P425" s="278"/>
      <c r="Q425" s="278"/>
      <c r="R425" s="278"/>
      <c r="S425" s="278"/>
      <c r="T425" s="278"/>
      <c r="U425" s="278"/>
      <c r="V425" s="278"/>
      <c r="W425" s="278"/>
      <c r="X425" s="278"/>
      <c r="Y425" s="89"/>
    </row>
    <row r="426">
      <c r="L426" s="290"/>
      <c r="M426" s="278"/>
      <c r="N426" s="278"/>
      <c r="O426" s="278"/>
      <c r="P426" s="278"/>
      <c r="Q426" s="278"/>
      <c r="R426" s="278"/>
      <c r="S426" s="278"/>
      <c r="T426" s="278"/>
      <c r="U426" s="278"/>
      <c r="V426" s="278"/>
      <c r="W426" s="278"/>
      <c r="X426" s="278"/>
      <c r="Y426" s="89"/>
    </row>
    <row r="427">
      <c r="L427" s="290"/>
      <c r="M427" s="278"/>
      <c r="N427" s="278"/>
      <c r="O427" s="278"/>
      <c r="P427" s="278"/>
      <c r="Q427" s="278"/>
      <c r="R427" s="278"/>
      <c r="S427" s="278"/>
      <c r="T427" s="278"/>
      <c r="U427" s="278"/>
      <c r="V427" s="278"/>
      <c r="W427" s="278"/>
      <c r="X427" s="278"/>
      <c r="Y427" s="89"/>
    </row>
    <row r="428">
      <c r="L428" s="290"/>
      <c r="M428" s="278"/>
      <c r="N428" s="278"/>
      <c r="O428" s="278"/>
      <c r="P428" s="278"/>
      <c r="Q428" s="278"/>
      <c r="R428" s="278"/>
      <c r="S428" s="278"/>
      <c r="T428" s="278"/>
      <c r="U428" s="278"/>
      <c r="V428" s="278"/>
      <c r="W428" s="278"/>
      <c r="X428" s="278"/>
      <c r="Y428" s="89"/>
    </row>
    <row r="429">
      <c r="L429" s="290"/>
      <c r="M429" s="278"/>
      <c r="N429" s="278"/>
      <c r="O429" s="278"/>
      <c r="P429" s="278"/>
      <c r="Q429" s="278"/>
      <c r="R429" s="278"/>
      <c r="S429" s="278"/>
      <c r="T429" s="278"/>
      <c r="U429" s="278"/>
      <c r="V429" s="278"/>
      <c r="W429" s="278"/>
      <c r="X429" s="278"/>
      <c r="Y429" s="89"/>
    </row>
    <row r="430">
      <c r="L430" s="290"/>
      <c r="M430" s="278"/>
      <c r="N430" s="278"/>
      <c r="O430" s="278"/>
      <c r="P430" s="278"/>
      <c r="Q430" s="278"/>
      <c r="R430" s="278"/>
      <c r="S430" s="278"/>
      <c r="T430" s="278"/>
      <c r="U430" s="278"/>
      <c r="V430" s="278"/>
      <c r="W430" s="278"/>
      <c r="X430" s="278"/>
      <c r="Y430" s="89"/>
    </row>
    <row r="431">
      <c r="L431" s="290"/>
      <c r="M431" s="278"/>
      <c r="N431" s="278"/>
      <c r="O431" s="278"/>
      <c r="P431" s="278"/>
      <c r="Q431" s="278"/>
      <c r="R431" s="278"/>
      <c r="S431" s="278"/>
      <c r="T431" s="278"/>
      <c r="U431" s="278"/>
      <c r="V431" s="278"/>
      <c r="W431" s="278"/>
      <c r="X431" s="278"/>
      <c r="Y431" s="89"/>
    </row>
    <row r="432">
      <c r="L432" s="290"/>
      <c r="M432" s="278"/>
      <c r="N432" s="278"/>
      <c r="O432" s="278"/>
      <c r="P432" s="278"/>
      <c r="Q432" s="278"/>
      <c r="R432" s="278"/>
      <c r="S432" s="278"/>
      <c r="T432" s="278"/>
      <c r="U432" s="278"/>
      <c r="V432" s="278"/>
      <c r="W432" s="278"/>
      <c r="X432" s="278"/>
      <c r="Y432" s="89"/>
    </row>
    <row r="433">
      <c r="L433" s="290"/>
      <c r="M433" s="278"/>
      <c r="N433" s="278"/>
      <c r="O433" s="278"/>
      <c r="P433" s="278"/>
      <c r="Q433" s="278"/>
      <c r="R433" s="278"/>
      <c r="S433" s="278"/>
      <c r="T433" s="278"/>
      <c r="U433" s="278"/>
      <c r="V433" s="278"/>
      <c r="W433" s="278"/>
      <c r="X433" s="278"/>
      <c r="Y433" s="89"/>
    </row>
    <row r="434">
      <c r="L434" s="290"/>
      <c r="M434" s="278"/>
      <c r="N434" s="278"/>
      <c r="O434" s="278"/>
      <c r="P434" s="278"/>
      <c r="Q434" s="278"/>
      <c r="R434" s="278"/>
      <c r="S434" s="278"/>
      <c r="T434" s="278"/>
      <c r="U434" s="278"/>
      <c r="V434" s="278"/>
      <c r="W434" s="278"/>
      <c r="X434" s="278"/>
      <c r="Y434" s="89"/>
    </row>
    <row r="435">
      <c r="L435" s="290"/>
      <c r="M435" s="278"/>
      <c r="N435" s="278"/>
      <c r="O435" s="278"/>
      <c r="P435" s="278"/>
      <c r="Q435" s="278"/>
      <c r="R435" s="278"/>
      <c r="S435" s="278"/>
      <c r="T435" s="278"/>
      <c r="U435" s="278"/>
      <c r="V435" s="278"/>
      <c r="W435" s="278"/>
      <c r="X435" s="278"/>
      <c r="Y435" s="89"/>
    </row>
    <row r="436">
      <c r="L436" s="290"/>
      <c r="M436" s="278"/>
      <c r="N436" s="278"/>
      <c r="O436" s="278"/>
      <c r="P436" s="278"/>
      <c r="Q436" s="278"/>
      <c r="R436" s="278"/>
      <c r="S436" s="278"/>
      <c r="T436" s="278"/>
      <c r="U436" s="278"/>
      <c r="V436" s="278"/>
      <c r="W436" s="278"/>
      <c r="X436" s="278"/>
      <c r="Y436" s="89"/>
    </row>
    <row r="437">
      <c r="L437" s="290"/>
      <c r="M437" s="278"/>
      <c r="N437" s="278"/>
      <c r="O437" s="278"/>
      <c r="P437" s="278"/>
      <c r="Q437" s="278"/>
      <c r="R437" s="278"/>
      <c r="S437" s="278"/>
      <c r="T437" s="278"/>
      <c r="U437" s="278"/>
      <c r="V437" s="278"/>
      <c r="W437" s="278"/>
      <c r="X437" s="278"/>
      <c r="Y437" s="89"/>
    </row>
    <row r="438">
      <c r="L438" s="290"/>
      <c r="M438" s="278"/>
      <c r="N438" s="278"/>
      <c r="O438" s="278"/>
      <c r="P438" s="278"/>
      <c r="Q438" s="278"/>
      <c r="R438" s="278"/>
      <c r="S438" s="278"/>
      <c r="T438" s="278"/>
      <c r="U438" s="278"/>
      <c r="V438" s="278"/>
      <c r="W438" s="278"/>
      <c r="X438" s="278"/>
      <c r="Y438" s="89"/>
    </row>
    <row r="439">
      <c r="L439" s="290"/>
      <c r="M439" s="278"/>
      <c r="N439" s="278"/>
      <c r="O439" s="278"/>
      <c r="P439" s="278"/>
      <c r="Q439" s="278"/>
      <c r="R439" s="278"/>
      <c r="S439" s="278"/>
      <c r="T439" s="278"/>
      <c r="U439" s="278"/>
      <c r="V439" s="278"/>
      <c r="W439" s="278"/>
      <c r="X439" s="278"/>
      <c r="Y439" s="89"/>
    </row>
    <row r="440">
      <c r="L440" s="290"/>
      <c r="M440" s="278"/>
      <c r="N440" s="278"/>
      <c r="O440" s="278"/>
      <c r="P440" s="278"/>
      <c r="Q440" s="278"/>
      <c r="R440" s="278"/>
      <c r="S440" s="278"/>
      <c r="T440" s="278"/>
      <c r="U440" s="278"/>
      <c r="V440" s="278"/>
      <c r="W440" s="278"/>
      <c r="X440" s="278"/>
      <c r="Y440" s="89"/>
    </row>
    <row r="441">
      <c r="L441" s="290"/>
      <c r="M441" s="278"/>
      <c r="N441" s="278"/>
      <c r="O441" s="278"/>
      <c r="P441" s="278"/>
      <c r="Q441" s="278"/>
      <c r="R441" s="278"/>
      <c r="S441" s="278"/>
      <c r="T441" s="278"/>
      <c r="U441" s="278"/>
      <c r="V441" s="278"/>
      <c r="W441" s="278"/>
      <c r="X441" s="278"/>
      <c r="Y441" s="89"/>
    </row>
    <row r="442">
      <c r="L442" s="290"/>
      <c r="M442" s="278"/>
      <c r="N442" s="278"/>
      <c r="O442" s="278"/>
      <c r="P442" s="278"/>
      <c r="Q442" s="278"/>
      <c r="R442" s="278"/>
      <c r="S442" s="278"/>
      <c r="T442" s="278"/>
      <c r="U442" s="278"/>
      <c r="V442" s="278"/>
      <c r="W442" s="278"/>
      <c r="X442" s="278"/>
      <c r="Y442" s="89"/>
    </row>
    <row r="443">
      <c r="L443" s="290"/>
      <c r="M443" s="278"/>
      <c r="N443" s="278"/>
      <c r="O443" s="278"/>
      <c r="P443" s="278"/>
      <c r="Q443" s="278"/>
      <c r="R443" s="278"/>
      <c r="S443" s="278"/>
      <c r="T443" s="278"/>
      <c r="U443" s="278"/>
      <c r="V443" s="278"/>
      <c r="W443" s="278"/>
      <c r="X443" s="278"/>
      <c r="Y443" s="89"/>
    </row>
    <row r="444">
      <c r="L444" s="290"/>
      <c r="M444" s="278"/>
      <c r="N444" s="278"/>
      <c r="O444" s="278"/>
      <c r="P444" s="278"/>
      <c r="Q444" s="278"/>
      <c r="R444" s="278"/>
      <c r="S444" s="278"/>
      <c r="T444" s="278"/>
      <c r="U444" s="278"/>
      <c r="V444" s="278"/>
      <c r="W444" s="278"/>
      <c r="X444" s="278"/>
      <c r="Y444" s="89"/>
    </row>
    <row r="445">
      <c r="L445" s="290"/>
      <c r="M445" s="278"/>
      <c r="N445" s="278"/>
      <c r="O445" s="278"/>
      <c r="P445" s="278"/>
      <c r="Q445" s="278"/>
      <c r="R445" s="278"/>
      <c r="S445" s="278"/>
      <c r="T445" s="278"/>
      <c r="U445" s="278"/>
      <c r="V445" s="278"/>
      <c r="W445" s="278"/>
      <c r="X445" s="278"/>
      <c r="Y445" s="89"/>
    </row>
    <row r="446">
      <c r="L446" s="290"/>
      <c r="M446" s="278"/>
      <c r="N446" s="278"/>
      <c r="O446" s="278"/>
      <c r="P446" s="278"/>
      <c r="Q446" s="278"/>
      <c r="R446" s="278"/>
      <c r="S446" s="278"/>
      <c r="T446" s="278"/>
      <c r="U446" s="278"/>
      <c r="V446" s="278"/>
      <c r="W446" s="278"/>
      <c r="X446" s="278"/>
      <c r="Y446" s="89"/>
    </row>
    <row r="447">
      <c r="L447" s="290"/>
      <c r="M447" s="278"/>
      <c r="N447" s="278"/>
      <c r="O447" s="278"/>
      <c r="P447" s="278"/>
      <c r="Q447" s="278"/>
      <c r="R447" s="278"/>
      <c r="S447" s="278"/>
      <c r="T447" s="278"/>
      <c r="U447" s="278"/>
      <c r="V447" s="278"/>
      <c r="W447" s="278"/>
      <c r="X447" s="278"/>
      <c r="Y447" s="89"/>
    </row>
    <row r="448">
      <c r="L448" s="290"/>
      <c r="M448" s="278"/>
      <c r="N448" s="278"/>
      <c r="O448" s="278"/>
      <c r="P448" s="278"/>
      <c r="Q448" s="278"/>
      <c r="R448" s="278"/>
      <c r="S448" s="278"/>
      <c r="T448" s="278"/>
      <c r="U448" s="278"/>
      <c r="V448" s="278"/>
      <c r="W448" s="278"/>
      <c r="X448" s="278"/>
      <c r="Y448" s="89"/>
    </row>
    <row r="449">
      <c r="L449" s="290"/>
      <c r="M449" s="278"/>
      <c r="N449" s="278"/>
      <c r="O449" s="278"/>
      <c r="P449" s="278"/>
      <c r="Q449" s="278"/>
      <c r="R449" s="278"/>
      <c r="S449" s="278"/>
      <c r="T449" s="278"/>
      <c r="U449" s="278"/>
      <c r="V449" s="278"/>
      <c r="W449" s="278"/>
      <c r="X449" s="278"/>
      <c r="Y449" s="89"/>
    </row>
    <row r="450">
      <c r="L450" s="290"/>
      <c r="M450" s="278"/>
      <c r="N450" s="278"/>
      <c r="O450" s="278"/>
      <c r="P450" s="278"/>
      <c r="Q450" s="278"/>
      <c r="R450" s="278"/>
      <c r="S450" s="278"/>
      <c r="T450" s="278"/>
      <c r="U450" s="278"/>
      <c r="V450" s="278"/>
      <c r="W450" s="278"/>
      <c r="X450" s="278"/>
      <c r="Y450" s="89"/>
    </row>
    <row r="451">
      <c r="L451" s="290"/>
      <c r="M451" s="278"/>
      <c r="N451" s="278"/>
      <c r="O451" s="278"/>
      <c r="P451" s="278"/>
      <c r="Q451" s="278"/>
      <c r="R451" s="278"/>
      <c r="S451" s="278"/>
      <c r="T451" s="278"/>
      <c r="U451" s="278"/>
      <c r="V451" s="278"/>
      <c r="W451" s="278"/>
      <c r="X451" s="278"/>
      <c r="Y451" s="89"/>
    </row>
    <row r="452">
      <c r="L452" s="290"/>
      <c r="M452" s="278"/>
      <c r="N452" s="278"/>
      <c r="O452" s="278"/>
      <c r="P452" s="278"/>
      <c r="Q452" s="278"/>
      <c r="R452" s="278"/>
      <c r="S452" s="278"/>
      <c r="T452" s="278"/>
      <c r="U452" s="278"/>
      <c r="V452" s="278"/>
      <c r="W452" s="278"/>
      <c r="X452" s="278"/>
      <c r="Y452" s="89"/>
    </row>
    <row r="453">
      <c r="L453" s="290"/>
      <c r="M453" s="278"/>
      <c r="N453" s="278"/>
      <c r="O453" s="278"/>
      <c r="P453" s="278"/>
      <c r="Q453" s="278"/>
      <c r="R453" s="278"/>
      <c r="S453" s="278"/>
      <c r="T453" s="278"/>
      <c r="U453" s="278"/>
      <c r="V453" s="278"/>
      <c r="W453" s="278"/>
      <c r="X453" s="278"/>
      <c r="Y453" s="89"/>
    </row>
    <row r="454">
      <c r="L454" s="290"/>
      <c r="M454" s="278"/>
      <c r="N454" s="278"/>
      <c r="O454" s="278"/>
      <c r="P454" s="278"/>
      <c r="Q454" s="278"/>
      <c r="R454" s="278"/>
      <c r="S454" s="278"/>
      <c r="T454" s="278"/>
      <c r="U454" s="278"/>
      <c r="V454" s="278"/>
      <c r="W454" s="278"/>
      <c r="X454" s="278"/>
      <c r="Y454" s="89"/>
    </row>
    <row r="455">
      <c r="L455" s="290"/>
      <c r="M455" s="278"/>
      <c r="N455" s="278"/>
      <c r="O455" s="278"/>
      <c r="P455" s="278"/>
      <c r="Q455" s="278"/>
      <c r="R455" s="278"/>
      <c r="S455" s="278"/>
      <c r="T455" s="278"/>
      <c r="U455" s="278"/>
      <c r="V455" s="278"/>
      <c r="W455" s="278"/>
      <c r="X455" s="278"/>
      <c r="Y455" s="89"/>
    </row>
    <row r="456">
      <c r="L456" s="290"/>
      <c r="M456" s="278"/>
      <c r="N456" s="278"/>
      <c r="O456" s="278"/>
      <c r="P456" s="278"/>
      <c r="Q456" s="278"/>
      <c r="R456" s="278"/>
      <c r="S456" s="278"/>
      <c r="T456" s="278"/>
      <c r="U456" s="278"/>
      <c r="V456" s="278"/>
      <c r="W456" s="278"/>
      <c r="X456" s="278"/>
      <c r="Y456" s="89"/>
    </row>
    <row r="457">
      <c r="L457" s="290"/>
      <c r="M457" s="278"/>
      <c r="N457" s="278"/>
      <c r="O457" s="278"/>
      <c r="P457" s="278"/>
      <c r="Q457" s="278"/>
      <c r="R457" s="278"/>
      <c r="S457" s="278"/>
      <c r="T457" s="278"/>
      <c r="U457" s="278"/>
      <c r="V457" s="278"/>
      <c r="W457" s="278"/>
      <c r="X457" s="278"/>
      <c r="Y457" s="89"/>
    </row>
    <row r="458">
      <c r="L458" s="290"/>
      <c r="M458" s="278"/>
      <c r="N458" s="278"/>
      <c r="O458" s="278"/>
      <c r="P458" s="278"/>
      <c r="Q458" s="278"/>
      <c r="R458" s="278"/>
      <c r="S458" s="278"/>
      <c r="T458" s="278"/>
      <c r="U458" s="278"/>
      <c r="V458" s="278"/>
      <c r="W458" s="278"/>
      <c r="X458" s="278"/>
      <c r="Y458" s="89"/>
    </row>
    <row r="459">
      <c r="L459" s="290"/>
      <c r="M459" s="278"/>
      <c r="N459" s="278"/>
      <c r="O459" s="278"/>
      <c r="P459" s="278"/>
      <c r="Q459" s="278"/>
      <c r="R459" s="278"/>
      <c r="S459" s="278"/>
      <c r="T459" s="278"/>
      <c r="U459" s="278"/>
      <c r="V459" s="278"/>
      <c r="W459" s="278"/>
      <c r="X459" s="278"/>
      <c r="Y459" s="89"/>
    </row>
    <row r="460">
      <c r="L460" s="290"/>
      <c r="M460" s="278"/>
      <c r="N460" s="278"/>
      <c r="O460" s="278"/>
      <c r="P460" s="278"/>
      <c r="Q460" s="278"/>
      <c r="R460" s="278"/>
      <c r="S460" s="278"/>
      <c r="T460" s="278"/>
      <c r="U460" s="278"/>
      <c r="V460" s="278"/>
      <c r="W460" s="278"/>
      <c r="X460" s="278"/>
      <c r="Y460" s="89"/>
    </row>
    <row r="461">
      <c r="L461" s="290"/>
      <c r="M461" s="278"/>
      <c r="N461" s="278"/>
      <c r="O461" s="278"/>
      <c r="P461" s="278"/>
      <c r="Q461" s="278"/>
      <c r="R461" s="278"/>
      <c r="S461" s="278"/>
      <c r="T461" s="278"/>
      <c r="U461" s="278"/>
      <c r="V461" s="278"/>
      <c r="W461" s="278"/>
      <c r="X461" s="278"/>
      <c r="Y461" s="89"/>
    </row>
    <row r="462">
      <c r="L462" s="290"/>
      <c r="M462" s="278"/>
      <c r="N462" s="278"/>
      <c r="O462" s="278"/>
      <c r="P462" s="278"/>
      <c r="Q462" s="278"/>
      <c r="R462" s="278"/>
      <c r="S462" s="278"/>
      <c r="T462" s="278"/>
      <c r="U462" s="278"/>
      <c r="V462" s="278"/>
      <c r="W462" s="278"/>
      <c r="X462" s="278"/>
      <c r="Y462" s="89"/>
    </row>
    <row r="463">
      <c r="L463" s="290"/>
      <c r="M463" s="278"/>
      <c r="N463" s="278"/>
      <c r="O463" s="278"/>
      <c r="P463" s="278"/>
      <c r="Q463" s="278"/>
      <c r="R463" s="278"/>
      <c r="S463" s="278"/>
      <c r="T463" s="278"/>
      <c r="U463" s="278"/>
      <c r="V463" s="278"/>
      <c r="W463" s="278"/>
      <c r="X463" s="278"/>
      <c r="Y463" s="89"/>
    </row>
    <row r="464">
      <c r="L464" s="290"/>
      <c r="M464" s="278"/>
      <c r="N464" s="278"/>
      <c r="O464" s="278"/>
      <c r="P464" s="278"/>
      <c r="Q464" s="278"/>
      <c r="R464" s="278"/>
      <c r="S464" s="278"/>
      <c r="T464" s="278"/>
      <c r="U464" s="278"/>
      <c r="V464" s="278"/>
      <c r="W464" s="278"/>
      <c r="X464" s="278"/>
      <c r="Y464" s="89"/>
    </row>
    <row r="465">
      <c r="L465" s="290"/>
      <c r="M465" s="278"/>
      <c r="N465" s="278"/>
      <c r="O465" s="278"/>
      <c r="P465" s="278"/>
      <c r="Q465" s="278"/>
      <c r="R465" s="278"/>
      <c r="S465" s="278"/>
      <c r="T465" s="278"/>
      <c r="U465" s="278"/>
      <c r="V465" s="278"/>
      <c r="W465" s="278"/>
      <c r="X465" s="278"/>
      <c r="Y465" s="89"/>
    </row>
    <row r="466">
      <c r="L466" s="290"/>
      <c r="M466" s="278"/>
      <c r="N466" s="278"/>
      <c r="O466" s="278"/>
      <c r="P466" s="278"/>
      <c r="Q466" s="278"/>
      <c r="R466" s="278"/>
      <c r="S466" s="278"/>
      <c r="T466" s="278"/>
      <c r="U466" s="278"/>
      <c r="V466" s="278"/>
      <c r="W466" s="278"/>
      <c r="X466" s="278"/>
      <c r="Y466" s="89"/>
    </row>
    <row r="467">
      <c r="L467" s="290"/>
      <c r="M467" s="278"/>
      <c r="N467" s="278"/>
      <c r="O467" s="278"/>
      <c r="P467" s="278"/>
      <c r="Q467" s="278"/>
      <c r="R467" s="278"/>
      <c r="S467" s="278"/>
      <c r="T467" s="278"/>
      <c r="U467" s="278"/>
      <c r="V467" s="278"/>
      <c r="W467" s="278"/>
      <c r="X467" s="278"/>
      <c r="Y467" s="89"/>
    </row>
    <row r="468">
      <c r="L468" s="290"/>
      <c r="M468" s="278"/>
      <c r="N468" s="278"/>
      <c r="O468" s="278"/>
      <c r="P468" s="278"/>
      <c r="Q468" s="278"/>
      <c r="R468" s="278"/>
      <c r="S468" s="278"/>
      <c r="T468" s="278"/>
      <c r="U468" s="278"/>
      <c r="V468" s="278"/>
      <c r="W468" s="278"/>
      <c r="X468" s="278"/>
      <c r="Y468" s="89"/>
    </row>
    <row r="469">
      <c r="L469" s="290"/>
      <c r="M469" s="278"/>
      <c r="N469" s="278"/>
      <c r="O469" s="278"/>
      <c r="P469" s="278"/>
      <c r="Q469" s="278"/>
      <c r="R469" s="278"/>
      <c r="S469" s="278"/>
      <c r="T469" s="278"/>
      <c r="U469" s="278"/>
      <c r="V469" s="278"/>
      <c r="W469" s="278"/>
      <c r="X469" s="278"/>
      <c r="Y469" s="89"/>
    </row>
    <row r="470">
      <c r="L470" s="290"/>
      <c r="M470" s="278"/>
      <c r="N470" s="278"/>
      <c r="O470" s="278"/>
      <c r="P470" s="278"/>
      <c r="Q470" s="278"/>
      <c r="R470" s="278"/>
      <c r="S470" s="278"/>
      <c r="T470" s="278"/>
      <c r="U470" s="278"/>
      <c r="V470" s="278"/>
      <c r="W470" s="278"/>
      <c r="X470" s="278"/>
      <c r="Y470" s="89"/>
    </row>
    <row r="471">
      <c r="L471" s="290"/>
      <c r="M471" s="278"/>
      <c r="N471" s="278"/>
      <c r="O471" s="278"/>
      <c r="P471" s="278"/>
      <c r="Q471" s="278"/>
      <c r="R471" s="278"/>
      <c r="S471" s="278"/>
      <c r="T471" s="278"/>
      <c r="U471" s="278"/>
      <c r="V471" s="278"/>
      <c r="W471" s="278"/>
      <c r="X471" s="278"/>
      <c r="Y471" s="89"/>
    </row>
    <row r="472">
      <c r="L472" s="290"/>
      <c r="M472" s="278"/>
      <c r="N472" s="278"/>
      <c r="O472" s="278"/>
      <c r="P472" s="278"/>
      <c r="Q472" s="278"/>
      <c r="R472" s="278"/>
      <c r="S472" s="278"/>
      <c r="T472" s="278"/>
      <c r="U472" s="278"/>
      <c r="V472" s="278"/>
      <c r="W472" s="278"/>
      <c r="X472" s="278"/>
      <c r="Y472" s="89"/>
    </row>
    <row r="473">
      <c r="L473" s="290"/>
      <c r="M473" s="278"/>
      <c r="N473" s="278"/>
      <c r="O473" s="278"/>
      <c r="P473" s="278"/>
      <c r="Q473" s="278"/>
      <c r="R473" s="278"/>
      <c r="S473" s="278"/>
      <c r="T473" s="278"/>
      <c r="U473" s="278"/>
      <c r="V473" s="278"/>
      <c r="W473" s="278"/>
      <c r="X473" s="278"/>
      <c r="Y473" s="89"/>
    </row>
    <row r="474">
      <c r="L474" s="290"/>
      <c r="M474" s="278"/>
      <c r="N474" s="278"/>
      <c r="O474" s="278"/>
      <c r="P474" s="278"/>
      <c r="Q474" s="278"/>
      <c r="R474" s="278"/>
      <c r="S474" s="278"/>
      <c r="T474" s="278"/>
      <c r="U474" s="278"/>
      <c r="V474" s="278"/>
      <c r="W474" s="278"/>
      <c r="X474" s="278"/>
      <c r="Y474" s="89"/>
    </row>
    <row r="475">
      <c r="L475" s="290"/>
      <c r="M475" s="278"/>
      <c r="N475" s="278"/>
      <c r="O475" s="278"/>
      <c r="P475" s="278"/>
      <c r="Q475" s="278"/>
      <c r="R475" s="278"/>
      <c r="S475" s="278"/>
      <c r="T475" s="278"/>
      <c r="U475" s="278"/>
      <c r="V475" s="278"/>
      <c r="W475" s="278"/>
      <c r="X475" s="278"/>
      <c r="Y475" s="89"/>
    </row>
    <row r="476">
      <c r="L476" s="290"/>
      <c r="M476" s="278"/>
      <c r="N476" s="278"/>
      <c r="O476" s="278"/>
      <c r="P476" s="278"/>
      <c r="Q476" s="278"/>
      <c r="R476" s="278"/>
      <c r="S476" s="278"/>
      <c r="T476" s="278"/>
      <c r="U476" s="278"/>
      <c r="V476" s="278"/>
      <c r="W476" s="278"/>
      <c r="X476" s="278"/>
      <c r="Y476" s="89"/>
    </row>
    <row r="477">
      <c r="L477" s="290"/>
      <c r="M477" s="278"/>
      <c r="N477" s="278"/>
      <c r="O477" s="278"/>
      <c r="P477" s="278"/>
      <c r="Q477" s="278"/>
      <c r="R477" s="278"/>
      <c r="S477" s="278"/>
      <c r="T477" s="278"/>
      <c r="U477" s="278"/>
      <c r="V477" s="278"/>
      <c r="W477" s="278"/>
      <c r="X477" s="278"/>
      <c r="Y477" s="89"/>
    </row>
    <row r="478">
      <c r="L478" s="290"/>
      <c r="M478" s="278"/>
      <c r="N478" s="278"/>
      <c r="O478" s="278"/>
      <c r="P478" s="278"/>
      <c r="Q478" s="278"/>
      <c r="R478" s="278"/>
      <c r="S478" s="278"/>
      <c r="T478" s="278"/>
      <c r="U478" s="278"/>
      <c r="V478" s="278"/>
      <c r="W478" s="278"/>
      <c r="X478" s="278"/>
      <c r="Y478" s="89"/>
    </row>
    <row r="479">
      <c r="L479" s="290"/>
      <c r="M479" s="278"/>
      <c r="N479" s="278"/>
      <c r="O479" s="278"/>
      <c r="P479" s="278"/>
      <c r="Q479" s="278"/>
      <c r="R479" s="278"/>
      <c r="S479" s="278"/>
      <c r="T479" s="278"/>
      <c r="U479" s="278"/>
      <c r="V479" s="278"/>
      <c r="W479" s="278"/>
      <c r="X479" s="278"/>
      <c r="Y479" s="89"/>
    </row>
    <row r="480">
      <c r="L480" s="290"/>
      <c r="M480" s="278"/>
      <c r="N480" s="278"/>
      <c r="O480" s="278"/>
      <c r="P480" s="278"/>
      <c r="Q480" s="278"/>
      <c r="R480" s="278"/>
      <c r="S480" s="278"/>
      <c r="T480" s="278"/>
      <c r="U480" s="278"/>
      <c r="V480" s="278"/>
      <c r="W480" s="278"/>
      <c r="X480" s="278"/>
      <c r="Y480" s="89"/>
    </row>
    <row r="481">
      <c r="L481" s="290"/>
      <c r="M481" s="278"/>
      <c r="N481" s="278"/>
      <c r="O481" s="278"/>
      <c r="P481" s="278"/>
      <c r="Q481" s="278"/>
      <c r="R481" s="278"/>
      <c r="S481" s="278"/>
      <c r="T481" s="278"/>
      <c r="U481" s="278"/>
      <c r="V481" s="278"/>
      <c r="W481" s="278"/>
      <c r="X481" s="278"/>
      <c r="Y481" s="89"/>
    </row>
    <row r="482">
      <c r="L482" s="290"/>
      <c r="M482" s="278"/>
      <c r="N482" s="278"/>
      <c r="O482" s="278"/>
      <c r="P482" s="278"/>
      <c r="Q482" s="278"/>
      <c r="R482" s="278"/>
      <c r="S482" s="278"/>
      <c r="T482" s="278"/>
      <c r="U482" s="278"/>
      <c r="V482" s="278"/>
      <c r="W482" s="278"/>
      <c r="X482" s="278"/>
      <c r="Y482" s="89"/>
    </row>
    <row r="483">
      <c r="L483" s="290"/>
      <c r="M483" s="278"/>
      <c r="N483" s="278"/>
      <c r="O483" s="278"/>
      <c r="P483" s="278"/>
      <c r="Q483" s="278"/>
      <c r="R483" s="278"/>
      <c r="S483" s="278"/>
      <c r="T483" s="278"/>
      <c r="U483" s="278"/>
      <c r="V483" s="278"/>
      <c r="W483" s="278"/>
      <c r="X483" s="278"/>
      <c r="Y483" s="89"/>
    </row>
    <row r="484">
      <c r="L484" s="290"/>
      <c r="M484" s="278"/>
      <c r="N484" s="278"/>
      <c r="O484" s="278"/>
      <c r="P484" s="278"/>
      <c r="Q484" s="278"/>
      <c r="R484" s="278"/>
      <c r="S484" s="278"/>
      <c r="T484" s="278"/>
      <c r="U484" s="278"/>
      <c r="V484" s="278"/>
      <c r="W484" s="278"/>
      <c r="X484" s="278"/>
      <c r="Y484" s="89"/>
    </row>
    <row r="485">
      <c r="L485" s="290"/>
      <c r="M485" s="278"/>
      <c r="N485" s="278"/>
      <c r="O485" s="278"/>
      <c r="P485" s="278"/>
      <c r="Q485" s="278"/>
      <c r="R485" s="278"/>
      <c r="S485" s="278"/>
      <c r="T485" s="278"/>
      <c r="U485" s="278"/>
      <c r="V485" s="278"/>
      <c r="W485" s="278"/>
      <c r="X485" s="278"/>
      <c r="Y485" s="89"/>
    </row>
    <row r="486">
      <c r="L486" s="290"/>
      <c r="M486" s="278"/>
      <c r="N486" s="278"/>
      <c r="O486" s="278"/>
      <c r="P486" s="278"/>
      <c r="Q486" s="278"/>
      <c r="R486" s="278"/>
      <c r="S486" s="278"/>
      <c r="T486" s="278"/>
      <c r="U486" s="278"/>
      <c r="V486" s="278"/>
      <c r="W486" s="278"/>
      <c r="X486" s="278"/>
      <c r="Y486" s="89"/>
    </row>
    <row r="487">
      <c r="L487" s="290"/>
      <c r="M487" s="278"/>
      <c r="N487" s="278"/>
      <c r="O487" s="278"/>
      <c r="P487" s="278"/>
      <c r="Q487" s="278"/>
      <c r="R487" s="278"/>
      <c r="S487" s="278"/>
      <c r="T487" s="278"/>
      <c r="U487" s="278"/>
      <c r="V487" s="278"/>
      <c r="W487" s="278"/>
      <c r="X487" s="278"/>
      <c r="Y487" s="89"/>
    </row>
    <row r="488">
      <c r="L488" s="290"/>
      <c r="M488" s="278"/>
      <c r="N488" s="278"/>
      <c r="O488" s="278"/>
      <c r="P488" s="278"/>
      <c r="Q488" s="278"/>
      <c r="R488" s="278"/>
      <c r="S488" s="278"/>
      <c r="T488" s="278"/>
      <c r="U488" s="278"/>
      <c r="V488" s="278"/>
      <c r="W488" s="278"/>
      <c r="X488" s="278"/>
      <c r="Y488" s="89"/>
    </row>
    <row r="489">
      <c r="L489" s="290"/>
      <c r="M489" s="278"/>
      <c r="N489" s="278"/>
      <c r="O489" s="278"/>
      <c r="P489" s="278"/>
      <c r="Q489" s="278"/>
      <c r="R489" s="278"/>
      <c r="S489" s="278"/>
      <c r="T489" s="278"/>
      <c r="U489" s="278"/>
      <c r="V489" s="278"/>
      <c r="W489" s="278"/>
      <c r="X489" s="278"/>
      <c r="Y489" s="89"/>
    </row>
    <row r="490">
      <c r="L490" s="290"/>
      <c r="M490" s="278"/>
      <c r="N490" s="278"/>
      <c r="O490" s="278"/>
      <c r="P490" s="278"/>
      <c r="Q490" s="278"/>
      <c r="R490" s="278"/>
      <c r="S490" s="278"/>
      <c r="T490" s="278"/>
      <c r="U490" s="278"/>
      <c r="V490" s="278"/>
      <c r="W490" s="278"/>
      <c r="X490" s="278"/>
      <c r="Y490" s="89"/>
    </row>
    <row r="491">
      <c r="L491" s="290"/>
      <c r="M491" s="278"/>
      <c r="N491" s="278"/>
      <c r="O491" s="278"/>
      <c r="P491" s="278"/>
      <c r="Q491" s="278"/>
      <c r="R491" s="278"/>
      <c r="S491" s="278"/>
      <c r="T491" s="278"/>
      <c r="U491" s="278"/>
      <c r="V491" s="278"/>
      <c r="W491" s="278"/>
      <c r="X491" s="278"/>
      <c r="Y491" s="89"/>
    </row>
    <row r="492">
      <c r="L492" s="290"/>
      <c r="M492" s="278"/>
      <c r="N492" s="278"/>
      <c r="O492" s="278"/>
      <c r="P492" s="278"/>
      <c r="Q492" s="278"/>
      <c r="R492" s="278"/>
      <c r="S492" s="278"/>
      <c r="T492" s="278"/>
      <c r="U492" s="278"/>
      <c r="V492" s="278"/>
      <c r="W492" s="278"/>
      <c r="X492" s="278"/>
      <c r="Y492" s="89"/>
    </row>
    <row r="493">
      <c r="L493" s="290"/>
      <c r="M493" s="278"/>
      <c r="N493" s="278"/>
      <c r="O493" s="278"/>
      <c r="P493" s="278"/>
      <c r="Q493" s="278"/>
      <c r="R493" s="278"/>
      <c r="S493" s="278"/>
      <c r="T493" s="278"/>
      <c r="U493" s="278"/>
      <c r="V493" s="278"/>
      <c r="W493" s="278"/>
      <c r="X493" s="278"/>
      <c r="Y493" s="89"/>
    </row>
    <row r="494">
      <c r="L494" s="290"/>
      <c r="M494" s="278"/>
      <c r="N494" s="278"/>
      <c r="O494" s="278"/>
      <c r="P494" s="278"/>
      <c r="Q494" s="278"/>
      <c r="R494" s="278"/>
      <c r="S494" s="278"/>
      <c r="T494" s="278"/>
      <c r="U494" s="278"/>
      <c r="V494" s="278"/>
      <c r="W494" s="278"/>
      <c r="X494" s="278"/>
      <c r="Y494" s="89"/>
    </row>
    <row r="495">
      <c r="L495" s="290"/>
      <c r="M495" s="278"/>
      <c r="N495" s="278"/>
      <c r="O495" s="278"/>
      <c r="P495" s="278"/>
      <c r="Q495" s="278"/>
      <c r="R495" s="278"/>
      <c r="S495" s="278"/>
      <c r="T495" s="278"/>
      <c r="U495" s="278"/>
      <c r="V495" s="278"/>
      <c r="W495" s="278"/>
      <c r="X495" s="278"/>
      <c r="Y495" s="89"/>
    </row>
    <row r="496">
      <c r="L496" s="290"/>
      <c r="M496" s="278"/>
      <c r="N496" s="278"/>
      <c r="O496" s="278"/>
      <c r="P496" s="278"/>
      <c r="Q496" s="278"/>
      <c r="R496" s="278"/>
      <c r="S496" s="278"/>
      <c r="T496" s="278"/>
      <c r="U496" s="278"/>
      <c r="V496" s="278"/>
      <c r="W496" s="278"/>
      <c r="X496" s="278"/>
      <c r="Y496" s="89"/>
    </row>
    <row r="497">
      <c r="L497" s="290"/>
      <c r="M497" s="278"/>
      <c r="N497" s="278"/>
      <c r="O497" s="278"/>
      <c r="P497" s="278"/>
      <c r="Q497" s="278"/>
      <c r="R497" s="278"/>
      <c r="S497" s="278"/>
      <c r="T497" s="278"/>
      <c r="U497" s="278"/>
      <c r="V497" s="278"/>
      <c r="W497" s="278"/>
      <c r="X497" s="278"/>
      <c r="Y497" s="89"/>
    </row>
    <row r="498">
      <c r="L498" s="290"/>
      <c r="M498" s="278"/>
      <c r="N498" s="278"/>
      <c r="O498" s="278"/>
      <c r="P498" s="278"/>
      <c r="Q498" s="278"/>
      <c r="R498" s="278"/>
      <c r="S498" s="278"/>
      <c r="T498" s="278"/>
      <c r="U498" s="278"/>
      <c r="V498" s="278"/>
      <c r="W498" s="278"/>
      <c r="X498" s="278"/>
      <c r="Y498" s="89"/>
    </row>
    <row r="499">
      <c r="L499" s="290"/>
      <c r="M499" s="278"/>
      <c r="N499" s="278"/>
      <c r="O499" s="278"/>
      <c r="P499" s="278"/>
      <c r="Q499" s="278"/>
      <c r="R499" s="278"/>
      <c r="S499" s="278"/>
      <c r="T499" s="278"/>
      <c r="U499" s="278"/>
      <c r="V499" s="278"/>
      <c r="W499" s="278"/>
      <c r="X499" s="278"/>
      <c r="Y499" s="89"/>
    </row>
    <row r="500">
      <c r="L500" s="290"/>
      <c r="M500" s="278"/>
      <c r="N500" s="278"/>
      <c r="O500" s="278"/>
      <c r="P500" s="278"/>
      <c r="Q500" s="278"/>
      <c r="R500" s="278"/>
      <c r="S500" s="278"/>
      <c r="T500" s="278"/>
      <c r="U500" s="278"/>
      <c r="V500" s="278"/>
      <c r="W500" s="278"/>
      <c r="X500" s="278"/>
      <c r="Y500" s="89"/>
    </row>
    <row r="501">
      <c r="L501" s="290"/>
      <c r="M501" s="278"/>
      <c r="N501" s="278"/>
      <c r="O501" s="278"/>
      <c r="P501" s="278"/>
      <c r="Q501" s="278"/>
      <c r="R501" s="278"/>
      <c r="S501" s="278"/>
      <c r="T501" s="278"/>
      <c r="U501" s="278"/>
      <c r="V501" s="278"/>
      <c r="W501" s="278"/>
      <c r="X501" s="278"/>
      <c r="Y501" s="89"/>
    </row>
    <row r="502">
      <c r="L502" s="290"/>
      <c r="M502" s="278"/>
      <c r="N502" s="278"/>
      <c r="O502" s="278"/>
      <c r="P502" s="278"/>
      <c r="Q502" s="278"/>
      <c r="R502" s="278"/>
      <c r="S502" s="278"/>
      <c r="T502" s="278"/>
      <c r="U502" s="278"/>
      <c r="V502" s="278"/>
      <c r="W502" s="278"/>
      <c r="X502" s="278"/>
      <c r="Y502" s="89"/>
    </row>
    <row r="503">
      <c r="L503" s="290"/>
      <c r="M503" s="278"/>
      <c r="N503" s="278"/>
      <c r="O503" s="278"/>
      <c r="P503" s="278"/>
      <c r="Q503" s="278"/>
      <c r="R503" s="278"/>
      <c r="S503" s="278"/>
      <c r="T503" s="278"/>
      <c r="U503" s="278"/>
      <c r="V503" s="278"/>
      <c r="W503" s="278"/>
      <c r="X503" s="278"/>
      <c r="Y503" s="89"/>
    </row>
    <row r="504">
      <c r="L504" s="290"/>
      <c r="M504" s="278"/>
      <c r="N504" s="278"/>
      <c r="O504" s="278"/>
      <c r="P504" s="278"/>
      <c r="Q504" s="278"/>
      <c r="R504" s="278"/>
      <c r="S504" s="278"/>
      <c r="T504" s="278"/>
      <c r="U504" s="278"/>
      <c r="V504" s="278"/>
      <c r="W504" s="278"/>
      <c r="X504" s="278"/>
      <c r="Y504" s="89"/>
    </row>
    <row r="505">
      <c r="L505" s="290"/>
      <c r="M505" s="278"/>
      <c r="N505" s="278"/>
      <c r="O505" s="278"/>
      <c r="P505" s="278"/>
      <c r="Q505" s="278"/>
      <c r="R505" s="278"/>
      <c r="S505" s="278"/>
      <c r="T505" s="278"/>
      <c r="U505" s="278"/>
      <c r="V505" s="278"/>
      <c r="W505" s="278"/>
      <c r="X505" s="278"/>
      <c r="Y505" s="89"/>
    </row>
    <row r="506">
      <c r="L506" s="290"/>
      <c r="M506" s="278"/>
      <c r="N506" s="278"/>
      <c r="O506" s="278"/>
      <c r="P506" s="278"/>
      <c r="Q506" s="278"/>
      <c r="R506" s="278"/>
      <c r="S506" s="278"/>
      <c r="T506" s="278"/>
      <c r="U506" s="278"/>
      <c r="V506" s="278"/>
      <c r="W506" s="278"/>
      <c r="X506" s="278"/>
      <c r="Y506" s="89"/>
    </row>
    <row r="507">
      <c r="L507" s="290"/>
      <c r="M507" s="278"/>
      <c r="N507" s="278"/>
      <c r="O507" s="278"/>
      <c r="P507" s="278"/>
      <c r="Q507" s="278"/>
      <c r="R507" s="278"/>
      <c r="S507" s="278"/>
      <c r="T507" s="278"/>
      <c r="U507" s="278"/>
      <c r="V507" s="278"/>
      <c r="W507" s="278"/>
      <c r="X507" s="278"/>
      <c r="Y507" s="89"/>
    </row>
    <row r="508">
      <c r="L508" s="290"/>
      <c r="M508" s="278"/>
      <c r="N508" s="278"/>
      <c r="O508" s="278"/>
      <c r="P508" s="278"/>
      <c r="Q508" s="278"/>
      <c r="R508" s="278"/>
      <c r="S508" s="278"/>
      <c r="T508" s="278"/>
      <c r="U508" s="278"/>
      <c r="V508" s="278"/>
      <c r="W508" s="278"/>
      <c r="X508" s="278"/>
      <c r="Y508" s="89"/>
    </row>
    <row r="509">
      <c r="L509" s="290"/>
      <c r="M509" s="278"/>
      <c r="N509" s="278"/>
      <c r="O509" s="278"/>
      <c r="P509" s="278"/>
      <c r="Q509" s="278"/>
      <c r="R509" s="278"/>
      <c r="S509" s="278"/>
      <c r="T509" s="278"/>
      <c r="U509" s="278"/>
      <c r="V509" s="278"/>
      <c r="W509" s="278"/>
      <c r="X509" s="278"/>
      <c r="Y509" s="89"/>
    </row>
    <row r="510">
      <c r="L510" s="290"/>
      <c r="M510" s="278"/>
      <c r="N510" s="278"/>
      <c r="O510" s="278"/>
      <c r="P510" s="278"/>
      <c r="Q510" s="278"/>
      <c r="R510" s="278"/>
      <c r="S510" s="278"/>
      <c r="T510" s="278"/>
      <c r="U510" s="278"/>
      <c r="V510" s="278"/>
      <c r="W510" s="278"/>
      <c r="X510" s="278"/>
      <c r="Y510" s="89"/>
    </row>
    <row r="511">
      <c r="L511" s="290"/>
      <c r="M511" s="278"/>
      <c r="N511" s="278"/>
      <c r="O511" s="278"/>
      <c r="P511" s="278"/>
      <c r="Q511" s="278"/>
      <c r="R511" s="278"/>
      <c r="S511" s="278"/>
      <c r="T511" s="278"/>
      <c r="U511" s="278"/>
      <c r="V511" s="278"/>
      <c r="W511" s="278"/>
      <c r="X511" s="278"/>
      <c r="Y511" s="89"/>
    </row>
    <row r="512">
      <c r="L512" s="290"/>
      <c r="M512" s="278"/>
      <c r="N512" s="278"/>
      <c r="O512" s="278"/>
      <c r="P512" s="278"/>
      <c r="Q512" s="278"/>
      <c r="R512" s="278"/>
      <c r="S512" s="278"/>
      <c r="T512" s="278"/>
      <c r="U512" s="278"/>
      <c r="V512" s="278"/>
      <c r="W512" s="278"/>
      <c r="X512" s="278"/>
      <c r="Y512" s="89"/>
    </row>
    <row r="513">
      <c r="L513" s="290"/>
      <c r="M513" s="278"/>
      <c r="N513" s="278"/>
      <c r="O513" s="278"/>
      <c r="P513" s="278"/>
      <c r="Q513" s="278"/>
      <c r="R513" s="278"/>
      <c r="S513" s="278"/>
      <c r="T513" s="278"/>
      <c r="U513" s="278"/>
      <c r="V513" s="278"/>
      <c r="W513" s="278"/>
      <c r="X513" s="278"/>
      <c r="Y513" s="89"/>
    </row>
    <row r="514">
      <c r="L514" s="290"/>
      <c r="M514" s="278"/>
      <c r="N514" s="278"/>
      <c r="O514" s="278"/>
      <c r="P514" s="278"/>
      <c r="Q514" s="278"/>
      <c r="R514" s="278"/>
      <c r="S514" s="278"/>
      <c r="T514" s="278"/>
      <c r="U514" s="278"/>
      <c r="V514" s="278"/>
      <c r="W514" s="278"/>
      <c r="X514" s="278"/>
      <c r="Y514" s="89"/>
    </row>
    <row r="515">
      <c r="L515" s="290"/>
      <c r="M515" s="278"/>
      <c r="N515" s="278"/>
      <c r="O515" s="278"/>
      <c r="P515" s="278"/>
      <c r="Q515" s="278"/>
      <c r="R515" s="278"/>
      <c r="S515" s="278"/>
      <c r="T515" s="278"/>
      <c r="U515" s="278"/>
      <c r="V515" s="278"/>
      <c r="W515" s="278"/>
      <c r="X515" s="278"/>
      <c r="Y515" s="89"/>
    </row>
    <row r="516">
      <c r="L516" s="290"/>
      <c r="M516" s="278"/>
      <c r="N516" s="278"/>
      <c r="O516" s="278"/>
      <c r="P516" s="278"/>
      <c r="Q516" s="278"/>
      <c r="R516" s="278"/>
      <c r="S516" s="278"/>
      <c r="T516" s="278"/>
      <c r="U516" s="278"/>
      <c r="V516" s="278"/>
      <c r="W516" s="278"/>
      <c r="X516" s="278"/>
      <c r="Y516" s="89"/>
    </row>
    <row r="517">
      <c r="L517" s="290"/>
      <c r="M517" s="278"/>
      <c r="N517" s="278"/>
      <c r="O517" s="278"/>
      <c r="P517" s="278"/>
      <c r="Q517" s="278"/>
      <c r="R517" s="278"/>
      <c r="S517" s="278"/>
      <c r="T517" s="278"/>
      <c r="U517" s="278"/>
      <c r="V517" s="278"/>
      <c r="W517" s="278"/>
      <c r="X517" s="278"/>
      <c r="Y517" s="89"/>
    </row>
    <row r="518">
      <c r="L518" s="290"/>
      <c r="M518" s="278"/>
      <c r="N518" s="278"/>
      <c r="O518" s="278"/>
      <c r="P518" s="278"/>
      <c r="Q518" s="278"/>
      <c r="R518" s="278"/>
      <c r="S518" s="278"/>
      <c r="T518" s="278"/>
      <c r="U518" s="278"/>
      <c r="V518" s="278"/>
      <c r="W518" s="278"/>
      <c r="X518" s="278"/>
      <c r="Y518" s="89"/>
    </row>
    <row r="519">
      <c r="L519" s="290"/>
      <c r="M519" s="278"/>
      <c r="N519" s="278"/>
      <c r="O519" s="278"/>
      <c r="P519" s="278"/>
      <c r="Q519" s="278"/>
      <c r="R519" s="278"/>
      <c r="S519" s="278"/>
      <c r="T519" s="278"/>
      <c r="U519" s="278"/>
      <c r="V519" s="278"/>
      <c r="W519" s="278"/>
      <c r="X519" s="278"/>
      <c r="Y519" s="89"/>
    </row>
    <row r="520">
      <c r="L520" s="290"/>
      <c r="M520" s="278"/>
      <c r="N520" s="278"/>
      <c r="O520" s="278"/>
      <c r="P520" s="278"/>
      <c r="Q520" s="278"/>
      <c r="R520" s="278"/>
      <c r="S520" s="278"/>
      <c r="T520" s="278"/>
      <c r="U520" s="278"/>
      <c r="V520" s="278"/>
      <c r="W520" s="278"/>
      <c r="X520" s="278"/>
      <c r="Y520" s="89"/>
    </row>
    <row r="521">
      <c r="L521" s="290"/>
      <c r="M521" s="278"/>
      <c r="N521" s="278"/>
      <c r="O521" s="278"/>
      <c r="P521" s="278"/>
      <c r="Q521" s="278"/>
      <c r="R521" s="278"/>
      <c r="S521" s="278"/>
      <c r="T521" s="278"/>
      <c r="U521" s="278"/>
      <c r="V521" s="278"/>
      <c r="W521" s="278"/>
      <c r="X521" s="278"/>
      <c r="Y521" s="89"/>
    </row>
    <row r="522">
      <c r="L522" s="290"/>
      <c r="M522" s="278"/>
      <c r="N522" s="278"/>
      <c r="O522" s="278"/>
      <c r="P522" s="278"/>
      <c r="Q522" s="278"/>
      <c r="R522" s="278"/>
      <c r="S522" s="278"/>
      <c r="T522" s="278"/>
      <c r="U522" s="278"/>
      <c r="V522" s="278"/>
      <c r="W522" s="278"/>
      <c r="X522" s="278"/>
      <c r="Y522" s="89"/>
    </row>
    <row r="523">
      <c r="L523" s="290"/>
      <c r="M523" s="278"/>
      <c r="N523" s="278"/>
      <c r="O523" s="278"/>
      <c r="P523" s="278"/>
      <c r="Q523" s="278"/>
      <c r="R523" s="278"/>
      <c r="S523" s="278"/>
      <c r="T523" s="278"/>
      <c r="U523" s="278"/>
      <c r="V523" s="278"/>
      <c r="W523" s="278"/>
      <c r="X523" s="278"/>
      <c r="Y523" s="89"/>
    </row>
    <row r="524">
      <c r="L524" s="290"/>
      <c r="M524" s="278"/>
      <c r="N524" s="278"/>
      <c r="O524" s="278"/>
      <c r="P524" s="278"/>
      <c r="Q524" s="278"/>
      <c r="R524" s="278"/>
      <c r="S524" s="278"/>
      <c r="T524" s="278"/>
      <c r="U524" s="278"/>
      <c r="V524" s="278"/>
      <c r="W524" s="278"/>
      <c r="X524" s="278"/>
      <c r="Y524" s="89"/>
    </row>
    <row r="525">
      <c r="L525" s="290"/>
      <c r="M525" s="278"/>
      <c r="N525" s="278"/>
      <c r="O525" s="278"/>
      <c r="P525" s="278"/>
      <c r="Q525" s="278"/>
      <c r="R525" s="278"/>
      <c r="S525" s="278"/>
      <c r="T525" s="278"/>
      <c r="U525" s="278"/>
      <c r="V525" s="278"/>
      <c r="W525" s="278"/>
      <c r="X525" s="278"/>
      <c r="Y525" s="89"/>
    </row>
    <row r="526">
      <c r="L526" s="290"/>
      <c r="M526" s="278"/>
      <c r="N526" s="278"/>
      <c r="O526" s="278"/>
      <c r="P526" s="278"/>
      <c r="Q526" s="278"/>
      <c r="R526" s="278"/>
      <c r="S526" s="278"/>
      <c r="T526" s="278"/>
      <c r="U526" s="278"/>
      <c r="V526" s="278"/>
      <c r="W526" s="278"/>
      <c r="X526" s="278"/>
      <c r="Y526" s="89"/>
    </row>
    <row r="527">
      <c r="L527" s="290"/>
      <c r="M527" s="278"/>
      <c r="N527" s="278"/>
      <c r="O527" s="278"/>
      <c r="P527" s="278"/>
      <c r="Q527" s="278"/>
      <c r="R527" s="278"/>
      <c r="S527" s="278"/>
      <c r="T527" s="278"/>
      <c r="U527" s="278"/>
      <c r="V527" s="278"/>
      <c r="W527" s="278"/>
      <c r="X527" s="278"/>
      <c r="Y527" s="89"/>
    </row>
    <row r="528">
      <c r="L528" s="290"/>
      <c r="M528" s="278"/>
      <c r="N528" s="278"/>
      <c r="O528" s="278"/>
      <c r="P528" s="278"/>
      <c r="Q528" s="278"/>
      <c r="R528" s="278"/>
      <c r="S528" s="278"/>
      <c r="T528" s="278"/>
      <c r="U528" s="278"/>
      <c r="V528" s="278"/>
      <c r="W528" s="278"/>
      <c r="X528" s="278"/>
      <c r="Y528" s="89"/>
    </row>
    <row r="529">
      <c r="L529" s="290"/>
      <c r="M529" s="278"/>
      <c r="N529" s="278"/>
      <c r="O529" s="278"/>
      <c r="P529" s="278"/>
      <c r="Q529" s="278"/>
      <c r="R529" s="278"/>
      <c r="S529" s="278"/>
      <c r="T529" s="278"/>
      <c r="U529" s="278"/>
      <c r="V529" s="278"/>
      <c r="W529" s="278"/>
      <c r="X529" s="278"/>
      <c r="Y529" s="89"/>
    </row>
    <row r="530">
      <c r="L530" s="290"/>
      <c r="M530" s="278"/>
      <c r="N530" s="278"/>
      <c r="O530" s="278"/>
      <c r="P530" s="278"/>
      <c r="Q530" s="278"/>
      <c r="R530" s="278"/>
      <c r="S530" s="278"/>
      <c r="T530" s="278"/>
      <c r="U530" s="278"/>
      <c r="V530" s="278"/>
      <c r="W530" s="278"/>
      <c r="X530" s="278"/>
      <c r="Y530" s="89"/>
    </row>
    <row r="531">
      <c r="L531" s="290"/>
      <c r="M531" s="278"/>
      <c r="N531" s="278"/>
      <c r="O531" s="278"/>
      <c r="P531" s="278"/>
      <c r="Q531" s="278"/>
      <c r="R531" s="278"/>
      <c r="S531" s="278"/>
      <c r="T531" s="278"/>
      <c r="U531" s="278"/>
      <c r="V531" s="278"/>
      <c r="W531" s="278"/>
      <c r="X531" s="278"/>
      <c r="Y531" s="89"/>
    </row>
    <row r="532">
      <c r="L532" s="290"/>
      <c r="M532" s="278"/>
      <c r="N532" s="278"/>
      <c r="O532" s="278"/>
      <c r="P532" s="278"/>
      <c r="Q532" s="278"/>
      <c r="R532" s="278"/>
      <c r="S532" s="278"/>
      <c r="T532" s="278"/>
      <c r="U532" s="278"/>
      <c r="V532" s="278"/>
      <c r="W532" s="278"/>
      <c r="X532" s="278"/>
      <c r="Y532" s="89"/>
    </row>
    <row r="533">
      <c r="L533" s="290"/>
      <c r="M533" s="278"/>
      <c r="N533" s="278"/>
      <c r="O533" s="278"/>
      <c r="P533" s="278"/>
      <c r="Q533" s="278"/>
      <c r="R533" s="278"/>
      <c r="S533" s="278"/>
      <c r="T533" s="278"/>
      <c r="U533" s="278"/>
      <c r="V533" s="278"/>
      <c r="W533" s="278"/>
      <c r="X533" s="278"/>
      <c r="Y533" s="89"/>
    </row>
    <row r="534">
      <c r="L534" s="290"/>
      <c r="M534" s="278"/>
      <c r="N534" s="278"/>
      <c r="O534" s="278"/>
      <c r="P534" s="278"/>
      <c r="Q534" s="278"/>
      <c r="R534" s="278"/>
      <c r="S534" s="278"/>
      <c r="T534" s="278"/>
      <c r="U534" s="278"/>
      <c r="V534" s="278"/>
      <c r="W534" s="278"/>
      <c r="X534" s="278"/>
      <c r="Y534" s="89"/>
    </row>
    <row r="535">
      <c r="L535" s="290"/>
      <c r="M535" s="278"/>
      <c r="N535" s="278"/>
      <c r="O535" s="278"/>
      <c r="P535" s="278"/>
      <c r="Q535" s="278"/>
      <c r="R535" s="278"/>
      <c r="S535" s="278"/>
      <c r="T535" s="278"/>
      <c r="U535" s="278"/>
      <c r="V535" s="278"/>
      <c r="W535" s="278"/>
      <c r="X535" s="278"/>
      <c r="Y535" s="89"/>
    </row>
    <row r="536">
      <c r="L536" s="290"/>
      <c r="M536" s="278"/>
      <c r="N536" s="278"/>
      <c r="O536" s="278"/>
      <c r="P536" s="278"/>
      <c r="Q536" s="278"/>
      <c r="R536" s="278"/>
      <c r="S536" s="278"/>
      <c r="T536" s="278"/>
      <c r="U536" s="278"/>
      <c r="V536" s="278"/>
      <c r="W536" s="278"/>
      <c r="X536" s="278"/>
      <c r="Y536" s="89"/>
    </row>
    <row r="537">
      <c r="L537" s="290"/>
      <c r="M537" s="278"/>
      <c r="N537" s="278"/>
      <c r="O537" s="278"/>
      <c r="P537" s="278"/>
      <c r="Q537" s="278"/>
      <c r="R537" s="278"/>
      <c r="S537" s="278"/>
      <c r="T537" s="278"/>
      <c r="U537" s="278"/>
      <c r="V537" s="278"/>
      <c r="W537" s="278"/>
      <c r="X537" s="278"/>
      <c r="Y537" s="89"/>
    </row>
    <row r="538">
      <c r="L538" s="290"/>
      <c r="M538" s="278"/>
      <c r="N538" s="278"/>
      <c r="O538" s="278"/>
      <c r="P538" s="278"/>
      <c r="Q538" s="278"/>
      <c r="R538" s="278"/>
      <c r="S538" s="278"/>
      <c r="T538" s="278"/>
      <c r="U538" s="278"/>
      <c r="V538" s="278"/>
      <c r="W538" s="278"/>
      <c r="X538" s="278"/>
      <c r="Y538" s="89"/>
    </row>
    <row r="539">
      <c r="L539" s="290"/>
      <c r="M539" s="278"/>
      <c r="N539" s="278"/>
      <c r="O539" s="278"/>
      <c r="P539" s="278"/>
      <c r="Q539" s="278"/>
      <c r="R539" s="278"/>
      <c r="S539" s="278"/>
      <c r="T539" s="278"/>
      <c r="U539" s="278"/>
      <c r="V539" s="278"/>
      <c r="W539" s="278"/>
      <c r="X539" s="278"/>
      <c r="Y539" s="89"/>
    </row>
    <row r="540">
      <c r="L540" s="290"/>
      <c r="M540" s="278"/>
      <c r="N540" s="278"/>
      <c r="O540" s="278"/>
      <c r="P540" s="278"/>
      <c r="Q540" s="278"/>
      <c r="R540" s="278"/>
      <c r="S540" s="278"/>
      <c r="T540" s="278"/>
      <c r="U540" s="278"/>
      <c r="V540" s="278"/>
      <c r="W540" s="278"/>
      <c r="X540" s="278"/>
      <c r="Y540" s="89"/>
    </row>
    <row r="541">
      <c r="L541" s="290"/>
      <c r="M541" s="278"/>
      <c r="N541" s="278"/>
      <c r="O541" s="278"/>
      <c r="P541" s="278"/>
      <c r="Q541" s="278"/>
      <c r="R541" s="278"/>
      <c r="S541" s="278"/>
      <c r="T541" s="278"/>
      <c r="U541" s="278"/>
      <c r="V541" s="278"/>
      <c r="W541" s="278"/>
      <c r="X541" s="278"/>
      <c r="Y541" s="89"/>
    </row>
    <row r="542">
      <c r="L542" s="290"/>
      <c r="M542" s="278"/>
      <c r="N542" s="278"/>
      <c r="O542" s="278"/>
      <c r="P542" s="278"/>
      <c r="Q542" s="278"/>
      <c r="R542" s="278"/>
      <c r="S542" s="278"/>
      <c r="T542" s="278"/>
      <c r="U542" s="278"/>
      <c r="V542" s="278"/>
      <c r="W542" s="278"/>
      <c r="X542" s="278"/>
      <c r="Y542" s="89"/>
    </row>
    <row r="543">
      <c r="L543" s="290"/>
      <c r="M543" s="278"/>
      <c r="N543" s="278"/>
      <c r="O543" s="278"/>
      <c r="P543" s="278"/>
      <c r="Q543" s="278"/>
      <c r="R543" s="278"/>
      <c r="S543" s="278"/>
      <c r="T543" s="278"/>
      <c r="U543" s="278"/>
      <c r="V543" s="278"/>
      <c r="W543" s="278"/>
      <c r="X543" s="278"/>
      <c r="Y543" s="89"/>
    </row>
    <row r="544">
      <c r="L544" s="290"/>
      <c r="M544" s="278"/>
      <c r="N544" s="278"/>
      <c r="O544" s="278"/>
      <c r="P544" s="278"/>
      <c r="Q544" s="278"/>
      <c r="R544" s="278"/>
      <c r="S544" s="278"/>
      <c r="T544" s="278"/>
      <c r="U544" s="278"/>
      <c r="V544" s="278"/>
      <c r="W544" s="278"/>
      <c r="X544" s="278"/>
      <c r="Y544" s="89"/>
    </row>
    <row r="545">
      <c r="L545" s="290"/>
      <c r="M545" s="278"/>
      <c r="N545" s="278"/>
      <c r="O545" s="278"/>
      <c r="P545" s="278"/>
      <c r="Q545" s="278"/>
      <c r="R545" s="278"/>
      <c r="S545" s="278"/>
      <c r="T545" s="278"/>
      <c r="U545" s="278"/>
      <c r="V545" s="278"/>
      <c r="W545" s="278"/>
      <c r="X545" s="278"/>
      <c r="Y545" s="89"/>
    </row>
    <row r="546">
      <c r="L546" s="290"/>
      <c r="M546" s="278"/>
      <c r="N546" s="278"/>
      <c r="O546" s="278"/>
      <c r="P546" s="278"/>
      <c r="Q546" s="278"/>
      <c r="R546" s="278"/>
      <c r="S546" s="278"/>
      <c r="T546" s="278"/>
      <c r="U546" s="278"/>
      <c r="V546" s="278"/>
      <c r="W546" s="278"/>
      <c r="X546" s="278"/>
      <c r="Y546" s="89"/>
    </row>
    <row r="547">
      <c r="L547" s="290"/>
      <c r="M547" s="278"/>
      <c r="N547" s="278"/>
      <c r="O547" s="278"/>
      <c r="P547" s="278"/>
      <c r="Q547" s="278"/>
      <c r="R547" s="278"/>
      <c r="S547" s="278"/>
      <c r="T547" s="278"/>
      <c r="U547" s="278"/>
      <c r="V547" s="278"/>
      <c r="W547" s="278"/>
      <c r="X547" s="278"/>
      <c r="Y547" s="89"/>
    </row>
    <row r="548">
      <c r="L548" s="290"/>
      <c r="M548" s="278"/>
      <c r="N548" s="278"/>
      <c r="O548" s="278"/>
      <c r="P548" s="278"/>
      <c r="Q548" s="278"/>
      <c r="R548" s="278"/>
      <c r="S548" s="278"/>
      <c r="T548" s="278"/>
      <c r="U548" s="278"/>
      <c r="V548" s="278"/>
      <c r="W548" s="278"/>
      <c r="X548" s="278"/>
      <c r="Y548" s="89"/>
    </row>
    <row r="549">
      <c r="L549" s="290"/>
      <c r="M549" s="278"/>
      <c r="N549" s="278"/>
      <c r="O549" s="278"/>
      <c r="P549" s="278"/>
      <c r="Q549" s="278"/>
      <c r="R549" s="278"/>
      <c r="S549" s="278"/>
      <c r="T549" s="278"/>
      <c r="U549" s="278"/>
      <c r="V549" s="278"/>
      <c r="W549" s="278"/>
      <c r="X549" s="278"/>
      <c r="Y549" s="89"/>
    </row>
    <row r="550">
      <c r="L550" s="290"/>
      <c r="M550" s="278"/>
      <c r="N550" s="278"/>
      <c r="O550" s="278"/>
      <c r="P550" s="278"/>
      <c r="Q550" s="278"/>
      <c r="R550" s="278"/>
      <c r="S550" s="278"/>
      <c r="T550" s="278"/>
      <c r="U550" s="278"/>
      <c r="V550" s="278"/>
      <c r="W550" s="278"/>
      <c r="X550" s="278"/>
      <c r="Y550" s="89"/>
    </row>
    <row r="551">
      <c r="L551" s="290"/>
      <c r="M551" s="278"/>
      <c r="N551" s="278"/>
      <c r="O551" s="278"/>
      <c r="P551" s="278"/>
      <c r="Q551" s="278"/>
      <c r="R551" s="278"/>
      <c r="S551" s="278"/>
      <c r="T551" s="278"/>
      <c r="U551" s="278"/>
      <c r="V551" s="278"/>
      <c r="W551" s="278"/>
      <c r="X551" s="278"/>
      <c r="Y551" s="89"/>
    </row>
    <row r="552">
      <c r="L552" s="290"/>
      <c r="M552" s="278"/>
      <c r="N552" s="278"/>
      <c r="O552" s="278"/>
      <c r="P552" s="278"/>
      <c r="Q552" s="278"/>
      <c r="R552" s="278"/>
      <c r="S552" s="278"/>
      <c r="T552" s="278"/>
      <c r="U552" s="278"/>
      <c r="V552" s="278"/>
      <c r="W552" s="278"/>
      <c r="X552" s="278"/>
      <c r="Y552" s="89"/>
    </row>
    <row r="553">
      <c r="L553" s="290"/>
      <c r="M553" s="278"/>
      <c r="N553" s="278"/>
      <c r="O553" s="278"/>
      <c r="P553" s="278"/>
      <c r="Q553" s="278"/>
      <c r="R553" s="278"/>
      <c r="S553" s="278"/>
      <c r="T553" s="278"/>
      <c r="U553" s="278"/>
      <c r="V553" s="278"/>
      <c r="W553" s="278"/>
      <c r="X553" s="278"/>
      <c r="Y553" s="89"/>
    </row>
    <row r="554">
      <c r="L554" s="290"/>
      <c r="M554" s="278"/>
      <c r="N554" s="278"/>
      <c r="O554" s="278"/>
      <c r="P554" s="278"/>
      <c r="Q554" s="278"/>
      <c r="R554" s="278"/>
      <c r="S554" s="278"/>
      <c r="T554" s="278"/>
      <c r="U554" s="278"/>
      <c r="V554" s="278"/>
      <c r="W554" s="278"/>
      <c r="X554" s="278"/>
      <c r="Y554" s="89"/>
    </row>
    <row r="555">
      <c r="L555" s="290"/>
      <c r="M555" s="278"/>
      <c r="N555" s="278"/>
      <c r="O555" s="278"/>
      <c r="P555" s="278"/>
      <c r="Q555" s="278"/>
      <c r="R555" s="278"/>
      <c r="S555" s="278"/>
      <c r="T555" s="278"/>
      <c r="U555" s="278"/>
      <c r="V555" s="278"/>
      <c r="W555" s="278"/>
      <c r="X555" s="278"/>
      <c r="Y555" s="89"/>
    </row>
    <row r="556">
      <c r="L556" s="290"/>
      <c r="M556" s="278"/>
      <c r="N556" s="278"/>
      <c r="O556" s="278"/>
      <c r="P556" s="278"/>
      <c r="Q556" s="278"/>
      <c r="R556" s="278"/>
      <c r="S556" s="278"/>
      <c r="T556" s="278"/>
      <c r="U556" s="278"/>
      <c r="V556" s="278"/>
      <c r="W556" s="278"/>
      <c r="X556" s="278"/>
      <c r="Y556" s="89"/>
    </row>
    <row r="557">
      <c r="L557" s="290"/>
      <c r="M557" s="278"/>
      <c r="N557" s="278"/>
      <c r="O557" s="278"/>
      <c r="P557" s="278"/>
      <c r="Q557" s="278"/>
      <c r="R557" s="278"/>
      <c r="S557" s="278"/>
      <c r="T557" s="278"/>
      <c r="U557" s="278"/>
      <c r="V557" s="278"/>
      <c r="W557" s="278"/>
      <c r="X557" s="278"/>
      <c r="Y557" s="89"/>
    </row>
    <row r="558">
      <c r="L558" s="290"/>
      <c r="M558" s="278"/>
      <c r="N558" s="278"/>
      <c r="O558" s="278"/>
      <c r="P558" s="278"/>
      <c r="Q558" s="278"/>
      <c r="R558" s="278"/>
      <c r="S558" s="278"/>
      <c r="T558" s="278"/>
      <c r="U558" s="278"/>
      <c r="V558" s="278"/>
      <c r="W558" s="278"/>
      <c r="X558" s="278"/>
      <c r="Y558" s="89"/>
    </row>
    <row r="559">
      <c r="L559" s="290"/>
      <c r="M559" s="278"/>
      <c r="N559" s="278"/>
      <c r="O559" s="278"/>
      <c r="P559" s="278"/>
      <c r="Q559" s="278"/>
      <c r="R559" s="278"/>
      <c r="S559" s="278"/>
      <c r="T559" s="278"/>
      <c r="U559" s="278"/>
      <c r="V559" s="278"/>
      <c r="W559" s="278"/>
      <c r="X559" s="278"/>
      <c r="Y559" s="89"/>
    </row>
    <row r="560">
      <c r="L560" s="290"/>
      <c r="M560" s="278"/>
      <c r="N560" s="278"/>
      <c r="O560" s="278"/>
      <c r="P560" s="278"/>
      <c r="Q560" s="278"/>
      <c r="R560" s="278"/>
      <c r="S560" s="278"/>
      <c r="T560" s="278"/>
      <c r="U560" s="278"/>
      <c r="V560" s="278"/>
      <c r="W560" s="278"/>
      <c r="X560" s="278"/>
      <c r="Y560" s="89"/>
    </row>
    <row r="561">
      <c r="L561" s="290"/>
      <c r="M561" s="278"/>
      <c r="N561" s="278"/>
      <c r="O561" s="278"/>
      <c r="P561" s="278"/>
      <c r="Q561" s="278"/>
      <c r="R561" s="278"/>
      <c r="S561" s="278"/>
      <c r="T561" s="278"/>
      <c r="U561" s="278"/>
      <c r="V561" s="278"/>
      <c r="W561" s="278"/>
      <c r="X561" s="278"/>
      <c r="Y561" s="89"/>
    </row>
    <row r="562">
      <c r="L562" s="290"/>
      <c r="M562" s="278"/>
      <c r="N562" s="278"/>
      <c r="O562" s="278"/>
      <c r="P562" s="278"/>
      <c r="Q562" s="278"/>
      <c r="R562" s="278"/>
      <c r="S562" s="278"/>
      <c r="T562" s="278"/>
      <c r="U562" s="278"/>
      <c r="V562" s="278"/>
      <c r="W562" s="278"/>
      <c r="X562" s="278"/>
      <c r="Y562" s="89"/>
    </row>
    <row r="563">
      <c r="L563" s="290"/>
      <c r="M563" s="278"/>
      <c r="N563" s="278"/>
      <c r="O563" s="278"/>
      <c r="P563" s="278"/>
      <c r="Q563" s="278"/>
      <c r="R563" s="278"/>
      <c r="S563" s="278"/>
      <c r="T563" s="278"/>
      <c r="U563" s="278"/>
      <c r="V563" s="278"/>
      <c r="W563" s="278"/>
      <c r="X563" s="278"/>
      <c r="Y563" s="89"/>
    </row>
    <row r="564">
      <c r="L564" s="290"/>
      <c r="M564" s="278"/>
      <c r="N564" s="278"/>
      <c r="O564" s="278"/>
      <c r="P564" s="278"/>
      <c r="Q564" s="278"/>
      <c r="R564" s="278"/>
      <c r="S564" s="278"/>
      <c r="T564" s="278"/>
      <c r="U564" s="278"/>
      <c r="V564" s="278"/>
      <c r="W564" s="278"/>
      <c r="X564" s="278"/>
      <c r="Y564" s="89"/>
    </row>
    <row r="565">
      <c r="L565" s="290"/>
      <c r="M565" s="278"/>
      <c r="N565" s="278"/>
      <c r="O565" s="278"/>
      <c r="P565" s="278"/>
      <c r="Q565" s="278"/>
      <c r="R565" s="278"/>
      <c r="S565" s="278"/>
      <c r="T565" s="278"/>
      <c r="U565" s="278"/>
      <c r="V565" s="278"/>
      <c r="W565" s="278"/>
      <c r="X565" s="278"/>
      <c r="Y565" s="89"/>
    </row>
    <row r="566">
      <c r="L566" s="290"/>
      <c r="M566" s="278"/>
      <c r="N566" s="278"/>
      <c r="O566" s="278"/>
      <c r="P566" s="278"/>
      <c r="Q566" s="278"/>
      <c r="R566" s="278"/>
      <c r="S566" s="278"/>
      <c r="T566" s="278"/>
      <c r="U566" s="278"/>
      <c r="V566" s="278"/>
      <c r="W566" s="278"/>
      <c r="X566" s="278"/>
      <c r="Y566" s="89"/>
    </row>
    <row r="567">
      <c r="L567" s="290"/>
      <c r="M567" s="278"/>
      <c r="N567" s="278"/>
      <c r="O567" s="278"/>
      <c r="P567" s="278"/>
      <c r="Q567" s="278"/>
      <c r="R567" s="278"/>
      <c r="S567" s="278"/>
      <c r="T567" s="278"/>
      <c r="U567" s="278"/>
      <c r="V567" s="278"/>
      <c r="W567" s="278"/>
      <c r="X567" s="278"/>
      <c r="Y567" s="89"/>
    </row>
    <row r="568">
      <c r="L568" s="290"/>
      <c r="M568" s="278"/>
      <c r="N568" s="278"/>
      <c r="O568" s="278"/>
      <c r="P568" s="278"/>
      <c r="Q568" s="278"/>
      <c r="R568" s="278"/>
      <c r="S568" s="278"/>
      <c r="T568" s="278"/>
      <c r="U568" s="278"/>
      <c r="V568" s="278"/>
      <c r="W568" s="278"/>
      <c r="X568" s="278"/>
      <c r="Y568" s="89"/>
    </row>
    <row r="569">
      <c r="L569" s="290"/>
      <c r="M569" s="278"/>
      <c r="N569" s="278"/>
      <c r="O569" s="278"/>
      <c r="P569" s="278"/>
      <c r="Q569" s="278"/>
      <c r="R569" s="278"/>
      <c r="S569" s="278"/>
      <c r="T569" s="278"/>
      <c r="U569" s="278"/>
      <c r="V569" s="278"/>
      <c r="W569" s="278"/>
      <c r="X569" s="278"/>
      <c r="Y569" s="89"/>
    </row>
    <row r="570">
      <c r="L570" s="290"/>
      <c r="M570" s="278"/>
      <c r="N570" s="278"/>
      <c r="O570" s="278"/>
      <c r="P570" s="278"/>
      <c r="Q570" s="278"/>
      <c r="R570" s="278"/>
      <c r="S570" s="278"/>
      <c r="T570" s="278"/>
      <c r="U570" s="278"/>
      <c r="V570" s="278"/>
      <c r="W570" s="278"/>
      <c r="X570" s="278"/>
      <c r="Y570" s="89"/>
    </row>
    <row r="571">
      <c r="L571" s="290"/>
      <c r="M571" s="278"/>
      <c r="N571" s="278"/>
      <c r="O571" s="278"/>
      <c r="P571" s="278"/>
      <c r="Q571" s="278"/>
      <c r="R571" s="278"/>
      <c r="S571" s="278"/>
      <c r="T571" s="278"/>
      <c r="U571" s="278"/>
      <c r="V571" s="278"/>
      <c r="W571" s="278"/>
      <c r="X571" s="278"/>
      <c r="Y571" s="89"/>
    </row>
    <row r="572">
      <c r="L572" s="290"/>
      <c r="M572" s="278"/>
      <c r="N572" s="278"/>
      <c r="O572" s="278"/>
      <c r="P572" s="278"/>
      <c r="Q572" s="278"/>
      <c r="R572" s="278"/>
      <c r="S572" s="278"/>
      <c r="T572" s="278"/>
      <c r="U572" s="278"/>
      <c r="V572" s="278"/>
      <c r="W572" s="278"/>
      <c r="X572" s="278"/>
      <c r="Y572" s="89"/>
    </row>
    <row r="573">
      <c r="L573" s="290"/>
      <c r="M573" s="278"/>
      <c r="N573" s="278"/>
      <c r="O573" s="278"/>
      <c r="P573" s="278"/>
      <c r="Q573" s="278"/>
      <c r="R573" s="278"/>
      <c r="S573" s="278"/>
      <c r="T573" s="278"/>
      <c r="U573" s="278"/>
      <c r="V573" s="278"/>
      <c r="W573" s="278"/>
      <c r="X573" s="278"/>
      <c r="Y573" s="89"/>
    </row>
    <row r="574">
      <c r="L574" s="290"/>
      <c r="M574" s="278"/>
      <c r="N574" s="278"/>
      <c r="O574" s="278"/>
      <c r="P574" s="278"/>
      <c r="Q574" s="278"/>
      <c r="R574" s="278"/>
      <c r="S574" s="278"/>
      <c r="T574" s="278"/>
      <c r="U574" s="278"/>
      <c r="V574" s="278"/>
      <c r="W574" s="278"/>
      <c r="X574" s="278"/>
      <c r="Y574" s="89"/>
    </row>
    <row r="575">
      <c r="L575" s="290"/>
      <c r="M575" s="278"/>
      <c r="N575" s="278"/>
      <c r="O575" s="278"/>
      <c r="P575" s="278"/>
      <c r="Q575" s="278"/>
      <c r="R575" s="278"/>
      <c r="S575" s="278"/>
      <c r="T575" s="278"/>
      <c r="U575" s="278"/>
      <c r="V575" s="278"/>
      <c r="W575" s="278"/>
      <c r="X575" s="278"/>
      <c r="Y575" s="89"/>
    </row>
    <row r="576">
      <c r="L576" s="290"/>
      <c r="M576" s="278"/>
      <c r="N576" s="278"/>
      <c r="O576" s="278"/>
      <c r="P576" s="278"/>
      <c r="Q576" s="278"/>
      <c r="R576" s="278"/>
      <c r="S576" s="278"/>
      <c r="T576" s="278"/>
      <c r="U576" s="278"/>
      <c r="V576" s="278"/>
      <c r="W576" s="278"/>
      <c r="X576" s="278"/>
      <c r="Y576" s="89"/>
    </row>
    <row r="577">
      <c r="L577" s="290"/>
      <c r="M577" s="278"/>
      <c r="N577" s="278"/>
      <c r="O577" s="278"/>
      <c r="P577" s="278"/>
      <c r="Q577" s="278"/>
      <c r="R577" s="278"/>
      <c r="S577" s="278"/>
      <c r="T577" s="278"/>
      <c r="U577" s="278"/>
      <c r="V577" s="278"/>
      <c r="W577" s="278"/>
      <c r="X577" s="278"/>
      <c r="Y577" s="89"/>
    </row>
    <row r="578">
      <c r="L578" s="290"/>
      <c r="M578" s="278"/>
      <c r="N578" s="278"/>
      <c r="O578" s="278"/>
      <c r="P578" s="278"/>
      <c r="Q578" s="278"/>
      <c r="R578" s="278"/>
      <c r="S578" s="278"/>
      <c r="T578" s="278"/>
      <c r="U578" s="278"/>
      <c r="V578" s="278"/>
      <c r="W578" s="278"/>
      <c r="X578" s="278"/>
      <c r="Y578" s="89"/>
    </row>
    <row r="579">
      <c r="L579" s="290"/>
      <c r="M579" s="278"/>
      <c r="N579" s="278"/>
      <c r="O579" s="278"/>
      <c r="P579" s="278"/>
      <c r="Q579" s="278"/>
      <c r="R579" s="278"/>
      <c r="S579" s="278"/>
      <c r="T579" s="278"/>
      <c r="U579" s="278"/>
      <c r="V579" s="278"/>
      <c r="W579" s="278"/>
      <c r="X579" s="278"/>
      <c r="Y579" s="89"/>
    </row>
    <row r="580">
      <c r="L580" s="290"/>
      <c r="M580" s="278"/>
      <c r="N580" s="278"/>
      <c r="O580" s="278"/>
      <c r="P580" s="278"/>
      <c r="Q580" s="278"/>
      <c r="R580" s="278"/>
      <c r="S580" s="278"/>
      <c r="T580" s="278"/>
      <c r="U580" s="278"/>
      <c r="V580" s="278"/>
      <c r="W580" s="278"/>
      <c r="X580" s="278"/>
      <c r="Y580" s="89"/>
    </row>
    <row r="581">
      <c r="L581" s="290"/>
      <c r="M581" s="278"/>
      <c r="N581" s="278"/>
      <c r="O581" s="278"/>
      <c r="P581" s="278"/>
      <c r="Q581" s="278"/>
      <c r="R581" s="278"/>
      <c r="S581" s="278"/>
      <c r="T581" s="278"/>
      <c r="U581" s="278"/>
      <c r="V581" s="278"/>
      <c r="W581" s="278"/>
      <c r="X581" s="278"/>
      <c r="Y581" s="89"/>
    </row>
    <row r="582">
      <c r="L582" s="290"/>
      <c r="M582" s="278"/>
      <c r="N582" s="278"/>
      <c r="O582" s="278"/>
      <c r="P582" s="278"/>
      <c r="Q582" s="278"/>
      <c r="R582" s="278"/>
      <c r="S582" s="278"/>
      <c r="T582" s="278"/>
      <c r="U582" s="278"/>
      <c r="V582" s="278"/>
      <c r="W582" s="278"/>
      <c r="X582" s="278"/>
      <c r="Y582" s="89"/>
    </row>
    <row r="583">
      <c r="L583" s="290"/>
      <c r="M583" s="278"/>
      <c r="N583" s="278"/>
      <c r="O583" s="278"/>
      <c r="P583" s="278"/>
      <c r="Q583" s="278"/>
      <c r="R583" s="278"/>
      <c r="S583" s="278"/>
      <c r="T583" s="278"/>
      <c r="U583" s="278"/>
      <c r="V583" s="278"/>
      <c r="W583" s="278"/>
      <c r="X583" s="278"/>
      <c r="Y583" s="89"/>
    </row>
    <row r="584">
      <c r="L584" s="290"/>
      <c r="M584" s="278"/>
      <c r="N584" s="278"/>
      <c r="O584" s="278"/>
      <c r="P584" s="278"/>
      <c r="Q584" s="278"/>
      <c r="R584" s="278"/>
      <c r="S584" s="278"/>
      <c r="T584" s="278"/>
      <c r="U584" s="278"/>
      <c r="V584" s="278"/>
      <c r="W584" s="278"/>
      <c r="X584" s="278"/>
      <c r="Y584" s="89"/>
    </row>
    <row r="585">
      <c r="L585" s="290"/>
      <c r="M585" s="278"/>
      <c r="N585" s="278"/>
      <c r="O585" s="278"/>
      <c r="P585" s="278"/>
      <c r="Q585" s="278"/>
      <c r="R585" s="278"/>
      <c r="S585" s="278"/>
      <c r="T585" s="278"/>
      <c r="U585" s="278"/>
      <c r="V585" s="278"/>
      <c r="W585" s="278"/>
      <c r="X585" s="278"/>
      <c r="Y585" s="89"/>
    </row>
    <row r="586">
      <c r="L586" s="290"/>
      <c r="M586" s="278"/>
      <c r="N586" s="278"/>
      <c r="O586" s="278"/>
      <c r="P586" s="278"/>
      <c r="Q586" s="278"/>
      <c r="R586" s="278"/>
      <c r="S586" s="278"/>
      <c r="T586" s="278"/>
      <c r="U586" s="278"/>
      <c r="V586" s="278"/>
      <c r="W586" s="278"/>
      <c r="X586" s="278"/>
      <c r="Y586" s="89"/>
    </row>
    <row r="587">
      <c r="L587" s="290"/>
      <c r="M587" s="278"/>
      <c r="N587" s="278"/>
      <c r="O587" s="278"/>
      <c r="P587" s="278"/>
      <c r="Q587" s="278"/>
      <c r="R587" s="278"/>
      <c r="S587" s="278"/>
      <c r="T587" s="278"/>
      <c r="U587" s="278"/>
      <c r="V587" s="278"/>
      <c r="W587" s="278"/>
      <c r="X587" s="278"/>
      <c r="Y587" s="89"/>
    </row>
    <row r="588">
      <c r="L588" s="290"/>
      <c r="M588" s="278"/>
      <c r="N588" s="278"/>
      <c r="O588" s="278"/>
      <c r="P588" s="278"/>
      <c r="Q588" s="278"/>
      <c r="R588" s="278"/>
      <c r="S588" s="278"/>
      <c r="T588" s="278"/>
      <c r="U588" s="278"/>
      <c r="V588" s="278"/>
      <c r="W588" s="278"/>
      <c r="X588" s="278"/>
      <c r="Y588" s="89"/>
    </row>
    <row r="589">
      <c r="L589" s="290"/>
      <c r="M589" s="278"/>
      <c r="N589" s="278"/>
      <c r="O589" s="278"/>
      <c r="P589" s="278"/>
      <c r="Q589" s="278"/>
      <c r="R589" s="278"/>
      <c r="S589" s="278"/>
      <c r="T589" s="278"/>
      <c r="U589" s="278"/>
      <c r="V589" s="278"/>
      <c r="W589" s="278"/>
      <c r="X589" s="278"/>
      <c r="Y589" s="89"/>
    </row>
    <row r="590">
      <c r="L590" s="290"/>
      <c r="M590" s="278"/>
      <c r="N590" s="278"/>
      <c r="O590" s="278"/>
      <c r="P590" s="278"/>
      <c r="Q590" s="278"/>
      <c r="R590" s="278"/>
      <c r="S590" s="278"/>
      <c r="T590" s="278"/>
      <c r="U590" s="278"/>
      <c r="V590" s="278"/>
      <c r="W590" s="278"/>
      <c r="X590" s="278"/>
      <c r="Y590" s="89"/>
    </row>
    <row r="591">
      <c r="L591" s="290"/>
      <c r="M591" s="278"/>
      <c r="N591" s="278"/>
      <c r="O591" s="278"/>
      <c r="P591" s="278"/>
      <c r="Q591" s="278"/>
      <c r="R591" s="278"/>
      <c r="S591" s="278"/>
      <c r="T591" s="278"/>
      <c r="U591" s="278"/>
      <c r="V591" s="278"/>
      <c r="W591" s="278"/>
      <c r="X591" s="278"/>
      <c r="Y591" s="89"/>
    </row>
    <row r="592">
      <c r="L592" s="290"/>
      <c r="M592" s="278"/>
      <c r="N592" s="278"/>
      <c r="O592" s="278"/>
      <c r="P592" s="278"/>
      <c r="Q592" s="278"/>
      <c r="R592" s="278"/>
      <c r="S592" s="278"/>
      <c r="T592" s="278"/>
      <c r="U592" s="278"/>
      <c r="V592" s="278"/>
      <c r="W592" s="278"/>
      <c r="X592" s="278"/>
      <c r="Y592" s="89"/>
    </row>
    <row r="593">
      <c r="L593" s="290"/>
      <c r="M593" s="278"/>
      <c r="N593" s="278"/>
      <c r="O593" s="278"/>
      <c r="P593" s="278"/>
      <c r="Q593" s="278"/>
      <c r="R593" s="278"/>
      <c r="S593" s="278"/>
      <c r="T593" s="278"/>
      <c r="U593" s="278"/>
      <c r="V593" s="278"/>
      <c r="W593" s="278"/>
      <c r="X593" s="278"/>
      <c r="Y593" s="89"/>
    </row>
    <row r="594">
      <c r="L594" s="290"/>
      <c r="M594" s="278"/>
      <c r="N594" s="278"/>
      <c r="O594" s="278"/>
      <c r="P594" s="278"/>
      <c r="Q594" s="278"/>
      <c r="R594" s="278"/>
      <c r="S594" s="278"/>
      <c r="T594" s="278"/>
      <c r="U594" s="278"/>
      <c r="V594" s="278"/>
      <c r="W594" s="278"/>
      <c r="X594" s="278"/>
      <c r="Y594" s="89"/>
    </row>
    <row r="595">
      <c r="L595" s="290"/>
      <c r="M595" s="278"/>
      <c r="N595" s="278"/>
      <c r="O595" s="278"/>
      <c r="P595" s="278"/>
      <c r="Q595" s="278"/>
      <c r="R595" s="278"/>
      <c r="S595" s="278"/>
      <c r="T595" s="278"/>
      <c r="U595" s="278"/>
      <c r="V595" s="278"/>
      <c r="W595" s="278"/>
      <c r="X595" s="278"/>
      <c r="Y595" s="89"/>
    </row>
    <row r="596">
      <c r="L596" s="290"/>
      <c r="M596" s="278"/>
      <c r="N596" s="278"/>
      <c r="O596" s="278"/>
      <c r="P596" s="278"/>
      <c r="Q596" s="278"/>
      <c r="R596" s="278"/>
      <c r="S596" s="278"/>
      <c r="T596" s="278"/>
      <c r="U596" s="278"/>
      <c r="V596" s="278"/>
      <c r="W596" s="278"/>
      <c r="X596" s="278"/>
      <c r="Y596" s="89"/>
    </row>
    <row r="597">
      <c r="L597" s="290"/>
      <c r="M597" s="278"/>
      <c r="N597" s="278"/>
      <c r="O597" s="278"/>
      <c r="P597" s="278"/>
      <c r="Q597" s="278"/>
      <c r="R597" s="278"/>
      <c r="S597" s="278"/>
      <c r="T597" s="278"/>
      <c r="U597" s="278"/>
      <c r="V597" s="278"/>
      <c r="W597" s="278"/>
      <c r="X597" s="278"/>
      <c r="Y597" s="89"/>
    </row>
    <row r="598">
      <c r="L598" s="290"/>
      <c r="M598" s="278"/>
      <c r="N598" s="278"/>
      <c r="O598" s="278"/>
      <c r="P598" s="278"/>
      <c r="Q598" s="278"/>
      <c r="R598" s="278"/>
      <c r="S598" s="278"/>
      <c r="T598" s="278"/>
      <c r="U598" s="278"/>
      <c r="V598" s="278"/>
      <c r="W598" s="278"/>
      <c r="X598" s="278"/>
      <c r="Y598" s="89"/>
    </row>
    <row r="599">
      <c r="L599" s="290"/>
      <c r="M599" s="278"/>
      <c r="N599" s="278"/>
      <c r="O599" s="278"/>
      <c r="P599" s="278"/>
      <c r="Q599" s="278"/>
      <c r="R599" s="278"/>
      <c r="S599" s="278"/>
      <c r="T599" s="278"/>
      <c r="U599" s="278"/>
      <c r="V599" s="278"/>
      <c r="W599" s="278"/>
      <c r="X599" s="278"/>
      <c r="Y599" s="89"/>
    </row>
    <row r="600">
      <c r="L600" s="290"/>
      <c r="M600" s="278"/>
      <c r="N600" s="278"/>
      <c r="O600" s="278"/>
      <c r="P600" s="278"/>
      <c r="Q600" s="278"/>
      <c r="R600" s="278"/>
      <c r="S600" s="278"/>
      <c r="T600" s="278"/>
      <c r="U600" s="278"/>
      <c r="V600" s="278"/>
      <c r="W600" s="278"/>
      <c r="X600" s="278"/>
      <c r="Y600" s="89"/>
    </row>
    <row r="601">
      <c r="L601" s="290"/>
      <c r="M601" s="278"/>
      <c r="N601" s="278"/>
      <c r="O601" s="278"/>
      <c r="P601" s="278"/>
      <c r="Q601" s="278"/>
      <c r="R601" s="278"/>
      <c r="S601" s="278"/>
      <c r="T601" s="278"/>
      <c r="U601" s="278"/>
      <c r="V601" s="278"/>
      <c r="W601" s="278"/>
      <c r="X601" s="278"/>
      <c r="Y601" s="89"/>
    </row>
    <row r="602">
      <c r="L602" s="290"/>
      <c r="M602" s="278"/>
      <c r="N602" s="278"/>
      <c r="O602" s="278"/>
      <c r="P602" s="278"/>
      <c r="Q602" s="278"/>
      <c r="R602" s="278"/>
      <c r="S602" s="278"/>
      <c r="T602" s="278"/>
      <c r="U602" s="278"/>
      <c r="V602" s="278"/>
      <c r="W602" s="278"/>
      <c r="X602" s="278"/>
      <c r="Y602" s="89"/>
    </row>
    <row r="603">
      <c r="L603" s="290"/>
      <c r="M603" s="278"/>
      <c r="N603" s="278"/>
      <c r="O603" s="278"/>
      <c r="P603" s="278"/>
      <c r="Q603" s="278"/>
      <c r="R603" s="278"/>
      <c r="S603" s="278"/>
      <c r="T603" s="278"/>
      <c r="U603" s="278"/>
      <c r="V603" s="278"/>
      <c r="W603" s="278"/>
      <c r="X603" s="278"/>
      <c r="Y603" s="89"/>
    </row>
    <row r="604">
      <c r="L604" s="290"/>
      <c r="M604" s="278"/>
      <c r="N604" s="278"/>
      <c r="O604" s="278"/>
      <c r="P604" s="278"/>
      <c r="Q604" s="278"/>
      <c r="R604" s="278"/>
      <c r="S604" s="278"/>
      <c r="T604" s="278"/>
      <c r="U604" s="278"/>
      <c r="V604" s="278"/>
      <c r="W604" s="278"/>
      <c r="X604" s="278"/>
      <c r="Y604" s="89"/>
    </row>
    <row r="605">
      <c r="L605" s="290"/>
      <c r="M605" s="278"/>
      <c r="N605" s="278"/>
      <c r="O605" s="278"/>
      <c r="P605" s="278"/>
      <c r="Q605" s="278"/>
      <c r="R605" s="278"/>
      <c r="S605" s="278"/>
      <c r="T605" s="278"/>
      <c r="U605" s="278"/>
      <c r="V605" s="278"/>
      <c r="W605" s="278"/>
      <c r="X605" s="278"/>
      <c r="Y605" s="89"/>
    </row>
    <row r="606">
      <c r="L606" s="290"/>
      <c r="M606" s="278"/>
      <c r="N606" s="278"/>
      <c r="O606" s="278"/>
      <c r="P606" s="278"/>
      <c r="Q606" s="278"/>
      <c r="R606" s="278"/>
      <c r="S606" s="278"/>
      <c r="T606" s="278"/>
      <c r="U606" s="278"/>
      <c r="V606" s="278"/>
      <c r="W606" s="278"/>
      <c r="X606" s="278"/>
      <c r="Y606" s="89"/>
    </row>
    <row r="607">
      <c r="L607" s="290"/>
      <c r="M607" s="278"/>
      <c r="N607" s="278"/>
      <c r="O607" s="278"/>
      <c r="P607" s="278"/>
      <c r="Q607" s="278"/>
      <c r="R607" s="278"/>
      <c r="S607" s="278"/>
      <c r="T607" s="278"/>
      <c r="U607" s="278"/>
      <c r="V607" s="278"/>
      <c r="W607" s="278"/>
      <c r="X607" s="278"/>
      <c r="Y607" s="89"/>
    </row>
    <row r="608">
      <c r="L608" s="290"/>
      <c r="M608" s="278"/>
      <c r="N608" s="278"/>
      <c r="O608" s="278"/>
      <c r="P608" s="278"/>
      <c r="Q608" s="278"/>
      <c r="R608" s="278"/>
      <c r="S608" s="278"/>
      <c r="T608" s="278"/>
      <c r="U608" s="278"/>
      <c r="V608" s="278"/>
      <c r="W608" s="278"/>
      <c r="X608" s="278"/>
      <c r="Y608" s="89"/>
    </row>
    <row r="609">
      <c r="L609" s="290"/>
      <c r="M609" s="278"/>
      <c r="N609" s="278"/>
      <c r="O609" s="278"/>
      <c r="P609" s="278"/>
      <c r="Q609" s="278"/>
      <c r="R609" s="278"/>
      <c r="S609" s="278"/>
      <c r="T609" s="278"/>
      <c r="U609" s="278"/>
      <c r="V609" s="278"/>
      <c r="W609" s="278"/>
      <c r="X609" s="278"/>
      <c r="Y609" s="89"/>
    </row>
    <row r="610">
      <c r="L610" s="290"/>
      <c r="M610" s="278"/>
      <c r="N610" s="278"/>
      <c r="O610" s="278"/>
      <c r="P610" s="278"/>
      <c r="Q610" s="278"/>
      <c r="R610" s="278"/>
      <c r="S610" s="278"/>
      <c r="T610" s="278"/>
      <c r="U610" s="278"/>
      <c r="V610" s="278"/>
      <c r="W610" s="278"/>
      <c r="X610" s="278"/>
      <c r="Y610" s="89"/>
    </row>
    <row r="611">
      <c r="L611" s="290"/>
      <c r="M611" s="278"/>
      <c r="N611" s="278"/>
      <c r="O611" s="278"/>
      <c r="P611" s="278"/>
      <c r="Q611" s="278"/>
      <c r="R611" s="278"/>
      <c r="S611" s="278"/>
      <c r="T611" s="278"/>
      <c r="U611" s="278"/>
      <c r="V611" s="278"/>
      <c r="W611" s="278"/>
      <c r="X611" s="278"/>
      <c r="Y611" s="89"/>
    </row>
    <row r="612">
      <c r="L612" s="290"/>
      <c r="M612" s="278"/>
      <c r="N612" s="278"/>
      <c r="O612" s="278"/>
      <c r="P612" s="278"/>
      <c r="Q612" s="278"/>
      <c r="R612" s="278"/>
      <c r="S612" s="278"/>
      <c r="T612" s="278"/>
      <c r="U612" s="278"/>
      <c r="V612" s="278"/>
      <c r="W612" s="278"/>
      <c r="X612" s="278"/>
      <c r="Y612" s="89"/>
    </row>
    <row r="613">
      <c r="L613" s="290"/>
      <c r="M613" s="278"/>
      <c r="N613" s="278"/>
      <c r="O613" s="278"/>
      <c r="P613" s="278"/>
      <c r="Q613" s="278"/>
      <c r="R613" s="278"/>
      <c r="S613" s="278"/>
      <c r="T613" s="278"/>
      <c r="U613" s="278"/>
      <c r="V613" s="278"/>
      <c r="W613" s="278"/>
      <c r="X613" s="278"/>
      <c r="Y613" s="89"/>
    </row>
    <row r="614">
      <c r="L614" s="290"/>
      <c r="M614" s="278"/>
      <c r="N614" s="278"/>
      <c r="O614" s="278"/>
      <c r="P614" s="278"/>
      <c r="Q614" s="278"/>
      <c r="R614" s="278"/>
      <c r="S614" s="278"/>
      <c r="T614" s="278"/>
      <c r="U614" s="278"/>
      <c r="V614" s="278"/>
      <c r="W614" s="278"/>
      <c r="X614" s="278"/>
      <c r="Y614" s="89"/>
    </row>
    <row r="615">
      <c r="L615" s="290"/>
      <c r="M615" s="278"/>
      <c r="N615" s="278"/>
      <c r="O615" s="278"/>
      <c r="P615" s="278"/>
      <c r="Q615" s="278"/>
      <c r="R615" s="278"/>
      <c r="S615" s="278"/>
      <c r="T615" s="278"/>
      <c r="U615" s="278"/>
      <c r="V615" s="278"/>
      <c r="W615" s="278"/>
      <c r="X615" s="278"/>
      <c r="Y615" s="89"/>
    </row>
    <row r="616">
      <c r="L616" s="290"/>
      <c r="M616" s="278"/>
      <c r="N616" s="278"/>
      <c r="O616" s="278"/>
      <c r="P616" s="278"/>
      <c r="Q616" s="278"/>
      <c r="R616" s="278"/>
      <c r="S616" s="278"/>
      <c r="T616" s="278"/>
      <c r="U616" s="278"/>
      <c r="V616" s="278"/>
      <c r="W616" s="278"/>
      <c r="X616" s="278"/>
      <c r="Y616" s="89"/>
    </row>
    <row r="617">
      <c r="L617" s="290"/>
      <c r="M617" s="278"/>
      <c r="N617" s="278"/>
      <c r="O617" s="278"/>
      <c r="P617" s="278"/>
      <c r="Q617" s="278"/>
      <c r="R617" s="278"/>
      <c r="S617" s="278"/>
      <c r="T617" s="278"/>
      <c r="U617" s="278"/>
      <c r="V617" s="278"/>
      <c r="W617" s="278"/>
      <c r="X617" s="278"/>
      <c r="Y617" s="89"/>
    </row>
    <row r="618">
      <c r="L618" s="290"/>
      <c r="M618" s="278"/>
      <c r="N618" s="278"/>
      <c r="O618" s="278"/>
      <c r="P618" s="278"/>
      <c r="Q618" s="278"/>
      <c r="R618" s="278"/>
      <c r="S618" s="278"/>
      <c r="T618" s="278"/>
      <c r="U618" s="278"/>
      <c r="V618" s="278"/>
      <c r="W618" s="278"/>
      <c r="X618" s="278"/>
      <c r="Y618" s="89"/>
    </row>
    <row r="619">
      <c r="L619" s="290"/>
      <c r="M619" s="278"/>
      <c r="N619" s="278"/>
      <c r="O619" s="278"/>
      <c r="P619" s="278"/>
      <c r="Q619" s="278"/>
      <c r="R619" s="278"/>
      <c r="S619" s="278"/>
      <c r="T619" s="278"/>
      <c r="U619" s="278"/>
      <c r="V619" s="278"/>
      <c r="W619" s="278"/>
      <c r="X619" s="278"/>
      <c r="Y619" s="89"/>
    </row>
    <row r="620">
      <c r="L620" s="290"/>
      <c r="M620" s="278"/>
      <c r="N620" s="278"/>
      <c r="O620" s="278"/>
      <c r="P620" s="278"/>
      <c r="Q620" s="278"/>
      <c r="R620" s="278"/>
      <c r="S620" s="278"/>
      <c r="T620" s="278"/>
      <c r="U620" s="278"/>
      <c r="V620" s="278"/>
      <c r="W620" s="278"/>
      <c r="X620" s="278"/>
      <c r="Y620" s="89"/>
    </row>
    <row r="621">
      <c r="L621" s="290"/>
      <c r="M621" s="278"/>
      <c r="N621" s="278"/>
      <c r="O621" s="278"/>
      <c r="P621" s="278"/>
      <c r="Q621" s="278"/>
      <c r="R621" s="278"/>
      <c r="S621" s="278"/>
      <c r="T621" s="278"/>
      <c r="U621" s="278"/>
      <c r="V621" s="278"/>
      <c r="W621" s="278"/>
      <c r="X621" s="278"/>
      <c r="Y621" s="89"/>
    </row>
    <row r="622">
      <c r="L622" s="290"/>
      <c r="M622" s="278"/>
      <c r="N622" s="278"/>
      <c r="O622" s="278"/>
      <c r="P622" s="278"/>
      <c r="Q622" s="278"/>
      <c r="R622" s="278"/>
      <c r="S622" s="278"/>
      <c r="T622" s="278"/>
      <c r="U622" s="278"/>
      <c r="V622" s="278"/>
      <c r="W622" s="278"/>
      <c r="X622" s="278"/>
      <c r="Y622" s="89"/>
    </row>
    <row r="623">
      <c r="L623" s="290"/>
      <c r="M623" s="278"/>
      <c r="N623" s="278"/>
      <c r="O623" s="278"/>
      <c r="P623" s="278"/>
      <c r="Q623" s="278"/>
      <c r="R623" s="278"/>
      <c r="S623" s="278"/>
      <c r="T623" s="278"/>
      <c r="U623" s="278"/>
      <c r="V623" s="278"/>
      <c r="W623" s="278"/>
      <c r="X623" s="278"/>
      <c r="Y623" s="89"/>
    </row>
    <row r="624">
      <c r="L624" s="290"/>
      <c r="M624" s="278"/>
      <c r="N624" s="278"/>
      <c r="O624" s="278"/>
      <c r="P624" s="278"/>
      <c r="Q624" s="278"/>
      <c r="R624" s="278"/>
      <c r="S624" s="278"/>
      <c r="T624" s="278"/>
      <c r="U624" s="278"/>
      <c r="V624" s="278"/>
      <c r="W624" s="278"/>
      <c r="X624" s="278"/>
      <c r="Y624" s="89"/>
    </row>
    <row r="625">
      <c r="L625" s="290"/>
      <c r="M625" s="278"/>
      <c r="N625" s="278"/>
      <c r="O625" s="278"/>
      <c r="P625" s="278"/>
      <c r="Q625" s="278"/>
      <c r="R625" s="278"/>
      <c r="S625" s="278"/>
      <c r="T625" s="278"/>
      <c r="U625" s="278"/>
      <c r="V625" s="278"/>
      <c r="W625" s="278"/>
      <c r="X625" s="278"/>
      <c r="Y625" s="89"/>
    </row>
    <row r="626">
      <c r="L626" s="290"/>
      <c r="M626" s="278"/>
      <c r="N626" s="278"/>
      <c r="O626" s="278"/>
      <c r="P626" s="278"/>
      <c r="Q626" s="278"/>
      <c r="R626" s="278"/>
      <c r="S626" s="278"/>
      <c r="T626" s="278"/>
      <c r="U626" s="278"/>
      <c r="V626" s="278"/>
      <c r="W626" s="278"/>
      <c r="X626" s="278"/>
      <c r="Y626" s="89"/>
    </row>
    <row r="627">
      <c r="L627" s="290"/>
      <c r="M627" s="278"/>
      <c r="N627" s="278"/>
      <c r="O627" s="278"/>
      <c r="P627" s="278"/>
      <c r="Q627" s="278"/>
      <c r="R627" s="278"/>
      <c r="S627" s="278"/>
      <c r="T627" s="278"/>
      <c r="U627" s="278"/>
      <c r="V627" s="278"/>
      <c r="W627" s="278"/>
      <c r="X627" s="278"/>
      <c r="Y627" s="89"/>
    </row>
    <row r="628">
      <c r="L628" s="290"/>
      <c r="M628" s="278"/>
      <c r="N628" s="278"/>
      <c r="O628" s="278"/>
      <c r="P628" s="278"/>
      <c r="Q628" s="278"/>
      <c r="R628" s="278"/>
      <c r="S628" s="278"/>
      <c r="T628" s="278"/>
      <c r="U628" s="278"/>
      <c r="V628" s="278"/>
      <c r="W628" s="278"/>
      <c r="X628" s="278"/>
      <c r="Y628" s="89"/>
    </row>
    <row r="629">
      <c r="L629" s="290"/>
      <c r="M629" s="278"/>
      <c r="N629" s="278"/>
      <c r="O629" s="278"/>
      <c r="P629" s="278"/>
      <c r="Q629" s="278"/>
      <c r="R629" s="278"/>
      <c r="S629" s="278"/>
      <c r="T629" s="278"/>
      <c r="U629" s="278"/>
      <c r="V629" s="278"/>
      <c r="W629" s="278"/>
      <c r="X629" s="278"/>
      <c r="Y629" s="89"/>
    </row>
    <row r="630">
      <c r="L630" s="290"/>
      <c r="M630" s="278"/>
      <c r="N630" s="278"/>
      <c r="O630" s="278"/>
      <c r="P630" s="278"/>
      <c r="Q630" s="278"/>
      <c r="R630" s="278"/>
      <c r="S630" s="278"/>
      <c r="T630" s="278"/>
      <c r="U630" s="278"/>
      <c r="V630" s="278"/>
      <c r="W630" s="278"/>
      <c r="X630" s="278"/>
      <c r="Y630" s="89"/>
    </row>
    <row r="631">
      <c r="L631" s="290"/>
      <c r="M631" s="278"/>
      <c r="N631" s="278"/>
      <c r="O631" s="278"/>
      <c r="P631" s="278"/>
      <c r="Q631" s="278"/>
      <c r="R631" s="278"/>
      <c r="S631" s="278"/>
      <c r="T631" s="278"/>
      <c r="U631" s="278"/>
      <c r="V631" s="278"/>
      <c r="W631" s="278"/>
      <c r="X631" s="278"/>
      <c r="Y631" s="89"/>
    </row>
    <row r="632">
      <c r="L632" s="290"/>
      <c r="M632" s="278"/>
      <c r="N632" s="278"/>
      <c r="O632" s="278"/>
      <c r="P632" s="278"/>
      <c r="Q632" s="278"/>
      <c r="R632" s="278"/>
      <c r="S632" s="278"/>
      <c r="T632" s="278"/>
      <c r="U632" s="278"/>
      <c r="V632" s="278"/>
      <c r="W632" s="278"/>
      <c r="X632" s="278"/>
      <c r="Y632" s="89"/>
    </row>
    <row r="633">
      <c r="L633" s="290"/>
      <c r="M633" s="278"/>
      <c r="N633" s="278"/>
      <c r="O633" s="278"/>
      <c r="P633" s="278"/>
      <c r="Q633" s="278"/>
      <c r="R633" s="278"/>
      <c r="S633" s="278"/>
      <c r="T633" s="278"/>
      <c r="U633" s="278"/>
      <c r="V633" s="278"/>
      <c r="W633" s="278"/>
      <c r="X633" s="278"/>
      <c r="Y633" s="89"/>
    </row>
    <row r="634">
      <c r="L634" s="290"/>
      <c r="M634" s="278"/>
      <c r="N634" s="278"/>
      <c r="O634" s="278"/>
      <c r="P634" s="278"/>
      <c r="Q634" s="278"/>
      <c r="R634" s="278"/>
      <c r="S634" s="278"/>
      <c r="T634" s="278"/>
      <c r="U634" s="278"/>
      <c r="V634" s="278"/>
      <c r="W634" s="278"/>
      <c r="X634" s="278"/>
      <c r="Y634" s="89"/>
    </row>
    <row r="635">
      <c r="L635" s="290"/>
      <c r="M635" s="278"/>
      <c r="N635" s="278"/>
      <c r="O635" s="278"/>
      <c r="P635" s="278"/>
      <c r="Q635" s="278"/>
      <c r="R635" s="278"/>
      <c r="S635" s="278"/>
      <c r="T635" s="278"/>
      <c r="U635" s="278"/>
      <c r="V635" s="278"/>
      <c r="W635" s="278"/>
      <c r="X635" s="278"/>
      <c r="Y635" s="89"/>
    </row>
    <row r="636">
      <c r="L636" s="290"/>
      <c r="M636" s="278"/>
      <c r="N636" s="278"/>
      <c r="O636" s="278"/>
      <c r="P636" s="278"/>
      <c r="Q636" s="278"/>
      <c r="R636" s="278"/>
      <c r="S636" s="278"/>
      <c r="T636" s="278"/>
      <c r="U636" s="278"/>
      <c r="V636" s="278"/>
      <c r="W636" s="278"/>
      <c r="X636" s="278"/>
      <c r="Y636" s="89"/>
    </row>
    <row r="637">
      <c r="L637" s="290"/>
      <c r="M637" s="278"/>
      <c r="N637" s="278"/>
      <c r="O637" s="278"/>
      <c r="P637" s="278"/>
      <c r="Q637" s="278"/>
      <c r="R637" s="278"/>
      <c r="S637" s="278"/>
      <c r="T637" s="278"/>
      <c r="U637" s="278"/>
      <c r="V637" s="278"/>
      <c r="W637" s="278"/>
      <c r="X637" s="278"/>
      <c r="Y637" s="89"/>
    </row>
    <row r="638">
      <c r="L638" s="290"/>
      <c r="M638" s="278"/>
      <c r="N638" s="278"/>
      <c r="O638" s="278"/>
      <c r="P638" s="278"/>
      <c r="Q638" s="278"/>
      <c r="R638" s="278"/>
      <c r="S638" s="278"/>
      <c r="T638" s="278"/>
      <c r="U638" s="278"/>
      <c r="V638" s="278"/>
      <c r="W638" s="278"/>
      <c r="X638" s="278"/>
      <c r="Y638" s="89"/>
    </row>
    <row r="639">
      <c r="L639" s="290"/>
      <c r="M639" s="278"/>
      <c r="N639" s="278"/>
      <c r="O639" s="278"/>
      <c r="P639" s="278"/>
      <c r="Q639" s="278"/>
      <c r="R639" s="278"/>
      <c r="S639" s="278"/>
      <c r="T639" s="278"/>
      <c r="U639" s="278"/>
      <c r="V639" s="278"/>
      <c r="W639" s="278"/>
      <c r="X639" s="278"/>
      <c r="Y639" s="89"/>
    </row>
    <row r="640">
      <c r="L640" s="290"/>
      <c r="M640" s="278"/>
      <c r="N640" s="278"/>
      <c r="O640" s="278"/>
      <c r="P640" s="278"/>
      <c r="Q640" s="278"/>
      <c r="R640" s="278"/>
      <c r="S640" s="278"/>
      <c r="T640" s="278"/>
      <c r="U640" s="278"/>
      <c r="V640" s="278"/>
      <c r="W640" s="278"/>
      <c r="X640" s="278"/>
      <c r="Y640" s="89"/>
    </row>
    <row r="641">
      <c r="L641" s="290"/>
      <c r="M641" s="278"/>
      <c r="N641" s="278"/>
      <c r="O641" s="278"/>
      <c r="P641" s="278"/>
      <c r="Q641" s="278"/>
      <c r="R641" s="278"/>
      <c r="S641" s="278"/>
      <c r="T641" s="278"/>
      <c r="U641" s="278"/>
      <c r="V641" s="278"/>
      <c r="W641" s="278"/>
      <c r="X641" s="278"/>
      <c r="Y641" s="89"/>
    </row>
    <row r="642">
      <c r="L642" s="290"/>
      <c r="M642" s="278"/>
      <c r="N642" s="278"/>
      <c r="O642" s="278"/>
      <c r="P642" s="278"/>
      <c r="Q642" s="278"/>
      <c r="R642" s="278"/>
      <c r="S642" s="278"/>
      <c r="T642" s="278"/>
      <c r="U642" s="278"/>
      <c r="V642" s="278"/>
      <c r="W642" s="278"/>
      <c r="X642" s="278"/>
      <c r="Y642" s="89"/>
    </row>
    <row r="643">
      <c r="L643" s="290"/>
      <c r="M643" s="278"/>
      <c r="N643" s="278"/>
      <c r="O643" s="278"/>
      <c r="P643" s="278"/>
      <c r="Q643" s="278"/>
      <c r="R643" s="278"/>
      <c r="S643" s="278"/>
      <c r="T643" s="278"/>
      <c r="U643" s="278"/>
      <c r="V643" s="278"/>
      <c r="W643" s="278"/>
      <c r="X643" s="278"/>
      <c r="Y643" s="89"/>
    </row>
    <row r="644">
      <c r="L644" s="290"/>
      <c r="M644" s="278"/>
      <c r="N644" s="278"/>
      <c r="O644" s="278"/>
      <c r="P644" s="278"/>
      <c r="Q644" s="278"/>
      <c r="R644" s="278"/>
      <c r="S644" s="278"/>
      <c r="T644" s="278"/>
      <c r="U644" s="278"/>
      <c r="V644" s="278"/>
      <c r="W644" s="278"/>
      <c r="X644" s="278"/>
      <c r="Y644" s="89"/>
    </row>
    <row r="645">
      <c r="L645" s="290"/>
      <c r="M645" s="278"/>
      <c r="N645" s="278"/>
      <c r="O645" s="278"/>
      <c r="P645" s="278"/>
      <c r="Q645" s="278"/>
      <c r="R645" s="278"/>
      <c r="S645" s="278"/>
      <c r="T645" s="278"/>
      <c r="U645" s="278"/>
      <c r="V645" s="278"/>
      <c r="W645" s="278"/>
      <c r="X645" s="278"/>
      <c r="Y645" s="89"/>
    </row>
    <row r="646">
      <c r="L646" s="290"/>
      <c r="M646" s="278"/>
      <c r="N646" s="278"/>
      <c r="O646" s="278"/>
      <c r="P646" s="278"/>
      <c r="Q646" s="278"/>
      <c r="R646" s="278"/>
      <c r="S646" s="278"/>
      <c r="T646" s="278"/>
      <c r="U646" s="278"/>
      <c r="V646" s="278"/>
      <c r="W646" s="278"/>
      <c r="X646" s="278"/>
      <c r="Y646" s="89"/>
    </row>
    <row r="647">
      <c r="L647" s="290"/>
      <c r="M647" s="278"/>
      <c r="N647" s="278"/>
      <c r="O647" s="278"/>
      <c r="P647" s="278"/>
      <c r="Q647" s="278"/>
      <c r="R647" s="278"/>
      <c r="S647" s="278"/>
      <c r="T647" s="278"/>
      <c r="U647" s="278"/>
      <c r="V647" s="278"/>
      <c r="W647" s="278"/>
      <c r="X647" s="278"/>
      <c r="Y647" s="89"/>
    </row>
    <row r="648">
      <c r="L648" s="290"/>
      <c r="M648" s="278"/>
      <c r="N648" s="278"/>
      <c r="O648" s="278"/>
      <c r="P648" s="278"/>
      <c r="Q648" s="278"/>
      <c r="R648" s="278"/>
      <c r="S648" s="278"/>
      <c r="T648" s="278"/>
      <c r="U648" s="278"/>
      <c r="V648" s="278"/>
      <c r="W648" s="278"/>
      <c r="X648" s="278"/>
      <c r="Y648" s="89"/>
    </row>
    <row r="649">
      <c r="L649" s="290"/>
      <c r="M649" s="278"/>
      <c r="N649" s="278"/>
      <c r="O649" s="278"/>
      <c r="P649" s="278"/>
      <c r="Q649" s="278"/>
      <c r="R649" s="278"/>
      <c r="S649" s="278"/>
      <c r="T649" s="278"/>
      <c r="U649" s="278"/>
      <c r="V649" s="278"/>
      <c r="W649" s="278"/>
      <c r="X649" s="278"/>
      <c r="Y649" s="89"/>
    </row>
    <row r="650">
      <c r="L650" s="290"/>
      <c r="M650" s="278"/>
      <c r="N650" s="278"/>
      <c r="O650" s="278"/>
      <c r="P650" s="278"/>
      <c r="Q650" s="278"/>
      <c r="R650" s="278"/>
      <c r="S650" s="278"/>
      <c r="T650" s="278"/>
      <c r="U650" s="278"/>
      <c r="V650" s="278"/>
      <c r="W650" s="278"/>
      <c r="X650" s="278"/>
      <c r="Y650" s="89"/>
    </row>
    <row r="651">
      <c r="L651" s="290"/>
      <c r="M651" s="278"/>
      <c r="N651" s="278"/>
      <c r="O651" s="278"/>
      <c r="P651" s="278"/>
      <c r="Q651" s="278"/>
      <c r="R651" s="278"/>
      <c r="S651" s="278"/>
      <c r="T651" s="278"/>
      <c r="U651" s="278"/>
      <c r="V651" s="278"/>
      <c r="W651" s="278"/>
      <c r="X651" s="278"/>
      <c r="Y651" s="89"/>
    </row>
    <row r="652">
      <c r="L652" s="290"/>
      <c r="M652" s="278"/>
      <c r="N652" s="278"/>
      <c r="O652" s="278"/>
      <c r="P652" s="278"/>
      <c r="Q652" s="278"/>
      <c r="R652" s="278"/>
      <c r="S652" s="278"/>
      <c r="T652" s="278"/>
      <c r="U652" s="278"/>
      <c r="V652" s="278"/>
      <c r="W652" s="278"/>
      <c r="X652" s="278"/>
      <c r="Y652" s="89"/>
    </row>
    <row r="653">
      <c r="L653" s="290"/>
      <c r="M653" s="278"/>
      <c r="N653" s="278"/>
      <c r="O653" s="278"/>
      <c r="P653" s="278"/>
      <c r="Q653" s="278"/>
      <c r="R653" s="278"/>
      <c r="S653" s="278"/>
      <c r="T653" s="278"/>
      <c r="U653" s="278"/>
      <c r="V653" s="278"/>
      <c r="W653" s="278"/>
      <c r="X653" s="278"/>
      <c r="Y653" s="89"/>
    </row>
    <row r="654">
      <c r="L654" s="290"/>
      <c r="M654" s="278"/>
      <c r="N654" s="278"/>
      <c r="O654" s="278"/>
      <c r="P654" s="278"/>
      <c r="Q654" s="278"/>
      <c r="R654" s="278"/>
      <c r="S654" s="278"/>
      <c r="T654" s="278"/>
      <c r="U654" s="278"/>
      <c r="V654" s="278"/>
      <c r="W654" s="278"/>
      <c r="X654" s="278"/>
      <c r="Y654" s="89"/>
    </row>
    <row r="655">
      <c r="L655" s="290"/>
      <c r="M655" s="278"/>
      <c r="N655" s="278"/>
      <c r="O655" s="278"/>
      <c r="P655" s="278"/>
      <c r="Q655" s="278"/>
      <c r="R655" s="278"/>
      <c r="S655" s="278"/>
      <c r="T655" s="278"/>
      <c r="U655" s="278"/>
      <c r="V655" s="278"/>
      <c r="W655" s="278"/>
      <c r="X655" s="278"/>
      <c r="Y655" s="89"/>
    </row>
    <row r="656">
      <c r="L656" s="290"/>
      <c r="M656" s="278"/>
      <c r="N656" s="278"/>
      <c r="O656" s="278"/>
      <c r="P656" s="278"/>
      <c r="Q656" s="278"/>
      <c r="R656" s="278"/>
      <c r="S656" s="278"/>
      <c r="T656" s="278"/>
      <c r="U656" s="278"/>
      <c r="V656" s="278"/>
      <c r="W656" s="278"/>
      <c r="X656" s="278"/>
      <c r="Y656" s="89"/>
    </row>
    <row r="657">
      <c r="L657" s="290"/>
      <c r="M657" s="278"/>
      <c r="N657" s="278"/>
      <c r="O657" s="278"/>
      <c r="P657" s="278"/>
      <c r="Q657" s="278"/>
      <c r="R657" s="278"/>
      <c r="S657" s="278"/>
      <c r="T657" s="278"/>
      <c r="U657" s="278"/>
      <c r="V657" s="278"/>
      <c r="W657" s="278"/>
      <c r="X657" s="278"/>
      <c r="Y657" s="89"/>
    </row>
    <row r="658">
      <c r="L658" s="290"/>
      <c r="M658" s="278"/>
      <c r="N658" s="278"/>
      <c r="O658" s="278"/>
      <c r="P658" s="278"/>
      <c r="Q658" s="278"/>
      <c r="R658" s="278"/>
      <c r="S658" s="278"/>
      <c r="T658" s="278"/>
      <c r="U658" s="278"/>
      <c r="V658" s="278"/>
      <c r="W658" s="278"/>
      <c r="X658" s="278"/>
      <c r="Y658" s="89"/>
    </row>
    <row r="659">
      <c r="L659" s="290"/>
      <c r="M659" s="278"/>
      <c r="N659" s="278"/>
      <c r="O659" s="278"/>
      <c r="P659" s="278"/>
      <c r="Q659" s="278"/>
      <c r="R659" s="278"/>
      <c r="S659" s="278"/>
      <c r="T659" s="278"/>
      <c r="U659" s="278"/>
      <c r="V659" s="278"/>
      <c r="W659" s="278"/>
      <c r="X659" s="278"/>
      <c r="Y659" s="89"/>
    </row>
    <row r="660">
      <c r="L660" s="290"/>
      <c r="M660" s="278"/>
      <c r="N660" s="278"/>
      <c r="O660" s="278"/>
      <c r="P660" s="278"/>
      <c r="Q660" s="278"/>
      <c r="R660" s="278"/>
      <c r="S660" s="278"/>
      <c r="T660" s="278"/>
      <c r="U660" s="278"/>
      <c r="V660" s="278"/>
      <c r="W660" s="278"/>
      <c r="X660" s="278"/>
      <c r="Y660" s="89"/>
    </row>
    <row r="661">
      <c r="L661" s="290"/>
      <c r="M661" s="278"/>
      <c r="N661" s="278"/>
      <c r="O661" s="278"/>
      <c r="P661" s="278"/>
      <c r="Q661" s="278"/>
      <c r="R661" s="278"/>
      <c r="S661" s="278"/>
      <c r="T661" s="278"/>
      <c r="U661" s="278"/>
      <c r="V661" s="278"/>
      <c r="W661" s="278"/>
      <c r="X661" s="278"/>
      <c r="Y661" s="89"/>
    </row>
    <row r="662">
      <c r="L662" s="290"/>
      <c r="M662" s="278"/>
      <c r="N662" s="278"/>
      <c r="O662" s="278"/>
      <c r="P662" s="278"/>
      <c r="Q662" s="278"/>
      <c r="R662" s="278"/>
      <c r="S662" s="278"/>
      <c r="T662" s="278"/>
      <c r="U662" s="278"/>
      <c r="V662" s="278"/>
      <c r="W662" s="278"/>
      <c r="X662" s="278"/>
      <c r="Y662" s="89"/>
    </row>
    <row r="663">
      <c r="L663" s="290"/>
      <c r="M663" s="278"/>
      <c r="N663" s="278"/>
      <c r="O663" s="278"/>
      <c r="P663" s="278"/>
      <c r="Q663" s="278"/>
      <c r="R663" s="278"/>
      <c r="S663" s="278"/>
      <c r="T663" s="278"/>
      <c r="U663" s="278"/>
      <c r="V663" s="278"/>
      <c r="W663" s="278"/>
      <c r="X663" s="278"/>
      <c r="Y663" s="89"/>
    </row>
    <row r="664">
      <c r="L664" s="290"/>
      <c r="M664" s="278"/>
      <c r="N664" s="278"/>
      <c r="O664" s="278"/>
      <c r="P664" s="278"/>
      <c r="Q664" s="278"/>
      <c r="R664" s="278"/>
      <c r="S664" s="278"/>
      <c r="T664" s="278"/>
      <c r="U664" s="278"/>
      <c r="V664" s="278"/>
      <c r="W664" s="278"/>
      <c r="X664" s="278"/>
      <c r="Y664" s="89"/>
    </row>
    <row r="665">
      <c r="L665" s="290"/>
      <c r="M665" s="278"/>
      <c r="N665" s="278"/>
      <c r="O665" s="278"/>
      <c r="P665" s="278"/>
      <c r="Q665" s="278"/>
      <c r="R665" s="278"/>
      <c r="S665" s="278"/>
      <c r="T665" s="278"/>
      <c r="U665" s="278"/>
      <c r="V665" s="278"/>
      <c r="W665" s="278"/>
      <c r="X665" s="278"/>
      <c r="Y665" s="89"/>
    </row>
    <row r="666">
      <c r="L666" s="290"/>
      <c r="M666" s="278"/>
      <c r="N666" s="278"/>
      <c r="O666" s="278"/>
      <c r="P666" s="278"/>
      <c r="Q666" s="278"/>
      <c r="R666" s="278"/>
      <c r="S666" s="278"/>
      <c r="T666" s="278"/>
      <c r="U666" s="278"/>
      <c r="V666" s="278"/>
      <c r="W666" s="278"/>
      <c r="X666" s="278"/>
      <c r="Y666" s="89"/>
    </row>
    <row r="667">
      <c r="L667" s="290"/>
      <c r="M667" s="278"/>
      <c r="N667" s="278"/>
      <c r="O667" s="278"/>
      <c r="P667" s="278"/>
      <c r="Q667" s="278"/>
      <c r="R667" s="278"/>
      <c r="S667" s="278"/>
      <c r="T667" s="278"/>
      <c r="U667" s="278"/>
      <c r="V667" s="278"/>
      <c r="W667" s="278"/>
      <c r="X667" s="278"/>
      <c r="Y667" s="89"/>
    </row>
    <row r="668">
      <c r="L668" s="290"/>
      <c r="M668" s="278"/>
      <c r="N668" s="278"/>
      <c r="O668" s="278"/>
      <c r="P668" s="278"/>
      <c r="Q668" s="278"/>
      <c r="R668" s="278"/>
      <c r="S668" s="278"/>
      <c r="T668" s="278"/>
      <c r="U668" s="278"/>
      <c r="V668" s="278"/>
      <c r="W668" s="278"/>
      <c r="X668" s="278"/>
      <c r="Y668" s="89"/>
    </row>
    <row r="669">
      <c r="L669" s="290"/>
      <c r="M669" s="278"/>
      <c r="N669" s="278"/>
      <c r="O669" s="278"/>
      <c r="P669" s="278"/>
      <c r="Q669" s="278"/>
      <c r="R669" s="278"/>
      <c r="S669" s="278"/>
      <c r="T669" s="278"/>
      <c r="U669" s="278"/>
      <c r="V669" s="278"/>
      <c r="W669" s="278"/>
      <c r="X669" s="278"/>
      <c r="Y669" s="89"/>
    </row>
    <row r="670">
      <c r="L670" s="290"/>
      <c r="M670" s="278"/>
      <c r="N670" s="278"/>
      <c r="O670" s="278"/>
      <c r="P670" s="278"/>
      <c r="Q670" s="278"/>
      <c r="R670" s="278"/>
      <c r="S670" s="278"/>
      <c r="T670" s="278"/>
      <c r="U670" s="278"/>
      <c r="V670" s="278"/>
      <c r="W670" s="278"/>
      <c r="X670" s="278"/>
      <c r="Y670" s="89"/>
    </row>
    <row r="671">
      <c r="L671" s="290"/>
      <c r="M671" s="278"/>
      <c r="N671" s="278"/>
      <c r="O671" s="278"/>
      <c r="P671" s="278"/>
      <c r="Q671" s="278"/>
      <c r="R671" s="278"/>
      <c r="S671" s="278"/>
      <c r="T671" s="278"/>
      <c r="U671" s="278"/>
      <c r="V671" s="278"/>
      <c r="W671" s="278"/>
      <c r="X671" s="278"/>
      <c r="Y671" s="89"/>
    </row>
    <row r="672">
      <c r="L672" s="290"/>
      <c r="M672" s="278"/>
      <c r="N672" s="278"/>
      <c r="O672" s="278"/>
      <c r="P672" s="278"/>
      <c r="Q672" s="278"/>
      <c r="R672" s="278"/>
      <c r="S672" s="278"/>
      <c r="T672" s="278"/>
      <c r="U672" s="278"/>
      <c r="V672" s="278"/>
      <c r="W672" s="278"/>
      <c r="X672" s="278"/>
      <c r="Y672" s="89"/>
    </row>
    <row r="673">
      <c r="L673" s="290"/>
      <c r="M673" s="278"/>
      <c r="N673" s="278"/>
      <c r="O673" s="278"/>
      <c r="P673" s="278"/>
      <c r="Q673" s="278"/>
      <c r="R673" s="278"/>
      <c r="S673" s="278"/>
      <c r="T673" s="278"/>
      <c r="U673" s="278"/>
      <c r="V673" s="278"/>
      <c r="W673" s="278"/>
      <c r="X673" s="278"/>
      <c r="Y673" s="89"/>
    </row>
    <row r="674">
      <c r="L674" s="290"/>
      <c r="M674" s="278"/>
      <c r="N674" s="278"/>
      <c r="O674" s="278"/>
      <c r="P674" s="278"/>
      <c r="Q674" s="278"/>
      <c r="R674" s="278"/>
      <c r="S674" s="278"/>
      <c r="T674" s="278"/>
      <c r="U674" s="278"/>
      <c r="V674" s="278"/>
      <c r="W674" s="278"/>
      <c r="X674" s="278"/>
      <c r="Y674" s="89"/>
    </row>
    <row r="675">
      <c r="L675" s="290"/>
      <c r="M675" s="278"/>
      <c r="N675" s="278"/>
      <c r="O675" s="278"/>
      <c r="P675" s="278"/>
      <c r="Q675" s="278"/>
      <c r="R675" s="278"/>
      <c r="S675" s="278"/>
      <c r="T675" s="278"/>
      <c r="U675" s="278"/>
      <c r="V675" s="278"/>
      <c r="W675" s="278"/>
      <c r="X675" s="278"/>
      <c r="Y675" s="89"/>
    </row>
    <row r="676">
      <c r="L676" s="290"/>
      <c r="M676" s="278"/>
      <c r="N676" s="278"/>
      <c r="O676" s="278"/>
      <c r="P676" s="278"/>
      <c r="Q676" s="278"/>
      <c r="R676" s="278"/>
      <c r="S676" s="278"/>
      <c r="T676" s="278"/>
      <c r="U676" s="278"/>
      <c r="V676" s="278"/>
      <c r="W676" s="278"/>
      <c r="X676" s="278"/>
      <c r="Y676" s="89"/>
    </row>
    <row r="677">
      <c r="L677" s="290"/>
      <c r="M677" s="278"/>
      <c r="N677" s="278"/>
      <c r="O677" s="278"/>
      <c r="P677" s="278"/>
      <c r="Q677" s="278"/>
      <c r="R677" s="278"/>
      <c r="S677" s="278"/>
      <c r="T677" s="278"/>
      <c r="U677" s="278"/>
      <c r="V677" s="278"/>
      <c r="W677" s="278"/>
      <c r="X677" s="278"/>
      <c r="Y677" s="89"/>
    </row>
    <row r="678">
      <c r="L678" s="290"/>
      <c r="M678" s="278"/>
      <c r="N678" s="278"/>
      <c r="O678" s="278"/>
      <c r="P678" s="278"/>
      <c r="Q678" s="278"/>
      <c r="R678" s="278"/>
      <c r="S678" s="278"/>
      <c r="T678" s="278"/>
      <c r="U678" s="278"/>
      <c r="V678" s="278"/>
      <c r="W678" s="278"/>
      <c r="X678" s="278"/>
      <c r="Y678" s="89"/>
    </row>
    <row r="679">
      <c r="L679" s="290"/>
      <c r="M679" s="278"/>
      <c r="N679" s="278"/>
      <c r="O679" s="278"/>
      <c r="P679" s="278"/>
      <c r="Q679" s="278"/>
      <c r="R679" s="278"/>
      <c r="S679" s="278"/>
      <c r="T679" s="278"/>
      <c r="U679" s="278"/>
      <c r="V679" s="278"/>
      <c r="W679" s="278"/>
      <c r="X679" s="278"/>
      <c r="Y679" s="89"/>
    </row>
    <row r="680">
      <c r="L680" s="290"/>
      <c r="M680" s="278"/>
      <c r="N680" s="278"/>
      <c r="O680" s="278"/>
      <c r="P680" s="278"/>
      <c r="Q680" s="278"/>
      <c r="R680" s="278"/>
      <c r="S680" s="278"/>
      <c r="T680" s="278"/>
      <c r="U680" s="278"/>
      <c r="V680" s="278"/>
      <c r="W680" s="278"/>
      <c r="X680" s="278"/>
      <c r="Y680" s="89"/>
    </row>
    <row r="681">
      <c r="L681" s="290"/>
      <c r="M681" s="278"/>
      <c r="N681" s="278"/>
      <c r="O681" s="278"/>
      <c r="P681" s="278"/>
      <c r="Q681" s="278"/>
      <c r="R681" s="278"/>
      <c r="S681" s="278"/>
      <c r="T681" s="278"/>
      <c r="U681" s="278"/>
      <c r="V681" s="278"/>
      <c r="W681" s="278"/>
      <c r="X681" s="278"/>
      <c r="Y681" s="89"/>
    </row>
    <row r="682">
      <c r="L682" s="290"/>
      <c r="M682" s="278"/>
      <c r="N682" s="278"/>
      <c r="O682" s="278"/>
      <c r="P682" s="278"/>
      <c r="Q682" s="278"/>
      <c r="R682" s="278"/>
      <c r="S682" s="278"/>
      <c r="T682" s="278"/>
      <c r="U682" s="278"/>
      <c r="V682" s="278"/>
      <c r="W682" s="278"/>
      <c r="X682" s="278"/>
      <c r="Y682" s="89"/>
    </row>
    <row r="683">
      <c r="L683" s="290"/>
      <c r="M683" s="278"/>
      <c r="N683" s="278"/>
      <c r="O683" s="278"/>
      <c r="P683" s="278"/>
      <c r="Q683" s="278"/>
      <c r="R683" s="278"/>
      <c r="S683" s="278"/>
      <c r="T683" s="278"/>
      <c r="U683" s="278"/>
      <c r="V683" s="278"/>
      <c r="W683" s="278"/>
      <c r="X683" s="278"/>
      <c r="Y683" s="89"/>
    </row>
    <row r="684">
      <c r="L684" s="290"/>
      <c r="M684" s="278"/>
      <c r="N684" s="278"/>
      <c r="O684" s="278"/>
      <c r="P684" s="278"/>
      <c r="Q684" s="278"/>
      <c r="R684" s="278"/>
      <c r="S684" s="278"/>
      <c r="T684" s="278"/>
      <c r="U684" s="278"/>
      <c r="V684" s="278"/>
      <c r="W684" s="278"/>
      <c r="X684" s="278"/>
      <c r="Y684" s="89"/>
    </row>
    <row r="685">
      <c r="L685" s="290"/>
      <c r="M685" s="278"/>
      <c r="N685" s="278"/>
      <c r="O685" s="278"/>
      <c r="P685" s="278"/>
      <c r="Q685" s="278"/>
      <c r="R685" s="278"/>
      <c r="S685" s="278"/>
      <c r="T685" s="278"/>
      <c r="U685" s="278"/>
      <c r="V685" s="278"/>
      <c r="W685" s="278"/>
      <c r="X685" s="278"/>
      <c r="Y685" s="89"/>
    </row>
    <row r="686">
      <c r="L686" s="290"/>
      <c r="M686" s="278"/>
      <c r="N686" s="278"/>
      <c r="O686" s="278"/>
      <c r="P686" s="278"/>
      <c r="Q686" s="278"/>
      <c r="R686" s="278"/>
      <c r="S686" s="278"/>
      <c r="T686" s="278"/>
      <c r="U686" s="278"/>
      <c r="V686" s="278"/>
      <c r="W686" s="278"/>
      <c r="X686" s="278"/>
      <c r="Y686" s="89"/>
    </row>
    <row r="687">
      <c r="L687" s="290"/>
      <c r="M687" s="278"/>
      <c r="N687" s="278"/>
      <c r="O687" s="278"/>
      <c r="P687" s="278"/>
      <c r="Q687" s="278"/>
      <c r="R687" s="278"/>
      <c r="S687" s="278"/>
      <c r="T687" s="278"/>
      <c r="U687" s="278"/>
      <c r="V687" s="278"/>
      <c r="W687" s="278"/>
      <c r="X687" s="278"/>
      <c r="Y687" s="89"/>
    </row>
    <row r="688">
      <c r="L688" s="290"/>
      <c r="M688" s="278"/>
      <c r="N688" s="278"/>
      <c r="O688" s="278"/>
      <c r="P688" s="278"/>
      <c r="Q688" s="278"/>
      <c r="R688" s="278"/>
      <c r="S688" s="278"/>
      <c r="T688" s="278"/>
      <c r="U688" s="278"/>
      <c r="V688" s="278"/>
      <c r="W688" s="278"/>
      <c r="X688" s="278"/>
      <c r="Y688" s="89"/>
    </row>
    <row r="689">
      <c r="L689" s="290"/>
      <c r="M689" s="278"/>
      <c r="N689" s="278"/>
      <c r="O689" s="278"/>
      <c r="P689" s="278"/>
      <c r="Q689" s="278"/>
      <c r="R689" s="278"/>
      <c r="S689" s="278"/>
      <c r="T689" s="278"/>
      <c r="U689" s="278"/>
      <c r="V689" s="278"/>
      <c r="W689" s="278"/>
      <c r="X689" s="278"/>
      <c r="Y689" s="89"/>
    </row>
    <row r="690">
      <c r="L690" s="290"/>
      <c r="M690" s="278"/>
      <c r="N690" s="278"/>
      <c r="O690" s="278"/>
      <c r="P690" s="278"/>
      <c r="Q690" s="278"/>
      <c r="R690" s="278"/>
      <c r="S690" s="278"/>
      <c r="T690" s="278"/>
      <c r="U690" s="278"/>
      <c r="V690" s="278"/>
      <c r="W690" s="278"/>
      <c r="X690" s="278"/>
      <c r="Y690" s="89"/>
    </row>
    <row r="691">
      <c r="L691" s="290"/>
      <c r="M691" s="278"/>
      <c r="N691" s="278"/>
      <c r="O691" s="278"/>
      <c r="P691" s="278"/>
      <c r="Q691" s="278"/>
      <c r="R691" s="278"/>
      <c r="S691" s="278"/>
      <c r="T691" s="278"/>
      <c r="U691" s="278"/>
      <c r="V691" s="278"/>
      <c r="W691" s="278"/>
      <c r="X691" s="278"/>
      <c r="Y691" s="89"/>
    </row>
    <row r="692">
      <c r="L692" s="290"/>
      <c r="M692" s="278"/>
      <c r="N692" s="278"/>
      <c r="O692" s="278"/>
      <c r="P692" s="278"/>
      <c r="Q692" s="278"/>
      <c r="R692" s="278"/>
      <c r="S692" s="278"/>
      <c r="T692" s="278"/>
      <c r="U692" s="278"/>
      <c r="V692" s="278"/>
      <c r="W692" s="278"/>
      <c r="X692" s="278"/>
      <c r="Y692" s="89"/>
    </row>
    <row r="693">
      <c r="L693" s="290"/>
      <c r="M693" s="278"/>
      <c r="N693" s="278"/>
      <c r="O693" s="278"/>
      <c r="P693" s="278"/>
      <c r="Q693" s="278"/>
      <c r="R693" s="278"/>
      <c r="S693" s="278"/>
      <c r="T693" s="278"/>
      <c r="U693" s="278"/>
      <c r="V693" s="278"/>
      <c r="W693" s="278"/>
      <c r="X693" s="278"/>
      <c r="Y693" s="89"/>
    </row>
    <row r="694">
      <c r="L694" s="290"/>
      <c r="M694" s="278"/>
      <c r="N694" s="278"/>
      <c r="O694" s="278"/>
      <c r="P694" s="278"/>
      <c r="Q694" s="278"/>
      <c r="R694" s="278"/>
      <c r="S694" s="278"/>
      <c r="T694" s="278"/>
      <c r="U694" s="278"/>
      <c r="V694" s="278"/>
      <c r="W694" s="278"/>
      <c r="X694" s="278"/>
      <c r="Y694" s="89"/>
    </row>
    <row r="695">
      <c r="L695" s="290"/>
      <c r="M695" s="278"/>
      <c r="N695" s="278"/>
      <c r="O695" s="278"/>
      <c r="P695" s="278"/>
      <c r="Q695" s="278"/>
      <c r="R695" s="278"/>
      <c r="S695" s="278"/>
      <c r="T695" s="278"/>
      <c r="U695" s="278"/>
      <c r="V695" s="278"/>
      <c r="W695" s="278"/>
      <c r="X695" s="278"/>
      <c r="Y695" s="89"/>
    </row>
    <row r="696">
      <c r="L696" s="290"/>
      <c r="M696" s="278"/>
      <c r="N696" s="278"/>
      <c r="O696" s="278"/>
      <c r="P696" s="278"/>
      <c r="Q696" s="278"/>
      <c r="R696" s="278"/>
      <c r="S696" s="278"/>
      <c r="T696" s="278"/>
      <c r="U696" s="278"/>
      <c r="V696" s="278"/>
      <c r="W696" s="278"/>
      <c r="X696" s="278"/>
      <c r="Y696" s="89"/>
    </row>
    <row r="697">
      <c r="L697" s="290"/>
      <c r="M697" s="278"/>
      <c r="N697" s="278"/>
      <c r="O697" s="278"/>
      <c r="P697" s="278"/>
      <c r="Q697" s="278"/>
      <c r="R697" s="278"/>
      <c r="S697" s="278"/>
      <c r="T697" s="278"/>
      <c r="U697" s="278"/>
      <c r="V697" s="278"/>
      <c r="W697" s="278"/>
      <c r="X697" s="278"/>
      <c r="Y697" s="89"/>
    </row>
    <row r="698">
      <c r="L698" s="290"/>
      <c r="M698" s="278"/>
      <c r="N698" s="278"/>
      <c r="O698" s="278"/>
      <c r="P698" s="278"/>
      <c r="Q698" s="278"/>
      <c r="R698" s="278"/>
      <c r="S698" s="278"/>
      <c r="T698" s="278"/>
      <c r="U698" s="278"/>
      <c r="V698" s="278"/>
      <c r="W698" s="278"/>
      <c r="X698" s="278"/>
      <c r="Y698" s="89"/>
    </row>
    <row r="699">
      <c r="L699" s="290"/>
      <c r="M699" s="278"/>
      <c r="N699" s="278"/>
      <c r="O699" s="278"/>
      <c r="P699" s="278"/>
      <c r="Q699" s="278"/>
      <c r="R699" s="278"/>
      <c r="S699" s="278"/>
      <c r="T699" s="278"/>
      <c r="U699" s="278"/>
      <c r="V699" s="278"/>
      <c r="W699" s="278"/>
      <c r="X699" s="278"/>
      <c r="Y699" s="89"/>
    </row>
    <row r="700">
      <c r="L700" s="290"/>
      <c r="M700" s="278"/>
      <c r="N700" s="278"/>
      <c r="O700" s="278"/>
      <c r="P700" s="278"/>
      <c r="Q700" s="278"/>
      <c r="R700" s="278"/>
      <c r="S700" s="278"/>
      <c r="T700" s="278"/>
      <c r="U700" s="278"/>
      <c r="V700" s="278"/>
      <c r="W700" s="278"/>
      <c r="X700" s="278"/>
      <c r="Y700" s="89"/>
    </row>
    <row r="701">
      <c r="L701" s="290"/>
      <c r="M701" s="278"/>
      <c r="N701" s="278"/>
      <c r="O701" s="278"/>
      <c r="P701" s="278"/>
      <c r="Q701" s="278"/>
      <c r="R701" s="278"/>
      <c r="S701" s="278"/>
      <c r="T701" s="278"/>
      <c r="U701" s="278"/>
      <c r="V701" s="278"/>
      <c r="W701" s="278"/>
      <c r="X701" s="278"/>
      <c r="Y701" s="89"/>
    </row>
    <row r="702">
      <c r="L702" s="290"/>
      <c r="M702" s="278"/>
      <c r="N702" s="278"/>
      <c r="O702" s="278"/>
      <c r="P702" s="278"/>
      <c r="Q702" s="278"/>
      <c r="R702" s="278"/>
      <c r="S702" s="278"/>
      <c r="T702" s="278"/>
      <c r="U702" s="278"/>
      <c r="V702" s="278"/>
      <c r="W702" s="278"/>
      <c r="X702" s="278"/>
      <c r="Y702" s="89"/>
    </row>
    <row r="703">
      <c r="L703" s="290"/>
      <c r="M703" s="278"/>
      <c r="N703" s="278"/>
      <c r="O703" s="278"/>
      <c r="P703" s="278"/>
      <c r="Q703" s="278"/>
      <c r="R703" s="278"/>
      <c r="S703" s="278"/>
      <c r="T703" s="278"/>
      <c r="U703" s="278"/>
      <c r="V703" s="278"/>
      <c r="W703" s="278"/>
      <c r="X703" s="278"/>
      <c r="Y703" s="89"/>
    </row>
    <row r="704">
      <c r="L704" s="290"/>
      <c r="M704" s="278"/>
      <c r="N704" s="278"/>
      <c r="O704" s="278"/>
      <c r="P704" s="278"/>
      <c r="Q704" s="278"/>
      <c r="R704" s="278"/>
      <c r="S704" s="278"/>
      <c r="T704" s="278"/>
      <c r="U704" s="278"/>
      <c r="V704" s="278"/>
      <c r="W704" s="278"/>
      <c r="X704" s="278"/>
      <c r="Y704" s="89"/>
    </row>
    <row r="705">
      <c r="L705" s="290"/>
      <c r="M705" s="278"/>
      <c r="N705" s="278"/>
      <c r="O705" s="278"/>
      <c r="P705" s="278"/>
      <c r="Q705" s="278"/>
      <c r="R705" s="278"/>
      <c r="S705" s="278"/>
      <c r="T705" s="278"/>
      <c r="U705" s="278"/>
      <c r="V705" s="278"/>
      <c r="W705" s="278"/>
      <c r="X705" s="278"/>
      <c r="Y705" s="89"/>
    </row>
    <row r="706">
      <c r="L706" s="290"/>
      <c r="M706" s="278"/>
      <c r="N706" s="278"/>
      <c r="O706" s="278"/>
      <c r="P706" s="278"/>
      <c r="Q706" s="278"/>
      <c r="R706" s="278"/>
      <c r="S706" s="278"/>
      <c r="T706" s="278"/>
      <c r="U706" s="278"/>
      <c r="V706" s="278"/>
      <c r="W706" s="278"/>
      <c r="X706" s="278"/>
      <c r="Y706" s="89"/>
    </row>
    <row r="707">
      <c r="L707" s="290"/>
      <c r="M707" s="278"/>
      <c r="N707" s="278"/>
      <c r="O707" s="278"/>
      <c r="P707" s="278"/>
      <c r="Q707" s="278"/>
      <c r="R707" s="278"/>
      <c r="S707" s="278"/>
      <c r="T707" s="278"/>
      <c r="U707" s="278"/>
      <c r="V707" s="278"/>
      <c r="W707" s="278"/>
      <c r="X707" s="278"/>
      <c r="Y707" s="89"/>
    </row>
    <row r="708">
      <c r="L708" s="290"/>
      <c r="M708" s="278"/>
      <c r="N708" s="278"/>
      <c r="O708" s="278"/>
      <c r="P708" s="278"/>
      <c r="Q708" s="278"/>
      <c r="R708" s="278"/>
      <c r="S708" s="278"/>
      <c r="T708" s="278"/>
      <c r="U708" s="278"/>
      <c r="V708" s="278"/>
      <c r="W708" s="278"/>
      <c r="X708" s="278"/>
      <c r="Y708" s="89"/>
    </row>
    <row r="709">
      <c r="L709" s="290"/>
      <c r="M709" s="278"/>
      <c r="N709" s="278"/>
      <c r="O709" s="278"/>
      <c r="P709" s="278"/>
      <c r="Q709" s="278"/>
      <c r="R709" s="278"/>
      <c r="S709" s="278"/>
      <c r="T709" s="278"/>
      <c r="U709" s="278"/>
      <c r="V709" s="278"/>
      <c r="W709" s="278"/>
      <c r="X709" s="278"/>
      <c r="Y709" s="89"/>
    </row>
    <row r="710">
      <c r="L710" s="290"/>
      <c r="M710" s="278"/>
      <c r="N710" s="278"/>
      <c r="O710" s="278"/>
      <c r="P710" s="278"/>
      <c r="Q710" s="278"/>
      <c r="R710" s="278"/>
      <c r="S710" s="278"/>
      <c r="T710" s="278"/>
      <c r="U710" s="278"/>
      <c r="V710" s="278"/>
      <c r="W710" s="278"/>
      <c r="X710" s="278"/>
      <c r="Y710" s="89"/>
    </row>
    <row r="711">
      <c r="L711" s="290"/>
      <c r="M711" s="278"/>
      <c r="N711" s="278"/>
      <c r="O711" s="278"/>
      <c r="P711" s="278"/>
      <c r="Q711" s="278"/>
      <c r="R711" s="278"/>
      <c r="S711" s="278"/>
      <c r="T711" s="278"/>
      <c r="U711" s="278"/>
      <c r="V711" s="278"/>
      <c r="W711" s="278"/>
      <c r="X711" s="278"/>
      <c r="Y711" s="89"/>
    </row>
    <row r="712">
      <c r="L712" s="290"/>
      <c r="M712" s="278"/>
      <c r="N712" s="278"/>
      <c r="O712" s="278"/>
      <c r="P712" s="278"/>
      <c r="Q712" s="278"/>
      <c r="R712" s="278"/>
      <c r="S712" s="278"/>
      <c r="T712" s="278"/>
      <c r="U712" s="278"/>
      <c r="V712" s="278"/>
      <c r="W712" s="278"/>
      <c r="X712" s="278"/>
      <c r="Y712" s="89"/>
    </row>
    <row r="713">
      <c r="L713" s="290"/>
      <c r="M713" s="278"/>
      <c r="N713" s="278"/>
      <c r="O713" s="278"/>
      <c r="P713" s="278"/>
      <c r="Q713" s="278"/>
      <c r="R713" s="278"/>
      <c r="S713" s="278"/>
      <c r="T713" s="278"/>
      <c r="U713" s="278"/>
      <c r="V713" s="278"/>
      <c r="W713" s="278"/>
      <c r="X713" s="278"/>
      <c r="Y713" s="89"/>
    </row>
    <row r="714">
      <c r="L714" s="290"/>
      <c r="M714" s="278"/>
      <c r="N714" s="278"/>
      <c r="O714" s="278"/>
      <c r="P714" s="278"/>
      <c r="Q714" s="278"/>
      <c r="R714" s="278"/>
      <c r="S714" s="278"/>
      <c r="T714" s="278"/>
      <c r="U714" s="278"/>
      <c r="V714" s="278"/>
      <c r="W714" s="278"/>
      <c r="X714" s="278"/>
      <c r="Y714" s="89"/>
    </row>
    <row r="715">
      <c r="L715" s="290"/>
      <c r="M715" s="278"/>
      <c r="N715" s="278"/>
      <c r="O715" s="278"/>
      <c r="P715" s="278"/>
      <c r="Q715" s="278"/>
      <c r="R715" s="278"/>
      <c r="S715" s="278"/>
      <c r="T715" s="278"/>
      <c r="U715" s="278"/>
      <c r="V715" s="278"/>
      <c r="W715" s="278"/>
      <c r="X715" s="278"/>
      <c r="Y715" s="89"/>
    </row>
    <row r="716">
      <c r="L716" s="290"/>
      <c r="M716" s="278"/>
      <c r="N716" s="278"/>
      <c r="O716" s="278"/>
      <c r="P716" s="278"/>
      <c r="Q716" s="278"/>
      <c r="R716" s="278"/>
      <c r="S716" s="278"/>
      <c r="T716" s="278"/>
      <c r="U716" s="278"/>
      <c r="V716" s="278"/>
      <c r="W716" s="278"/>
      <c r="X716" s="278"/>
      <c r="Y716" s="89"/>
    </row>
    <row r="717">
      <c r="L717" s="290"/>
      <c r="M717" s="278"/>
      <c r="N717" s="278"/>
      <c r="O717" s="278"/>
      <c r="P717" s="278"/>
      <c r="Q717" s="278"/>
      <c r="R717" s="278"/>
      <c r="S717" s="278"/>
      <c r="T717" s="278"/>
      <c r="U717" s="278"/>
      <c r="V717" s="278"/>
      <c r="W717" s="278"/>
      <c r="X717" s="278"/>
      <c r="Y717" s="89"/>
    </row>
    <row r="718">
      <c r="L718" s="290"/>
      <c r="M718" s="278"/>
      <c r="N718" s="278"/>
      <c r="O718" s="278"/>
      <c r="P718" s="278"/>
      <c r="Q718" s="278"/>
      <c r="R718" s="278"/>
      <c r="S718" s="278"/>
      <c r="T718" s="278"/>
      <c r="U718" s="278"/>
      <c r="V718" s="278"/>
      <c r="W718" s="278"/>
      <c r="X718" s="278"/>
      <c r="Y718" s="89"/>
    </row>
    <row r="719">
      <c r="L719" s="290"/>
      <c r="M719" s="278"/>
      <c r="N719" s="278"/>
      <c r="O719" s="278"/>
      <c r="P719" s="278"/>
      <c r="Q719" s="278"/>
      <c r="R719" s="278"/>
      <c r="S719" s="278"/>
      <c r="T719" s="278"/>
      <c r="U719" s="278"/>
      <c r="V719" s="278"/>
      <c r="W719" s="278"/>
      <c r="X719" s="278"/>
      <c r="Y719" s="89"/>
    </row>
    <row r="720">
      <c r="L720" s="290"/>
      <c r="M720" s="278"/>
      <c r="N720" s="278"/>
      <c r="O720" s="278"/>
      <c r="P720" s="278"/>
      <c r="Q720" s="278"/>
      <c r="R720" s="278"/>
      <c r="S720" s="278"/>
      <c r="T720" s="278"/>
      <c r="U720" s="278"/>
      <c r="V720" s="278"/>
      <c r="W720" s="278"/>
      <c r="X720" s="278"/>
      <c r="Y720" s="89"/>
    </row>
    <row r="721">
      <c r="L721" s="290"/>
      <c r="M721" s="278"/>
      <c r="N721" s="278"/>
      <c r="O721" s="278"/>
      <c r="P721" s="278"/>
      <c r="Q721" s="278"/>
      <c r="R721" s="278"/>
      <c r="S721" s="278"/>
      <c r="T721" s="278"/>
      <c r="U721" s="278"/>
      <c r="V721" s="278"/>
      <c r="W721" s="278"/>
      <c r="X721" s="278"/>
      <c r="Y721" s="89"/>
    </row>
    <row r="722">
      <c r="L722" s="290"/>
      <c r="M722" s="278"/>
      <c r="N722" s="278"/>
      <c r="O722" s="278"/>
      <c r="P722" s="278"/>
      <c r="Q722" s="278"/>
      <c r="R722" s="278"/>
      <c r="S722" s="278"/>
      <c r="T722" s="278"/>
      <c r="U722" s="278"/>
      <c r="V722" s="278"/>
      <c r="W722" s="278"/>
      <c r="X722" s="278"/>
      <c r="Y722" s="89"/>
    </row>
    <row r="723">
      <c r="L723" s="290"/>
      <c r="M723" s="278"/>
      <c r="N723" s="278"/>
      <c r="O723" s="278"/>
      <c r="P723" s="278"/>
      <c r="Q723" s="278"/>
      <c r="R723" s="278"/>
      <c r="S723" s="278"/>
      <c r="T723" s="278"/>
      <c r="U723" s="278"/>
      <c r="V723" s="278"/>
      <c r="W723" s="278"/>
      <c r="X723" s="278"/>
      <c r="Y723" s="89"/>
    </row>
    <row r="724">
      <c r="L724" s="290"/>
      <c r="M724" s="278"/>
      <c r="N724" s="278"/>
      <c r="O724" s="278"/>
      <c r="P724" s="278"/>
      <c r="Q724" s="278"/>
      <c r="R724" s="278"/>
      <c r="S724" s="278"/>
      <c r="T724" s="278"/>
      <c r="U724" s="278"/>
      <c r="V724" s="278"/>
      <c r="W724" s="278"/>
      <c r="X724" s="278"/>
      <c r="Y724" s="89"/>
    </row>
    <row r="725">
      <c r="L725" s="290"/>
      <c r="M725" s="278"/>
      <c r="N725" s="278"/>
      <c r="O725" s="278"/>
      <c r="P725" s="278"/>
      <c r="Q725" s="278"/>
      <c r="R725" s="278"/>
      <c r="S725" s="278"/>
      <c r="T725" s="278"/>
      <c r="U725" s="278"/>
      <c r="V725" s="278"/>
      <c r="W725" s="278"/>
      <c r="X725" s="278"/>
      <c r="Y725" s="89"/>
    </row>
    <row r="726">
      <c r="L726" s="290"/>
      <c r="M726" s="278"/>
      <c r="N726" s="278"/>
      <c r="O726" s="278"/>
      <c r="P726" s="278"/>
      <c r="Q726" s="278"/>
      <c r="R726" s="278"/>
      <c r="S726" s="278"/>
      <c r="T726" s="278"/>
      <c r="U726" s="278"/>
      <c r="V726" s="278"/>
      <c r="W726" s="278"/>
      <c r="X726" s="278"/>
      <c r="Y726" s="89"/>
    </row>
    <row r="727">
      <c r="L727" s="290"/>
      <c r="M727" s="278"/>
      <c r="N727" s="278"/>
      <c r="O727" s="278"/>
      <c r="P727" s="278"/>
      <c r="Q727" s="278"/>
      <c r="R727" s="278"/>
      <c r="S727" s="278"/>
      <c r="T727" s="278"/>
      <c r="U727" s="278"/>
      <c r="V727" s="278"/>
      <c r="W727" s="278"/>
      <c r="X727" s="278"/>
      <c r="Y727" s="89"/>
    </row>
    <row r="728">
      <c r="L728" s="290"/>
      <c r="M728" s="278"/>
      <c r="N728" s="278"/>
      <c r="O728" s="278"/>
      <c r="P728" s="278"/>
      <c r="Q728" s="278"/>
      <c r="R728" s="278"/>
      <c r="S728" s="278"/>
      <c r="T728" s="278"/>
      <c r="U728" s="278"/>
      <c r="V728" s="278"/>
      <c r="W728" s="278"/>
      <c r="X728" s="278"/>
      <c r="Y728" s="89"/>
    </row>
    <row r="729">
      <c r="L729" s="290"/>
      <c r="M729" s="278"/>
      <c r="N729" s="278"/>
      <c r="O729" s="278"/>
      <c r="P729" s="278"/>
      <c r="Q729" s="278"/>
      <c r="R729" s="278"/>
      <c r="S729" s="278"/>
      <c r="T729" s="278"/>
      <c r="U729" s="278"/>
      <c r="V729" s="278"/>
      <c r="W729" s="278"/>
      <c r="X729" s="278"/>
      <c r="Y729" s="89"/>
    </row>
    <row r="730">
      <c r="L730" s="290"/>
      <c r="M730" s="278"/>
      <c r="N730" s="278"/>
      <c r="O730" s="278"/>
      <c r="P730" s="278"/>
      <c r="Q730" s="278"/>
      <c r="R730" s="278"/>
      <c r="S730" s="278"/>
      <c r="T730" s="278"/>
      <c r="U730" s="278"/>
      <c r="V730" s="278"/>
      <c r="W730" s="278"/>
      <c r="X730" s="278"/>
      <c r="Y730" s="89"/>
    </row>
    <row r="731">
      <c r="L731" s="290"/>
      <c r="M731" s="278"/>
      <c r="N731" s="278"/>
      <c r="O731" s="278"/>
      <c r="P731" s="278"/>
      <c r="Q731" s="278"/>
      <c r="R731" s="278"/>
      <c r="S731" s="278"/>
      <c r="T731" s="278"/>
      <c r="U731" s="278"/>
      <c r="V731" s="278"/>
      <c r="W731" s="278"/>
      <c r="X731" s="278"/>
      <c r="Y731" s="89"/>
    </row>
    <row r="732">
      <c r="L732" s="290"/>
      <c r="M732" s="278"/>
      <c r="N732" s="278"/>
      <c r="O732" s="278"/>
      <c r="P732" s="278"/>
      <c r="Q732" s="278"/>
      <c r="R732" s="278"/>
      <c r="S732" s="278"/>
      <c r="T732" s="278"/>
      <c r="U732" s="278"/>
      <c r="V732" s="278"/>
      <c r="W732" s="278"/>
      <c r="X732" s="278"/>
      <c r="Y732" s="89"/>
    </row>
    <row r="733">
      <c r="L733" s="290"/>
      <c r="M733" s="278"/>
      <c r="N733" s="278"/>
      <c r="O733" s="278"/>
      <c r="P733" s="278"/>
      <c r="Q733" s="278"/>
      <c r="R733" s="278"/>
      <c r="S733" s="278"/>
      <c r="T733" s="278"/>
      <c r="U733" s="278"/>
      <c r="V733" s="278"/>
      <c r="W733" s="278"/>
      <c r="X733" s="278"/>
      <c r="Y733" s="89"/>
    </row>
    <row r="734">
      <c r="L734" s="290"/>
      <c r="M734" s="278"/>
      <c r="N734" s="278"/>
      <c r="O734" s="278"/>
      <c r="P734" s="278"/>
      <c r="Q734" s="278"/>
      <c r="R734" s="278"/>
      <c r="S734" s="278"/>
      <c r="T734" s="278"/>
      <c r="U734" s="278"/>
      <c r="V734" s="278"/>
      <c r="W734" s="278"/>
      <c r="X734" s="278"/>
      <c r="Y734" s="89"/>
    </row>
    <row r="735">
      <c r="L735" s="290"/>
      <c r="M735" s="278"/>
      <c r="N735" s="278"/>
      <c r="O735" s="278"/>
      <c r="P735" s="278"/>
      <c r="Q735" s="278"/>
      <c r="R735" s="278"/>
      <c r="S735" s="278"/>
      <c r="T735" s="278"/>
      <c r="U735" s="278"/>
      <c r="V735" s="278"/>
      <c r="W735" s="278"/>
      <c r="X735" s="278"/>
      <c r="Y735" s="89"/>
    </row>
    <row r="736">
      <c r="L736" s="290"/>
      <c r="M736" s="278"/>
      <c r="N736" s="278"/>
      <c r="O736" s="278"/>
      <c r="P736" s="278"/>
      <c r="Q736" s="278"/>
      <c r="R736" s="278"/>
      <c r="S736" s="278"/>
      <c r="T736" s="278"/>
      <c r="U736" s="278"/>
      <c r="V736" s="278"/>
      <c r="W736" s="278"/>
      <c r="X736" s="278"/>
      <c r="Y736" s="89"/>
    </row>
    <row r="737">
      <c r="L737" s="290"/>
      <c r="M737" s="278"/>
      <c r="N737" s="278"/>
      <c r="O737" s="278"/>
      <c r="P737" s="278"/>
      <c r="Q737" s="278"/>
      <c r="R737" s="278"/>
      <c r="S737" s="278"/>
      <c r="T737" s="278"/>
      <c r="U737" s="278"/>
      <c r="V737" s="278"/>
      <c r="W737" s="278"/>
      <c r="X737" s="278"/>
      <c r="Y737" s="89"/>
    </row>
    <row r="738">
      <c r="L738" s="290"/>
      <c r="M738" s="278"/>
      <c r="N738" s="278"/>
      <c r="O738" s="278"/>
      <c r="P738" s="278"/>
      <c r="Q738" s="278"/>
      <c r="R738" s="278"/>
      <c r="S738" s="278"/>
      <c r="T738" s="278"/>
      <c r="U738" s="278"/>
      <c r="V738" s="278"/>
      <c r="W738" s="278"/>
      <c r="X738" s="278"/>
      <c r="Y738" s="89"/>
    </row>
    <row r="739">
      <c r="L739" s="290"/>
      <c r="M739" s="278"/>
      <c r="N739" s="278"/>
      <c r="O739" s="278"/>
      <c r="P739" s="278"/>
      <c r="Q739" s="278"/>
      <c r="R739" s="278"/>
      <c r="S739" s="278"/>
      <c r="T739" s="278"/>
      <c r="U739" s="278"/>
      <c r="V739" s="278"/>
      <c r="W739" s="278"/>
      <c r="X739" s="278"/>
      <c r="Y739" s="89"/>
    </row>
    <row r="740">
      <c r="L740" s="290"/>
      <c r="M740" s="278"/>
      <c r="N740" s="278"/>
      <c r="O740" s="278"/>
      <c r="P740" s="278"/>
      <c r="Q740" s="278"/>
      <c r="R740" s="278"/>
      <c r="S740" s="278"/>
      <c r="T740" s="278"/>
      <c r="U740" s="278"/>
      <c r="V740" s="278"/>
      <c r="W740" s="278"/>
      <c r="X740" s="278"/>
      <c r="Y740" s="89"/>
    </row>
    <row r="741">
      <c r="L741" s="290"/>
      <c r="M741" s="278"/>
      <c r="N741" s="278"/>
      <c r="O741" s="278"/>
      <c r="P741" s="278"/>
      <c r="Q741" s="278"/>
      <c r="R741" s="278"/>
      <c r="S741" s="278"/>
      <c r="T741" s="278"/>
      <c r="U741" s="278"/>
      <c r="V741" s="278"/>
      <c r="W741" s="278"/>
      <c r="X741" s="278"/>
      <c r="Y741" s="89"/>
    </row>
    <row r="742">
      <c r="L742" s="290"/>
      <c r="M742" s="278"/>
      <c r="N742" s="278"/>
      <c r="O742" s="278"/>
      <c r="P742" s="278"/>
      <c r="Q742" s="278"/>
      <c r="R742" s="278"/>
      <c r="S742" s="278"/>
      <c r="T742" s="278"/>
      <c r="U742" s="278"/>
      <c r="V742" s="278"/>
      <c r="W742" s="278"/>
      <c r="X742" s="278"/>
      <c r="Y742" s="89"/>
    </row>
    <row r="743">
      <c r="L743" s="290"/>
      <c r="M743" s="278"/>
      <c r="N743" s="278"/>
      <c r="O743" s="278"/>
      <c r="P743" s="278"/>
      <c r="Q743" s="278"/>
      <c r="R743" s="278"/>
      <c r="S743" s="278"/>
      <c r="T743" s="278"/>
      <c r="U743" s="278"/>
      <c r="V743" s="278"/>
      <c r="W743" s="278"/>
      <c r="X743" s="278"/>
      <c r="Y743" s="89"/>
    </row>
    <row r="744">
      <c r="L744" s="290"/>
      <c r="M744" s="278"/>
      <c r="N744" s="278"/>
      <c r="O744" s="278"/>
      <c r="P744" s="278"/>
      <c r="Q744" s="278"/>
      <c r="R744" s="278"/>
      <c r="S744" s="278"/>
      <c r="T744" s="278"/>
      <c r="U744" s="278"/>
      <c r="V744" s="278"/>
      <c r="W744" s="278"/>
      <c r="X744" s="278"/>
      <c r="Y744" s="89"/>
    </row>
    <row r="745">
      <c r="L745" s="290"/>
      <c r="M745" s="278"/>
      <c r="N745" s="278"/>
      <c r="O745" s="278"/>
      <c r="P745" s="278"/>
      <c r="Q745" s="278"/>
      <c r="R745" s="278"/>
      <c r="S745" s="278"/>
      <c r="T745" s="278"/>
      <c r="U745" s="278"/>
      <c r="V745" s="278"/>
      <c r="W745" s="278"/>
      <c r="X745" s="278"/>
      <c r="Y745" s="89"/>
    </row>
    <row r="746">
      <c r="L746" s="290"/>
      <c r="M746" s="278"/>
      <c r="N746" s="278"/>
      <c r="O746" s="278"/>
      <c r="P746" s="278"/>
      <c r="Q746" s="278"/>
      <c r="R746" s="278"/>
      <c r="S746" s="278"/>
      <c r="T746" s="278"/>
      <c r="U746" s="278"/>
      <c r="V746" s="278"/>
      <c r="W746" s="278"/>
      <c r="X746" s="278"/>
      <c r="Y746" s="89"/>
    </row>
    <row r="747">
      <c r="L747" s="290"/>
      <c r="M747" s="278"/>
      <c r="N747" s="278"/>
      <c r="O747" s="278"/>
      <c r="P747" s="278"/>
      <c r="Q747" s="278"/>
      <c r="R747" s="278"/>
      <c r="S747" s="278"/>
      <c r="T747" s="278"/>
      <c r="U747" s="278"/>
      <c r="V747" s="278"/>
      <c r="W747" s="278"/>
      <c r="X747" s="278"/>
      <c r="Y747" s="89"/>
    </row>
    <row r="748">
      <c r="L748" s="290"/>
      <c r="M748" s="278"/>
      <c r="N748" s="278"/>
      <c r="O748" s="278"/>
      <c r="P748" s="278"/>
      <c r="Q748" s="278"/>
      <c r="R748" s="278"/>
      <c r="S748" s="278"/>
      <c r="T748" s="278"/>
      <c r="U748" s="278"/>
      <c r="V748" s="278"/>
      <c r="W748" s="278"/>
      <c r="X748" s="278"/>
      <c r="Y748" s="89"/>
    </row>
    <row r="749">
      <c r="L749" s="290"/>
      <c r="M749" s="278"/>
      <c r="N749" s="278"/>
      <c r="O749" s="278"/>
      <c r="P749" s="278"/>
      <c r="Q749" s="278"/>
      <c r="R749" s="278"/>
      <c r="S749" s="278"/>
      <c r="T749" s="278"/>
      <c r="U749" s="278"/>
      <c r="V749" s="278"/>
      <c r="W749" s="278"/>
      <c r="X749" s="278"/>
      <c r="Y749" s="89"/>
    </row>
    <row r="750">
      <c r="L750" s="290"/>
      <c r="M750" s="278"/>
      <c r="N750" s="278"/>
      <c r="O750" s="278"/>
      <c r="P750" s="278"/>
      <c r="Q750" s="278"/>
      <c r="R750" s="278"/>
      <c r="S750" s="278"/>
      <c r="T750" s="278"/>
      <c r="U750" s="278"/>
      <c r="V750" s="278"/>
      <c r="W750" s="278"/>
      <c r="X750" s="278"/>
      <c r="Y750" s="89"/>
    </row>
    <row r="751">
      <c r="L751" s="290"/>
      <c r="M751" s="278"/>
      <c r="N751" s="278"/>
      <c r="O751" s="278"/>
      <c r="P751" s="278"/>
      <c r="Q751" s="278"/>
      <c r="R751" s="278"/>
      <c r="S751" s="278"/>
      <c r="T751" s="278"/>
      <c r="U751" s="278"/>
      <c r="V751" s="278"/>
      <c r="W751" s="278"/>
      <c r="X751" s="278"/>
      <c r="Y751" s="89"/>
    </row>
    <row r="752">
      <c r="L752" s="290"/>
      <c r="M752" s="278"/>
      <c r="N752" s="278"/>
      <c r="O752" s="278"/>
      <c r="P752" s="278"/>
      <c r="Q752" s="278"/>
      <c r="R752" s="278"/>
      <c r="S752" s="278"/>
      <c r="T752" s="278"/>
      <c r="U752" s="278"/>
      <c r="V752" s="278"/>
      <c r="W752" s="278"/>
      <c r="X752" s="278"/>
      <c r="Y752" s="89"/>
    </row>
    <row r="753">
      <c r="L753" s="290"/>
      <c r="M753" s="278"/>
      <c r="N753" s="278"/>
      <c r="O753" s="278"/>
      <c r="P753" s="278"/>
      <c r="Q753" s="278"/>
      <c r="R753" s="278"/>
      <c r="S753" s="278"/>
      <c r="T753" s="278"/>
      <c r="U753" s="278"/>
      <c r="V753" s="278"/>
      <c r="W753" s="278"/>
      <c r="X753" s="278"/>
      <c r="Y753" s="89"/>
    </row>
    <row r="754">
      <c r="L754" s="290"/>
      <c r="M754" s="278"/>
      <c r="N754" s="278"/>
      <c r="O754" s="278"/>
      <c r="P754" s="278"/>
      <c r="Q754" s="278"/>
      <c r="R754" s="278"/>
      <c r="S754" s="278"/>
      <c r="T754" s="278"/>
      <c r="U754" s="278"/>
      <c r="V754" s="278"/>
      <c r="W754" s="278"/>
      <c r="X754" s="278"/>
      <c r="Y754" s="89"/>
    </row>
    <row r="755">
      <c r="L755" s="290"/>
      <c r="M755" s="278"/>
      <c r="N755" s="278"/>
      <c r="O755" s="278"/>
      <c r="P755" s="278"/>
      <c r="Q755" s="278"/>
      <c r="R755" s="278"/>
      <c r="S755" s="278"/>
      <c r="T755" s="278"/>
      <c r="U755" s="278"/>
      <c r="V755" s="278"/>
      <c r="W755" s="278"/>
      <c r="X755" s="278"/>
      <c r="Y755" s="89"/>
    </row>
    <row r="756">
      <c r="L756" s="290"/>
      <c r="M756" s="278"/>
      <c r="N756" s="278"/>
      <c r="O756" s="278"/>
      <c r="P756" s="278"/>
      <c r="Q756" s="278"/>
      <c r="R756" s="278"/>
      <c r="S756" s="278"/>
      <c r="T756" s="278"/>
      <c r="U756" s="278"/>
      <c r="V756" s="278"/>
      <c r="W756" s="278"/>
      <c r="X756" s="278"/>
      <c r="Y756" s="89"/>
    </row>
    <row r="757">
      <c r="L757" s="290"/>
      <c r="M757" s="278"/>
      <c r="N757" s="278"/>
      <c r="O757" s="278"/>
      <c r="P757" s="278"/>
      <c r="Q757" s="278"/>
      <c r="R757" s="278"/>
      <c r="S757" s="278"/>
      <c r="T757" s="278"/>
      <c r="U757" s="278"/>
      <c r="V757" s="278"/>
      <c r="W757" s="278"/>
      <c r="X757" s="278"/>
      <c r="Y757" s="89"/>
    </row>
    <row r="758">
      <c r="L758" s="290"/>
      <c r="M758" s="278"/>
      <c r="N758" s="278"/>
      <c r="O758" s="278"/>
      <c r="P758" s="278"/>
      <c r="Q758" s="278"/>
      <c r="R758" s="278"/>
      <c r="S758" s="278"/>
      <c r="T758" s="278"/>
      <c r="U758" s="278"/>
      <c r="V758" s="278"/>
      <c r="W758" s="278"/>
      <c r="X758" s="278"/>
      <c r="Y758" s="89"/>
    </row>
    <row r="759">
      <c r="L759" s="290"/>
      <c r="M759" s="278"/>
      <c r="N759" s="278"/>
      <c r="O759" s="278"/>
      <c r="P759" s="278"/>
      <c r="Q759" s="278"/>
      <c r="R759" s="278"/>
      <c r="S759" s="278"/>
      <c r="T759" s="278"/>
      <c r="U759" s="278"/>
      <c r="V759" s="278"/>
      <c r="W759" s="278"/>
      <c r="X759" s="278"/>
      <c r="Y759" s="89"/>
    </row>
    <row r="760">
      <c r="L760" s="290"/>
      <c r="M760" s="278"/>
      <c r="N760" s="278"/>
      <c r="O760" s="278"/>
      <c r="P760" s="278"/>
      <c r="Q760" s="278"/>
      <c r="R760" s="278"/>
      <c r="S760" s="278"/>
      <c r="T760" s="278"/>
      <c r="U760" s="278"/>
      <c r="V760" s="278"/>
      <c r="W760" s="278"/>
      <c r="X760" s="278"/>
      <c r="Y760" s="89"/>
    </row>
    <row r="761">
      <c r="L761" s="290"/>
      <c r="M761" s="278"/>
      <c r="N761" s="278"/>
      <c r="O761" s="278"/>
      <c r="P761" s="278"/>
      <c r="Q761" s="278"/>
      <c r="R761" s="278"/>
      <c r="S761" s="278"/>
      <c r="T761" s="278"/>
      <c r="U761" s="278"/>
      <c r="V761" s="278"/>
      <c r="W761" s="278"/>
      <c r="X761" s="278"/>
      <c r="Y761" s="89"/>
    </row>
    <row r="762">
      <c r="L762" s="290"/>
      <c r="M762" s="278"/>
      <c r="N762" s="278"/>
      <c r="O762" s="278"/>
      <c r="P762" s="278"/>
      <c r="Q762" s="278"/>
      <c r="R762" s="278"/>
      <c r="S762" s="278"/>
      <c r="T762" s="278"/>
      <c r="U762" s="278"/>
      <c r="V762" s="278"/>
      <c r="W762" s="278"/>
      <c r="X762" s="278"/>
      <c r="Y762" s="89"/>
    </row>
    <row r="763">
      <c r="L763" s="290"/>
      <c r="M763" s="278"/>
      <c r="N763" s="278"/>
      <c r="O763" s="278"/>
      <c r="P763" s="278"/>
      <c r="Q763" s="278"/>
      <c r="R763" s="278"/>
      <c r="S763" s="278"/>
      <c r="T763" s="278"/>
      <c r="U763" s="278"/>
      <c r="V763" s="278"/>
      <c r="W763" s="278"/>
      <c r="X763" s="278"/>
      <c r="Y763" s="89"/>
    </row>
    <row r="764">
      <c r="L764" s="290"/>
      <c r="M764" s="278"/>
      <c r="N764" s="278"/>
      <c r="O764" s="278"/>
      <c r="P764" s="278"/>
      <c r="Q764" s="278"/>
      <c r="R764" s="278"/>
      <c r="S764" s="278"/>
      <c r="T764" s="278"/>
      <c r="U764" s="278"/>
      <c r="V764" s="278"/>
      <c r="W764" s="278"/>
      <c r="X764" s="278"/>
      <c r="Y764" s="89"/>
    </row>
    <row r="765">
      <c r="L765" s="290"/>
      <c r="M765" s="278"/>
      <c r="N765" s="278"/>
      <c r="O765" s="278"/>
      <c r="P765" s="278"/>
      <c r="Q765" s="278"/>
      <c r="R765" s="278"/>
      <c r="S765" s="278"/>
      <c r="T765" s="278"/>
      <c r="U765" s="278"/>
      <c r="V765" s="278"/>
      <c r="W765" s="278"/>
      <c r="X765" s="278"/>
      <c r="Y765" s="89"/>
    </row>
    <row r="766">
      <c r="L766" s="290"/>
      <c r="M766" s="278"/>
      <c r="N766" s="278"/>
      <c r="O766" s="278"/>
      <c r="P766" s="278"/>
      <c r="Q766" s="278"/>
      <c r="R766" s="278"/>
      <c r="S766" s="278"/>
      <c r="T766" s="278"/>
      <c r="U766" s="278"/>
      <c r="V766" s="278"/>
      <c r="W766" s="278"/>
      <c r="X766" s="278"/>
      <c r="Y766" s="89"/>
    </row>
    <row r="767">
      <c r="L767" s="290"/>
      <c r="M767" s="278"/>
      <c r="N767" s="278"/>
      <c r="O767" s="278"/>
      <c r="P767" s="278"/>
      <c r="Q767" s="278"/>
      <c r="R767" s="278"/>
      <c r="S767" s="278"/>
      <c r="T767" s="278"/>
      <c r="U767" s="278"/>
      <c r="V767" s="278"/>
      <c r="W767" s="278"/>
      <c r="X767" s="278"/>
      <c r="Y767" s="89"/>
    </row>
    <row r="768">
      <c r="L768" s="290"/>
      <c r="M768" s="278"/>
      <c r="N768" s="278"/>
      <c r="O768" s="278"/>
      <c r="P768" s="278"/>
      <c r="Q768" s="278"/>
      <c r="R768" s="278"/>
      <c r="S768" s="278"/>
      <c r="T768" s="278"/>
      <c r="U768" s="278"/>
      <c r="V768" s="278"/>
      <c r="W768" s="278"/>
      <c r="X768" s="278"/>
      <c r="Y768" s="89"/>
    </row>
    <row r="769">
      <c r="L769" s="290"/>
      <c r="M769" s="278"/>
      <c r="N769" s="278"/>
      <c r="O769" s="278"/>
      <c r="P769" s="278"/>
      <c r="Q769" s="278"/>
      <c r="R769" s="278"/>
      <c r="S769" s="278"/>
      <c r="T769" s="278"/>
      <c r="U769" s="278"/>
      <c r="V769" s="278"/>
      <c r="W769" s="278"/>
      <c r="X769" s="278"/>
      <c r="Y769" s="89"/>
    </row>
    <row r="770">
      <c r="L770" s="290"/>
      <c r="M770" s="278"/>
      <c r="N770" s="278"/>
      <c r="O770" s="278"/>
      <c r="P770" s="278"/>
      <c r="Q770" s="278"/>
      <c r="R770" s="278"/>
      <c r="S770" s="278"/>
      <c r="T770" s="278"/>
      <c r="U770" s="278"/>
      <c r="V770" s="278"/>
      <c r="W770" s="278"/>
      <c r="X770" s="278"/>
      <c r="Y770" s="89"/>
    </row>
    <row r="771">
      <c r="L771" s="290"/>
      <c r="M771" s="278"/>
      <c r="N771" s="278"/>
      <c r="O771" s="278"/>
      <c r="P771" s="278"/>
      <c r="Q771" s="278"/>
      <c r="R771" s="278"/>
      <c r="S771" s="278"/>
      <c r="T771" s="278"/>
      <c r="U771" s="278"/>
      <c r="V771" s="278"/>
      <c r="W771" s="278"/>
      <c r="X771" s="278"/>
      <c r="Y771" s="89"/>
    </row>
    <row r="772">
      <c r="L772" s="290"/>
      <c r="M772" s="278"/>
      <c r="N772" s="278"/>
      <c r="O772" s="278"/>
      <c r="P772" s="278"/>
      <c r="Q772" s="278"/>
      <c r="R772" s="278"/>
      <c r="S772" s="278"/>
      <c r="T772" s="278"/>
      <c r="U772" s="278"/>
      <c r="V772" s="278"/>
      <c r="W772" s="278"/>
      <c r="X772" s="278"/>
      <c r="Y772" s="89"/>
    </row>
    <row r="773">
      <c r="L773" s="290"/>
      <c r="M773" s="278"/>
      <c r="N773" s="278"/>
      <c r="O773" s="278"/>
      <c r="P773" s="278"/>
      <c r="Q773" s="278"/>
      <c r="R773" s="278"/>
      <c r="S773" s="278"/>
      <c r="T773" s="278"/>
      <c r="U773" s="278"/>
      <c r="V773" s="278"/>
      <c r="W773" s="278"/>
      <c r="X773" s="278"/>
      <c r="Y773" s="89"/>
    </row>
    <row r="774">
      <c r="L774" s="290"/>
      <c r="M774" s="278"/>
      <c r="N774" s="278"/>
      <c r="O774" s="278"/>
      <c r="P774" s="278"/>
      <c r="Q774" s="278"/>
      <c r="R774" s="278"/>
      <c r="S774" s="278"/>
      <c r="T774" s="278"/>
      <c r="U774" s="278"/>
      <c r="V774" s="278"/>
      <c r="W774" s="278"/>
      <c r="X774" s="278"/>
      <c r="Y774" s="89"/>
    </row>
    <row r="775">
      <c r="L775" s="290"/>
      <c r="M775" s="278"/>
      <c r="N775" s="278"/>
      <c r="O775" s="278"/>
      <c r="P775" s="278"/>
      <c r="Q775" s="278"/>
      <c r="R775" s="278"/>
      <c r="S775" s="278"/>
      <c r="T775" s="278"/>
      <c r="U775" s="278"/>
      <c r="V775" s="278"/>
      <c r="W775" s="278"/>
      <c r="X775" s="278"/>
      <c r="Y775" s="89"/>
    </row>
    <row r="776">
      <c r="L776" s="290"/>
      <c r="M776" s="278"/>
      <c r="N776" s="278"/>
      <c r="O776" s="278"/>
      <c r="P776" s="278"/>
      <c r="Q776" s="278"/>
      <c r="R776" s="278"/>
      <c r="S776" s="278"/>
      <c r="T776" s="278"/>
      <c r="U776" s="278"/>
      <c r="V776" s="278"/>
      <c r="W776" s="278"/>
      <c r="X776" s="278"/>
      <c r="Y776" s="89"/>
    </row>
    <row r="777">
      <c r="L777" s="290"/>
      <c r="M777" s="278"/>
      <c r="N777" s="278"/>
      <c r="O777" s="278"/>
      <c r="P777" s="278"/>
      <c r="Q777" s="278"/>
      <c r="R777" s="278"/>
      <c r="S777" s="278"/>
      <c r="T777" s="278"/>
      <c r="U777" s="278"/>
      <c r="V777" s="278"/>
      <c r="W777" s="278"/>
      <c r="X777" s="278"/>
      <c r="Y777" s="89"/>
    </row>
    <row r="778">
      <c r="L778" s="290"/>
      <c r="M778" s="278"/>
      <c r="N778" s="278"/>
      <c r="O778" s="278"/>
      <c r="P778" s="278"/>
      <c r="Q778" s="278"/>
      <c r="R778" s="278"/>
      <c r="S778" s="278"/>
      <c r="T778" s="278"/>
      <c r="U778" s="278"/>
      <c r="V778" s="278"/>
      <c r="W778" s="278"/>
      <c r="X778" s="278"/>
      <c r="Y778" s="89"/>
    </row>
    <row r="779">
      <c r="L779" s="290"/>
      <c r="M779" s="278"/>
      <c r="N779" s="278"/>
      <c r="O779" s="278"/>
      <c r="P779" s="278"/>
      <c r="Q779" s="278"/>
      <c r="R779" s="278"/>
      <c r="S779" s="278"/>
      <c r="T779" s="278"/>
      <c r="U779" s="278"/>
      <c r="V779" s="278"/>
      <c r="W779" s="278"/>
      <c r="X779" s="278"/>
      <c r="Y779" s="89"/>
    </row>
    <row r="780">
      <c r="L780" s="290"/>
      <c r="M780" s="278"/>
      <c r="N780" s="278"/>
      <c r="O780" s="278"/>
      <c r="P780" s="278"/>
      <c r="Q780" s="278"/>
      <c r="R780" s="278"/>
      <c r="S780" s="278"/>
      <c r="T780" s="278"/>
      <c r="U780" s="278"/>
      <c r="V780" s="278"/>
      <c r="W780" s="278"/>
      <c r="X780" s="278"/>
      <c r="Y780" s="89"/>
    </row>
    <row r="781">
      <c r="L781" s="290"/>
      <c r="M781" s="278"/>
      <c r="N781" s="278"/>
      <c r="O781" s="278"/>
      <c r="P781" s="278"/>
      <c r="Q781" s="278"/>
      <c r="R781" s="278"/>
      <c r="S781" s="278"/>
      <c r="T781" s="278"/>
      <c r="U781" s="278"/>
      <c r="V781" s="278"/>
      <c r="W781" s="278"/>
      <c r="X781" s="278"/>
      <c r="Y781" s="89"/>
    </row>
    <row r="782">
      <c r="L782" s="290"/>
      <c r="M782" s="278"/>
      <c r="N782" s="278"/>
      <c r="O782" s="278"/>
      <c r="P782" s="278"/>
      <c r="Q782" s="278"/>
      <c r="R782" s="278"/>
      <c r="S782" s="278"/>
      <c r="T782" s="278"/>
      <c r="U782" s="278"/>
      <c r="V782" s="278"/>
      <c r="W782" s="278"/>
      <c r="X782" s="278"/>
      <c r="Y782" s="89"/>
    </row>
    <row r="783">
      <c r="L783" s="290"/>
      <c r="M783" s="278"/>
      <c r="N783" s="278"/>
      <c r="O783" s="278"/>
      <c r="P783" s="278"/>
      <c r="Q783" s="278"/>
      <c r="R783" s="278"/>
      <c r="S783" s="278"/>
      <c r="T783" s="278"/>
      <c r="U783" s="278"/>
      <c r="V783" s="278"/>
      <c r="W783" s="278"/>
      <c r="X783" s="278"/>
      <c r="Y783" s="89"/>
    </row>
    <row r="784">
      <c r="L784" s="290"/>
      <c r="M784" s="278"/>
      <c r="N784" s="278"/>
      <c r="O784" s="278"/>
      <c r="P784" s="278"/>
      <c r="Q784" s="278"/>
      <c r="R784" s="278"/>
      <c r="S784" s="278"/>
      <c r="T784" s="278"/>
      <c r="U784" s="278"/>
      <c r="V784" s="278"/>
      <c r="W784" s="278"/>
      <c r="X784" s="278"/>
      <c r="Y784" s="89"/>
    </row>
    <row r="785">
      <c r="L785" s="290"/>
      <c r="M785" s="278"/>
      <c r="N785" s="278"/>
      <c r="O785" s="278"/>
      <c r="P785" s="278"/>
      <c r="Q785" s="278"/>
      <c r="R785" s="278"/>
      <c r="S785" s="278"/>
      <c r="T785" s="278"/>
      <c r="U785" s="278"/>
      <c r="V785" s="278"/>
      <c r="W785" s="278"/>
      <c r="X785" s="278"/>
      <c r="Y785" s="89"/>
    </row>
    <row r="786">
      <c r="L786" s="290"/>
      <c r="M786" s="278"/>
      <c r="N786" s="278"/>
      <c r="O786" s="278"/>
      <c r="P786" s="278"/>
      <c r="Q786" s="278"/>
      <c r="R786" s="278"/>
      <c r="S786" s="278"/>
      <c r="T786" s="278"/>
      <c r="U786" s="278"/>
      <c r="V786" s="278"/>
      <c r="W786" s="278"/>
      <c r="X786" s="278"/>
      <c r="Y786" s="89"/>
    </row>
    <row r="787">
      <c r="L787" s="290"/>
      <c r="M787" s="278"/>
      <c r="N787" s="278"/>
      <c r="O787" s="278"/>
      <c r="P787" s="278"/>
      <c r="Q787" s="278"/>
      <c r="R787" s="278"/>
      <c r="S787" s="278"/>
      <c r="T787" s="278"/>
      <c r="U787" s="278"/>
      <c r="V787" s="278"/>
      <c r="W787" s="278"/>
      <c r="X787" s="278"/>
      <c r="Y787" s="89"/>
    </row>
    <row r="788">
      <c r="L788" s="290"/>
      <c r="M788" s="278"/>
      <c r="N788" s="278"/>
      <c r="O788" s="278"/>
      <c r="P788" s="278"/>
      <c r="Q788" s="278"/>
      <c r="R788" s="278"/>
      <c r="S788" s="278"/>
      <c r="T788" s="278"/>
      <c r="U788" s="278"/>
      <c r="V788" s="278"/>
      <c r="W788" s="278"/>
      <c r="X788" s="278"/>
      <c r="Y788" s="89"/>
    </row>
    <row r="789">
      <c r="L789" s="290"/>
      <c r="M789" s="278"/>
      <c r="N789" s="278"/>
      <c r="O789" s="278"/>
      <c r="P789" s="278"/>
      <c r="Q789" s="278"/>
      <c r="R789" s="278"/>
      <c r="S789" s="278"/>
      <c r="T789" s="278"/>
      <c r="U789" s="278"/>
      <c r="V789" s="278"/>
      <c r="W789" s="278"/>
      <c r="X789" s="278"/>
      <c r="Y789" s="89"/>
    </row>
    <row r="790">
      <c r="L790" s="290"/>
      <c r="M790" s="278"/>
      <c r="N790" s="278"/>
      <c r="O790" s="278"/>
      <c r="P790" s="278"/>
      <c r="Q790" s="278"/>
      <c r="R790" s="278"/>
      <c r="S790" s="278"/>
      <c r="T790" s="278"/>
      <c r="U790" s="278"/>
      <c r="V790" s="278"/>
      <c r="W790" s="278"/>
      <c r="X790" s="278"/>
      <c r="Y790" s="89"/>
    </row>
    <row r="791">
      <c r="L791" s="290"/>
      <c r="M791" s="278"/>
      <c r="N791" s="278"/>
      <c r="O791" s="278"/>
      <c r="P791" s="278"/>
      <c r="Q791" s="278"/>
      <c r="R791" s="278"/>
      <c r="S791" s="278"/>
      <c r="T791" s="278"/>
      <c r="U791" s="278"/>
      <c r="V791" s="278"/>
      <c r="W791" s="278"/>
      <c r="X791" s="278"/>
      <c r="Y791" s="89"/>
    </row>
    <row r="792">
      <c r="L792" s="290"/>
      <c r="M792" s="278"/>
      <c r="N792" s="278"/>
      <c r="O792" s="278"/>
      <c r="P792" s="278"/>
      <c r="Q792" s="278"/>
      <c r="R792" s="278"/>
      <c r="S792" s="278"/>
      <c r="T792" s="278"/>
      <c r="U792" s="278"/>
      <c r="V792" s="278"/>
      <c r="W792" s="278"/>
      <c r="X792" s="278"/>
      <c r="Y792" s="89"/>
    </row>
    <row r="793">
      <c r="L793" s="290"/>
      <c r="M793" s="278"/>
      <c r="N793" s="278"/>
      <c r="O793" s="278"/>
      <c r="P793" s="278"/>
      <c r="Q793" s="278"/>
      <c r="R793" s="278"/>
      <c r="S793" s="278"/>
      <c r="T793" s="278"/>
      <c r="U793" s="278"/>
      <c r="V793" s="278"/>
      <c r="W793" s="278"/>
      <c r="X793" s="278"/>
      <c r="Y793" s="89"/>
    </row>
    <row r="794">
      <c r="L794" s="290"/>
      <c r="M794" s="278"/>
      <c r="N794" s="278"/>
      <c r="O794" s="278"/>
      <c r="P794" s="278"/>
      <c r="Q794" s="278"/>
      <c r="R794" s="278"/>
      <c r="S794" s="278"/>
      <c r="T794" s="278"/>
      <c r="U794" s="278"/>
      <c r="V794" s="278"/>
      <c r="W794" s="278"/>
      <c r="X794" s="278"/>
      <c r="Y794" s="89"/>
    </row>
    <row r="795">
      <c r="L795" s="290"/>
      <c r="M795" s="278"/>
      <c r="N795" s="278"/>
      <c r="O795" s="278"/>
      <c r="P795" s="278"/>
      <c r="Q795" s="278"/>
      <c r="R795" s="278"/>
      <c r="S795" s="278"/>
      <c r="T795" s="278"/>
      <c r="U795" s="278"/>
      <c r="V795" s="278"/>
      <c r="W795" s="278"/>
      <c r="X795" s="278"/>
      <c r="Y795" s="89"/>
    </row>
    <row r="796">
      <c r="L796" s="290"/>
      <c r="M796" s="278"/>
      <c r="N796" s="278"/>
      <c r="O796" s="278"/>
      <c r="P796" s="278"/>
      <c r="Q796" s="278"/>
      <c r="R796" s="278"/>
      <c r="S796" s="278"/>
      <c r="T796" s="278"/>
      <c r="U796" s="278"/>
      <c r="V796" s="278"/>
      <c r="W796" s="278"/>
      <c r="X796" s="278"/>
      <c r="Y796" s="89"/>
    </row>
    <row r="797">
      <c r="L797" s="290"/>
      <c r="M797" s="278"/>
      <c r="N797" s="278"/>
      <c r="O797" s="278"/>
      <c r="P797" s="278"/>
      <c r="Q797" s="278"/>
      <c r="R797" s="278"/>
      <c r="S797" s="278"/>
      <c r="T797" s="278"/>
      <c r="U797" s="278"/>
      <c r="V797" s="278"/>
      <c r="W797" s="278"/>
      <c r="X797" s="278"/>
      <c r="Y797" s="89"/>
    </row>
    <row r="798">
      <c r="L798" s="290"/>
      <c r="M798" s="278"/>
      <c r="N798" s="278"/>
      <c r="O798" s="278"/>
      <c r="P798" s="278"/>
      <c r="Q798" s="278"/>
      <c r="R798" s="278"/>
      <c r="S798" s="278"/>
      <c r="T798" s="278"/>
      <c r="U798" s="278"/>
      <c r="V798" s="278"/>
      <c r="W798" s="278"/>
      <c r="X798" s="278"/>
      <c r="Y798" s="89"/>
    </row>
    <row r="799">
      <c r="L799" s="290"/>
      <c r="M799" s="278"/>
      <c r="N799" s="278"/>
      <c r="O799" s="278"/>
      <c r="P799" s="278"/>
      <c r="Q799" s="278"/>
      <c r="R799" s="278"/>
      <c r="S799" s="278"/>
      <c r="T799" s="278"/>
      <c r="U799" s="278"/>
      <c r="V799" s="278"/>
      <c r="W799" s="278"/>
      <c r="X799" s="278"/>
      <c r="Y799" s="89"/>
    </row>
    <row r="800">
      <c r="L800" s="290"/>
      <c r="M800" s="278"/>
      <c r="N800" s="278"/>
      <c r="O800" s="278"/>
      <c r="P800" s="278"/>
      <c r="Q800" s="278"/>
      <c r="R800" s="278"/>
      <c r="S800" s="278"/>
      <c r="T800" s="278"/>
      <c r="U800" s="278"/>
      <c r="V800" s="278"/>
      <c r="W800" s="278"/>
      <c r="X800" s="278"/>
      <c r="Y800" s="89"/>
    </row>
    <row r="801">
      <c r="L801" s="290"/>
      <c r="M801" s="278"/>
      <c r="N801" s="278"/>
      <c r="O801" s="278"/>
      <c r="P801" s="278"/>
      <c r="Q801" s="278"/>
      <c r="R801" s="278"/>
      <c r="S801" s="278"/>
      <c r="T801" s="278"/>
      <c r="U801" s="278"/>
      <c r="V801" s="278"/>
      <c r="W801" s="278"/>
      <c r="X801" s="278"/>
      <c r="Y801" s="89"/>
    </row>
    <row r="802">
      <c r="L802" s="290"/>
      <c r="M802" s="278"/>
      <c r="N802" s="278"/>
      <c r="O802" s="278"/>
      <c r="P802" s="278"/>
      <c r="Q802" s="278"/>
      <c r="R802" s="278"/>
      <c r="S802" s="278"/>
      <c r="T802" s="278"/>
      <c r="U802" s="278"/>
      <c r="V802" s="278"/>
      <c r="W802" s="278"/>
      <c r="X802" s="278"/>
      <c r="Y802" s="89"/>
    </row>
    <row r="803">
      <c r="L803" s="290"/>
      <c r="M803" s="278"/>
      <c r="N803" s="278"/>
      <c r="O803" s="278"/>
      <c r="P803" s="278"/>
      <c r="Q803" s="278"/>
      <c r="R803" s="278"/>
      <c r="S803" s="278"/>
      <c r="T803" s="278"/>
      <c r="U803" s="278"/>
      <c r="V803" s="278"/>
      <c r="W803" s="278"/>
      <c r="X803" s="278"/>
      <c r="Y803" s="89"/>
    </row>
    <row r="804">
      <c r="L804" s="290"/>
      <c r="M804" s="278"/>
      <c r="N804" s="278"/>
      <c r="O804" s="278"/>
      <c r="P804" s="278"/>
      <c r="Q804" s="278"/>
      <c r="R804" s="278"/>
      <c r="S804" s="278"/>
      <c r="T804" s="278"/>
      <c r="U804" s="278"/>
      <c r="V804" s="278"/>
      <c r="W804" s="278"/>
      <c r="X804" s="278"/>
      <c r="Y804" s="89"/>
    </row>
    <row r="805">
      <c r="L805" s="290"/>
      <c r="M805" s="278"/>
      <c r="N805" s="278"/>
      <c r="O805" s="278"/>
      <c r="P805" s="278"/>
      <c r="Q805" s="278"/>
      <c r="R805" s="278"/>
      <c r="S805" s="278"/>
      <c r="T805" s="278"/>
      <c r="U805" s="278"/>
      <c r="V805" s="278"/>
      <c r="W805" s="278"/>
      <c r="X805" s="278"/>
      <c r="Y805" s="89"/>
    </row>
    <row r="806">
      <c r="L806" s="290"/>
      <c r="M806" s="278"/>
      <c r="N806" s="278"/>
      <c r="O806" s="278"/>
      <c r="P806" s="278"/>
      <c r="Q806" s="278"/>
      <c r="R806" s="278"/>
      <c r="S806" s="278"/>
      <c r="T806" s="278"/>
      <c r="U806" s="278"/>
      <c r="V806" s="278"/>
      <c r="W806" s="278"/>
      <c r="X806" s="278"/>
      <c r="Y806" s="89"/>
    </row>
    <row r="807">
      <c r="L807" s="290"/>
      <c r="M807" s="278"/>
      <c r="N807" s="278"/>
      <c r="O807" s="278"/>
      <c r="P807" s="278"/>
      <c r="Q807" s="278"/>
      <c r="R807" s="278"/>
      <c r="S807" s="278"/>
      <c r="T807" s="278"/>
      <c r="U807" s="278"/>
      <c r="V807" s="278"/>
      <c r="W807" s="278"/>
      <c r="X807" s="278"/>
      <c r="Y807" s="89"/>
    </row>
    <row r="808">
      <c r="L808" s="290"/>
      <c r="M808" s="278"/>
      <c r="N808" s="278"/>
      <c r="O808" s="278"/>
      <c r="P808" s="278"/>
      <c r="Q808" s="278"/>
      <c r="R808" s="278"/>
      <c r="S808" s="278"/>
      <c r="T808" s="278"/>
      <c r="U808" s="278"/>
      <c r="V808" s="278"/>
      <c r="W808" s="278"/>
      <c r="X808" s="278"/>
      <c r="Y808" s="89"/>
    </row>
    <row r="809">
      <c r="L809" s="290"/>
      <c r="M809" s="278"/>
      <c r="N809" s="278"/>
      <c r="O809" s="278"/>
      <c r="P809" s="278"/>
      <c r="Q809" s="278"/>
      <c r="R809" s="278"/>
      <c r="S809" s="278"/>
      <c r="T809" s="278"/>
      <c r="U809" s="278"/>
      <c r="V809" s="278"/>
      <c r="W809" s="278"/>
      <c r="X809" s="278"/>
      <c r="Y809" s="89"/>
    </row>
    <row r="810">
      <c r="L810" s="290"/>
      <c r="M810" s="278"/>
      <c r="N810" s="278"/>
      <c r="O810" s="278"/>
      <c r="P810" s="278"/>
      <c r="Q810" s="278"/>
      <c r="R810" s="278"/>
      <c r="S810" s="278"/>
      <c r="T810" s="278"/>
      <c r="U810" s="278"/>
      <c r="V810" s="278"/>
      <c r="W810" s="278"/>
      <c r="X810" s="278"/>
      <c r="Y810" s="89"/>
    </row>
    <row r="811">
      <c r="L811" s="290"/>
      <c r="M811" s="278"/>
      <c r="N811" s="278"/>
      <c r="O811" s="278"/>
      <c r="P811" s="278"/>
      <c r="Q811" s="278"/>
      <c r="R811" s="278"/>
      <c r="S811" s="278"/>
      <c r="T811" s="278"/>
      <c r="U811" s="278"/>
      <c r="V811" s="278"/>
      <c r="W811" s="278"/>
      <c r="X811" s="278"/>
      <c r="Y811" s="89"/>
    </row>
    <row r="812">
      <c r="L812" s="290"/>
      <c r="M812" s="278"/>
      <c r="N812" s="278"/>
      <c r="O812" s="278"/>
      <c r="P812" s="278"/>
      <c r="Q812" s="278"/>
      <c r="R812" s="278"/>
      <c r="S812" s="278"/>
      <c r="T812" s="278"/>
      <c r="U812" s="278"/>
      <c r="V812" s="278"/>
      <c r="W812" s="278"/>
      <c r="X812" s="278"/>
      <c r="Y812" s="89"/>
    </row>
    <row r="813">
      <c r="L813" s="290"/>
      <c r="M813" s="278"/>
      <c r="N813" s="278"/>
      <c r="O813" s="278"/>
      <c r="P813" s="278"/>
      <c r="Q813" s="278"/>
      <c r="R813" s="278"/>
      <c r="S813" s="278"/>
      <c r="T813" s="278"/>
      <c r="U813" s="278"/>
      <c r="V813" s="278"/>
      <c r="W813" s="278"/>
      <c r="X813" s="278"/>
      <c r="Y813" s="89"/>
    </row>
    <row r="814">
      <c r="L814" s="290"/>
      <c r="M814" s="278"/>
      <c r="N814" s="278"/>
      <c r="O814" s="278"/>
      <c r="P814" s="278"/>
      <c r="Q814" s="278"/>
      <c r="R814" s="278"/>
      <c r="S814" s="278"/>
      <c r="T814" s="278"/>
      <c r="U814" s="278"/>
      <c r="V814" s="278"/>
      <c r="W814" s="278"/>
      <c r="X814" s="278"/>
      <c r="Y814" s="89"/>
    </row>
    <row r="815">
      <c r="L815" s="290"/>
      <c r="M815" s="278"/>
      <c r="N815" s="278"/>
      <c r="O815" s="278"/>
      <c r="P815" s="278"/>
      <c r="Q815" s="278"/>
      <c r="R815" s="278"/>
      <c r="S815" s="278"/>
      <c r="T815" s="278"/>
      <c r="U815" s="278"/>
      <c r="V815" s="278"/>
      <c r="W815" s="278"/>
      <c r="X815" s="278"/>
      <c r="Y815" s="89"/>
    </row>
    <row r="816">
      <c r="L816" s="290"/>
      <c r="M816" s="278"/>
      <c r="N816" s="278"/>
      <c r="O816" s="278"/>
      <c r="P816" s="278"/>
      <c r="Q816" s="278"/>
      <c r="R816" s="278"/>
      <c r="S816" s="278"/>
      <c r="T816" s="278"/>
      <c r="U816" s="278"/>
      <c r="V816" s="278"/>
      <c r="W816" s="278"/>
      <c r="X816" s="278"/>
      <c r="Y816" s="89"/>
    </row>
    <row r="817">
      <c r="L817" s="290"/>
      <c r="M817" s="278"/>
      <c r="N817" s="278"/>
      <c r="O817" s="278"/>
      <c r="P817" s="278"/>
      <c r="Q817" s="278"/>
      <c r="R817" s="278"/>
      <c r="S817" s="278"/>
      <c r="T817" s="278"/>
      <c r="U817" s="278"/>
      <c r="V817" s="278"/>
      <c r="W817" s="278"/>
      <c r="X817" s="278"/>
      <c r="Y817" s="89"/>
    </row>
    <row r="818">
      <c r="L818" s="290"/>
      <c r="M818" s="278"/>
      <c r="N818" s="278"/>
      <c r="O818" s="278"/>
      <c r="P818" s="278"/>
      <c r="Q818" s="278"/>
      <c r="R818" s="278"/>
      <c r="S818" s="278"/>
      <c r="T818" s="278"/>
      <c r="U818" s="278"/>
      <c r="V818" s="278"/>
      <c r="W818" s="278"/>
      <c r="X818" s="278"/>
      <c r="Y818" s="89"/>
    </row>
    <row r="819">
      <c r="L819" s="290"/>
      <c r="M819" s="278"/>
      <c r="N819" s="278"/>
      <c r="O819" s="278"/>
      <c r="P819" s="278"/>
      <c r="Q819" s="278"/>
      <c r="R819" s="278"/>
      <c r="S819" s="278"/>
      <c r="T819" s="278"/>
      <c r="U819" s="278"/>
      <c r="V819" s="278"/>
      <c r="W819" s="278"/>
      <c r="X819" s="278"/>
      <c r="Y819" s="89"/>
    </row>
    <row r="820">
      <c r="L820" s="290"/>
      <c r="M820" s="278"/>
      <c r="N820" s="278"/>
      <c r="O820" s="278"/>
      <c r="P820" s="278"/>
      <c r="Q820" s="278"/>
      <c r="R820" s="278"/>
      <c r="S820" s="278"/>
      <c r="T820" s="278"/>
      <c r="U820" s="278"/>
      <c r="V820" s="278"/>
      <c r="W820" s="278"/>
      <c r="X820" s="278"/>
      <c r="Y820" s="89"/>
    </row>
    <row r="821">
      <c r="L821" s="290"/>
      <c r="M821" s="278"/>
      <c r="N821" s="278"/>
      <c r="O821" s="278"/>
      <c r="P821" s="278"/>
      <c r="Q821" s="278"/>
      <c r="R821" s="278"/>
      <c r="S821" s="278"/>
      <c r="T821" s="278"/>
      <c r="U821" s="278"/>
      <c r="V821" s="278"/>
      <c r="W821" s="278"/>
      <c r="X821" s="278"/>
      <c r="Y821" s="89"/>
    </row>
    <row r="822">
      <c r="L822" s="290"/>
      <c r="M822" s="278"/>
      <c r="N822" s="278"/>
      <c r="O822" s="278"/>
      <c r="P822" s="278"/>
      <c r="Q822" s="278"/>
      <c r="R822" s="278"/>
      <c r="S822" s="278"/>
      <c r="T822" s="278"/>
      <c r="U822" s="278"/>
      <c r="V822" s="278"/>
      <c r="W822" s="278"/>
      <c r="X822" s="278"/>
      <c r="Y822" s="89"/>
    </row>
    <row r="823">
      <c r="L823" s="290"/>
      <c r="M823" s="278"/>
      <c r="N823" s="278"/>
      <c r="O823" s="278"/>
      <c r="P823" s="278"/>
      <c r="Q823" s="278"/>
      <c r="R823" s="278"/>
      <c r="S823" s="278"/>
      <c r="T823" s="278"/>
      <c r="U823" s="278"/>
      <c r="V823" s="278"/>
      <c r="W823" s="278"/>
      <c r="X823" s="278"/>
      <c r="Y823" s="89"/>
    </row>
    <row r="824">
      <c r="L824" s="290"/>
      <c r="M824" s="278"/>
      <c r="N824" s="278"/>
      <c r="O824" s="278"/>
      <c r="P824" s="278"/>
      <c r="Q824" s="278"/>
      <c r="R824" s="278"/>
      <c r="S824" s="278"/>
      <c r="T824" s="278"/>
      <c r="U824" s="278"/>
      <c r="V824" s="278"/>
      <c r="W824" s="278"/>
      <c r="X824" s="278"/>
      <c r="Y824" s="89"/>
    </row>
    <row r="825">
      <c r="L825" s="290"/>
      <c r="M825" s="278"/>
      <c r="N825" s="278"/>
      <c r="O825" s="278"/>
      <c r="P825" s="278"/>
      <c r="Q825" s="278"/>
      <c r="R825" s="278"/>
      <c r="S825" s="278"/>
      <c r="T825" s="278"/>
      <c r="U825" s="278"/>
      <c r="V825" s="278"/>
      <c r="W825" s="278"/>
      <c r="X825" s="278"/>
      <c r="Y825" s="89"/>
    </row>
    <row r="826">
      <c r="L826" s="290"/>
      <c r="M826" s="278"/>
      <c r="N826" s="278"/>
      <c r="O826" s="278"/>
      <c r="P826" s="278"/>
      <c r="Q826" s="278"/>
      <c r="R826" s="278"/>
      <c r="S826" s="278"/>
      <c r="T826" s="278"/>
      <c r="U826" s="278"/>
      <c r="V826" s="278"/>
      <c r="W826" s="278"/>
      <c r="X826" s="278"/>
      <c r="Y826" s="89"/>
    </row>
    <row r="827">
      <c r="L827" s="290"/>
      <c r="M827" s="278"/>
      <c r="N827" s="278"/>
      <c r="O827" s="278"/>
      <c r="P827" s="278"/>
      <c r="Q827" s="278"/>
      <c r="R827" s="278"/>
      <c r="S827" s="278"/>
      <c r="T827" s="278"/>
      <c r="U827" s="278"/>
      <c r="V827" s="278"/>
      <c r="W827" s="278"/>
      <c r="X827" s="278"/>
      <c r="Y827" s="89"/>
    </row>
    <row r="828">
      <c r="L828" s="290"/>
      <c r="M828" s="278"/>
      <c r="N828" s="278"/>
      <c r="O828" s="278"/>
      <c r="P828" s="278"/>
      <c r="Q828" s="278"/>
      <c r="R828" s="278"/>
      <c r="S828" s="278"/>
      <c r="T828" s="278"/>
      <c r="U828" s="278"/>
      <c r="V828" s="278"/>
      <c r="W828" s="278"/>
      <c r="X828" s="278"/>
      <c r="Y828" s="89"/>
    </row>
    <row r="829">
      <c r="L829" s="290"/>
      <c r="M829" s="278"/>
      <c r="N829" s="278"/>
      <c r="O829" s="278"/>
      <c r="P829" s="278"/>
      <c r="Q829" s="278"/>
      <c r="R829" s="278"/>
      <c r="S829" s="278"/>
      <c r="T829" s="278"/>
      <c r="U829" s="278"/>
      <c r="V829" s="278"/>
      <c r="W829" s="278"/>
      <c r="X829" s="278"/>
      <c r="Y829" s="89"/>
    </row>
    <row r="830">
      <c r="L830" s="290"/>
      <c r="M830" s="278"/>
      <c r="N830" s="278"/>
      <c r="O830" s="278"/>
      <c r="P830" s="278"/>
      <c r="Q830" s="278"/>
      <c r="R830" s="278"/>
      <c r="S830" s="278"/>
      <c r="T830" s="278"/>
      <c r="U830" s="278"/>
      <c r="V830" s="278"/>
      <c r="W830" s="278"/>
      <c r="X830" s="278"/>
      <c r="Y830" s="89"/>
    </row>
    <row r="831">
      <c r="L831" s="290"/>
      <c r="M831" s="278"/>
      <c r="N831" s="278"/>
      <c r="O831" s="278"/>
      <c r="P831" s="278"/>
      <c r="Q831" s="278"/>
      <c r="R831" s="278"/>
      <c r="S831" s="278"/>
      <c r="T831" s="278"/>
      <c r="U831" s="278"/>
      <c r="V831" s="278"/>
      <c r="W831" s="278"/>
      <c r="X831" s="278"/>
      <c r="Y831" s="89"/>
    </row>
    <row r="832">
      <c r="L832" s="290"/>
      <c r="M832" s="278"/>
      <c r="N832" s="278"/>
      <c r="O832" s="278"/>
      <c r="P832" s="278"/>
      <c r="Q832" s="278"/>
      <c r="R832" s="278"/>
      <c r="S832" s="278"/>
      <c r="T832" s="278"/>
      <c r="U832" s="278"/>
      <c r="V832" s="278"/>
      <c r="W832" s="278"/>
      <c r="X832" s="278"/>
      <c r="Y832" s="89"/>
    </row>
    <row r="833">
      <c r="L833" s="290"/>
      <c r="M833" s="278"/>
      <c r="N833" s="278"/>
      <c r="O833" s="278"/>
      <c r="P833" s="278"/>
      <c r="Q833" s="278"/>
      <c r="R833" s="278"/>
      <c r="S833" s="278"/>
      <c r="T833" s="278"/>
      <c r="U833" s="278"/>
      <c r="V833" s="278"/>
      <c r="W833" s="278"/>
      <c r="X833" s="278"/>
      <c r="Y833" s="89"/>
    </row>
    <row r="834">
      <c r="L834" s="290"/>
      <c r="M834" s="278"/>
      <c r="N834" s="278"/>
      <c r="O834" s="278"/>
      <c r="P834" s="278"/>
      <c r="Q834" s="278"/>
      <c r="R834" s="278"/>
      <c r="S834" s="278"/>
      <c r="T834" s="278"/>
      <c r="U834" s="278"/>
      <c r="V834" s="278"/>
      <c r="W834" s="278"/>
      <c r="X834" s="278"/>
      <c r="Y834" s="89"/>
    </row>
    <row r="835">
      <c r="L835" s="290"/>
      <c r="M835" s="278"/>
      <c r="N835" s="278"/>
      <c r="O835" s="278"/>
      <c r="P835" s="278"/>
      <c r="Q835" s="278"/>
      <c r="R835" s="278"/>
      <c r="S835" s="278"/>
      <c r="T835" s="278"/>
      <c r="U835" s="278"/>
      <c r="V835" s="278"/>
      <c r="W835" s="278"/>
      <c r="X835" s="278"/>
      <c r="Y835" s="89"/>
    </row>
    <row r="836">
      <c r="L836" s="290"/>
      <c r="M836" s="278"/>
      <c r="N836" s="278"/>
      <c r="O836" s="278"/>
      <c r="P836" s="278"/>
      <c r="Q836" s="278"/>
      <c r="R836" s="278"/>
      <c r="S836" s="278"/>
      <c r="T836" s="278"/>
      <c r="U836" s="278"/>
      <c r="V836" s="278"/>
      <c r="W836" s="278"/>
      <c r="X836" s="278"/>
      <c r="Y836" s="89"/>
    </row>
    <row r="837">
      <c r="L837" s="290"/>
      <c r="M837" s="278"/>
      <c r="N837" s="278"/>
      <c r="O837" s="278"/>
      <c r="P837" s="278"/>
      <c r="Q837" s="278"/>
      <c r="R837" s="278"/>
      <c r="S837" s="278"/>
      <c r="T837" s="278"/>
      <c r="U837" s="278"/>
      <c r="V837" s="278"/>
      <c r="W837" s="278"/>
      <c r="X837" s="278"/>
      <c r="Y837" s="89"/>
    </row>
    <row r="838">
      <c r="L838" s="290"/>
      <c r="M838" s="278"/>
      <c r="N838" s="278"/>
      <c r="O838" s="278"/>
      <c r="P838" s="278"/>
      <c r="Q838" s="278"/>
      <c r="R838" s="278"/>
      <c r="S838" s="278"/>
      <c r="T838" s="278"/>
      <c r="U838" s="278"/>
      <c r="V838" s="278"/>
      <c r="W838" s="278"/>
      <c r="X838" s="278"/>
      <c r="Y838" s="89"/>
    </row>
    <row r="839">
      <c r="L839" s="290"/>
      <c r="M839" s="278"/>
      <c r="N839" s="278"/>
      <c r="O839" s="278"/>
      <c r="P839" s="278"/>
      <c r="Q839" s="278"/>
      <c r="R839" s="278"/>
      <c r="S839" s="278"/>
      <c r="T839" s="278"/>
      <c r="U839" s="278"/>
      <c r="V839" s="278"/>
      <c r="W839" s="278"/>
      <c r="X839" s="278"/>
      <c r="Y839" s="89"/>
    </row>
    <row r="840">
      <c r="L840" s="290"/>
      <c r="M840" s="278"/>
      <c r="N840" s="278"/>
      <c r="O840" s="278"/>
      <c r="P840" s="278"/>
      <c r="Q840" s="278"/>
      <c r="R840" s="278"/>
      <c r="S840" s="278"/>
      <c r="T840" s="278"/>
      <c r="U840" s="278"/>
      <c r="V840" s="278"/>
      <c r="W840" s="278"/>
      <c r="X840" s="278"/>
      <c r="Y840" s="89"/>
    </row>
    <row r="841">
      <c r="L841" s="290"/>
      <c r="M841" s="278"/>
      <c r="N841" s="278"/>
      <c r="O841" s="278"/>
      <c r="P841" s="278"/>
      <c r="Q841" s="278"/>
      <c r="R841" s="278"/>
      <c r="S841" s="278"/>
      <c r="T841" s="278"/>
      <c r="U841" s="278"/>
      <c r="V841" s="278"/>
      <c r="W841" s="278"/>
      <c r="X841" s="278"/>
      <c r="Y841" s="89"/>
    </row>
    <row r="842">
      <c r="L842" s="290"/>
      <c r="M842" s="278"/>
      <c r="N842" s="278"/>
      <c r="O842" s="278"/>
      <c r="P842" s="278"/>
      <c r="Q842" s="278"/>
      <c r="R842" s="278"/>
      <c r="S842" s="278"/>
      <c r="T842" s="278"/>
      <c r="U842" s="278"/>
      <c r="V842" s="278"/>
      <c r="W842" s="278"/>
      <c r="X842" s="278"/>
      <c r="Y842" s="89"/>
    </row>
    <row r="843">
      <c r="L843" s="290"/>
      <c r="M843" s="278"/>
      <c r="N843" s="278"/>
      <c r="O843" s="278"/>
      <c r="P843" s="278"/>
      <c r="Q843" s="278"/>
      <c r="R843" s="278"/>
      <c r="S843" s="278"/>
      <c r="T843" s="278"/>
      <c r="U843" s="278"/>
      <c r="V843" s="278"/>
      <c r="W843" s="278"/>
      <c r="X843" s="278"/>
      <c r="Y843" s="89"/>
    </row>
    <row r="844">
      <c r="L844" s="290"/>
      <c r="M844" s="278"/>
      <c r="N844" s="278"/>
      <c r="O844" s="278"/>
      <c r="P844" s="278"/>
      <c r="Q844" s="278"/>
      <c r="R844" s="278"/>
      <c r="S844" s="278"/>
      <c r="T844" s="278"/>
      <c r="U844" s="278"/>
      <c r="V844" s="278"/>
      <c r="W844" s="278"/>
      <c r="X844" s="278"/>
      <c r="Y844" s="89"/>
    </row>
    <row r="845">
      <c r="L845" s="290"/>
      <c r="M845" s="278"/>
      <c r="N845" s="278"/>
      <c r="O845" s="278"/>
      <c r="P845" s="278"/>
      <c r="Q845" s="278"/>
      <c r="R845" s="278"/>
      <c r="S845" s="278"/>
      <c r="T845" s="278"/>
      <c r="U845" s="278"/>
      <c r="V845" s="278"/>
      <c r="W845" s="278"/>
      <c r="X845" s="278"/>
      <c r="Y845" s="89"/>
    </row>
    <row r="846">
      <c r="L846" s="290"/>
      <c r="M846" s="278"/>
      <c r="N846" s="278"/>
      <c r="O846" s="278"/>
      <c r="P846" s="278"/>
      <c r="Q846" s="278"/>
      <c r="R846" s="278"/>
      <c r="S846" s="278"/>
      <c r="T846" s="278"/>
      <c r="U846" s="278"/>
      <c r="V846" s="278"/>
      <c r="W846" s="278"/>
      <c r="X846" s="278"/>
      <c r="Y846" s="89"/>
    </row>
    <row r="847">
      <c r="L847" s="290"/>
      <c r="M847" s="278"/>
      <c r="N847" s="278"/>
      <c r="O847" s="278"/>
      <c r="P847" s="278"/>
      <c r="Q847" s="278"/>
      <c r="R847" s="278"/>
      <c r="S847" s="278"/>
      <c r="T847" s="278"/>
      <c r="U847" s="278"/>
      <c r="V847" s="278"/>
      <c r="W847" s="278"/>
      <c r="X847" s="278"/>
      <c r="Y847" s="89"/>
    </row>
    <row r="848">
      <c r="L848" s="290"/>
      <c r="M848" s="278"/>
      <c r="N848" s="278"/>
      <c r="O848" s="278"/>
      <c r="P848" s="278"/>
      <c r="Q848" s="278"/>
      <c r="R848" s="278"/>
      <c r="S848" s="278"/>
      <c r="T848" s="278"/>
      <c r="U848" s="278"/>
      <c r="V848" s="278"/>
      <c r="W848" s="278"/>
      <c r="X848" s="278"/>
      <c r="Y848" s="89"/>
    </row>
    <row r="849">
      <c r="L849" s="290"/>
      <c r="M849" s="278"/>
      <c r="N849" s="278"/>
      <c r="O849" s="278"/>
      <c r="P849" s="278"/>
      <c r="Q849" s="278"/>
      <c r="R849" s="278"/>
      <c r="S849" s="278"/>
      <c r="T849" s="278"/>
      <c r="U849" s="278"/>
      <c r="V849" s="278"/>
      <c r="W849" s="278"/>
      <c r="X849" s="278"/>
      <c r="Y849" s="89"/>
    </row>
    <row r="850">
      <c r="L850" s="290"/>
      <c r="M850" s="278"/>
      <c r="N850" s="278"/>
      <c r="O850" s="278"/>
      <c r="P850" s="278"/>
      <c r="Q850" s="278"/>
      <c r="R850" s="278"/>
      <c r="S850" s="278"/>
      <c r="T850" s="278"/>
      <c r="U850" s="278"/>
      <c r="V850" s="278"/>
      <c r="W850" s="278"/>
      <c r="X850" s="278"/>
      <c r="Y850" s="89"/>
    </row>
    <row r="851">
      <c r="L851" s="290"/>
      <c r="M851" s="278"/>
      <c r="N851" s="278"/>
      <c r="O851" s="278"/>
      <c r="P851" s="278"/>
      <c r="Q851" s="278"/>
      <c r="R851" s="278"/>
      <c r="S851" s="278"/>
      <c r="T851" s="278"/>
      <c r="U851" s="278"/>
      <c r="V851" s="278"/>
      <c r="W851" s="278"/>
      <c r="X851" s="278"/>
      <c r="Y851" s="89"/>
    </row>
    <row r="852">
      <c r="L852" s="290"/>
      <c r="M852" s="278"/>
      <c r="N852" s="278"/>
      <c r="O852" s="278"/>
      <c r="P852" s="278"/>
      <c r="Q852" s="278"/>
      <c r="R852" s="278"/>
      <c r="S852" s="278"/>
      <c r="T852" s="278"/>
      <c r="U852" s="278"/>
      <c r="V852" s="278"/>
      <c r="W852" s="278"/>
      <c r="X852" s="278"/>
      <c r="Y852" s="89"/>
    </row>
    <row r="853">
      <c r="L853" s="290"/>
      <c r="M853" s="278"/>
      <c r="N853" s="278"/>
      <c r="O853" s="278"/>
      <c r="P853" s="278"/>
      <c r="Q853" s="278"/>
      <c r="R853" s="278"/>
      <c r="S853" s="278"/>
      <c r="T853" s="278"/>
      <c r="U853" s="278"/>
      <c r="V853" s="278"/>
      <c r="W853" s="278"/>
      <c r="X853" s="278"/>
      <c r="Y853" s="89"/>
    </row>
    <row r="854">
      <c r="L854" s="290"/>
      <c r="M854" s="278"/>
      <c r="N854" s="278"/>
      <c r="O854" s="278"/>
      <c r="P854" s="278"/>
      <c r="Q854" s="278"/>
      <c r="R854" s="278"/>
      <c r="S854" s="278"/>
      <c r="T854" s="278"/>
      <c r="U854" s="278"/>
      <c r="V854" s="278"/>
      <c r="W854" s="278"/>
      <c r="X854" s="278"/>
      <c r="Y854" s="89"/>
    </row>
    <row r="855">
      <c r="L855" s="290"/>
      <c r="M855" s="278"/>
      <c r="N855" s="278"/>
      <c r="O855" s="278"/>
      <c r="P855" s="278"/>
      <c r="Q855" s="278"/>
      <c r="R855" s="278"/>
      <c r="S855" s="278"/>
      <c r="T855" s="278"/>
      <c r="U855" s="278"/>
      <c r="V855" s="278"/>
      <c r="W855" s="278"/>
      <c r="X855" s="278"/>
      <c r="Y855" s="89"/>
    </row>
    <row r="856">
      <c r="L856" s="290"/>
      <c r="M856" s="278"/>
      <c r="N856" s="278"/>
      <c r="O856" s="278"/>
      <c r="P856" s="278"/>
      <c r="Q856" s="278"/>
      <c r="R856" s="278"/>
      <c r="S856" s="278"/>
      <c r="T856" s="278"/>
      <c r="U856" s="278"/>
      <c r="V856" s="278"/>
      <c r="W856" s="278"/>
      <c r="X856" s="278"/>
      <c r="Y856" s="89"/>
    </row>
    <row r="857">
      <c r="L857" s="290"/>
      <c r="M857" s="278"/>
      <c r="N857" s="278"/>
      <c r="O857" s="278"/>
      <c r="P857" s="278"/>
      <c r="Q857" s="278"/>
      <c r="R857" s="278"/>
      <c r="S857" s="278"/>
      <c r="T857" s="278"/>
      <c r="U857" s="278"/>
      <c r="V857" s="278"/>
      <c r="W857" s="278"/>
      <c r="X857" s="278"/>
      <c r="Y857" s="89"/>
    </row>
    <row r="858">
      <c r="L858" s="290"/>
      <c r="M858" s="278"/>
      <c r="N858" s="278"/>
      <c r="O858" s="278"/>
      <c r="P858" s="278"/>
      <c r="Q858" s="278"/>
      <c r="R858" s="278"/>
      <c r="S858" s="278"/>
      <c r="T858" s="278"/>
      <c r="U858" s="278"/>
      <c r="V858" s="278"/>
      <c r="W858" s="278"/>
      <c r="X858" s="278"/>
      <c r="Y858" s="89"/>
    </row>
    <row r="859">
      <c r="L859" s="290"/>
      <c r="M859" s="278"/>
      <c r="N859" s="278"/>
      <c r="O859" s="278"/>
      <c r="P859" s="278"/>
      <c r="Q859" s="278"/>
      <c r="R859" s="278"/>
      <c r="S859" s="278"/>
      <c r="T859" s="278"/>
      <c r="U859" s="278"/>
      <c r="V859" s="278"/>
      <c r="W859" s="278"/>
      <c r="X859" s="278"/>
      <c r="Y859" s="89"/>
    </row>
    <row r="860">
      <c r="L860" s="290"/>
      <c r="M860" s="278"/>
      <c r="N860" s="278"/>
      <c r="O860" s="278"/>
      <c r="P860" s="278"/>
      <c r="Q860" s="278"/>
      <c r="R860" s="278"/>
      <c r="S860" s="278"/>
      <c r="T860" s="278"/>
      <c r="U860" s="278"/>
      <c r="V860" s="278"/>
      <c r="W860" s="278"/>
      <c r="X860" s="278"/>
      <c r="Y860" s="89"/>
    </row>
    <row r="861">
      <c r="L861" s="290"/>
      <c r="M861" s="278"/>
      <c r="N861" s="278"/>
      <c r="O861" s="278"/>
      <c r="P861" s="278"/>
      <c r="Q861" s="278"/>
      <c r="R861" s="278"/>
      <c r="S861" s="278"/>
      <c r="T861" s="278"/>
      <c r="U861" s="278"/>
      <c r="V861" s="278"/>
      <c r="W861" s="278"/>
      <c r="X861" s="278"/>
      <c r="Y861" s="89"/>
    </row>
    <row r="862">
      <c r="L862" s="290"/>
      <c r="M862" s="278"/>
      <c r="N862" s="278"/>
      <c r="O862" s="278"/>
      <c r="P862" s="278"/>
      <c r="Q862" s="278"/>
      <c r="R862" s="278"/>
      <c r="S862" s="278"/>
      <c r="T862" s="278"/>
      <c r="U862" s="278"/>
      <c r="V862" s="278"/>
      <c r="W862" s="278"/>
      <c r="X862" s="278"/>
      <c r="Y862" s="89"/>
    </row>
    <row r="863">
      <c r="L863" s="290"/>
      <c r="M863" s="278"/>
      <c r="N863" s="278"/>
      <c r="O863" s="278"/>
      <c r="P863" s="278"/>
      <c r="Q863" s="278"/>
      <c r="R863" s="278"/>
      <c r="S863" s="278"/>
      <c r="T863" s="278"/>
      <c r="U863" s="278"/>
      <c r="V863" s="278"/>
      <c r="W863" s="278"/>
      <c r="X863" s="278"/>
      <c r="Y863" s="89"/>
    </row>
    <row r="864">
      <c r="L864" s="290"/>
      <c r="M864" s="278"/>
      <c r="N864" s="278"/>
      <c r="O864" s="278"/>
      <c r="P864" s="278"/>
      <c r="Q864" s="278"/>
      <c r="R864" s="278"/>
      <c r="S864" s="278"/>
      <c r="T864" s="278"/>
      <c r="U864" s="278"/>
      <c r="V864" s="278"/>
      <c r="W864" s="278"/>
      <c r="X864" s="278"/>
      <c r="Y864" s="89"/>
    </row>
    <row r="865">
      <c r="L865" s="290"/>
      <c r="M865" s="278"/>
      <c r="N865" s="278"/>
      <c r="O865" s="278"/>
      <c r="P865" s="278"/>
      <c r="Q865" s="278"/>
      <c r="R865" s="278"/>
      <c r="S865" s="278"/>
      <c r="T865" s="278"/>
      <c r="U865" s="278"/>
      <c r="V865" s="278"/>
      <c r="W865" s="278"/>
      <c r="X865" s="278"/>
      <c r="Y865" s="89"/>
    </row>
    <row r="866">
      <c r="L866" s="290"/>
      <c r="M866" s="278"/>
      <c r="N866" s="278"/>
      <c r="O866" s="278"/>
      <c r="P866" s="278"/>
      <c r="Q866" s="278"/>
      <c r="R866" s="278"/>
      <c r="S866" s="278"/>
      <c r="T866" s="278"/>
      <c r="U866" s="278"/>
      <c r="V866" s="278"/>
      <c r="W866" s="278"/>
      <c r="X866" s="278"/>
      <c r="Y866" s="89"/>
    </row>
    <row r="867">
      <c r="L867" s="290"/>
      <c r="M867" s="278"/>
      <c r="N867" s="278"/>
      <c r="O867" s="278"/>
      <c r="P867" s="278"/>
      <c r="Q867" s="278"/>
      <c r="R867" s="278"/>
      <c r="S867" s="278"/>
      <c r="T867" s="278"/>
      <c r="U867" s="278"/>
      <c r="V867" s="278"/>
      <c r="W867" s="278"/>
      <c r="X867" s="278"/>
      <c r="Y867" s="89"/>
    </row>
    <row r="868">
      <c r="L868" s="290"/>
      <c r="M868" s="278"/>
      <c r="N868" s="278"/>
      <c r="O868" s="278"/>
      <c r="P868" s="278"/>
      <c r="Q868" s="278"/>
      <c r="R868" s="278"/>
      <c r="S868" s="278"/>
      <c r="T868" s="278"/>
      <c r="U868" s="278"/>
      <c r="V868" s="278"/>
      <c r="W868" s="278"/>
      <c r="X868" s="278"/>
      <c r="Y868" s="89"/>
    </row>
    <row r="869">
      <c r="L869" s="290"/>
      <c r="M869" s="278"/>
      <c r="N869" s="278"/>
      <c r="O869" s="278"/>
      <c r="P869" s="278"/>
      <c r="Q869" s="278"/>
      <c r="R869" s="278"/>
      <c r="S869" s="278"/>
      <c r="T869" s="278"/>
      <c r="U869" s="278"/>
      <c r="V869" s="278"/>
      <c r="W869" s="278"/>
      <c r="X869" s="278"/>
      <c r="Y869" s="89"/>
    </row>
    <row r="870">
      <c r="L870" s="290"/>
      <c r="M870" s="278"/>
      <c r="N870" s="278"/>
      <c r="O870" s="278"/>
      <c r="P870" s="278"/>
      <c r="Q870" s="278"/>
      <c r="R870" s="278"/>
      <c r="S870" s="278"/>
      <c r="T870" s="278"/>
      <c r="U870" s="278"/>
      <c r="V870" s="278"/>
      <c r="W870" s="278"/>
      <c r="X870" s="278"/>
      <c r="Y870" s="89"/>
    </row>
    <row r="871">
      <c r="L871" s="290"/>
      <c r="M871" s="278"/>
      <c r="N871" s="278"/>
      <c r="O871" s="278"/>
      <c r="P871" s="278"/>
      <c r="Q871" s="278"/>
      <c r="R871" s="278"/>
      <c r="S871" s="278"/>
      <c r="T871" s="278"/>
      <c r="U871" s="278"/>
      <c r="V871" s="278"/>
      <c r="W871" s="278"/>
      <c r="X871" s="278"/>
      <c r="Y871" s="89"/>
    </row>
    <row r="872">
      <c r="L872" s="290"/>
      <c r="M872" s="278"/>
      <c r="N872" s="278"/>
      <c r="O872" s="278"/>
      <c r="P872" s="278"/>
      <c r="Q872" s="278"/>
      <c r="R872" s="278"/>
      <c r="S872" s="278"/>
      <c r="T872" s="278"/>
      <c r="U872" s="278"/>
      <c r="V872" s="278"/>
      <c r="W872" s="278"/>
      <c r="X872" s="278"/>
      <c r="Y872" s="89"/>
    </row>
    <row r="873">
      <c r="L873" s="290"/>
      <c r="M873" s="278"/>
      <c r="N873" s="278"/>
      <c r="O873" s="278"/>
      <c r="P873" s="278"/>
      <c r="Q873" s="278"/>
      <c r="R873" s="278"/>
      <c r="S873" s="278"/>
      <c r="T873" s="278"/>
      <c r="U873" s="278"/>
      <c r="V873" s="278"/>
      <c r="W873" s="278"/>
      <c r="X873" s="278"/>
      <c r="Y873" s="89"/>
    </row>
    <row r="874">
      <c r="L874" s="290"/>
      <c r="M874" s="278"/>
      <c r="N874" s="278"/>
      <c r="O874" s="278"/>
      <c r="P874" s="278"/>
      <c r="Q874" s="278"/>
      <c r="R874" s="278"/>
      <c r="S874" s="278"/>
      <c r="T874" s="278"/>
      <c r="U874" s="278"/>
      <c r="V874" s="278"/>
      <c r="W874" s="278"/>
      <c r="X874" s="278"/>
      <c r="Y874" s="89"/>
    </row>
    <row r="875">
      <c r="L875" s="290"/>
      <c r="M875" s="278"/>
      <c r="N875" s="278"/>
      <c r="O875" s="278"/>
      <c r="P875" s="278"/>
      <c r="Q875" s="278"/>
      <c r="R875" s="278"/>
      <c r="S875" s="278"/>
      <c r="T875" s="278"/>
      <c r="U875" s="278"/>
      <c r="V875" s="278"/>
      <c r="W875" s="278"/>
      <c r="X875" s="278"/>
      <c r="Y875" s="89"/>
    </row>
    <row r="876">
      <c r="L876" s="290"/>
      <c r="M876" s="278"/>
      <c r="N876" s="278"/>
      <c r="O876" s="278"/>
      <c r="P876" s="278"/>
      <c r="Q876" s="278"/>
      <c r="R876" s="278"/>
      <c r="S876" s="278"/>
      <c r="T876" s="278"/>
      <c r="U876" s="278"/>
      <c r="V876" s="278"/>
      <c r="W876" s="278"/>
      <c r="X876" s="278"/>
      <c r="Y876" s="89"/>
    </row>
    <row r="877">
      <c r="L877" s="290"/>
      <c r="M877" s="278"/>
      <c r="N877" s="278"/>
      <c r="O877" s="278"/>
      <c r="P877" s="278"/>
      <c r="Q877" s="278"/>
      <c r="R877" s="278"/>
      <c r="S877" s="278"/>
      <c r="T877" s="278"/>
      <c r="U877" s="278"/>
      <c r="V877" s="278"/>
      <c r="W877" s="278"/>
      <c r="X877" s="278"/>
      <c r="Y877" s="89"/>
    </row>
    <row r="878">
      <c r="L878" s="290"/>
      <c r="M878" s="278"/>
      <c r="N878" s="278"/>
      <c r="O878" s="278"/>
      <c r="P878" s="278"/>
      <c r="Q878" s="278"/>
      <c r="R878" s="278"/>
      <c r="S878" s="278"/>
      <c r="T878" s="278"/>
      <c r="U878" s="278"/>
      <c r="V878" s="278"/>
      <c r="W878" s="278"/>
      <c r="X878" s="278"/>
      <c r="Y878" s="89"/>
    </row>
    <row r="879">
      <c r="L879" s="290"/>
      <c r="M879" s="278"/>
      <c r="N879" s="278"/>
      <c r="O879" s="278"/>
      <c r="P879" s="278"/>
      <c r="Q879" s="278"/>
      <c r="R879" s="278"/>
      <c r="S879" s="278"/>
      <c r="T879" s="278"/>
      <c r="U879" s="278"/>
      <c r="V879" s="278"/>
      <c r="W879" s="278"/>
      <c r="X879" s="278"/>
      <c r="Y879" s="89"/>
    </row>
    <row r="880">
      <c r="L880" s="290"/>
      <c r="M880" s="278"/>
      <c r="N880" s="278"/>
      <c r="O880" s="278"/>
      <c r="P880" s="278"/>
      <c r="Q880" s="278"/>
      <c r="R880" s="278"/>
      <c r="S880" s="278"/>
      <c r="T880" s="278"/>
      <c r="U880" s="278"/>
      <c r="V880" s="278"/>
      <c r="W880" s="278"/>
      <c r="X880" s="278"/>
      <c r="Y880" s="89"/>
    </row>
    <row r="881">
      <c r="L881" s="290"/>
      <c r="M881" s="278"/>
      <c r="N881" s="278"/>
      <c r="O881" s="278"/>
      <c r="P881" s="278"/>
      <c r="Q881" s="278"/>
      <c r="R881" s="278"/>
      <c r="S881" s="278"/>
      <c r="T881" s="278"/>
      <c r="U881" s="278"/>
      <c r="V881" s="278"/>
      <c r="W881" s="278"/>
      <c r="X881" s="278"/>
      <c r="Y881" s="89"/>
    </row>
    <row r="882">
      <c r="L882" s="290"/>
      <c r="M882" s="278"/>
      <c r="N882" s="278"/>
      <c r="O882" s="278"/>
      <c r="P882" s="278"/>
      <c r="Q882" s="278"/>
      <c r="R882" s="278"/>
      <c r="S882" s="278"/>
      <c r="T882" s="278"/>
      <c r="U882" s="278"/>
      <c r="V882" s="278"/>
      <c r="W882" s="278"/>
      <c r="X882" s="278"/>
      <c r="Y882" s="89"/>
    </row>
    <row r="883">
      <c r="L883" s="290"/>
      <c r="M883" s="278"/>
      <c r="N883" s="278"/>
      <c r="O883" s="278"/>
      <c r="P883" s="278"/>
      <c r="Q883" s="278"/>
      <c r="R883" s="278"/>
      <c r="S883" s="278"/>
      <c r="T883" s="278"/>
      <c r="U883" s="278"/>
      <c r="V883" s="278"/>
      <c r="W883" s="278"/>
      <c r="X883" s="278"/>
      <c r="Y883" s="89"/>
    </row>
    <row r="884">
      <c r="L884" s="290"/>
      <c r="M884" s="278"/>
      <c r="N884" s="278"/>
      <c r="O884" s="278"/>
      <c r="P884" s="278"/>
      <c r="Q884" s="278"/>
      <c r="R884" s="278"/>
      <c r="S884" s="278"/>
      <c r="T884" s="278"/>
      <c r="U884" s="278"/>
      <c r="V884" s="278"/>
      <c r="W884" s="278"/>
      <c r="X884" s="278"/>
      <c r="Y884" s="89"/>
    </row>
    <row r="885">
      <c r="L885" s="290"/>
      <c r="M885" s="278"/>
      <c r="N885" s="278"/>
      <c r="O885" s="278"/>
      <c r="P885" s="278"/>
      <c r="Q885" s="278"/>
      <c r="R885" s="278"/>
      <c r="S885" s="278"/>
      <c r="T885" s="278"/>
      <c r="U885" s="278"/>
      <c r="V885" s="278"/>
      <c r="W885" s="278"/>
      <c r="X885" s="278"/>
      <c r="Y885" s="89"/>
    </row>
    <row r="886">
      <c r="L886" s="290"/>
      <c r="M886" s="278"/>
      <c r="N886" s="278"/>
      <c r="O886" s="278"/>
      <c r="P886" s="278"/>
      <c r="Q886" s="278"/>
      <c r="R886" s="278"/>
      <c r="S886" s="278"/>
      <c r="T886" s="278"/>
      <c r="U886" s="278"/>
      <c r="V886" s="278"/>
      <c r="W886" s="278"/>
      <c r="X886" s="278"/>
      <c r="Y886" s="89"/>
    </row>
    <row r="887">
      <c r="L887" s="290"/>
      <c r="M887" s="278"/>
      <c r="N887" s="278"/>
      <c r="O887" s="278"/>
      <c r="P887" s="278"/>
      <c r="Q887" s="278"/>
      <c r="R887" s="278"/>
      <c r="S887" s="278"/>
      <c r="T887" s="278"/>
      <c r="U887" s="278"/>
      <c r="V887" s="278"/>
      <c r="W887" s="278"/>
      <c r="X887" s="278"/>
      <c r="Y887" s="89"/>
    </row>
    <row r="888">
      <c r="L888" s="290"/>
      <c r="M888" s="278"/>
      <c r="N888" s="278"/>
      <c r="O888" s="278"/>
      <c r="P888" s="278"/>
      <c r="Q888" s="278"/>
      <c r="R888" s="278"/>
      <c r="S888" s="278"/>
      <c r="T888" s="278"/>
      <c r="U888" s="278"/>
      <c r="V888" s="278"/>
      <c r="W888" s="278"/>
      <c r="X888" s="278"/>
      <c r="Y888" s="89"/>
    </row>
    <row r="889">
      <c r="L889" s="290"/>
      <c r="M889" s="278"/>
      <c r="N889" s="278"/>
      <c r="O889" s="278"/>
      <c r="P889" s="278"/>
      <c r="Q889" s="278"/>
      <c r="R889" s="278"/>
      <c r="S889" s="278"/>
      <c r="T889" s="278"/>
      <c r="U889" s="278"/>
      <c r="V889" s="278"/>
      <c r="W889" s="278"/>
      <c r="X889" s="278"/>
      <c r="Y889" s="89"/>
    </row>
    <row r="890">
      <c r="L890" s="290"/>
      <c r="M890" s="278"/>
      <c r="N890" s="278"/>
      <c r="O890" s="278"/>
      <c r="P890" s="278"/>
      <c r="Q890" s="278"/>
      <c r="R890" s="278"/>
      <c r="S890" s="278"/>
      <c r="T890" s="278"/>
      <c r="U890" s="278"/>
      <c r="V890" s="278"/>
      <c r="W890" s="278"/>
      <c r="X890" s="278"/>
      <c r="Y890" s="89"/>
    </row>
    <row r="891">
      <c r="L891" s="290"/>
      <c r="M891" s="278"/>
      <c r="N891" s="278"/>
      <c r="O891" s="278"/>
      <c r="P891" s="278"/>
      <c r="Q891" s="278"/>
      <c r="R891" s="278"/>
      <c r="S891" s="278"/>
      <c r="T891" s="278"/>
      <c r="U891" s="278"/>
      <c r="V891" s="278"/>
      <c r="W891" s="278"/>
      <c r="X891" s="278"/>
      <c r="Y891" s="89"/>
    </row>
    <row r="892">
      <c r="L892" s="290"/>
      <c r="M892" s="278"/>
      <c r="N892" s="278"/>
      <c r="O892" s="278"/>
      <c r="P892" s="278"/>
      <c r="Q892" s="278"/>
      <c r="R892" s="278"/>
      <c r="S892" s="278"/>
      <c r="T892" s="278"/>
      <c r="U892" s="278"/>
      <c r="V892" s="278"/>
      <c r="W892" s="278"/>
      <c r="X892" s="278"/>
      <c r="Y892" s="89"/>
    </row>
    <row r="893">
      <c r="L893" s="290"/>
      <c r="M893" s="278"/>
      <c r="N893" s="278"/>
      <c r="O893" s="278"/>
      <c r="P893" s="278"/>
      <c r="Q893" s="278"/>
      <c r="R893" s="278"/>
      <c r="S893" s="278"/>
      <c r="T893" s="278"/>
      <c r="U893" s="278"/>
      <c r="V893" s="278"/>
      <c r="W893" s="278"/>
      <c r="X893" s="278"/>
      <c r="Y893" s="89"/>
    </row>
    <row r="894">
      <c r="L894" s="290"/>
      <c r="M894" s="278"/>
      <c r="N894" s="278"/>
      <c r="O894" s="278"/>
      <c r="P894" s="278"/>
      <c r="Q894" s="278"/>
      <c r="R894" s="278"/>
      <c r="S894" s="278"/>
      <c r="T894" s="278"/>
      <c r="U894" s="278"/>
      <c r="V894" s="278"/>
      <c r="W894" s="278"/>
      <c r="X894" s="278"/>
      <c r="Y894" s="89"/>
    </row>
    <row r="895">
      <c r="L895" s="290"/>
      <c r="M895" s="278"/>
      <c r="N895" s="278"/>
      <c r="O895" s="278"/>
      <c r="P895" s="278"/>
      <c r="Q895" s="278"/>
      <c r="R895" s="278"/>
      <c r="S895" s="278"/>
      <c r="T895" s="278"/>
      <c r="U895" s="278"/>
      <c r="V895" s="278"/>
      <c r="W895" s="278"/>
      <c r="X895" s="278"/>
      <c r="Y895" s="89"/>
    </row>
    <row r="896">
      <c r="L896" s="290"/>
      <c r="M896" s="278"/>
      <c r="N896" s="278"/>
      <c r="O896" s="278"/>
      <c r="P896" s="278"/>
      <c r="Q896" s="278"/>
      <c r="R896" s="278"/>
      <c r="S896" s="278"/>
      <c r="T896" s="278"/>
      <c r="U896" s="278"/>
      <c r="V896" s="278"/>
      <c r="W896" s="278"/>
      <c r="X896" s="278"/>
      <c r="Y896" s="89"/>
    </row>
    <row r="897">
      <c r="L897" s="290"/>
      <c r="M897" s="278"/>
      <c r="N897" s="278"/>
      <c r="O897" s="278"/>
      <c r="P897" s="278"/>
      <c r="Q897" s="278"/>
      <c r="R897" s="278"/>
      <c r="S897" s="278"/>
      <c r="T897" s="278"/>
      <c r="U897" s="278"/>
      <c r="V897" s="278"/>
      <c r="W897" s="278"/>
      <c r="X897" s="278"/>
      <c r="Y897" s="89"/>
    </row>
    <row r="898">
      <c r="L898" s="290"/>
      <c r="M898" s="278"/>
      <c r="N898" s="278"/>
      <c r="O898" s="278"/>
      <c r="P898" s="278"/>
      <c r="Q898" s="278"/>
      <c r="R898" s="278"/>
      <c r="S898" s="278"/>
      <c r="T898" s="278"/>
      <c r="U898" s="278"/>
      <c r="V898" s="278"/>
      <c r="W898" s="278"/>
      <c r="X898" s="278"/>
      <c r="Y898" s="89"/>
    </row>
    <row r="899">
      <c r="L899" s="290"/>
      <c r="M899" s="278"/>
      <c r="N899" s="278"/>
      <c r="O899" s="278"/>
      <c r="P899" s="278"/>
      <c r="Q899" s="278"/>
      <c r="R899" s="278"/>
      <c r="S899" s="278"/>
      <c r="T899" s="278"/>
      <c r="U899" s="278"/>
      <c r="V899" s="278"/>
      <c r="W899" s="278"/>
      <c r="X899" s="278"/>
      <c r="Y899" s="89"/>
    </row>
    <row r="900">
      <c r="L900" s="290"/>
      <c r="M900" s="278"/>
      <c r="N900" s="278"/>
      <c r="O900" s="278"/>
      <c r="P900" s="278"/>
      <c r="Q900" s="278"/>
      <c r="R900" s="278"/>
      <c r="S900" s="278"/>
      <c r="T900" s="278"/>
      <c r="U900" s="278"/>
      <c r="V900" s="278"/>
      <c r="W900" s="278"/>
      <c r="X900" s="278"/>
      <c r="Y900" s="89"/>
    </row>
    <row r="901">
      <c r="L901" s="290"/>
      <c r="M901" s="278"/>
      <c r="N901" s="278"/>
      <c r="O901" s="278"/>
      <c r="P901" s="278"/>
      <c r="Q901" s="278"/>
      <c r="R901" s="278"/>
      <c r="S901" s="278"/>
      <c r="T901" s="278"/>
      <c r="U901" s="278"/>
      <c r="V901" s="278"/>
      <c r="W901" s="278"/>
      <c r="X901" s="278"/>
      <c r="Y901" s="89"/>
    </row>
    <row r="902">
      <c r="L902" s="290"/>
      <c r="M902" s="278"/>
      <c r="N902" s="278"/>
      <c r="O902" s="278"/>
      <c r="P902" s="278"/>
      <c r="Q902" s="278"/>
      <c r="R902" s="278"/>
      <c r="S902" s="278"/>
      <c r="T902" s="278"/>
      <c r="U902" s="278"/>
      <c r="V902" s="278"/>
      <c r="W902" s="278"/>
      <c r="X902" s="278"/>
      <c r="Y902" s="89"/>
    </row>
    <row r="903">
      <c r="L903" s="290"/>
      <c r="M903" s="278"/>
      <c r="N903" s="278"/>
      <c r="O903" s="278"/>
      <c r="P903" s="278"/>
      <c r="Q903" s="278"/>
      <c r="R903" s="278"/>
      <c r="S903" s="278"/>
      <c r="T903" s="278"/>
      <c r="U903" s="278"/>
      <c r="V903" s="278"/>
      <c r="W903" s="278"/>
      <c r="X903" s="278"/>
      <c r="Y903" s="89"/>
    </row>
    <row r="904">
      <c r="L904" s="290"/>
      <c r="M904" s="278"/>
      <c r="N904" s="278"/>
      <c r="O904" s="278"/>
      <c r="P904" s="278"/>
      <c r="Q904" s="278"/>
      <c r="R904" s="278"/>
      <c r="S904" s="278"/>
      <c r="T904" s="278"/>
      <c r="U904" s="278"/>
      <c r="V904" s="278"/>
      <c r="W904" s="278"/>
      <c r="X904" s="278"/>
      <c r="Y904" s="89"/>
    </row>
    <row r="905">
      <c r="L905" s="290"/>
      <c r="M905" s="278"/>
      <c r="N905" s="278"/>
      <c r="O905" s="278"/>
      <c r="P905" s="278"/>
      <c r="Q905" s="278"/>
      <c r="R905" s="278"/>
      <c r="S905" s="278"/>
      <c r="T905" s="278"/>
      <c r="U905" s="278"/>
      <c r="V905" s="278"/>
      <c r="W905" s="278"/>
      <c r="X905" s="278"/>
      <c r="Y905" s="89"/>
    </row>
    <row r="906">
      <c r="L906" s="290"/>
      <c r="M906" s="278"/>
      <c r="N906" s="278"/>
      <c r="O906" s="278"/>
      <c r="P906" s="278"/>
      <c r="Q906" s="278"/>
      <c r="R906" s="278"/>
      <c r="S906" s="278"/>
      <c r="T906" s="278"/>
      <c r="U906" s="278"/>
      <c r="V906" s="278"/>
      <c r="W906" s="278"/>
      <c r="X906" s="278"/>
      <c r="Y906" s="89"/>
    </row>
    <row r="907">
      <c r="L907" s="290"/>
      <c r="M907" s="278"/>
      <c r="N907" s="278"/>
      <c r="O907" s="278"/>
      <c r="P907" s="278"/>
      <c r="Q907" s="278"/>
      <c r="R907" s="278"/>
      <c r="S907" s="278"/>
      <c r="T907" s="278"/>
      <c r="U907" s="278"/>
      <c r="V907" s="278"/>
      <c r="W907" s="278"/>
      <c r="X907" s="278"/>
      <c r="Y907" s="89"/>
    </row>
    <row r="908">
      <c r="L908" s="290"/>
      <c r="M908" s="278"/>
      <c r="N908" s="278"/>
      <c r="O908" s="278"/>
      <c r="P908" s="278"/>
      <c r="Q908" s="278"/>
      <c r="R908" s="278"/>
      <c r="S908" s="278"/>
      <c r="T908" s="278"/>
      <c r="U908" s="278"/>
      <c r="V908" s="278"/>
      <c r="W908" s="278"/>
      <c r="X908" s="278"/>
      <c r="Y908" s="89"/>
    </row>
    <row r="909">
      <c r="L909" s="290"/>
      <c r="M909" s="278"/>
      <c r="N909" s="278"/>
      <c r="O909" s="278"/>
      <c r="P909" s="278"/>
      <c r="Q909" s="278"/>
      <c r="R909" s="278"/>
      <c r="S909" s="278"/>
      <c r="T909" s="278"/>
      <c r="U909" s="278"/>
      <c r="V909" s="278"/>
      <c r="W909" s="278"/>
      <c r="X909" s="278"/>
      <c r="Y909" s="89"/>
    </row>
    <row r="910">
      <c r="L910" s="290"/>
      <c r="M910" s="278"/>
      <c r="N910" s="278"/>
      <c r="O910" s="278"/>
      <c r="P910" s="278"/>
      <c r="Q910" s="278"/>
      <c r="R910" s="278"/>
      <c r="S910" s="278"/>
      <c r="T910" s="278"/>
      <c r="U910" s="278"/>
      <c r="V910" s="278"/>
      <c r="W910" s="278"/>
      <c r="X910" s="278"/>
      <c r="Y910" s="89"/>
    </row>
    <row r="911">
      <c r="L911" s="290"/>
      <c r="M911" s="278"/>
      <c r="N911" s="278"/>
      <c r="O911" s="278"/>
      <c r="P911" s="278"/>
      <c r="Q911" s="278"/>
      <c r="R911" s="278"/>
      <c r="S911" s="278"/>
      <c r="T911" s="278"/>
      <c r="U911" s="278"/>
      <c r="V911" s="278"/>
      <c r="W911" s="278"/>
      <c r="X911" s="278"/>
      <c r="Y911" s="89"/>
    </row>
    <row r="912">
      <c r="L912" s="290"/>
      <c r="M912" s="278"/>
      <c r="N912" s="278"/>
      <c r="O912" s="278"/>
      <c r="P912" s="278"/>
      <c r="Q912" s="278"/>
      <c r="R912" s="278"/>
      <c r="S912" s="278"/>
      <c r="T912" s="278"/>
      <c r="U912" s="278"/>
      <c r="V912" s="278"/>
      <c r="W912" s="278"/>
      <c r="X912" s="278"/>
      <c r="Y912" s="89"/>
    </row>
    <row r="913">
      <c r="L913" s="290"/>
      <c r="M913" s="278"/>
      <c r="N913" s="278"/>
      <c r="O913" s="278"/>
      <c r="P913" s="278"/>
      <c r="Q913" s="278"/>
      <c r="R913" s="278"/>
      <c r="S913" s="278"/>
      <c r="T913" s="278"/>
      <c r="U913" s="278"/>
      <c r="V913" s="278"/>
      <c r="W913" s="278"/>
      <c r="X913" s="278"/>
      <c r="Y913" s="89"/>
    </row>
    <row r="914">
      <c r="L914" s="290"/>
      <c r="M914" s="278"/>
      <c r="N914" s="278"/>
      <c r="O914" s="278"/>
      <c r="P914" s="278"/>
      <c r="Q914" s="278"/>
      <c r="R914" s="278"/>
      <c r="S914" s="278"/>
      <c r="T914" s="278"/>
      <c r="U914" s="278"/>
      <c r="V914" s="278"/>
      <c r="W914" s="278"/>
      <c r="X914" s="278"/>
      <c r="Y914" s="89"/>
    </row>
    <row r="915">
      <c r="L915" s="290"/>
      <c r="M915" s="278"/>
      <c r="N915" s="278"/>
      <c r="O915" s="278"/>
      <c r="P915" s="278"/>
      <c r="Q915" s="278"/>
      <c r="R915" s="278"/>
      <c r="S915" s="278"/>
      <c r="T915" s="278"/>
      <c r="U915" s="278"/>
      <c r="V915" s="278"/>
      <c r="W915" s="278"/>
      <c r="X915" s="278"/>
      <c r="Y915" s="89"/>
    </row>
    <row r="916">
      <c r="L916" s="290"/>
      <c r="M916" s="278"/>
      <c r="N916" s="278"/>
      <c r="O916" s="278"/>
      <c r="P916" s="278"/>
      <c r="Q916" s="278"/>
      <c r="R916" s="278"/>
      <c r="S916" s="278"/>
      <c r="T916" s="278"/>
      <c r="U916" s="278"/>
      <c r="V916" s="278"/>
      <c r="W916" s="278"/>
      <c r="X916" s="278"/>
      <c r="Y916" s="89"/>
    </row>
    <row r="917">
      <c r="L917" s="290"/>
      <c r="M917" s="278"/>
      <c r="N917" s="278"/>
      <c r="O917" s="278"/>
      <c r="P917" s="278"/>
      <c r="Q917" s="278"/>
      <c r="R917" s="278"/>
      <c r="S917" s="278"/>
      <c r="T917" s="278"/>
      <c r="U917" s="278"/>
      <c r="V917" s="278"/>
      <c r="W917" s="278"/>
      <c r="X917" s="278"/>
      <c r="Y917" s="89"/>
    </row>
    <row r="918">
      <c r="L918" s="290"/>
      <c r="M918" s="278"/>
      <c r="N918" s="278"/>
      <c r="O918" s="278"/>
      <c r="P918" s="278"/>
      <c r="Q918" s="278"/>
      <c r="R918" s="278"/>
      <c r="S918" s="278"/>
      <c r="T918" s="278"/>
      <c r="U918" s="278"/>
      <c r="V918" s="278"/>
      <c r="W918" s="278"/>
      <c r="X918" s="278"/>
      <c r="Y918" s="89"/>
    </row>
    <row r="919">
      <c r="L919" s="290"/>
      <c r="M919" s="278"/>
      <c r="N919" s="278"/>
      <c r="O919" s="278"/>
      <c r="P919" s="278"/>
      <c r="Q919" s="278"/>
      <c r="R919" s="278"/>
      <c r="S919" s="278"/>
      <c r="T919" s="278"/>
      <c r="U919" s="278"/>
      <c r="V919" s="278"/>
      <c r="W919" s="278"/>
      <c r="X919" s="278"/>
      <c r="Y919" s="89"/>
    </row>
    <row r="920">
      <c r="L920" s="290"/>
      <c r="M920" s="278"/>
      <c r="N920" s="278"/>
      <c r="O920" s="278"/>
      <c r="P920" s="278"/>
      <c r="Q920" s="278"/>
      <c r="R920" s="278"/>
      <c r="S920" s="278"/>
      <c r="T920" s="278"/>
      <c r="U920" s="278"/>
      <c r="V920" s="278"/>
      <c r="W920" s="278"/>
      <c r="X920" s="278"/>
      <c r="Y920" s="89"/>
    </row>
    <row r="921">
      <c r="L921" s="290"/>
      <c r="M921" s="278"/>
      <c r="N921" s="278"/>
      <c r="O921" s="278"/>
      <c r="P921" s="278"/>
      <c r="Q921" s="278"/>
      <c r="R921" s="278"/>
      <c r="S921" s="278"/>
      <c r="T921" s="278"/>
      <c r="U921" s="278"/>
      <c r="V921" s="278"/>
      <c r="W921" s="278"/>
      <c r="X921" s="278"/>
      <c r="Y921" s="89"/>
    </row>
    <row r="922">
      <c r="L922" s="290"/>
      <c r="M922" s="278"/>
      <c r="N922" s="278"/>
      <c r="O922" s="278"/>
      <c r="P922" s="278"/>
      <c r="Q922" s="278"/>
      <c r="R922" s="278"/>
      <c r="S922" s="278"/>
      <c r="T922" s="278"/>
      <c r="U922" s="278"/>
      <c r="V922" s="278"/>
      <c r="W922" s="278"/>
      <c r="X922" s="278"/>
      <c r="Y922" s="89"/>
    </row>
    <row r="923">
      <c r="L923" s="290"/>
      <c r="M923" s="278"/>
      <c r="N923" s="278"/>
      <c r="O923" s="278"/>
      <c r="P923" s="278"/>
      <c r="Q923" s="278"/>
      <c r="R923" s="278"/>
      <c r="S923" s="278"/>
      <c r="T923" s="278"/>
      <c r="U923" s="278"/>
      <c r="V923" s="278"/>
      <c r="W923" s="278"/>
      <c r="X923" s="278"/>
      <c r="Y923" s="89"/>
    </row>
    <row r="924">
      <c r="L924" s="290"/>
      <c r="M924" s="278"/>
      <c r="N924" s="278"/>
      <c r="O924" s="278"/>
      <c r="P924" s="278"/>
      <c r="Q924" s="278"/>
      <c r="R924" s="278"/>
      <c r="S924" s="278"/>
      <c r="T924" s="278"/>
      <c r="U924" s="278"/>
      <c r="V924" s="278"/>
      <c r="W924" s="278"/>
      <c r="X924" s="278"/>
      <c r="Y924" s="89"/>
    </row>
    <row r="925">
      <c r="L925" s="290"/>
      <c r="M925" s="278"/>
      <c r="N925" s="278"/>
      <c r="O925" s="278"/>
      <c r="P925" s="278"/>
      <c r="Q925" s="278"/>
      <c r="R925" s="278"/>
      <c r="S925" s="278"/>
      <c r="T925" s="278"/>
      <c r="U925" s="278"/>
      <c r="V925" s="278"/>
      <c r="W925" s="278"/>
      <c r="X925" s="278"/>
      <c r="Y925" s="89"/>
    </row>
    <row r="926">
      <c r="L926" s="290"/>
      <c r="M926" s="278"/>
      <c r="N926" s="278"/>
      <c r="O926" s="278"/>
      <c r="P926" s="278"/>
      <c r="Q926" s="278"/>
      <c r="R926" s="278"/>
      <c r="S926" s="278"/>
      <c r="T926" s="278"/>
      <c r="U926" s="278"/>
      <c r="V926" s="278"/>
      <c r="W926" s="278"/>
      <c r="X926" s="278"/>
      <c r="Y926" s="89"/>
    </row>
    <row r="927">
      <c r="L927" s="290"/>
      <c r="M927" s="278"/>
      <c r="N927" s="278"/>
      <c r="O927" s="278"/>
      <c r="P927" s="278"/>
      <c r="Q927" s="278"/>
      <c r="R927" s="278"/>
      <c r="S927" s="278"/>
      <c r="T927" s="278"/>
      <c r="U927" s="278"/>
      <c r="V927" s="278"/>
      <c r="W927" s="278"/>
      <c r="X927" s="278"/>
      <c r="Y927" s="89"/>
    </row>
    <row r="928">
      <c r="L928" s="290"/>
      <c r="M928" s="278"/>
      <c r="N928" s="278"/>
      <c r="O928" s="278"/>
      <c r="P928" s="278"/>
      <c r="Q928" s="278"/>
      <c r="R928" s="278"/>
      <c r="S928" s="278"/>
      <c r="T928" s="278"/>
      <c r="U928" s="278"/>
      <c r="V928" s="278"/>
      <c r="W928" s="278"/>
      <c r="X928" s="278"/>
      <c r="Y928" s="89"/>
    </row>
    <row r="929">
      <c r="L929" s="290"/>
      <c r="M929" s="278"/>
      <c r="N929" s="278"/>
      <c r="O929" s="278"/>
      <c r="P929" s="278"/>
      <c r="Q929" s="278"/>
      <c r="R929" s="278"/>
      <c r="S929" s="278"/>
      <c r="T929" s="278"/>
      <c r="U929" s="278"/>
      <c r="V929" s="278"/>
      <c r="W929" s="278"/>
      <c r="X929" s="278"/>
      <c r="Y929" s="89"/>
    </row>
    <row r="930">
      <c r="L930" s="290"/>
      <c r="M930" s="278"/>
      <c r="N930" s="278"/>
      <c r="O930" s="278"/>
      <c r="P930" s="278"/>
      <c r="Q930" s="278"/>
      <c r="R930" s="278"/>
      <c r="S930" s="278"/>
      <c r="T930" s="278"/>
      <c r="U930" s="278"/>
      <c r="V930" s="278"/>
      <c r="W930" s="278"/>
      <c r="X930" s="278"/>
      <c r="Y930" s="89"/>
    </row>
    <row r="931">
      <c r="L931" s="290"/>
      <c r="M931" s="278"/>
      <c r="N931" s="278"/>
      <c r="O931" s="278"/>
      <c r="P931" s="278"/>
      <c r="Q931" s="278"/>
      <c r="R931" s="278"/>
      <c r="S931" s="278"/>
      <c r="T931" s="278"/>
      <c r="U931" s="278"/>
      <c r="V931" s="278"/>
      <c r="W931" s="278"/>
      <c r="X931" s="278"/>
      <c r="Y931" s="89"/>
    </row>
    <row r="932">
      <c r="L932" s="290"/>
      <c r="M932" s="278"/>
      <c r="N932" s="278"/>
      <c r="O932" s="278"/>
      <c r="P932" s="278"/>
      <c r="Q932" s="278"/>
      <c r="R932" s="278"/>
      <c r="S932" s="278"/>
      <c r="T932" s="278"/>
      <c r="U932" s="278"/>
      <c r="V932" s="278"/>
      <c r="W932" s="278"/>
      <c r="X932" s="278"/>
      <c r="Y932" s="89"/>
    </row>
    <row r="933">
      <c r="L933" s="290"/>
      <c r="M933" s="278"/>
      <c r="N933" s="278"/>
      <c r="O933" s="278"/>
      <c r="P933" s="278"/>
      <c r="Q933" s="278"/>
      <c r="R933" s="278"/>
      <c r="S933" s="278"/>
      <c r="T933" s="278"/>
      <c r="U933" s="278"/>
      <c r="V933" s="278"/>
      <c r="W933" s="278"/>
      <c r="X933" s="278"/>
      <c r="Y933" s="89"/>
    </row>
    <row r="934">
      <c r="L934" s="290"/>
      <c r="M934" s="278"/>
      <c r="N934" s="278"/>
      <c r="O934" s="278"/>
      <c r="P934" s="278"/>
      <c r="Q934" s="278"/>
      <c r="R934" s="278"/>
      <c r="S934" s="278"/>
      <c r="T934" s="278"/>
      <c r="U934" s="278"/>
      <c r="V934" s="278"/>
      <c r="W934" s="278"/>
      <c r="X934" s="278"/>
      <c r="Y934" s="89"/>
    </row>
    <row r="935">
      <c r="L935" s="290"/>
      <c r="M935" s="278"/>
      <c r="N935" s="278"/>
      <c r="O935" s="278"/>
      <c r="P935" s="278"/>
      <c r="Q935" s="278"/>
      <c r="R935" s="278"/>
      <c r="S935" s="278"/>
      <c r="T935" s="278"/>
      <c r="U935" s="278"/>
      <c r="V935" s="278"/>
      <c r="W935" s="278"/>
      <c r="X935" s="278"/>
      <c r="Y935" s="89"/>
    </row>
    <row r="936">
      <c r="L936" s="290"/>
      <c r="M936" s="278"/>
      <c r="N936" s="278"/>
      <c r="O936" s="278"/>
      <c r="P936" s="278"/>
      <c r="Q936" s="278"/>
      <c r="R936" s="278"/>
      <c r="S936" s="278"/>
      <c r="T936" s="278"/>
      <c r="U936" s="278"/>
      <c r="V936" s="278"/>
      <c r="W936" s="278"/>
      <c r="X936" s="278"/>
      <c r="Y936" s="89"/>
    </row>
    <row r="937">
      <c r="L937" s="290"/>
      <c r="M937" s="278"/>
      <c r="N937" s="278"/>
      <c r="O937" s="278"/>
      <c r="P937" s="278"/>
      <c r="Q937" s="278"/>
      <c r="R937" s="278"/>
      <c r="S937" s="278"/>
      <c r="T937" s="278"/>
      <c r="U937" s="278"/>
      <c r="V937" s="278"/>
      <c r="W937" s="278"/>
      <c r="X937" s="278"/>
      <c r="Y937" s="89"/>
    </row>
    <row r="938">
      <c r="L938" s="290"/>
      <c r="M938" s="278"/>
      <c r="N938" s="278"/>
      <c r="O938" s="278"/>
      <c r="P938" s="278"/>
      <c r="Q938" s="278"/>
      <c r="R938" s="278"/>
      <c r="S938" s="278"/>
      <c r="T938" s="278"/>
      <c r="U938" s="278"/>
      <c r="V938" s="278"/>
      <c r="W938" s="278"/>
      <c r="X938" s="278"/>
      <c r="Y938" s="89"/>
    </row>
    <row r="939">
      <c r="L939" s="290"/>
      <c r="M939" s="278"/>
      <c r="N939" s="278"/>
      <c r="O939" s="278"/>
      <c r="P939" s="278"/>
      <c r="Q939" s="278"/>
      <c r="R939" s="278"/>
      <c r="S939" s="278"/>
      <c r="T939" s="278"/>
      <c r="U939" s="278"/>
      <c r="V939" s="278"/>
      <c r="W939" s="278"/>
      <c r="X939" s="278"/>
      <c r="Y939" s="89"/>
    </row>
    <row r="940">
      <c r="L940" s="290"/>
      <c r="M940" s="278"/>
      <c r="N940" s="278"/>
      <c r="O940" s="278"/>
      <c r="P940" s="278"/>
      <c r="Q940" s="278"/>
      <c r="R940" s="278"/>
      <c r="S940" s="278"/>
      <c r="T940" s="278"/>
      <c r="U940" s="278"/>
      <c r="V940" s="278"/>
      <c r="W940" s="278"/>
      <c r="X940" s="278"/>
      <c r="Y940" s="89"/>
    </row>
    <row r="941">
      <c r="L941" s="290"/>
      <c r="M941" s="278"/>
      <c r="N941" s="278"/>
      <c r="O941" s="278"/>
      <c r="P941" s="278"/>
      <c r="Q941" s="278"/>
      <c r="R941" s="278"/>
      <c r="S941" s="278"/>
      <c r="T941" s="278"/>
      <c r="U941" s="278"/>
      <c r="V941" s="278"/>
      <c r="W941" s="278"/>
      <c r="X941" s="278"/>
      <c r="Y941" s="89"/>
    </row>
    <row r="942">
      <c r="L942" s="290"/>
      <c r="M942" s="278"/>
      <c r="N942" s="278"/>
      <c r="O942" s="278"/>
      <c r="P942" s="278"/>
      <c r="Q942" s="278"/>
      <c r="R942" s="278"/>
      <c r="S942" s="278"/>
      <c r="T942" s="278"/>
      <c r="U942" s="278"/>
      <c r="V942" s="278"/>
      <c r="W942" s="278"/>
      <c r="X942" s="278"/>
      <c r="Y942" s="89"/>
    </row>
    <row r="943">
      <c r="L943" s="290"/>
      <c r="M943" s="278"/>
      <c r="N943" s="278"/>
      <c r="O943" s="278"/>
      <c r="P943" s="278"/>
      <c r="Q943" s="278"/>
      <c r="R943" s="278"/>
      <c r="S943" s="278"/>
      <c r="T943" s="278"/>
      <c r="U943" s="278"/>
      <c r="V943" s="278"/>
      <c r="W943" s="278"/>
      <c r="X943" s="278"/>
      <c r="Y943" s="89"/>
    </row>
    <row r="944">
      <c r="L944" s="290"/>
      <c r="M944" s="278"/>
      <c r="N944" s="278"/>
      <c r="O944" s="278"/>
      <c r="P944" s="278"/>
      <c r="Q944" s="278"/>
      <c r="R944" s="278"/>
      <c r="S944" s="278"/>
      <c r="T944" s="278"/>
      <c r="U944" s="278"/>
      <c r="V944" s="278"/>
      <c r="W944" s="278"/>
      <c r="X944" s="278"/>
      <c r="Y944" s="89"/>
    </row>
    <row r="945">
      <c r="L945" s="290"/>
      <c r="M945" s="278"/>
      <c r="N945" s="278"/>
      <c r="O945" s="278"/>
      <c r="P945" s="278"/>
      <c r="Q945" s="278"/>
      <c r="R945" s="278"/>
      <c r="S945" s="278"/>
      <c r="T945" s="278"/>
      <c r="U945" s="278"/>
      <c r="V945" s="278"/>
      <c r="W945" s="278"/>
      <c r="X945" s="278"/>
      <c r="Y945" s="89"/>
    </row>
    <row r="946">
      <c r="L946" s="290"/>
      <c r="M946" s="278"/>
      <c r="N946" s="278"/>
      <c r="O946" s="278"/>
      <c r="P946" s="278"/>
      <c r="Q946" s="278"/>
      <c r="R946" s="278"/>
      <c r="S946" s="278"/>
      <c r="T946" s="278"/>
      <c r="U946" s="278"/>
      <c r="V946" s="278"/>
      <c r="W946" s="278"/>
      <c r="X946" s="278"/>
      <c r="Y946" s="89"/>
    </row>
    <row r="947">
      <c r="L947" s="290"/>
      <c r="M947" s="278"/>
      <c r="N947" s="278"/>
      <c r="O947" s="278"/>
      <c r="P947" s="278"/>
      <c r="Q947" s="278"/>
      <c r="R947" s="278"/>
      <c r="S947" s="278"/>
      <c r="T947" s="278"/>
      <c r="U947" s="278"/>
      <c r="V947" s="278"/>
      <c r="W947" s="278"/>
      <c r="X947" s="278"/>
      <c r="Y947" s="89"/>
    </row>
    <row r="948">
      <c r="L948" s="290"/>
      <c r="M948" s="278"/>
      <c r="N948" s="278"/>
      <c r="O948" s="278"/>
      <c r="P948" s="278"/>
      <c r="Q948" s="278"/>
      <c r="R948" s="278"/>
      <c r="S948" s="278"/>
      <c r="T948" s="278"/>
      <c r="U948" s="278"/>
      <c r="V948" s="278"/>
      <c r="W948" s="278"/>
      <c r="X948" s="278"/>
      <c r="Y948" s="89"/>
    </row>
    <row r="949">
      <c r="L949" s="290"/>
      <c r="M949" s="278"/>
      <c r="N949" s="278"/>
      <c r="O949" s="278"/>
      <c r="P949" s="278"/>
      <c r="Q949" s="278"/>
      <c r="R949" s="278"/>
      <c r="S949" s="278"/>
      <c r="T949" s="278"/>
      <c r="U949" s="278"/>
      <c r="V949" s="278"/>
      <c r="W949" s="278"/>
      <c r="X949" s="278"/>
      <c r="Y949" s="89"/>
    </row>
    <row r="950">
      <c r="L950" s="290"/>
      <c r="M950" s="278"/>
      <c r="N950" s="278"/>
      <c r="O950" s="278"/>
      <c r="P950" s="278"/>
      <c r="Q950" s="278"/>
      <c r="R950" s="278"/>
      <c r="S950" s="278"/>
      <c r="T950" s="278"/>
      <c r="U950" s="278"/>
      <c r="V950" s="278"/>
      <c r="W950" s="278"/>
      <c r="X950" s="278"/>
      <c r="Y950" s="89"/>
    </row>
    <row r="951">
      <c r="L951" s="290"/>
      <c r="M951" s="278"/>
      <c r="N951" s="278"/>
      <c r="O951" s="278"/>
      <c r="P951" s="278"/>
      <c r="Q951" s="278"/>
      <c r="R951" s="278"/>
      <c r="S951" s="278"/>
      <c r="T951" s="278"/>
      <c r="U951" s="278"/>
      <c r="V951" s="278"/>
      <c r="W951" s="278"/>
      <c r="X951" s="278"/>
      <c r="Y951" s="89"/>
    </row>
    <row r="952">
      <c r="L952" s="290"/>
      <c r="M952" s="278"/>
      <c r="N952" s="278"/>
      <c r="O952" s="278"/>
      <c r="P952" s="278"/>
      <c r="Q952" s="278"/>
      <c r="R952" s="278"/>
      <c r="S952" s="278"/>
      <c r="T952" s="278"/>
      <c r="U952" s="278"/>
      <c r="V952" s="278"/>
      <c r="W952" s="278"/>
      <c r="X952" s="278"/>
      <c r="Y952" s="89"/>
    </row>
    <row r="953">
      <c r="L953" s="290"/>
      <c r="M953" s="278"/>
      <c r="N953" s="278"/>
      <c r="O953" s="278"/>
      <c r="P953" s="278"/>
      <c r="Q953" s="278"/>
      <c r="R953" s="278"/>
      <c r="S953" s="278"/>
      <c r="T953" s="278"/>
      <c r="U953" s="278"/>
      <c r="V953" s="278"/>
      <c r="W953" s="278"/>
      <c r="X953" s="278"/>
      <c r="Y953" s="89"/>
    </row>
    <row r="954">
      <c r="L954" s="290"/>
      <c r="M954" s="278"/>
      <c r="N954" s="278"/>
      <c r="O954" s="278"/>
      <c r="P954" s="278"/>
      <c r="Q954" s="278"/>
      <c r="R954" s="278"/>
      <c r="S954" s="278"/>
      <c r="T954" s="278"/>
      <c r="U954" s="278"/>
      <c r="V954" s="278"/>
      <c r="W954" s="278"/>
      <c r="X954" s="278"/>
      <c r="Y954" s="89"/>
    </row>
    <row r="955">
      <c r="L955" s="290"/>
      <c r="M955" s="278"/>
      <c r="N955" s="278"/>
      <c r="O955" s="278"/>
      <c r="P955" s="278"/>
      <c r="Q955" s="278"/>
      <c r="R955" s="278"/>
      <c r="S955" s="278"/>
      <c r="T955" s="278"/>
      <c r="U955" s="278"/>
      <c r="V955" s="278"/>
      <c r="W955" s="278"/>
      <c r="X955" s="278"/>
      <c r="Y955" s="89"/>
    </row>
    <row r="956">
      <c r="L956" s="290"/>
      <c r="M956" s="278"/>
      <c r="N956" s="278"/>
      <c r="O956" s="278"/>
      <c r="P956" s="278"/>
      <c r="Q956" s="278"/>
      <c r="R956" s="278"/>
      <c r="S956" s="278"/>
      <c r="T956" s="278"/>
      <c r="U956" s="278"/>
      <c r="V956" s="278"/>
      <c r="W956" s="278"/>
      <c r="X956" s="278"/>
      <c r="Y956" s="89"/>
    </row>
    <row r="957">
      <c r="L957" s="290"/>
      <c r="M957" s="278"/>
      <c r="N957" s="278"/>
      <c r="O957" s="278"/>
      <c r="P957" s="278"/>
      <c r="Q957" s="278"/>
      <c r="R957" s="278"/>
      <c r="S957" s="278"/>
      <c r="T957" s="278"/>
      <c r="U957" s="278"/>
      <c r="V957" s="278"/>
      <c r="W957" s="278"/>
      <c r="X957" s="278"/>
      <c r="Y957" s="89"/>
    </row>
    <row r="958">
      <c r="L958" s="290"/>
      <c r="M958" s="278"/>
      <c r="N958" s="278"/>
      <c r="O958" s="278"/>
      <c r="P958" s="278"/>
      <c r="Q958" s="278"/>
      <c r="R958" s="278"/>
      <c r="S958" s="278"/>
      <c r="T958" s="278"/>
      <c r="U958" s="278"/>
      <c r="V958" s="278"/>
      <c r="W958" s="278"/>
      <c r="X958" s="278"/>
      <c r="Y958" s="89"/>
    </row>
    <row r="959">
      <c r="L959" s="290"/>
      <c r="M959" s="278"/>
      <c r="N959" s="278"/>
      <c r="O959" s="278"/>
      <c r="P959" s="278"/>
      <c r="Q959" s="278"/>
      <c r="R959" s="278"/>
      <c r="S959" s="278"/>
      <c r="T959" s="278"/>
      <c r="U959" s="278"/>
      <c r="V959" s="278"/>
      <c r="W959" s="278"/>
      <c r="X959" s="278"/>
      <c r="Y959" s="89"/>
    </row>
    <row r="960">
      <c r="L960" s="290"/>
      <c r="M960" s="278"/>
      <c r="N960" s="278"/>
      <c r="O960" s="278"/>
      <c r="P960" s="278"/>
      <c r="Q960" s="278"/>
      <c r="R960" s="278"/>
      <c r="S960" s="278"/>
      <c r="T960" s="278"/>
      <c r="U960" s="278"/>
      <c r="V960" s="278"/>
      <c r="W960" s="278"/>
      <c r="X960" s="278"/>
      <c r="Y960" s="89"/>
    </row>
    <row r="961">
      <c r="L961" s="290"/>
      <c r="M961" s="278"/>
      <c r="N961" s="278"/>
      <c r="O961" s="278"/>
      <c r="P961" s="278"/>
      <c r="Q961" s="278"/>
      <c r="R961" s="278"/>
      <c r="S961" s="278"/>
      <c r="T961" s="278"/>
      <c r="U961" s="278"/>
      <c r="V961" s="278"/>
      <c r="W961" s="278"/>
      <c r="X961" s="278"/>
      <c r="Y961" s="89"/>
    </row>
    <row r="962">
      <c r="L962" s="290"/>
      <c r="M962" s="278"/>
      <c r="N962" s="278"/>
      <c r="O962" s="278"/>
      <c r="P962" s="278"/>
      <c r="Q962" s="278"/>
      <c r="R962" s="278"/>
      <c r="S962" s="278"/>
      <c r="T962" s="278"/>
      <c r="U962" s="278"/>
      <c r="V962" s="278"/>
      <c r="W962" s="278"/>
      <c r="X962" s="278"/>
      <c r="Y962" s="89"/>
    </row>
    <row r="963">
      <c r="L963" s="290"/>
      <c r="M963" s="278"/>
      <c r="N963" s="278"/>
      <c r="O963" s="278"/>
      <c r="P963" s="278"/>
      <c r="Q963" s="278"/>
      <c r="R963" s="278"/>
      <c r="S963" s="278"/>
      <c r="T963" s="278"/>
      <c r="U963" s="278"/>
      <c r="V963" s="278"/>
      <c r="W963" s="278"/>
      <c r="X963" s="278"/>
      <c r="Y963" s="89"/>
    </row>
    <row r="964">
      <c r="L964" s="290"/>
      <c r="M964" s="278"/>
      <c r="N964" s="278"/>
      <c r="O964" s="278"/>
      <c r="P964" s="278"/>
      <c r="Q964" s="278"/>
      <c r="R964" s="278"/>
      <c r="S964" s="278"/>
      <c r="T964" s="278"/>
      <c r="U964" s="278"/>
      <c r="V964" s="278"/>
      <c r="W964" s="278"/>
      <c r="X964" s="278"/>
      <c r="Y964" s="89"/>
    </row>
    <row r="965">
      <c r="L965" s="290"/>
      <c r="M965" s="278"/>
      <c r="N965" s="278"/>
      <c r="O965" s="278"/>
      <c r="P965" s="278"/>
      <c r="Q965" s="278"/>
      <c r="R965" s="278"/>
      <c r="S965" s="278"/>
      <c r="T965" s="278"/>
      <c r="U965" s="278"/>
      <c r="V965" s="278"/>
      <c r="W965" s="278"/>
      <c r="X965" s="278"/>
      <c r="Y965" s="89"/>
    </row>
    <row r="966">
      <c r="L966" s="290"/>
      <c r="M966" s="278"/>
      <c r="N966" s="278"/>
      <c r="O966" s="278"/>
      <c r="P966" s="278"/>
      <c r="Q966" s="278"/>
      <c r="R966" s="278"/>
      <c r="S966" s="278"/>
      <c r="T966" s="278"/>
      <c r="U966" s="278"/>
      <c r="V966" s="278"/>
      <c r="W966" s="278"/>
      <c r="X966" s="278"/>
      <c r="Y966" s="89"/>
    </row>
    <row r="967">
      <c r="L967" s="290"/>
      <c r="M967" s="278"/>
      <c r="N967" s="278"/>
      <c r="O967" s="278"/>
      <c r="P967" s="278"/>
      <c r="Q967" s="278"/>
      <c r="R967" s="278"/>
      <c r="S967" s="278"/>
      <c r="T967" s="278"/>
      <c r="U967" s="278"/>
      <c r="V967" s="278"/>
      <c r="W967" s="278"/>
      <c r="X967" s="278"/>
      <c r="Y967" s="89"/>
    </row>
    <row r="968">
      <c r="L968" s="290"/>
      <c r="M968" s="278"/>
      <c r="N968" s="278"/>
      <c r="O968" s="278"/>
      <c r="P968" s="278"/>
      <c r="Q968" s="278"/>
      <c r="R968" s="278"/>
      <c r="S968" s="278"/>
      <c r="T968" s="278"/>
      <c r="U968" s="278"/>
      <c r="V968" s="278"/>
      <c r="W968" s="278"/>
      <c r="X968" s="278"/>
      <c r="Y968" s="89"/>
    </row>
    <row r="969">
      <c r="L969" s="290"/>
      <c r="M969" s="278"/>
      <c r="N969" s="278"/>
      <c r="O969" s="278"/>
      <c r="P969" s="278"/>
      <c r="Q969" s="278"/>
      <c r="R969" s="278"/>
      <c r="S969" s="278"/>
      <c r="T969" s="278"/>
      <c r="U969" s="278"/>
      <c r="V969" s="278"/>
      <c r="W969" s="278"/>
      <c r="X969" s="278"/>
      <c r="Y969" s="89"/>
    </row>
    <row r="970">
      <c r="L970" s="290"/>
      <c r="M970" s="278"/>
      <c r="N970" s="278"/>
      <c r="O970" s="278"/>
      <c r="P970" s="278"/>
      <c r="Q970" s="278"/>
      <c r="R970" s="278"/>
      <c r="S970" s="278"/>
      <c r="T970" s="278"/>
      <c r="U970" s="278"/>
      <c r="V970" s="278"/>
      <c r="W970" s="278"/>
      <c r="X970" s="278"/>
      <c r="Y970" s="89"/>
    </row>
    <row r="971">
      <c r="L971" s="290"/>
      <c r="M971" s="278"/>
      <c r="N971" s="278"/>
      <c r="O971" s="278"/>
      <c r="P971" s="278"/>
      <c r="Q971" s="278"/>
      <c r="R971" s="278"/>
      <c r="S971" s="278"/>
      <c r="T971" s="278"/>
      <c r="U971" s="278"/>
      <c r="V971" s="278"/>
      <c r="W971" s="278"/>
      <c r="X971" s="278"/>
      <c r="Y971" s="89"/>
    </row>
    <row r="972">
      <c r="L972" s="290"/>
      <c r="M972" s="278"/>
      <c r="N972" s="278"/>
      <c r="O972" s="278"/>
      <c r="P972" s="278"/>
      <c r="Q972" s="278"/>
      <c r="R972" s="278"/>
      <c r="S972" s="278"/>
      <c r="T972" s="278"/>
      <c r="U972" s="278"/>
      <c r="V972" s="278"/>
      <c r="W972" s="278"/>
      <c r="X972" s="278"/>
      <c r="Y972" s="89"/>
    </row>
    <row r="973">
      <c r="L973" s="290"/>
      <c r="M973" s="278"/>
      <c r="N973" s="278"/>
      <c r="O973" s="278"/>
      <c r="P973" s="278"/>
      <c r="Q973" s="278"/>
      <c r="R973" s="278"/>
      <c r="S973" s="278"/>
      <c r="T973" s="278"/>
      <c r="U973" s="278"/>
      <c r="V973" s="278"/>
      <c r="W973" s="278"/>
      <c r="X973" s="278"/>
      <c r="Y973" s="89"/>
    </row>
    <row r="974">
      <c r="L974" s="290"/>
      <c r="M974" s="278"/>
      <c r="N974" s="278"/>
      <c r="O974" s="278"/>
      <c r="P974" s="278"/>
      <c r="Q974" s="278"/>
      <c r="R974" s="278"/>
      <c r="S974" s="278"/>
      <c r="T974" s="278"/>
      <c r="U974" s="278"/>
      <c r="V974" s="278"/>
      <c r="W974" s="278"/>
      <c r="X974" s="278"/>
      <c r="Y974" s="89"/>
    </row>
    <row r="975">
      <c r="L975" s="290"/>
      <c r="M975" s="278"/>
      <c r="N975" s="278"/>
      <c r="O975" s="278"/>
      <c r="P975" s="278"/>
      <c r="Q975" s="278"/>
      <c r="R975" s="278"/>
      <c r="S975" s="278"/>
      <c r="T975" s="278"/>
      <c r="U975" s="278"/>
      <c r="V975" s="278"/>
      <c r="W975" s="278"/>
      <c r="X975" s="278"/>
      <c r="Y975" s="89"/>
    </row>
    <row r="976">
      <c r="L976" s="290"/>
      <c r="M976" s="278"/>
      <c r="N976" s="278"/>
      <c r="O976" s="278"/>
      <c r="P976" s="278"/>
      <c r="Q976" s="278"/>
      <c r="R976" s="278"/>
      <c r="S976" s="278"/>
      <c r="T976" s="278"/>
      <c r="U976" s="278"/>
      <c r="V976" s="278"/>
      <c r="W976" s="278"/>
      <c r="X976" s="278"/>
      <c r="Y976" s="89"/>
    </row>
    <row r="977">
      <c r="L977" s="290"/>
      <c r="M977" s="278"/>
      <c r="N977" s="278"/>
      <c r="O977" s="278"/>
      <c r="P977" s="278"/>
      <c r="Q977" s="278"/>
      <c r="R977" s="278"/>
      <c r="S977" s="278"/>
      <c r="T977" s="278"/>
      <c r="U977" s="278"/>
      <c r="V977" s="278"/>
      <c r="W977" s="278"/>
      <c r="X977" s="278"/>
      <c r="Y977" s="89"/>
    </row>
    <row r="978">
      <c r="L978" s="290"/>
      <c r="M978" s="278"/>
      <c r="N978" s="278"/>
      <c r="O978" s="278"/>
      <c r="P978" s="278"/>
      <c r="Q978" s="278"/>
      <c r="R978" s="278"/>
      <c r="S978" s="278"/>
      <c r="T978" s="278"/>
      <c r="U978" s="278"/>
      <c r="V978" s="278"/>
      <c r="W978" s="278"/>
      <c r="X978" s="278"/>
      <c r="Y978" s="89"/>
    </row>
    <row r="979">
      <c r="L979" s="290"/>
      <c r="M979" s="278"/>
      <c r="N979" s="278"/>
      <c r="O979" s="278"/>
      <c r="P979" s="278"/>
      <c r="Q979" s="278"/>
      <c r="R979" s="278"/>
      <c r="S979" s="278"/>
      <c r="T979" s="278"/>
      <c r="U979" s="278"/>
      <c r="V979" s="278"/>
      <c r="W979" s="278"/>
      <c r="X979" s="278"/>
      <c r="Y979" s="89"/>
    </row>
    <row r="980">
      <c r="L980" s="290"/>
      <c r="M980" s="278"/>
      <c r="N980" s="278"/>
      <c r="O980" s="278"/>
      <c r="P980" s="278"/>
      <c r="Q980" s="278"/>
      <c r="R980" s="278"/>
      <c r="S980" s="278"/>
      <c r="T980" s="278"/>
      <c r="U980" s="278"/>
      <c r="V980" s="278"/>
      <c r="W980" s="278"/>
      <c r="X980" s="278"/>
      <c r="Y980" s="89"/>
    </row>
    <row r="981">
      <c r="L981" s="290"/>
      <c r="M981" s="278"/>
      <c r="N981" s="278"/>
      <c r="O981" s="278"/>
      <c r="P981" s="278"/>
      <c r="Q981" s="278"/>
      <c r="R981" s="278"/>
      <c r="S981" s="278"/>
      <c r="T981" s="278"/>
      <c r="U981" s="278"/>
      <c r="V981" s="278"/>
      <c r="W981" s="278"/>
      <c r="X981" s="278"/>
      <c r="Y981" s="89"/>
    </row>
    <row r="982">
      <c r="L982" s="290"/>
      <c r="M982" s="278"/>
      <c r="N982" s="278"/>
      <c r="O982" s="278"/>
      <c r="P982" s="278"/>
      <c r="Q982" s="278"/>
      <c r="R982" s="278"/>
      <c r="S982" s="278"/>
      <c r="T982" s="278"/>
      <c r="U982" s="278"/>
      <c r="V982" s="278"/>
      <c r="W982" s="278"/>
      <c r="X982" s="278"/>
      <c r="Y982" s="89"/>
    </row>
    <row r="983">
      <c r="L983" s="290"/>
      <c r="M983" s="278"/>
      <c r="N983" s="278"/>
      <c r="O983" s="278"/>
      <c r="P983" s="278"/>
      <c r="Q983" s="278"/>
      <c r="R983" s="278"/>
      <c r="S983" s="278"/>
      <c r="T983" s="278"/>
      <c r="U983" s="278"/>
      <c r="V983" s="278"/>
      <c r="W983" s="278"/>
      <c r="X983" s="278"/>
      <c r="Y983" s="89"/>
    </row>
    <row r="984">
      <c r="L984" s="290"/>
      <c r="M984" s="278"/>
      <c r="N984" s="278"/>
      <c r="O984" s="278"/>
      <c r="P984" s="278"/>
      <c r="Q984" s="278"/>
      <c r="R984" s="278"/>
      <c r="S984" s="278"/>
      <c r="T984" s="278"/>
      <c r="U984" s="278"/>
      <c r="V984" s="278"/>
      <c r="W984" s="278"/>
      <c r="X984" s="278"/>
      <c r="Y984" s="89"/>
    </row>
    <row r="985">
      <c r="L985" s="290"/>
      <c r="M985" s="278"/>
      <c r="N985" s="278"/>
      <c r="O985" s="278"/>
      <c r="P985" s="278"/>
      <c r="Q985" s="278"/>
      <c r="R985" s="278"/>
      <c r="S985" s="278"/>
      <c r="T985" s="278"/>
      <c r="U985" s="278"/>
      <c r="V985" s="278"/>
      <c r="W985" s="278"/>
      <c r="X985" s="278"/>
      <c r="Y985" s="89"/>
    </row>
    <row r="986">
      <c r="L986" s="290"/>
      <c r="M986" s="278"/>
      <c r="N986" s="278"/>
      <c r="O986" s="278"/>
      <c r="P986" s="278"/>
      <c r="Q986" s="278"/>
      <c r="R986" s="278"/>
      <c r="S986" s="278"/>
      <c r="T986" s="278"/>
      <c r="U986" s="278"/>
      <c r="V986" s="278"/>
      <c r="W986" s="278"/>
      <c r="X986" s="278"/>
      <c r="Y986" s="89"/>
    </row>
    <row r="987">
      <c r="L987" s="290"/>
      <c r="M987" s="278"/>
      <c r="N987" s="278"/>
      <c r="O987" s="278"/>
      <c r="P987" s="278"/>
      <c r="Q987" s="278"/>
      <c r="R987" s="278"/>
      <c r="S987" s="278"/>
      <c r="T987" s="278"/>
      <c r="U987" s="278"/>
      <c r="V987" s="278"/>
      <c r="W987" s="278"/>
      <c r="X987" s="278"/>
      <c r="Y987" s="89"/>
    </row>
    <row r="988">
      <c r="L988" s="290"/>
      <c r="M988" s="278"/>
      <c r="N988" s="278"/>
      <c r="O988" s="278"/>
      <c r="P988" s="278"/>
      <c r="Q988" s="278"/>
      <c r="R988" s="278"/>
      <c r="S988" s="278"/>
      <c r="T988" s="278"/>
      <c r="U988" s="278"/>
      <c r="V988" s="278"/>
      <c r="W988" s="278"/>
      <c r="X988" s="278"/>
      <c r="Y988" s="89"/>
    </row>
    <row r="989">
      <c r="L989" s="290"/>
      <c r="M989" s="278"/>
      <c r="N989" s="278"/>
      <c r="O989" s="278"/>
      <c r="P989" s="278"/>
      <c r="Q989" s="278"/>
      <c r="R989" s="278"/>
      <c r="S989" s="278"/>
      <c r="T989" s="278"/>
      <c r="U989" s="278"/>
      <c r="V989" s="278"/>
      <c r="W989" s="278"/>
      <c r="X989" s="278"/>
      <c r="Y989" s="89"/>
    </row>
    <row r="990">
      <c r="L990" s="290"/>
      <c r="M990" s="278"/>
      <c r="N990" s="278"/>
      <c r="O990" s="278"/>
      <c r="P990" s="278"/>
      <c r="Q990" s="278"/>
      <c r="R990" s="278"/>
      <c r="S990" s="278"/>
      <c r="T990" s="278"/>
      <c r="U990" s="278"/>
      <c r="V990" s="278"/>
      <c r="W990" s="278"/>
      <c r="X990" s="278"/>
      <c r="Y990" s="89"/>
    </row>
    <row r="991">
      <c r="L991" s="290"/>
      <c r="M991" s="278"/>
      <c r="N991" s="278"/>
      <c r="O991" s="278"/>
      <c r="P991" s="278"/>
      <c r="Q991" s="278"/>
      <c r="R991" s="278"/>
      <c r="S991" s="278"/>
      <c r="T991" s="278"/>
      <c r="U991" s="278"/>
      <c r="V991" s="278"/>
      <c r="W991" s="278"/>
      <c r="X991" s="278"/>
      <c r="Y991" s="89"/>
    </row>
    <row r="992">
      <c r="L992" s="290"/>
      <c r="M992" s="278"/>
      <c r="N992" s="278"/>
      <c r="O992" s="278"/>
      <c r="P992" s="278"/>
      <c r="Q992" s="278"/>
      <c r="R992" s="278"/>
      <c r="S992" s="278"/>
      <c r="T992" s="278"/>
      <c r="U992" s="278"/>
      <c r="V992" s="278"/>
      <c r="W992" s="278"/>
      <c r="X992" s="278"/>
      <c r="Y992" s="89"/>
    </row>
    <row r="993">
      <c r="L993" s="290"/>
      <c r="M993" s="278"/>
      <c r="N993" s="278"/>
      <c r="O993" s="278"/>
      <c r="P993" s="278"/>
      <c r="Q993" s="278"/>
      <c r="R993" s="278"/>
      <c r="S993" s="278"/>
      <c r="T993" s="278"/>
      <c r="U993" s="278"/>
      <c r="V993" s="278"/>
      <c r="W993" s="278"/>
      <c r="X993" s="278"/>
      <c r="Y993" s="89"/>
    </row>
    <row r="994">
      <c r="L994" s="290"/>
      <c r="M994" s="278"/>
      <c r="N994" s="278"/>
      <c r="O994" s="278"/>
      <c r="P994" s="278"/>
      <c r="Q994" s="278"/>
      <c r="R994" s="278"/>
      <c r="S994" s="278"/>
      <c r="T994" s="278"/>
      <c r="U994" s="278"/>
      <c r="V994" s="278"/>
      <c r="W994" s="278"/>
      <c r="X994" s="278"/>
      <c r="Y994" s="89"/>
    </row>
    <row r="995">
      <c r="L995" s="290"/>
      <c r="M995" s="278"/>
      <c r="N995" s="278"/>
      <c r="O995" s="278"/>
      <c r="P995" s="278"/>
      <c r="Q995" s="278"/>
      <c r="R995" s="278"/>
      <c r="S995" s="278"/>
      <c r="T995" s="278"/>
      <c r="U995" s="278"/>
      <c r="V995" s="278"/>
      <c r="W995" s="278"/>
      <c r="X995" s="278"/>
      <c r="Y995" s="89"/>
    </row>
    <row r="996">
      <c r="L996" s="290"/>
      <c r="M996" s="278"/>
      <c r="N996" s="278"/>
      <c r="O996" s="278"/>
      <c r="P996" s="278"/>
      <c r="Q996" s="278"/>
      <c r="R996" s="278"/>
      <c r="S996" s="278"/>
      <c r="T996" s="278"/>
      <c r="U996" s="278"/>
      <c r="V996" s="278"/>
      <c r="W996" s="278"/>
      <c r="X996" s="278"/>
      <c r="Y996" s="89"/>
    </row>
    <row r="997">
      <c r="L997" s="290"/>
      <c r="M997" s="278"/>
      <c r="N997" s="278"/>
      <c r="O997" s="278"/>
      <c r="P997" s="278"/>
      <c r="Q997" s="278"/>
      <c r="R997" s="278"/>
      <c r="S997" s="278"/>
      <c r="T997" s="278"/>
      <c r="U997" s="278"/>
      <c r="V997" s="278"/>
      <c r="W997" s="278"/>
      <c r="X997" s="278"/>
      <c r="Y997" s="89"/>
    </row>
    <row r="998">
      <c r="L998" s="290"/>
      <c r="M998" s="278"/>
      <c r="N998" s="278"/>
      <c r="O998" s="278"/>
      <c r="P998" s="278"/>
      <c r="Q998" s="278"/>
      <c r="R998" s="278"/>
      <c r="S998" s="278"/>
      <c r="T998" s="278"/>
      <c r="U998" s="278"/>
      <c r="V998" s="278"/>
      <c r="W998" s="278"/>
      <c r="X998" s="278"/>
      <c r="Y998" s="89"/>
    </row>
    <row r="999">
      <c r="L999" s="290"/>
      <c r="M999" s="278"/>
      <c r="N999" s="278"/>
      <c r="O999" s="278"/>
      <c r="P999" s="278"/>
      <c r="Q999" s="278"/>
      <c r="R999" s="278"/>
      <c r="S999" s="278"/>
      <c r="T999" s="278"/>
      <c r="U999" s="278"/>
      <c r="V999" s="278"/>
      <c r="W999" s="278"/>
      <c r="X999" s="278"/>
      <c r="Y999" s="89"/>
    </row>
    <row r="1000">
      <c r="L1000" s="290"/>
      <c r="M1000" s="278"/>
      <c r="N1000" s="278"/>
      <c r="O1000" s="278"/>
      <c r="P1000" s="278"/>
      <c r="Q1000" s="278"/>
      <c r="R1000" s="278"/>
      <c r="S1000" s="278"/>
      <c r="T1000" s="278"/>
      <c r="U1000" s="278"/>
      <c r="V1000" s="278"/>
      <c r="W1000" s="278"/>
      <c r="X1000" s="278"/>
      <c r="Y1000" s="89"/>
    </row>
    <row r="1001">
      <c r="L1001" s="290"/>
      <c r="M1001" s="278"/>
      <c r="N1001" s="278"/>
      <c r="O1001" s="278"/>
      <c r="P1001" s="278"/>
      <c r="Q1001" s="278"/>
      <c r="R1001" s="278"/>
      <c r="S1001" s="278"/>
      <c r="T1001" s="278"/>
      <c r="U1001" s="278"/>
      <c r="V1001" s="278"/>
      <c r="W1001" s="278"/>
      <c r="X1001" s="278"/>
      <c r="Y1001" s="89"/>
    </row>
    <row r="1002">
      <c r="L1002" s="291"/>
      <c r="M1002" s="94"/>
      <c r="N1002" s="94"/>
      <c r="O1002" s="94"/>
      <c r="P1002" s="94"/>
      <c r="Q1002" s="94"/>
      <c r="R1002" s="94"/>
      <c r="S1002" s="94"/>
      <c r="T1002" s="94"/>
      <c r="U1002" s="94"/>
      <c r="V1002" s="94"/>
      <c r="W1002" s="94"/>
      <c r="X1002" s="94"/>
      <c r="Y1002" s="95"/>
    </row>
  </sheetData>
  <mergeCells count="1">
    <mergeCell ref="G4:J4"/>
  </mergeCells>
  <drawing r:id="rId1"/>
</worksheet>
</file>