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<sst xmlns="http://schemas.openxmlformats.org/spreadsheetml/2006/main" count="10934" uniqueCount="377">
  <si>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</si>
  <si>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</si>
  <si>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</si>
  <si>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</si>
  <si>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</si>
  <si>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</si>
  <si>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</si>
  <si>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</si>
  <si>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</si>
  <si>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</si>
  <si>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</si>
  <si>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</si>
  <si>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</si>
  <si>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</si>
  <si>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</si>
  <si>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</si>
  <si>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</si>
  <si>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</si>
  <si>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</si>
  <si>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</si>
  <si>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</si>
  <si>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</si>
  <si>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</si>
  <si>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</si>
  <si>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</si>
  <si>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</si>
  <si>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</si>
  <si>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</si>
  <si>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</si>
  <si>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</si>
  <si>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</si>
  <si>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</si>
  <si>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</si>
  <si>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</si>
  <si>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</si>
  <si>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</si>
  <si>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</si>
  <si>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</si>
  <si>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</si>
  <si>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</si>
  <si>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</si>
  <si>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</si>
  <si>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</si>
  <si>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</si>
  <si>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</si>
  <si>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</si>
  <si>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</si>
  <si>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</si>
  <si>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</si>
  <si>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</si>
  <si>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</si>
  <si>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</si>
  <si>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</si>
  <si>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</si>
  <si>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</si>
  <si>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</si>
  <si>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</si>
  <si>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</si>
  <si>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</si>
  <si>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</si>
  <si>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</si>
  <si>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</si>
  <si>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</si>
  <si>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</si>
  <si>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</si>
  <si>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</si>
  <si>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</si>
  <si>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</si>
  <si>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</si>
  <si>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</si>
  <si>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</si>
  <si>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</si>
  <si>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</si>
  <si>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</si>
  <si>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</si>
  <si>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</si>
  <si>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</si>
  <si>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</si>
  <si>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</si>
  <si>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</si>
  <si>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</si>
  <si>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</si>
  <si>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</si>
  <si>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</si>
  <si>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</si>
  <si>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</si>
  <si>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</si>
  <si>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</si>
  <si>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</si>
  <si>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</si>
  <si>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</si>
  <si>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</si>
  <si>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</si>
  <si>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</si>
  <si>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</si>
  <si>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</si>
  <si>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</si>
  <si>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</si>
  <si>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</si>
  <si>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</si>
  <si>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</si>
  <si>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</si>
  <si>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</si>
  <si>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</si>
  <si>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</si>
  <si>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</si>
  <si>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</si>
  <si>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</si>
  <si>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</si>
  <si>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</si>
  <si>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</si>
  <si>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</si>
  <si>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</si>
  <si>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</si>
  <si>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</si>
  <si>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</si>
  <si>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</si>
  <si>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</si>
  <si>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</si>
  <si>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</si>
  <si>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</si>
  <si>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</si>
  <si>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</si>
  <si>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</si>
  <si>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</si>
  <si>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</si>
  <si>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</si>
  <si>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</si>
  <si>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</si>
  <si>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</si>
  <si>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</si>
  <si>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</si>
  <si>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</si>
  <si>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</si>
  <si>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</si>
  <si>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</si>
  <si>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</si>
  <si>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</si>
  <si>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</si>
  <si>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</si>
  <si>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</si>
  <si>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</si>
  <si>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</si>
  <si>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</si>
  <si>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</si>
  <si>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</si>
  <si>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</si>
  <si>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</si>
  <si>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</si>
  <si>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</si>
  <si>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</si>
  <si>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</si>
  <si>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</si>
  <si>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</si>
  <si>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</si>
  <si>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</si>
  <si>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</si>
  <si>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</si>
  <si>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</si>
  <si>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</si>
  <si>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</si>
  <si>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</si>
  <si>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</si>
  <si>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</si>
  <si>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</si>
  <si>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</si>
  <si>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</si>
  <si>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</si>
  <si>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</si>
  <si>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</si>
  <si>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</si>
  <si>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</si>
  <si>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</si>
  <si>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</si>
  <si>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</si>
  <si>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</si>
  <si>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</si>
  <si>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</si>
  <si>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</si>
  <si>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</si>
  <si>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</si>
  <si>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</si>
  <si>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</si>
  <si>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</si>
  <si>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</si>
  <si>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</si>
  <si>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</si>
  <si>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</si>
  <si>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</si>
  <si>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</si>
  <si>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</si>
  <si>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</si>
  <si>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</si>
  <si>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</si>
  <si>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</si>
  <si>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</si>
  <si>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</si>
  <si>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</si>
  <si>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</si>
  <si>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</si>
  <si>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</si>
  <si>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</si>
  <si>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</si>
  <si>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</si>
  <si>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</si>
  <si>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</si>
  <si>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</si>
  <si>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</si>
  <si>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</si>
  <si>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</si>
  <si>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</si>
  <si>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</si>
  <si>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</si>
  <si>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</si>
  <si>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</si>
  <si>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</si>
  <si>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</si>
  <si>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</si>
  <si>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</si>
  <si>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</si>
  <si>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</si>
  <si>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</si>
  <si>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</si>
  <si>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</si>
  <si>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</si>
  <si>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</si>
  <si>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</si>
  <si>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</si>
  <si>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</si>
  <si>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</si>
  <si>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</si>
  <si>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</si>
  <si>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</si>
  <si>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</si>
  <si>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</si>
  <si>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</si>
  <si>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</si>
  <si>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</si>
  <si>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</si>
  <si>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</si>
  <si>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</si>
  <si>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</si>
  <si>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</si>
  <si>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</si>
  <si>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</si>
  <si>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</si>
  <si>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</si>
  <si>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</si>
  <si>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</si>
  <si>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</si>
  <si>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</si>
  <si>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</si>
  <si>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</si>
  <si>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</si>
  <si>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</si>
  <si>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</si>
  <si>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</si>
  <si>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</si>
  <si>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</si>
  <si>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</si>
  <si>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</si>
  <si>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</si>
  <si>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</si>
  <si>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</si>
  <si>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</si>
  <si>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</si>
  <si>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</si>
  <si>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</si>
  <si>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</si>
  <si>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</si>
  <si>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</si>
  <si>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</si>
  <si>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</si>
  <si>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</si>
  <si>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</si>
  <si>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</si>
  <si>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</si>
  <si>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</si>
  <si>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</si>
  <si>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</si>
  <si>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</si>
  <si>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</si>
  <si>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</si>
  <si>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</si>
  <si>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</si>
  <si>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</si>
  <si>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</si>
  <si>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</si>
  <si>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</si>
  <si>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</si>
  <si>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</si>
  <si>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</si>
  <si>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</si>
  <si>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</si>
  <si>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</si>
  <si>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</si>
  <si>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</si>
  <si>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</si>
  <si>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</si>
  <si>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</si>
  <si>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</si>
  <si>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</si>
  <si>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</si>
  <si>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</si>
  <si>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</si>
  <si>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</si>
  <si>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</si>
  <si>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</si>
  <si>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</si>
  <si>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</si>
  <si>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</si>
  <si>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</si>
  <si>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</si>
  <si>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</si>
  <si>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</si>
  <si>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</si>
  <si>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</si>
  <si>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</si>
  <si>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</si>
  <si>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</si>
  <si>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</si>
  <si>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</si>
  <si>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</si>
  <si>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</si>
  <si>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</si>
  <si>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</si>
  <si>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</si>
  <si>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</si>
  <si>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</si>
  <si>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</si>
  <si>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</si>
  <si>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</si>
  <si>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</si>
  <si>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</si>
  <si>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</si>
  <si>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</si>
  <si>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</si>
  <si>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</si>
  <si>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</si>
  <si>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</si>
  <si>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</si>
  <si>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</si>
  <si>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</si>
  <si>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</si>
  <si>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</si>
  <si>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</si>
  <si>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</si>
  <si>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</si>
  <si>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</si>
  <si>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</si>
  <si>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</si>
  <si>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</si>
  <si>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</si>
  <si>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</si>
  <si>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</si>
  <si>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</si>
  <si>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</si>
  <si>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</si>
  <si>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</si>
  <si>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</si>
  <si>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</si>
  <si>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</si>
  <si>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</si>
  <si>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</si>
  <si>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</si>
  <si>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</si>
  <si>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</si>
  <si>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</si>
  <si>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</si>
  <si>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</si>
  <si>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</si>
  <si>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</si>
  <si>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</si>
  <si>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</si>
  <si>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</si>
  <si>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</si>
  <si>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(.08.2024)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</si>
</sst>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918445674"/>
        <c:axId val="1214959316"/>
      </c:barChart>
      <c:catAx>
        <c:axId val="19184456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214959316"/>
      </c:catAx>
      <c:valAx>
        <c:axId val="1214959316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8445674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1826754598"/>
        <c:axId val="275956799"/>
      </c:barChart>
      <c:catAx>
        <c:axId val="18267545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75956799"/>
      </c:catAx>
      <c:valAx>
        <c:axId val="275956799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754598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171155318"/>
        <c:axId val="1940770424"/>
      </c:barChart>
      <c:catAx>
        <c:axId val="1171155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0770424"/>
      </c:catAx>
      <c:valAx>
        <c:axId val="19407704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15531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2046936674"/>
        <c:axId val="1576349177"/>
      </c:barChart>
      <c:catAx>
        <c:axId val="20469366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6349177"/>
      </c:catAx>
      <c:valAx>
        <c:axId val="15763491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693667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320626072"/>
        <c:axId val="316157346"/>
      </c:barChart>
      <c:catAx>
        <c:axId val="13206260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6157346"/>
      </c:catAx>
      <c:valAx>
        <c:axId val="3161573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6260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424357913"/>
        <c:axId val="33670582"/>
      </c:barChart>
      <c:catAx>
        <c:axId val="142435791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670582"/>
      </c:catAx>
      <c:valAx>
        <c:axId val="336705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35791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467443499"/>
        <c:axId val="1293365225"/>
      </c:barChart>
      <c:catAx>
        <c:axId val="14674434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365225"/>
      </c:catAx>
      <c:valAx>
        <c:axId val="12933652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4434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62876930"/>
        <c:axId val="1019456699"/>
      </c:barChart>
      <c:catAx>
        <c:axId val="16287693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9456699"/>
      </c:catAx>
      <c:valAx>
        <c:axId val="10194566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87693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9344734"/>
        <c:axId val="2082685772"/>
      </c:barChart>
      <c:catAx>
        <c:axId val="193447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685772"/>
      </c:catAx>
      <c:valAx>
        <c:axId val="20826857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4473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10</v>
      </c>
      <c r="E7" s="28">
        <f t="shared" ref="E7:E66" si="2">SUM(T7:BZ7)-R7-S7</f>
        <v>49.75</v>
      </c>
      <c r="F7" s="29">
        <f t="shared" ref="F7:F66" si="3">IFERROR((((E7)/D7)*5), )</f>
        <v>24.875</v>
      </c>
      <c r="G7" s="30">
        <f t="shared" ref="G7:G66" si="4">IFERROR(((I7+J7+K7)/D7), )</f>
        <v>3.225</v>
      </c>
      <c r="H7" s="30">
        <f>SUMIFS('Все игры'!C$3:C1011,'Все игры'!A$3:A1011,C7)</f>
        <v>17.5</v>
      </c>
      <c r="I7" s="30">
        <f t="shared" ref="I7:I66" si="5">E7-H7-J7-K7</f>
        <v>31.25</v>
      </c>
      <c r="J7" s="31">
        <f>SUMIFS('Все игры'!F$3:F1011,'Все игры'!A$3:A1011,C7)</f>
        <v>0.5</v>
      </c>
      <c r="K7" s="32">
        <f>SUMIFS('Все игры'!G$3:G1011,'Все игры'!A$3:A1011,C7)</f>
        <v>0.5</v>
      </c>
      <c r="L7" s="33">
        <f>'Игроки статистика'!G5</f>
        <v>1</v>
      </c>
      <c r="M7" s="34">
        <f t="shared" ref="M7:M66" si="6">H7/2.5</f>
        <v>7</v>
      </c>
      <c r="N7" s="34">
        <f>SUM('Игроки статистика'!O5,'Игроки статистика'!Q5)</f>
        <v>2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серия'!$B$7:$C$16,'9 серия'!$B$7:$B$16=C7)), )"),27.0)</f>
        <v>27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серия'!$B$7:$C$16,'9 серия'!$B$7:$B$16=C8)),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15</v>
      </c>
      <c r="E9" s="28">
        <f t="shared" si="2"/>
        <v>67</v>
      </c>
      <c r="F9" s="29">
        <f t="shared" si="3"/>
        <v>22.33333333</v>
      </c>
      <c r="G9" s="44">
        <f t="shared" si="4"/>
        <v>2.8</v>
      </c>
      <c r="H9" s="44">
        <f>SUMIFS('Все игры'!C$3:C1011,'Все игры'!A$3:A1011,C9)</f>
        <v>25</v>
      </c>
      <c r="I9" s="44">
        <f t="shared" si="5"/>
        <v>40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10</v>
      </c>
      <c r="N9" s="34">
        <f>SUM('Игроки статистика'!O7,'Игроки статистика'!Q7)</f>
        <v>2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 t="str">
        <f>IFERROR(__xludf.DUMMYFUNCTION("IFNA(SUM(FILTER('8 серия'!$B$6:$C$15,'8 серия'!$B$6:$B$15=C9)), )"),"")</f>
        <v/>
      </c>
      <c r="AB9" s="30" t="str">
        <f>IFERROR(__xludf.DUMMYFUNCTION("IFNA(SUM(FILTER('9 серия'!$B$7:$C$16,'9 серия'!$B$7:$B$16=C9)), )"),"")</f>
        <v/>
      </c>
      <c r="AC9" s="30">
        <f>IFERROR(__xludf.DUMMYFUNCTION("IFNA(SUM(FILTER('10 серия'!$B$6:$C$15,'10 серия'!$B$6:$B$15=C9)), )"),22.0)</f>
        <v>22</v>
      </c>
      <c r="AD9" s="30">
        <f>IFERROR(__xludf.DUMMYFUNCTION("IFNA(SUM(FILTER('11 серия'!$B$6:$C$15,'11 серия'!$B$6:$B$15=C9)), )"),25.0)</f>
        <v>25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20</v>
      </c>
      <c r="E10" s="28">
        <f t="shared" si="2"/>
        <v>99.75</v>
      </c>
      <c r="F10" s="29">
        <f t="shared" si="3"/>
        <v>24.9375</v>
      </c>
      <c r="G10" s="44">
        <f t="shared" si="4"/>
        <v>3.3625</v>
      </c>
      <c r="H10" s="44">
        <f>SUMIFS('Все игры'!C$3:C1011,'Все игры'!A$3:A1011,C10)</f>
        <v>32.5</v>
      </c>
      <c r="I10" s="44">
        <f t="shared" si="5"/>
        <v>62.25</v>
      </c>
      <c r="J10" s="45">
        <f>SUMIFS('Все игры'!F$3:F1011,'Все игры'!A$3:A1011,C10)</f>
        <v>1</v>
      </c>
      <c r="K10" s="46">
        <f>SUMIFS('Все игры'!G$3:G1011,'Все игры'!A$3:A1011,C10)</f>
        <v>4</v>
      </c>
      <c r="L10" s="33">
        <f>'Игроки статистика'!G8</f>
        <v>6</v>
      </c>
      <c r="M10" s="34">
        <f t="shared" si="6"/>
        <v>13</v>
      </c>
      <c r="N10" s="34">
        <f>SUM('Игроки статистика'!O8,'Игроки статистика'!Q8)</f>
        <v>4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серия'!$B$7:$C$16,'9 серия'!$B$7:$B$16=C10)),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)"),29.25)</f>
        <v>29.25</v>
      </c>
      <c r="AH10" s="30">
        <f>IFERROR(__xludf.DUMMYFUNCTION("IFNA(SUM(FILTER('15 серия'!$B$6:$C$15,'15 серия'!$B$6:$B$15=C10)), )"),27.5)</f>
        <v>27.5</v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серия'!$B$7:$C$16,'9 серия'!$B$7:$B$16=C11)),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серия'!$B$7:$C$16,'9 серия'!$B$7:$B$16=C12)),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20</v>
      </c>
      <c r="E13" s="28">
        <f t="shared" si="2"/>
        <v>62.25</v>
      </c>
      <c r="F13" s="29">
        <f t="shared" si="3"/>
        <v>15.5625</v>
      </c>
      <c r="G13" s="44">
        <f t="shared" si="4"/>
        <v>2.4875</v>
      </c>
      <c r="H13" s="44">
        <f>SUMIFS('Все игры'!C$3:C1011,'Все игры'!A$3:A1011,C13)</f>
        <v>12.5</v>
      </c>
      <c r="I13" s="44">
        <f t="shared" si="5"/>
        <v>49.75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5</v>
      </c>
      <c r="N13" s="34">
        <f>SUM('Игроки статистика'!O11,'Игроки статистика'!Q11)</f>
        <v>2</v>
      </c>
      <c r="O13" s="35">
        <f>SUM('Игроки статистика'!P11,'Игроки статистика'!R11)</f>
        <v>2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серия'!$B$7:$C$16,'9 серия'!$B$7:$B$16=C13)), )"),"")</f>
        <v/>
      </c>
      <c r="AC13" s="30">
        <f>IFERROR(__xludf.DUMMYFUNCTION("IFNA(SUM(FILTER('10 серия'!$B$6:$C$15,'10 серия'!$B$6:$B$15=C13)), )"),15.75)</f>
        <v>15.75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15</v>
      </c>
      <c r="E14" s="28">
        <f t="shared" si="2"/>
        <v>53.25</v>
      </c>
      <c r="F14" s="29">
        <f t="shared" si="3"/>
        <v>17.75</v>
      </c>
      <c r="G14" s="44">
        <f t="shared" si="4"/>
        <v>2.55</v>
      </c>
      <c r="H14" s="44">
        <f>SUMIFS('Все игры'!C$3:C1011,'Все игры'!A$3:A1011,C14)</f>
        <v>15</v>
      </c>
      <c r="I14" s="44">
        <f t="shared" si="5"/>
        <v>37.75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6</v>
      </c>
      <c r="N14" s="34">
        <f>SUM('Игроки статистика'!O12,'Игроки статистика'!Q12)</f>
        <v>3</v>
      </c>
      <c r="O14" s="35">
        <f>SUM('Игроки статистика'!P12,'Игроки статистика'!R12)</f>
        <v>2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серия'!$B$7:$C$16,'9 серия'!$B$7:$B$16=C14)),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)"),12.0)</f>
        <v>12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25</v>
      </c>
      <c r="E15" s="28">
        <f t="shared" si="2"/>
        <v>113.75</v>
      </c>
      <c r="F15" s="29">
        <f t="shared" si="3"/>
        <v>22.75</v>
      </c>
      <c r="G15" s="44">
        <f t="shared" si="4"/>
        <v>3.25</v>
      </c>
      <c r="H15" s="44">
        <f>SUMIFS('Все игры'!C$3:C1011,'Все игры'!A$3:A1011,C15)</f>
        <v>32.5</v>
      </c>
      <c r="I15" s="44">
        <f t="shared" si="5"/>
        <v>78.25</v>
      </c>
      <c r="J15" s="45">
        <f>SUMIFS('Все игры'!F$3:F1011,'Все игры'!A$3:A1011,C15)</f>
        <v>0</v>
      </c>
      <c r="K15" s="46">
        <f>SUMIFS('Все игры'!G$3:G1011,'Все игры'!A$3:A1011,C15)</f>
        <v>3</v>
      </c>
      <c r="L15" s="33">
        <f>'Игроки статистика'!G13</f>
        <v>5</v>
      </c>
      <c r="M15" s="34">
        <f t="shared" si="6"/>
        <v>13</v>
      </c>
      <c r="N15" s="34">
        <f>SUM('Игроки статистика'!O13,'Игроки статистика'!Q13)</f>
        <v>2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серия'!$B$7:$C$16,'9 серия'!$B$7:$B$16=C15)),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)"),23.0)</f>
        <v>23</v>
      </c>
      <c r="AE15" s="30">
        <f>IFERROR(__xludf.DUMMYFUNCTION("IFNA(SUM(FILTER('12 серия'!$B$6:$C$15,'12 серия'!$B$6:$B$15=C15)), )"),18.25)</f>
        <v>18.25</v>
      </c>
      <c r="AF15" s="30">
        <f>IFERROR(__xludf.DUMMYFUNCTION("IFNA(SUM(FILTER('13 серия'!$B$6:$C$15,'13 серия'!$B$6:$B$15=C15)), )"),25.5)</f>
        <v>25.5</v>
      </c>
      <c r="AG15" s="30">
        <f>IFERROR(__xludf.DUMMYFUNCTION("IFNA(SUM(FILTER('14 серия'!$B$6:$C$15,'14 серия'!$B$6:$B$15=C15)), )"),28.0)</f>
        <v>28</v>
      </c>
      <c r="AH15" s="30">
        <f>IFERROR(__xludf.DUMMYFUNCTION("IFNA(SUM(FILTER('15 серия'!$B$6:$C$15,'15 серия'!$B$6:$B$15=C15)), )"),19.0)</f>
        <v>19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25</v>
      </c>
      <c r="E16" s="28">
        <f t="shared" si="2"/>
        <v>101.75</v>
      </c>
      <c r="F16" s="29">
        <f t="shared" si="3"/>
        <v>20.35</v>
      </c>
      <c r="G16" s="44">
        <f t="shared" si="4"/>
        <v>2.67</v>
      </c>
      <c r="H16" s="44">
        <f>SUMIFS('Все игры'!C$3:C1011,'Все игры'!A$3:A1011,C16)</f>
        <v>35</v>
      </c>
      <c r="I16" s="44">
        <f t="shared" si="5"/>
        <v>66.25</v>
      </c>
      <c r="J16" s="45">
        <f>SUMIFS('Все игры'!F$3:F1011,'Все игры'!A$3:A1011,C16)</f>
        <v>0</v>
      </c>
      <c r="K16" s="46">
        <f>SUMIFS('Все игры'!G$3:G1011,'Все игры'!A$3:A1011,C16)</f>
        <v>0.5</v>
      </c>
      <c r="L16" s="33">
        <f>'Игроки статистика'!G14</f>
        <v>1</v>
      </c>
      <c r="M16" s="34">
        <f t="shared" si="6"/>
        <v>14</v>
      </c>
      <c r="N16" s="34">
        <f>SUM('Игроки статистика'!O14,'Игроки статистика'!Q14)</f>
        <v>3</v>
      </c>
      <c r="O16" s="35">
        <f>SUM('Игроки статистика'!P14,'Игроки статистика'!R14)</f>
        <v>1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)"),12.0)</f>
        <v>12</v>
      </c>
      <c r="AB16" s="30">
        <f>IFERROR(__xludf.DUMMYFUNCTION("IFNA(SUM(FILTER('9 серия'!$B$7:$C$16,'9 серия'!$B$7:$B$16=C16)), )"),25.0)</f>
        <v>25</v>
      </c>
      <c r="AC16" s="30">
        <f>IFERROR(__xludf.DUMMYFUNCTION("IFNA(SUM(FILTER('10 серия'!$B$6:$C$15,'10 серия'!$B$6:$B$15=C16)), )"),17.25)</f>
        <v>17.25</v>
      </c>
      <c r="AD16" s="30">
        <f>IFERROR(__xludf.DUMMYFUNCTION("IFNA(SUM(FILTER('11 серия'!$B$6:$C$15,'11 серия'!$B$6:$B$15=C16)), )"),19.75)</f>
        <v>19.75</v>
      </c>
      <c r="AE16" s="30">
        <f>IFERROR(__xludf.DUMMYFUNCTION("IFNA(SUM(FILTER('12 серия'!$B$6:$C$15,'12 серия'!$B$6:$B$15=C16)), )"),27.75)</f>
        <v>27.75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20</v>
      </c>
      <c r="E17" s="28">
        <f t="shared" si="2"/>
        <v>85.5</v>
      </c>
      <c r="F17" s="29">
        <f t="shared" si="3"/>
        <v>21.375</v>
      </c>
      <c r="G17" s="44">
        <f t="shared" si="4"/>
        <v>2.775</v>
      </c>
      <c r="H17" s="44">
        <f>SUMIFS('Все игры'!C$3:C1011,'Все игры'!A$3:A1011,C17)</f>
        <v>30</v>
      </c>
      <c r="I17" s="44">
        <f t="shared" si="5"/>
        <v>54.5</v>
      </c>
      <c r="J17" s="45">
        <f>SUMIFS('Все игры'!F$3:F1011,'Все игры'!A$3:A1011,C17)</f>
        <v>0</v>
      </c>
      <c r="K17" s="46">
        <f>SUMIFS('Все игры'!G$3:G1011,'Все игры'!A$3:A1011,C17)</f>
        <v>1</v>
      </c>
      <c r="L17" s="33">
        <f>'Игроки статистика'!G15</f>
        <v>2</v>
      </c>
      <c r="M17" s="34">
        <f t="shared" si="6"/>
        <v>12</v>
      </c>
      <c r="N17" s="34">
        <f>SUM('Игроки статистика'!O15,'Игроки статистика'!Q15)</f>
        <v>1</v>
      </c>
      <c r="O17" s="35">
        <f>SUM('Игроки статистика'!P15,'Игроки статистика'!R15)</f>
        <v>3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)"),24.0)</f>
        <v>24</v>
      </c>
      <c r="AA17" s="30">
        <f>IFERROR(__xludf.DUMMYFUNCTION("IFNA(SUM(FILTER('8 серия'!$B$6:$C$15,'8 серия'!$B$6:$B$15=C17)), )"),22.25)</f>
        <v>22.25</v>
      </c>
      <c r="AB17" s="30">
        <f>IFERROR(__xludf.DUMMYFUNCTION("IFNA(SUM(FILTER('9 серия'!$B$7:$C$16,'9 серия'!$B$7:$B$16=C17)), )"),17.75)</f>
        <v>17.75</v>
      </c>
      <c r="AC17" s="30">
        <f>IFERROR(__xludf.DUMMYFUNCTION("IFNA(SUM(FILTER('10 серия'!$B$6:$C$15,'10 серия'!$B$6:$B$15=C17)), )"),21.5)</f>
        <v>21.5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10</v>
      </c>
      <c r="E18" s="28">
        <f t="shared" si="2"/>
        <v>47</v>
      </c>
      <c r="F18" s="29">
        <f t="shared" si="3"/>
        <v>23.5</v>
      </c>
      <c r="G18" s="44">
        <f t="shared" si="4"/>
        <v>2.95</v>
      </c>
      <c r="H18" s="44">
        <f>SUMIFS('Все игры'!C$3:C1011,'Все игры'!A$3:A1011,C18)</f>
        <v>17.5</v>
      </c>
      <c r="I18" s="44">
        <f t="shared" si="5"/>
        <v>29</v>
      </c>
      <c r="J18" s="45">
        <f>SUMIFS('Все игры'!F$3:F1011,'Все игры'!A$3:A1011,C18)</f>
        <v>0</v>
      </c>
      <c r="K18" s="46">
        <f>SUMIFS('Все игры'!G$3:G1011,'Все игры'!A$3:A1011,C18)</f>
        <v>0.5</v>
      </c>
      <c r="L18" s="33">
        <f>'Игроки статистика'!G16</f>
        <v>1</v>
      </c>
      <c r="M18" s="34">
        <f t="shared" si="6"/>
        <v>7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)"),25.0)</f>
        <v>25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серия'!$B$7:$C$16,'9 серия'!$B$7:$B$16=C18)), )"),"")</f>
        <v/>
      </c>
      <c r="AC18" s="30" t="str">
        <f>IFERROR(__xludf.DUMMYFUNCTION("IFNA(SUM(FILTER('10 серия'!$B$6:$C$15,'10 серия'!$B$6:$B$15=C18)), )"),"")</f>
        <v/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15</v>
      </c>
      <c r="E19" s="28">
        <f t="shared" si="2"/>
        <v>65.75</v>
      </c>
      <c r="F19" s="29">
        <f t="shared" si="3"/>
        <v>21.91666667</v>
      </c>
      <c r="G19" s="44">
        <f t="shared" si="4"/>
        <v>2.883333333</v>
      </c>
      <c r="H19" s="44">
        <f>SUMIFS('Все игры'!C$3:C1011,'Все игры'!A$3:A1011,C19)</f>
        <v>22.5</v>
      </c>
      <c r="I19" s="44">
        <f t="shared" si="5"/>
        <v>42.25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9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1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)"),22.0)</f>
        <v>22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серия'!$B$7:$C$16,'9 серия'!$B$7:$B$16=C19)),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 t="str">
        <f>IFERROR(__xludf.DUMMYFUNCTION("IFNA(SUM(FILTER('15 серия'!$B$6:$C$15,'15 серия'!$B$6:$B$15=C19)), )"),"")</f>
        <v/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5</v>
      </c>
      <c r="E20" s="28">
        <f t="shared" si="2"/>
        <v>24.5</v>
      </c>
      <c r="F20" s="29">
        <f t="shared" si="3"/>
        <v>24.5</v>
      </c>
      <c r="G20" s="44">
        <f t="shared" si="4"/>
        <v>2.9</v>
      </c>
      <c r="H20" s="44">
        <f>SUMIFS('Все игры'!C$3:C1011,'Все игры'!A$3:A1011,C20)</f>
        <v>10</v>
      </c>
      <c r="I20" s="44">
        <f t="shared" si="5"/>
        <v>14.5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4</v>
      </c>
      <c r="N20" s="34">
        <f>SUM('Игроки статистика'!O18,'Игроки статистика'!Q18)</f>
        <v>1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серия'!$B$7:$C$16,'9 серия'!$B$7:$B$16=C20)),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)"),24.5)</f>
        <v>24.5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серия'!$B$7:$C$16,'9 серия'!$B$7:$B$16=C21)),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15</v>
      </c>
      <c r="E22" s="28">
        <f t="shared" si="2"/>
        <v>49</v>
      </c>
      <c r="F22" s="29">
        <f t="shared" si="3"/>
        <v>16.33333333</v>
      </c>
      <c r="G22" s="44">
        <f t="shared" si="4"/>
        <v>2.433333333</v>
      </c>
      <c r="H22" s="44">
        <f>SUMIFS('Все игры'!C$3:C1011,'Все игры'!A$3:A1011,C22)</f>
        <v>12.5</v>
      </c>
      <c r="I22" s="44">
        <f t="shared" si="5"/>
        <v>36.5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5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серия'!$B$7:$C$16,'9 серия'!$B$7:$B$16=C22)),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)"),16.5)</f>
        <v>16.5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15</v>
      </c>
      <c r="E23" s="28">
        <f t="shared" si="2"/>
        <v>46.25</v>
      </c>
      <c r="F23" s="29">
        <f t="shared" si="3"/>
        <v>15.41666667</v>
      </c>
      <c r="G23" s="44">
        <f t="shared" si="4"/>
        <v>2.583333333</v>
      </c>
      <c r="H23" s="44">
        <f>SUMIFS('Все игры'!C$3:C1011,'Все игры'!A$3:A1011,C23)</f>
        <v>7.5</v>
      </c>
      <c r="I23" s="44">
        <f t="shared" si="5"/>
        <v>37.25</v>
      </c>
      <c r="J23" s="45">
        <f>SUMIFS('Все игры'!F$3:F1011,'Все игры'!A$3:A1011,C23)</f>
        <v>0.5</v>
      </c>
      <c r="K23" s="46">
        <f>SUMIFS('Все игры'!G$3:G1011,'Все игры'!A$3:A1011,C23)</f>
        <v>1</v>
      </c>
      <c r="L23" s="33">
        <f>'Игроки статистика'!G21</f>
        <v>2</v>
      </c>
      <c r="M23" s="34">
        <f t="shared" si="6"/>
        <v>3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6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серия'!$B$7:$C$16,'9 серия'!$B$7:$B$16=C23)),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)"),14.0)</f>
        <v>14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15</v>
      </c>
      <c r="E24" s="28">
        <f t="shared" si="2"/>
        <v>58.25</v>
      </c>
      <c r="F24" s="29">
        <f t="shared" si="3"/>
        <v>19.41666667</v>
      </c>
      <c r="G24" s="44">
        <f t="shared" si="4"/>
        <v>2.383333333</v>
      </c>
      <c r="H24" s="44">
        <f>SUMIFS('Все игры'!C$3:C1011,'Все игры'!A$3:A1011,C24)</f>
        <v>22.5</v>
      </c>
      <c r="I24" s="44">
        <f t="shared" si="5"/>
        <v>35.25</v>
      </c>
      <c r="J24" s="45">
        <f>SUMIFS('Все игры'!F$3:F1011,'Все игры'!A$3:A1011,C24)</f>
        <v>0</v>
      </c>
      <c r="K24" s="46">
        <f>SUMIFS('Все игры'!G$3:G1011,'Все игры'!A$3:A1011,C24)</f>
        <v>0.5</v>
      </c>
      <c r="L24" s="33">
        <f>'Игроки статистика'!G22</f>
        <v>1</v>
      </c>
      <c r="M24" s="34">
        <f t="shared" si="6"/>
        <v>9</v>
      </c>
      <c r="N24" s="34">
        <f>SUM('Игроки статистика'!O22,'Игроки статистика'!Q22)</f>
        <v>1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)"),13.25)</f>
        <v>13.25</v>
      </c>
      <c r="AB24" s="30" t="str">
        <f>IFERROR(__xludf.DUMMYFUNCTION("IFNA(SUM(FILTER('9 серия'!$B$7:$C$16,'9 серия'!$B$7:$B$16=C24)),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)"),22.5)</f>
        <v>22.5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10</v>
      </c>
      <c r="E25" s="28">
        <f t="shared" si="2"/>
        <v>45.25</v>
      </c>
      <c r="F25" s="29">
        <f t="shared" si="3"/>
        <v>22.625</v>
      </c>
      <c r="G25" s="44">
        <f t="shared" si="4"/>
        <v>3.025</v>
      </c>
      <c r="H25" s="44">
        <f>SUMIFS('Все игры'!C$3:C1011,'Все игры'!A$3:A1011,C25)</f>
        <v>15</v>
      </c>
      <c r="I25" s="44">
        <f t="shared" si="5"/>
        <v>30.25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6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1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)"),18.5)</f>
        <v>18.5</v>
      </c>
      <c r="AB25" s="30" t="str">
        <f>IFERROR(__xludf.DUMMYFUNCTION("IFNA(SUM(FILTER('9 серия'!$B$7:$C$16,'9 серия'!$B$7:$B$16=C25)),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)"),26.75)</f>
        <v>26.75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15</v>
      </c>
      <c r="E26" s="28">
        <f t="shared" si="2"/>
        <v>57.5</v>
      </c>
      <c r="F26" s="29">
        <f t="shared" si="3"/>
        <v>19.16666667</v>
      </c>
      <c r="G26" s="44">
        <f t="shared" si="4"/>
        <v>2.833333333</v>
      </c>
      <c r="H26" s="44">
        <f>SUMIFS('Все игры'!C$3:C1011,'Все игры'!A$3:A1011,C26)</f>
        <v>15</v>
      </c>
      <c r="I26" s="44">
        <f t="shared" si="5"/>
        <v>41</v>
      </c>
      <c r="J26" s="45">
        <f>SUMIFS('Все игры'!F$3:F1011,'Все игры'!A$3:A1011,C26)</f>
        <v>0.5</v>
      </c>
      <c r="K26" s="46">
        <f>SUMIFS('Все игры'!G$3:G1011,'Все игры'!A$3:A1011,C26)</f>
        <v>1</v>
      </c>
      <c r="L26" s="33">
        <f>'Игроки статистика'!G24</f>
        <v>2</v>
      </c>
      <c r="M26" s="34">
        <f t="shared" si="6"/>
        <v>6</v>
      </c>
      <c r="N26" s="34">
        <f>SUM('Игроки статистика'!O24,'Игроки статистика'!Q24)</f>
        <v>3</v>
      </c>
      <c r="O26" s="35">
        <f>SUM('Игроки статистика'!P24,'Игроки статистика'!R24)</f>
        <v>2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)"),13.75)</f>
        <v>13.75</v>
      </c>
      <c r="AB26" s="30" t="str">
        <f>IFERROR(__xludf.DUMMYFUNCTION("IFNA(SUM(FILTER('9 серия'!$B$7:$C$16,'9 серия'!$B$7:$B$16=C26)),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)"),22.25)</f>
        <v>22.25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10</v>
      </c>
      <c r="E27" s="28">
        <f t="shared" si="2"/>
        <v>38.25</v>
      </c>
      <c r="F27" s="29">
        <f t="shared" si="3"/>
        <v>19.125</v>
      </c>
      <c r="G27" s="44">
        <f t="shared" si="4"/>
        <v>2.825</v>
      </c>
      <c r="H27" s="44">
        <f>SUMIFS('Все игры'!C$3:C1011,'Все игры'!A$3:A1011,C27)</f>
        <v>10</v>
      </c>
      <c r="I27" s="44">
        <f t="shared" si="5"/>
        <v>28.25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4</v>
      </c>
      <c r="N27" s="34">
        <f>SUM('Игроки статистика'!O25,'Игроки статистика'!Q25)</f>
        <v>1</v>
      </c>
      <c r="O27" s="35">
        <f>SUM('Игроки статистика'!P25,'Игроки статистика'!R25)</f>
        <v>2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)"),15.25)</f>
        <v>15.25</v>
      </c>
      <c r="AB27" s="30" t="str">
        <f>IFERROR(__xludf.DUMMYFUNCTION("IFNA(SUM(FILTER('9 серия'!$B$7:$C$16,'9 серия'!$B$7:$B$16=C27)),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)"),23.0)</f>
        <v>23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серия'!$B$7:$C$16,'9 серия'!$B$7:$B$16=C28)),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 t="str">
        <f>IFERROR(__xludf.DUMMYFUNCTION("IFNA(SUM(FILTER('15 серия'!$B$6:$C$15,'15 серия'!$B$6:$B$15=C28)), )"),"")</f>
        <v/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20</v>
      </c>
      <c r="E29" s="28">
        <f t="shared" si="2"/>
        <v>75.25</v>
      </c>
      <c r="F29" s="29">
        <f t="shared" si="3"/>
        <v>18.8125</v>
      </c>
      <c r="G29" s="44">
        <f t="shared" si="4"/>
        <v>2.5125</v>
      </c>
      <c r="H29" s="44">
        <f>SUMIFS('Все игры'!C$3:C1011,'Все игры'!A$3:A1011,C29)</f>
        <v>25</v>
      </c>
      <c r="I29" s="44">
        <f t="shared" si="5"/>
        <v>49.25</v>
      </c>
      <c r="J29" s="45">
        <f>SUMIFS('Все игры'!F$3:F1011,'Все игры'!A$3:A1011,C29)</f>
        <v>0</v>
      </c>
      <c r="K29" s="46">
        <f>SUMIFS('Все игры'!G$3:G1011,'Все игры'!A$3:A1011,C29)</f>
        <v>1</v>
      </c>
      <c r="L29" s="33">
        <f>'Игроки статистика'!G27</f>
        <v>2</v>
      </c>
      <c r="M29" s="34">
        <f t="shared" si="6"/>
        <v>10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2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серия'!$B$7:$C$16,'9 серия'!$B$7:$B$16=C29)),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)"),20.5)</f>
        <v>20.5</v>
      </c>
      <c r="AG29" s="30" t="str">
        <f>IFERROR(__xludf.DUMMYFUNCTION("IFNA(SUM(FILTER('14 серия'!$B$6:$C$15,'14 серия'!$B$6:$B$15=C29)), )"),"")</f>
        <v/>
      </c>
      <c r="AH29" s="30">
        <f>IFERROR(__xludf.DUMMYFUNCTION("IFNA(SUM(FILTER('15 серия'!$B$6:$C$15,'15 серия'!$B$6:$B$15=C29)), )"),16.75)</f>
        <v>16.75</v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15</v>
      </c>
      <c r="E30" s="28">
        <f t="shared" si="2"/>
        <v>64.75</v>
      </c>
      <c r="F30" s="29">
        <f t="shared" si="3"/>
        <v>21.58333333</v>
      </c>
      <c r="G30" s="44">
        <f t="shared" si="4"/>
        <v>3.15</v>
      </c>
      <c r="H30" s="44">
        <f>SUMIFS('Все игры'!C$3:C1011,'Все игры'!A$3:A1011,C30)</f>
        <v>17.5</v>
      </c>
      <c r="I30" s="44">
        <f t="shared" si="5"/>
        <v>45.75</v>
      </c>
      <c r="J30" s="45">
        <f>SUMIFS('Все игры'!F$3:F1011,'Все игры'!A$3:A1011,C30)</f>
        <v>0.5</v>
      </c>
      <c r="K30" s="46">
        <f>SUMIFS('Все игры'!G$3:G1011,'Все игры'!A$3:A1011,C30)</f>
        <v>1</v>
      </c>
      <c r="L30" s="33">
        <f>'Игроки статистика'!G28</f>
        <v>2</v>
      </c>
      <c r="M30" s="34">
        <f t="shared" si="6"/>
        <v>7</v>
      </c>
      <c r="N30" s="34">
        <f>SUM('Игроки статистика'!O28,'Игроки статистика'!Q28)</f>
        <v>3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серия'!$B$7:$C$16,'9 серия'!$B$7:$B$16=C30)),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)"),19.25)</f>
        <v>19.25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15</v>
      </c>
      <c r="E31" s="28">
        <f t="shared" si="2"/>
        <v>56</v>
      </c>
      <c r="F31" s="29">
        <f t="shared" si="3"/>
        <v>18.66666667</v>
      </c>
      <c r="G31" s="44">
        <f t="shared" si="4"/>
        <v>2.4</v>
      </c>
      <c r="H31" s="44">
        <f>SUMIFS('Все игры'!C$3:C1011,'Все игры'!A$3:A1011,C31)</f>
        <v>20</v>
      </c>
      <c r="I31" s="44">
        <f t="shared" si="5"/>
        <v>36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8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2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)"),19.5)</f>
        <v>19.5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серия'!$B$7:$C$16,'9 серия'!$B$7:$B$16=C31)), )"),"")</f>
        <v/>
      </c>
      <c r="AC31" s="30">
        <f>IFERROR(__xludf.DUMMYFUNCTION("IFNA(SUM(FILTER('10 серия'!$B$6:$C$15,'10 серия'!$B$6:$B$15=C31)), )"),22.5)</f>
        <v>22.5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15</v>
      </c>
      <c r="E32" s="28">
        <f t="shared" si="2"/>
        <v>61.5</v>
      </c>
      <c r="F32" s="29">
        <f t="shared" si="3"/>
        <v>20.5</v>
      </c>
      <c r="G32" s="44">
        <f t="shared" si="4"/>
        <v>2.766666667</v>
      </c>
      <c r="H32" s="44">
        <f>SUMIFS('Все игры'!C$3:C1011,'Все игры'!A$3:A1011,C32)</f>
        <v>20</v>
      </c>
      <c r="I32" s="44">
        <f t="shared" si="5"/>
        <v>40</v>
      </c>
      <c r="J32" s="45">
        <f>SUMIFS('Все игры'!F$3:F1011,'Все игры'!A$3:A1011,C32)</f>
        <v>0.5</v>
      </c>
      <c r="K32" s="46">
        <f>SUMIFS('Все игры'!G$3:G1011,'Все игры'!A$3:A1011,C32)</f>
        <v>1</v>
      </c>
      <c r="L32" s="33">
        <f>'Игроки статистика'!G30</f>
        <v>2</v>
      </c>
      <c r="M32" s="34">
        <f t="shared" si="6"/>
        <v>8</v>
      </c>
      <c r="N32" s="34">
        <f>SUM('Игроки статистика'!O30,'Игроки статистика'!Q30)</f>
        <v>3</v>
      </c>
      <c r="O32" s="35">
        <f>SUM('Игроки статистика'!P30,'Игроки статистика'!R30)</f>
        <v>2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серия'!$B$7:$C$16,'9 серия'!$B$7:$B$16=C32)),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)"),15.75)</f>
        <v>15.75</v>
      </c>
      <c r="AG32" s="30" t="str">
        <f>IFERROR(__xludf.DUMMYFUNCTION("IFNA(SUM(FILTER('14 серия'!$B$6:$C$15,'14 серия'!$B$6:$B$15=C32)), )"),"")</f>
        <v/>
      </c>
      <c r="AH32" s="30">
        <f>IFERROR(__xludf.DUMMYFUNCTION("IFNA(SUM(FILTER('15 серия'!$B$6:$C$15,'15 серия'!$B$6:$B$15=C32)), )"),24.75)</f>
        <v>24.75</v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15</v>
      </c>
      <c r="E33" s="28">
        <f t="shared" si="2"/>
        <v>48</v>
      </c>
      <c r="F33" s="29">
        <f t="shared" si="3"/>
        <v>16</v>
      </c>
      <c r="G33" s="44">
        <f t="shared" si="4"/>
        <v>2.366666667</v>
      </c>
      <c r="H33" s="44">
        <f>SUMIFS('Все игры'!C$3:C1011,'Все игры'!A$3:A1011,C33)</f>
        <v>12.5</v>
      </c>
      <c r="I33" s="44">
        <f t="shared" si="5"/>
        <v>35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5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4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серия'!$B$7:$C$16,'9 серия'!$B$7:$B$16=C33)),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)"),10.75)</f>
        <v>10.75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15</v>
      </c>
      <c r="E34" s="28">
        <f t="shared" si="2"/>
        <v>57.5</v>
      </c>
      <c r="F34" s="29">
        <f t="shared" si="3"/>
        <v>19.16666667</v>
      </c>
      <c r="G34" s="44">
        <f t="shared" si="4"/>
        <v>2.666666667</v>
      </c>
      <c r="H34" s="44">
        <f>SUMIFS('Все игры'!C$3:C1011,'Все игры'!A$3:A1011,C34)</f>
        <v>17.5</v>
      </c>
      <c r="I34" s="44">
        <f t="shared" si="5"/>
        <v>39.5</v>
      </c>
      <c r="J34" s="45">
        <f>SUMIFS('Все игры'!F$3:F1011,'Все игры'!A$3:A1011,C34)</f>
        <v>0</v>
      </c>
      <c r="K34" s="46">
        <f>SUMIFS('Все игры'!G$3:G1011,'Все игры'!A$3:A1011,C34)</f>
        <v>0.5</v>
      </c>
      <c r="L34" s="33">
        <f>'Игроки статистика'!G32</f>
        <v>1</v>
      </c>
      <c r="M34" s="34">
        <f t="shared" si="6"/>
        <v>7</v>
      </c>
      <c r="N34" s="34">
        <f>SUM('Игроки статистика'!O32,'Игроки статистика'!Q32)</f>
        <v>2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серия'!$B$7:$C$16,'9 серия'!$B$7:$B$16=C34)),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)"),18.25)</f>
        <v>18.25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30</v>
      </c>
      <c r="E35" s="28">
        <f t="shared" si="2"/>
        <v>139.75</v>
      </c>
      <c r="F35" s="29">
        <f t="shared" si="3"/>
        <v>23.29166667</v>
      </c>
      <c r="G35" s="44">
        <f t="shared" si="4"/>
        <v>3.241666667</v>
      </c>
      <c r="H35" s="44">
        <f>SUMIFS('Все игры'!C$3:C1011,'Все игры'!A$3:A1011,C35)</f>
        <v>42.5</v>
      </c>
      <c r="I35" s="44">
        <f t="shared" si="5"/>
        <v>89.75</v>
      </c>
      <c r="J35" s="45">
        <f>SUMIFS('Все игры'!F$3:F1011,'Все игры'!A$3:A1011,C35)</f>
        <v>2</v>
      </c>
      <c r="K35" s="46">
        <f>SUMIFS('Все игры'!G$3:G1011,'Все игры'!A$3:A1011,C35)</f>
        <v>5.5</v>
      </c>
      <c r="L35" s="33">
        <f>'Игроки статистика'!G33</f>
        <v>8</v>
      </c>
      <c r="M35" s="34">
        <f t="shared" si="6"/>
        <v>17</v>
      </c>
      <c r="N35" s="34">
        <f>SUM('Игроки статистика'!O33,'Игроки статистика'!Q33)</f>
        <v>6</v>
      </c>
      <c r="O35" s="35">
        <f>SUM('Игроки статистика'!P33,'Игроки статистика'!R33)</f>
        <v>2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)"),30.75)</f>
        <v>30.75</v>
      </c>
      <c r="AA35" s="30">
        <f>IFERROR(__xludf.DUMMYFUNCTION("IFNA(SUM(FILTER('8 серия'!$B$6:$C$15,'8 серия'!$B$6:$B$15=C35)), )"),20.5)</f>
        <v>20.5</v>
      </c>
      <c r="AB35" s="30">
        <f>IFERROR(__xludf.DUMMYFUNCTION("IFNA(SUM(FILTER('9 серия'!$B$7:$C$16,'9 серия'!$B$7:$B$16=C35)), )"),24.75)</f>
        <v>24.75</v>
      </c>
      <c r="AC35" s="30">
        <f>IFERROR(__xludf.DUMMYFUNCTION("IFNA(SUM(FILTER('10 серия'!$B$6:$C$15,'10 серия'!$B$6:$B$15=C35)), )"),18.5)</f>
        <v>18.5</v>
      </c>
      <c r="AD35" s="30">
        <f>IFERROR(__xludf.DUMMYFUNCTION("IFNA(SUM(FILTER('11 серия'!$B$6:$C$15,'11 серия'!$B$6:$B$15=C35)), )"),29.0)</f>
        <v>29</v>
      </c>
      <c r="AE35" s="30">
        <f>IFERROR(__xludf.DUMMYFUNCTION("IFNA(SUM(FILTER('12 серия'!$B$6:$C$15,'12 серия'!$B$6:$B$15=C35)), )"),16.25)</f>
        <v>16.25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10</v>
      </c>
      <c r="E36" s="28">
        <f t="shared" si="2"/>
        <v>34.25</v>
      </c>
      <c r="F36" s="29">
        <f t="shared" si="3"/>
        <v>17.125</v>
      </c>
      <c r="G36" s="44">
        <f t="shared" si="4"/>
        <v>2.675</v>
      </c>
      <c r="H36" s="44">
        <f>SUMIFS('Все игры'!C$3:C1011,'Все игры'!A$3:A1011,C36)</f>
        <v>7.5</v>
      </c>
      <c r="I36" s="44">
        <f t="shared" si="5"/>
        <v>25.25</v>
      </c>
      <c r="J36" s="45">
        <f>SUMIFS('Все игры'!F$3:F1011,'Все игры'!A$3:A1011,C36)</f>
        <v>0.5</v>
      </c>
      <c r="K36" s="46">
        <f>SUMIFS('Все игры'!G$3:G1011,'Все игры'!A$3:A1011,C36)</f>
        <v>1</v>
      </c>
      <c r="L36" s="33">
        <f>'Игроки статистика'!G34</f>
        <v>2</v>
      </c>
      <c r="M36" s="34">
        <f t="shared" si="6"/>
        <v>3</v>
      </c>
      <c r="N36" s="34">
        <f>SUM('Игроки статистика'!O34,'Игроки статистика'!Q34)</f>
        <v>1</v>
      </c>
      <c r="O36" s="35">
        <f>SUM('Игроки статистика'!P34,'Игроки статистика'!R34)</f>
        <v>3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серия'!$B$7:$C$16,'9 серия'!$B$7:$B$16=C36)),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серия'!$B$7:$C$16,'9 серия'!$B$7:$B$16=C37)),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15</v>
      </c>
      <c r="E38" s="28">
        <f t="shared" si="2"/>
        <v>61</v>
      </c>
      <c r="F38" s="29">
        <f t="shared" si="3"/>
        <v>20.33333333</v>
      </c>
      <c r="G38" s="44">
        <f t="shared" si="4"/>
        <v>2.733333333</v>
      </c>
      <c r="H38" s="44">
        <f>SUMIFS('Все игры'!C$3:C1011,'Все игры'!A$3:A1011,C38)</f>
        <v>20</v>
      </c>
      <c r="I38" s="44">
        <f t="shared" si="5"/>
        <v>39</v>
      </c>
      <c r="J38" s="45">
        <f>SUMIFS('Все игры'!F$3:F1011,'Все игры'!A$3:A1011,C38)</f>
        <v>0.5</v>
      </c>
      <c r="K38" s="46">
        <f>SUMIFS('Все игры'!G$3:G1011,'Все игры'!A$3:A1011,C38)</f>
        <v>1.5</v>
      </c>
      <c r="L38" s="33">
        <f>'Игроки статистика'!G36</f>
        <v>2</v>
      </c>
      <c r="M38" s="34">
        <f t="shared" si="6"/>
        <v>8</v>
      </c>
      <c r="N38" s="34">
        <f>SUM('Игроки статистика'!O36,'Игроки статистика'!Q36)</f>
        <v>1</v>
      </c>
      <c r="O38" s="35">
        <f>SUM('Игроки статистика'!P36,'Игроки статистика'!R36)</f>
        <v>1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)"),18.75)</f>
        <v>18.75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серия'!$B$7:$C$16,'9 серия'!$B$7:$B$16=C38)),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)"),17.0)</f>
        <v>17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15</v>
      </c>
      <c r="E39" s="28">
        <f t="shared" si="2"/>
        <v>57.25</v>
      </c>
      <c r="F39" s="29">
        <f t="shared" si="3"/>
        <v>19.08333333</v>
      </c>
      <c r="G39" s="44">
        <f t="shared" si="4"/>
        <v>2.65</v>
      </c>
      <c r="H39" s="44">
        <f>SUMIFS('Все игры'!C$3:C1011,'Все игры'!A$3:A1011,C39)</f>
        <v>17.5</v>
      </c>
      <c r="I39" s="44">
        <f t="shared" si="5"/>
        <v>39.25</v>
      </c>
      <c r="J39" s="45">
        <f>SUMIFS('Все игры'!F$3:F1011,'Все игры'!A$3:A1011,C39)</f>
        <v>0</v>
      </c>
      <c r="K39" s="46">
        <f>SUMIFS('Все игры'!G$3:G1011,'Все игры'!A$3:A1011,C39)</f>
        <v>0.5</v>
      </c>
      <c r="L39" s="33">
        <f>'Игроки статистика'!G37</f>
        <v>1</v>
      </c>
      <c r="M39" s="34">
        <f t="shared" si="6"/>
        <v>7</v>
      </c>
      <c r="N39" s="34">
        <f>SUM('Игроки статистика'!O37,'Игроки статистика'!Q37)</f>
        <v>2</v>
      </c>
      <c r="O39" s="35">
        <f>SUM('Игроки статистика'!P37,'Игроки статистика'!R37)</f>
        <v>3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серия'!$B$7:$C$16,'9 серия'!$B$7:$B$16=C39)),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)"),13.0)</f>
        <v>13</v>
      </c>
      <c r="AG39" s="30">
        <f>IFERROR(__xludf.DUMMYFUNCTION("IFNA(SUM(FILTER('14 серия'!$B$6:$C$15,'14 серия'!$B$6:$B$15=C39)), )"),18.75)</f>
        <v>18.75</v>
      </c>
      <c r="AH39" s="30">
        <f>IFERROR(__xludf.DUMMYFUNCTION("IFNA(SUM(FILTER('15 серия'!$B$6:$C$15,'15 серия'!$B$6:$B$15=C39)), )"),25.5)</f>
        <v>25.5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10</v>
      </c>
      <c r="E40" s="28">
        <f t="shared" si="2"/>
        <v>35.25</v>
      </c>
      <c r="F40" s="29">
        <f t="shared" si="3"/>
        <v>17.625</v>
      </c>
      <c r="G40" s="44">
        <f t="shared" si="4"/>
        <v>2.525</v>
      </c>
      <c r="H40" s="44">
        <f>SUMIFS('Все игры'!C$3:C1011,'Все игры'!A$3:A1011,C40)</f>
        <v>10</v>
      </c>
      <c r="I40" s="44">
        <f t="shared" si="5"/>
        <v>25.25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4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3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серия'!$B$7:$C$16,'9 серия'!$B$7:$B$16=C40)),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серия'!$B$7:$C$16,'9 серия'!$B$7:$B$16=C41)),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серия'!$B$7:$C$16,'9 серия'!$B$7:$B$16=C42)),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серия'!$B$7:$C$16,'9 серия'!$B$7:$B$16=C43)),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20</v>
      </c>
      <c r="E44" s="28">
        <f t="shared" si="2"/>
        <v>93.5</v>
      </c>
      <c r="F44" s="29">
        <f t="shared" si="3"/>
        <v>23.375</v>
      </c>
      <c r="G44" s="44">
        <f t="shared" si="4"/>
        <v>3.05</v>
      </c>
      <c r="H44" s="44">
        <f>SUMIFS('Все игры'!C$3:C1011,'Все игры'!A$3:A1011,C44)</f>
        <v>32.5</v>
      </c>
      <c r="I44" s="44">
        <f t="shared" si="5"/>
        <v>60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13</v>
      </c>
      <c r="N44" s="34">
        <f>SUM('Игроки статистика'!O42,'Игроки статистика'!Q42)</f>
        <v>3</v>
      </c>
      <c r="O44" s="35">
        <f>SUM('Игроки статистика'!P42,'Игроки статистика'!R42)</f>
        <v>1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)"),25.25)</f>
        <v>25.25</v>
      </c>
      <c r="AB44" s="30" t="str">
        <f>IFERROR(__xludf.DUMMYFUNCTION("IFNA(SUM(FILTER('9 серия'!$B$7:$C$16,'9 серия'!$B$7:$B$16=C44)),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)"),15.5)</f>
        <v>15.5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10</v>
      </c>
      <c r="E45" s="28">
        <f t="shared" si="2"/>
        <v>35</v>
      </c>
      <c r="F45" s="29">
        <f t="shared" si="3"/>
        <v>17.5</v>
      </c>
      <c r="G45" s="44">
        <f t="shared" si="4"/>
        <v>2.5</v>
      </c>
      <c r="H45" s="44">
        <f>SUMIFS('Все игры'!C$3:C1011,'Все игры'!A$3:A1011,C45)</f>
        <v>10</v>
      </c>
      <c r="I45" s="44">
        <f t="shared" si="5"/>
        <v>24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4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серия'!$B$7:$C$16,'9 серия'!$B$7:$B$16=C45)), )"),20.5)</f>
        <v>20.5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30</v>
      </c>
      <c r="E46" s="28">
        <f t="shared" si="2"/>
        <v>114.75</v>
      </c>
      <c r="F46" s="29">
        <f t="shared" si="3"/>
        <v>19.125</v>
      </c>
      <c r="G46" s="44">
        <f t="shared" si="4"/>
        <v>2.658333333</v>
      </c>
      <c r="H46" s="44">
        <f>SUMIFS('Все игры'!C$3:C1011,'Все игры'!A$3:A1011,C46)</f>
        <v>35</v>
      </c>
      <c r="I46" s="44">
        <f t="shared" si="5"/>
        <v>79.25</v>
      </c>
      <c r="J46" s="45">
        <f>SUMIFS('Все игры'!F$3:F1011,'Все игры'!A$3:A1011,C46)</f>
        <v>0</v>
      </c>
      <c r="K46" s="46">
        <f>SUMIFS('Все игры'!G$3:G1011,'Все игры'!A$3:A1011,C46)</f>
        <v>0.5</v>
      </c>
      <c r="L46" s="33">
        <f>'Игроки статистика'!G44</f>
        <v>1</v>
      </c>
      <c r="M46" s="34">
        <f t="shared" si="6"/>
        <v>14</v>
      </c>
      <c r="N46" s="34">
        <f>SUM('Игроки статистика'!O44,'Игроки статистика'!Q44)</f>
        <v>3</v>
      </c>
      <c r="O46" s="35">
        <f>SUM('Игроки статистика'!P44,'Игроки статистика'!R44)</f>
        <v>2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)"),19.75)</f>
        <v>19.75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серия'!$B$7:$C$16,'9 серия'!$B$7:$B$16=C46)), )"),"")</f>
        <v/>
      </c>
      <c r="AC46" s="30">
        <f>IFERROR(__xludf.DUMMYFUNCTION("IFNA(SUM(FILTER('10 серия'!$B$6:$C$15,'10 серия'!$B$6:$B$15=C46)), )"),23.5)</f>
        <v>23.5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)"),19.25)</f>
        <v>19.25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)"),19.0)</f>
        <v>19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20</v>
      </c>
      <c r="E47" s="28">
        <f t="shared" si="2"/>
        <v>69</v>
      </c>
      <c r="F47" s="29">
        <f t="shared" si="3"/>
        <v>17.25</v>
      </c>
      <c r="G47" s="44">
        <f t="shared" si="4"/>
        <v>2.45</v>
      </c>
      <c r="H47" s="44">
        <f>SUMIFS('Все игры'!C$3:C1011,'Все игры'!A$3:A1011,C47)</f>
        <v>20</v>
      </c>
      <c r="I47" s="44">
        <f t="shared" si="5"/>
        <v>46.5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8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1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>
        <f>IFERROR(__xludf.DUMMYFUNCTION("IFNA(SUM(FILTER('9 серия'!$B$7:$C$16,'9 серия'!$B$7:$B$16=C47)), )"),12.0)</f>
        <v>12</v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)"),21.0)</f>
        <v>21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10</v>
      </c>
      <c r="E48" s="28">
        <f t="shared" si="2"/>
        <v>36</v>
      </c>
      <c r="F48" s="29">
        <f t="shared" si="3"/>
        <v>18</v>
      </c>
      <c r="G48" s="44">
        <f t="shared" si="4"/>
        <v>2.6</v>
      </c>
      <c r="H48" s="44">
        <f>SUMIFS('Все игры'!C$3:C1011,'Все игры'!A$3:A1011,C48)</f>
        <v>10</v>
      </c>
      <c r="I48" s="44">
        <f t="shared" si="5"/>
        <v>25.5</v>
      </c>
      <c r="J48" s="45">
        <f>SUMIFS('Все игры'!F$3:F1011,'Все игры'!A$3:A1011,C48)</f>
        <v>0</v>
      </c>
      <c r="K48" s="46">
        <f>SUMIFS('Все игры'!G$3:G1011,'Все игры'!A$3:A1011,C48)</f>
        <v>0.5</v>
      </c>
      <c r="L48" s="33">
        <f>'Игроки статистика'!G46</f>
        <v>1</v>
      </c>
      <c r="M48" s="34">
        <f t="shared" si="6"/>
        <v>4</v>
      </c>
      <c r="N48" s="34">
        <f>SUM('Игроки статистика'!O46,'Игроки статистика'!Q46)</f>
        <v>2</v>
      </c>
      <c r="O48" s="35">
        <f>SUM('Игроки статистика'!P46,'Игроки статистика'!R46)</f>
        <v>1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)"),13.5)</f>
        <v>13.5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серия'!$B$7:$C$16,'9 серия'!$B$7:$B$16=C48)),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)"),22.5)</f>
        <v>22.5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серия'!$B$7:$C$16,'9 серия'!$B$7:$B$16=C49)),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10</v>
      </c>
      <c r="E50" s="28">
        <f t="shared" si="2"/>
        <v>36</v>
      </c>
      <c r="F50" s="29">
        <f t="shared" si="3"/>
        <v>18</v>
      </c>
      <c r="G50" s="44">
        <f t="shared" si="4"/>
        <v>2.6</v>
      </c>
      <c r="H50" s="44">
        <f>SUMIFS('Все игры'!C$3:C1011,'Все игры'!A$3:A1011,C50)</f>
        <v>10</v>
      </c>
      <c r="I50" s="44">
        <f t="shared" si="5"/>
        <v>25.5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4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1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>
        <f>IFERROR(__xludf.DUMMYFUNCTION("IFNA(SUM(FILTER('8 серия'!$B$6:$C$15,'8 серия'!$B$6:$B$15=C50)), )"),15.25)</f>
        <v>15.25</v>
      </c>
      <c r="AB50" s="30" t="str">
        <f>IFERROR(__xludf.DUMMYFUNCTION("IFNA(SUM(FILTER('9 серия'!$B$7:$C$16,'9 серия'!$B$7:$B$16=C50)), )"),"")</f>
        <v/>
      </c>
      <c r="AC50" s="30" t="str">
        <f>IFERROR(__xludf.DUMMYFUNCTION("IFNA(SUM(FILTER('10 серия'!$B$6:$C$15,'10 серия'!$B$6:$B$15=C50)), )"),"")</f>
        <v/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15</v>
      </c>
      <c r="E51" s="28">
        <f t="shared" si="2"/>
        <v>73</v>
      </c>
      <c r="F51" s="29">
        <f t="shared" si="3"/>
        <v>24.33333333</v>
      </c>
      <c r="G51" s="44">
        <f t="shared" si="4"/>
        <v>3.2</v>
      </c>
      <c r="H51" s="44">
        <f>SUMIFS('Все игры'!C$3:C1011,'Все игры'!A$3:A1011,C51)</f>
        <v>25</v>
      </c>
      <c r="I51" s="44">
        <f t="shared" si="5"/>
        <v>47</v>
      </c>
      <c r="J51" s="45">
        <f>SUMIFS('Все игры'!F$3:F1011,'Все игры'!A$3:A1011,C51)</f>
        <v>0</v>
      </c>
      <c r="K51" s="46">
        <f>SUMIFS('Все игры'!G$3:G1011,'Все игры'!A$3:A1011,C51)</f>
        <v>1</v>
      </c>
      <c r="L51" s="33">
        <f>'Игроки статистика'!G49</f>
        <v>2</v>
      </c>
      <c r="M51" s="34">
        <f t="shared" si="6"/>
        <v>10</v>
      </c>
      <c r="N51" s="34">
        <f>SUM('Игроки статистика'!O49,'Игроки статистика'!Q49)</f>
        <v>4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)"),23.75)</f>
        <v>23.75</v>
      </c>
      <c r="AA51" s="30" t="str">
        <f>IFERROR(__xludf.DUMMYFUNCTION("IFNA(SUM(FILTER('8 серия'!$B$6:$C$15,'8 серия'!$B$6:$B$15=C51)), )"),"")</f>
        <v/>
      </c>
      <c r="AB51" s="30" t="str">
        <f>IFERROR(__xludf.DUMMYFUNCTION("IFNA(SUM(FILTER('9 серия'!$B$7:$C$16,'9 серия'!$B$7:$B$16=C51)), )"),"")</f>
        <v/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 t="str">
        <f>IFERROR(__xludf.DUMMYFUNCTION("IFNA(SUM(FILTER('15 серия'!$B$6:$C$15,'15 серия'!$B$6:$B$15=C51)), )"),"")</f>
        <v/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15</v>
      </c>
      <c r="E52" s="28">
        <f t="shared" si="2"/>
        <v>71.5</v>
      </c>
      <c r="F52" s="29">
        <f t="shared" si="3"/>
        <v>23.83333333</v>
      </c>
      <c r="G52" s="44">
        <f t="shared" si="4"/>
        <v>2.933333333</v>
      </c>
      <c r="H52" s="44">
        <f>SUMIFS('Все игры'!C$3:C1011,'Все игры'!A$3:A1011,C52)</f>
        <v>27.5</v>
      </c>
      <c r="I52" s="44">
        <f t="shared" si="5"/>
        <v>43</v>
      </c>
      <c r="J52" s="45">
        <f>SUMIFS('Все игры'!F$3:F1011,'Все игры'!A$3:A1011,C52)</f>
        <v>0.5</v>
      </c>
      <c r="K52" s="46">
        <f>SUMIFS('Все игры'!G$3:G1011,'Все игры'!A$3:A1011,C52)</f>
        <v>0.5</v>
      </c>
      <c r="L52" s="33">
        <f>'Игроки статистика'!G50</f>
        <v>1</v>
      </c>
      <c r="M52" s="34">
        <f t="shared" si="6"/>
        <v>11</v>
      </c>
      <c r="N52" s="34">
        <f>SUM('Игроки статистика'!O50,'Игроки статистика'!Q50)</f>
        <v>4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серия'!$B$7:$C$16,'9 серия'!$B$7:$B$16=C52)),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)"),25.25)</f>
        <v>25.25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25</v>
      </c>
      <c r="E53" s="28">
        <f t="shared" si="2"/>
        <v>82.5</v>
      </c>
      <c r="F53" s="29">
        <f t="shared" si="3"/>
        <v>16.5</v>
      </c>
      <c r="G53" s="44">
        <f t="shared" si="4"/>
        <v>2.4</v>
      </c>
      <c r="H53" s="44">
        <f>SUMIFS('Все игры'!C$3:C1011,'Все игры'!A$3:A1011,C53)</f>
        <v>22.5</v>
      </c>
      <c r="I53" s="44">
        <f t="shared" si="5"/>
        <v>59.5</v>
      </c>
      <c r="J53" s="45">
        <f>SUMIFS('Все игры'!F$3:F1011,'Все игры'!A$3:A1011,C53)</f>
        <v>0</v>
      </c>
      <c r="K53" s="46">
        <f>SUMIFS('Все игры'!G$3:G1011,'Все игры'!A$3:A1011,C53)</f>
        <v>0.5</v>
      </c>
      <c r="L53" s="33">
        <f>'Игроки статистика'!G51</f>
        <v>1</v>
      </c>
      <c r="M53" s="34">
        <f t="shared" si="6"/>
        <v>9</v>
      </c>
      <c r="N53" s="34">
        <f>SUM('Игроки статистика'!O51,'Игроки статистика'!Q51)</f>
        <v>1</v>
      </c>
      <c r="O53" s="35">
        <f>SUM('Игроки статистика'!P51,'Игроки статистика'!R51)</f>
        <v>3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серия'!$B$7:$C$16,'9 серия'!$B$7:$B$16=C53)), )"),"")</f>
        <v/>
      </c>
      <c r="AC53" s="30">
        <f>IFERROR(__xludf.DUMMYFUNCTION("IFNA(SUM(FILTER('10 серия'!$B$6:$C$15,'10 серия'!$B$6:$B$15=C53)), )"),20.75)</f>
        <v>20.75</v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)"),11.0)</f>
        <v>11</v>
      </c>
      <c r="AF53" s="30">
        <f>IFERROR(__xludf.DUMMYFUNCTION("IFNA(SUM(FILTER('13 серия'!$B$6:$C$15,'13 серия'!$B$6:$B$15=C53)), )"),15.0)</f>
        <v>15</v>
      </c>
      <c r="AG53" s="30">
        <f>IFERROR(__xludf.DUMMYFUNCTION("IFNA(SUM(FILTER('14 серия'!$B$6:$C$15,'14 серия'!$B$6:$B$15=C53)), )"),18.25)</f>
        <v>18.25</v>
      </c>
      <c r="AH53" s="30">
        <f>IFERROR(__xludf.DUMMYFUNCTION("IFNA(SUM(FILTER('15 серия'!$B$6:$C$15,'15 серия'!$B$6:$B$15=C53)), )"),17.5)</f>
        <v>17.5</v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15</v>
      </c>
      <c r="E54" s="28">
        <f t="shared" si="2"/>
        <v>57</v>
      </c>
      <c r="F54" s="29">
        <f t="shared" si="3"/>
        <v>19</v>
      </c>
      <c r="G54" s="44">
        <f t="shared" si="4"/>
        <v>2.633333333</v>
      </c>
      <c r="H54" s="44">
        <f>SUMIFS('Все игры'!C$3:C1011,'Все игры'!A$3:A1011,C54)</f>
        <v>17.5</v>
      </c>
      <c r="I54" s="44">
        <f t="shared" si="5"/>
        <v>39.5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7</v>
      </c>
      <c r="N54" s="34">
        <f>SUM('Игроки статистика'!O52,'Игроки статистика'!Q52)</f>
        <v>2</v>
      </c>
      <c r="O54" s="35">
        <f>SUM('Игроки статистика'!P52,'Игроки статистика'!R52)</f>
        <v>3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серия'!$B$7:$C$16,'9 серия'!$B$7:$B$16=C54)), )"),20.5)</f>
        <v>20.5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)"),18.0)</f>
        <v>18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10</v>
      </c>
      <c r="E55" s="28">
        <f t="shared" si="2"/>
        <v>39.75</v>
      </c>
      <c r="F55" s="29">
        <f t="shared" si="3"/>
        <v>19.875</v>
      </c>
      <c r="G55" s="44">
        <f t="shared" si="4"/>
        <v>2.725</v>
      </c>
      <c r="H55" s="44">
        <f>SUMIFS('Все игры'!C$3:C1011,'Все игры'!A$3:A1011,C55)</f>
        <v>12.5</v>
      </c>
      <c r="I55" s="44">
        <f t="shared" si="5"/>
        <v>24.75</v>
      </c>
      <c r="J55" s="45">
        <f>SUMIFS('Все игры'!F$3:F1011,'Все игры'!A$3:A1011,C55)</f>
        <v>0.5</v>
      </c>
      <c r="K55" s="46">
        <f>SUMIFS('Все игры'!G$3:G1011,'Все игры'!A$3:A1011,C55)</f>
        <v>2</v>
      </c>
      <c r="L55" s="33">
        <f>'Игроки статистика'!G53</f>
        <v>3</v>
      </c>
      <c r="M55" s="34">
        <f t="shared" si="6"/>
        <v>5</v>
      </c>
      <c r="N55" s="34">
        <f>SUM('Игроки статистика'!O53,'Игроки статистика'!Q53)</f>
        <v>1</v>
      </c>
      <c r="O55" s="35">
        <f>SUM('Игроки статистика'!P53,'Игроки статистика'!R53)</f>
        <v>2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серия'!$B$7:$C$16,'9 серия'!$B$7:$B$16=C55)), )"),18.75)</f>
        <v>18.75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15</v>
      </c>
      <c r="E56" s="28">
        <f t="shared" si="2"/>
        <v>57.75</v>
      </c>
      <c r="F56" s="29">
        <f t="shared" si="3"/>
        <v>19.25</v>
      </c>
      <c r="G56" s="44">
        <f t="shared" si="4"/>
        <v>2.516666667</v>
      </c>
      <c r="H56" s="44">
        <f>SUMIFS('Все игры'!C$3:C1011,'Все игры'!A$3:A1011,C56)</f>
        <v>20</v>
      </c>
      <c r="I56" s="44">
        <f t="shared" si="5"/>
        <v>36.75</v>
      </c>
      <c r="J56" s="45">
        <f>SUMIFS('Все игры'!F$3:F1011,'Все игры'!A$3:A1011,C56)</f>
        <v>0.5</v>
      </c>
      <c r="K56" s="46">
        <f>SUMIFS('Все игры'!G$3:G1011,'Все игры'!A$3:A1011,C56)</f>
        <v>0.5</v>
      </c>
      <c r="L56" s="33">
        <f>'Игроки статистика'!G54</f>
        <v>1</v>
      </c>
      <c r="M56" s="34">
        <f t="shared" si="6"/>
        <v>8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3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)"),20.75)</f>
        <v>20.75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серия'!$B$7:$C$16,'9 серия'!$B$7:$B$16=C56)),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)"),17.5)</f>
        <v>17.5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)"),19.5)</f>
        <v>19.5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15</v>
      </c>
      <c r="E57" s="28">
        <f t="shared" si="2"/>
        <v>57.5</v>
      </c>
      <c r="F57" s="29">
        <f t="shared" si="3"/>
        <v>19.16666667</v>
      </c>
      <c r="G57" s="44">
        <f t="shared" si="4"/>
        <v>2.666666667</v>
      </c>
      <c r="H57" s="44">
        <f>SUMIFS('Все игры'!C$3:C1011,'Все игры'!A$3:A1011,C57)</f>
        <v>17.5</v>
      </c>
      <c r="I57" s="44">
        <f t="shared" si="5"/>
        <v>39.5</v>
      </c>
      <c r="J57" s="45">
        <f>SUMIFS('Все игры'!F$3:F1011,'Все игры'!A$3:A1011,C57)</f>
        <v>0</v>
      </c>
      <c r="K57" s="46">
        <f>SUMIFS('Все игры'!G$3:G1011,'Все игры'!A$3:A1011,C57)</f>
        <v>0.5</v>
      </c>
      <c r="L57" s="33">
        <f>'Игроки статистика'!G55</f>
        <v>1</v>
      </c>
      <c r="M57" s="34">
        <f t="shared" si="6"/>
        <v>7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4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серия'!$B$7:$C$16,'9 серия'!$B$7:$B$16=C57)), )"),25.25)</f>
        <v>25.25</v>
      </c>
      <c r="AC57" s="30">
        <f>IFERROR(__xludf.DUMMYFUNCTION("IFNA(SUM(FILTER('10 серия'!$B$6:$C$15,'10 серия'!$B$6:$B$15=C57)), )"),18.25)</f>
        <v>18.25</v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)"),14.0)</f>
        <v>14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серия'!$B$7:$C$16,'9 серия'!$B$7:$B$16=C58)),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серия'!$B$7:$C$16,'9 серия'!$B$7:$B$16=C59)),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15</v>
      </c>
      <c r="E60" s="28">
        <f t="shared" si="2"/>
        <v>58.75</v>
      </c>
      <c r="F60" s="29">
        <f t="shared" si="3"/>
        <v>19.58333333</v>
      </c>
      <c r="G60" s="44">
        <f t="shared" si="4"/>
        <v>2.916666667</v>
      </c>
      <c r="H60" s="44">
        <f>SUMIFS('Все игры'!C$3:C1011,'Все игры'!A$3:A1011,C60)</f>
        <v>15</v>
      </c>
      <c r="I60" s="44">
        <f t="shared" si="5"/>
        <v>43.25</v>
      </c>
      <c r="J60" s="45">
        <f>SUMIFS('Все игры'!F$3:F1011,'Все игры'!A$3:A1011,C60)</f>
        <v>0</v>
      </c>
      <c r="K60" s="46">
        <f>SUMIFS('Все игры'!G$3:G1011,'Все игры'!A$3:A1011,C60)</f>
        <v>0.5</v>
      </c>
      <c r="L60" s="33">
        <f>'Игроки статистика'!G58</f>
        <v>1</v>
      </c>
      <c r="M60" s="34">
        <f t="shared" si="6"/>
        <v>6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2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серия'!$B$7:$C$16,'9 серия'!$B$7:$B$16=C60)), )"),16.0)</f>
        <v>16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)"),20.5)</f>
        <v>20.5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10</v>
      </c>
      <c r="E61" s="28">
        <f t="shared" si="2"/>
        <v>32.5</v>
      </c>
      <c r="F61" s="29">
        <f t="shared" si="3"/>
        <v>16.25</v>
      </c>
      <c r="G61" s="44">
        <f t="shared" si="4"/>
        <v>2.75</v>
      </c>
      <c r="H61" s="44">
        <f>SUMIFS('Все игры'!C$3:C1011,'Все игры'!A$3:A1011,C61)</f>
        <v>5</v>
      </c>
      <c r="I61" s="44">
        <f t="shared" si="5"/>
        <v>27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2</v>
      </c>
      <c r="N61" s="34">
        <f>SUM('Игроки статистика'!O59,'Игроки статистика'!Q59)</f>
        <v>1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серия'!$B$7:$C$16,'9 серия'!$B$7:$B$16=C61)),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5</v>
      </c>
      <c r="E62" s="28">
        <f t="shared" si="2"/>
        <v>18.75</v>
      </c>
      <c r="F62" s="29">
        <f t="shared" si="3"/>
        <v>18.75</v>
      </c>
      <c r="G62" s="44">
        <f t="shared" si="4"/>
        <v>2.75</v>
      </c>
      <c r="H62" s="44">
        <f>SUMIFS('Все игры'!C$3:C1011,'Все игры'!A$3:A1011,C62)</f>
        <v>5</v>
      </c>
      <c r="I62" s="44">
        <f t="shared" si="5"/>
        <v>13.75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2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1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серия'!$B$7:$C$16,'9 серия'!$B$7:$B$16=C62)),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)"),18.75)</f>
        <v>18.75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10</v>
      </c>
      <c r="E63" s="28">
        <f t="shared" si="2"/>
        <v>37</v>
      </c>
      <c r="F63" s="29">
        <f t="shared" si="3"/>
        <v>18.5</v>
      </c>
      <c r="G63" s="44">
        <f t="shared" si="4"/>
        <v>2.45</v>
      </c>
      <c r="H63" s="44">
        <f>SUMIFS('Все игры'!C$3:C1011,'Все игры'!A$3:A1011,C63)</f>
        <v>12.5</v>
      </c>
      <c r="I63" s="44">
        <f t="shared" si="5"/>
        <v>24.5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5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серия'!$B$7:$C$16,'9 серия'!$B$7:$B$16=C63)),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15</v>
      </c>
      <c r="E64" s="28">
        <f t="shared" si="2"/>
        <v>65.5</v>
      </c>
      <c r="F64" s="29">
        <f t="shared" si="3"/>
        <v>21.83333333</v>
      </c>
      <c r="G64" s="44">
        <f t="shared" si="4"/>
        <v>2.866666667</v>
      </c>
      <c r="H64" s="44">
        <f>SUMIFS('Все игры'!C$3:C1011,'Все игры'!A$3:A1011,C64)</f>
        <v>22.5</v>
      </c>
      <c r="I64" s="44">
        <f t="shared" si="5"/>
        <v>43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9</v>
      </c>
      <c r="N64" s="34">
        <f>SUM('Игроки статистика'!O62,'Игроки статистика'!Q62)</f>
        <v>4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серия'!$B$7:$C$16,'9 серия'!$B$7:$B$16=C64)), )"),"")</f>
        <v/>
      </c>
      <c r="AC64" s="30">
        <f>IFERROR(__xludf.DUMMYFUNCTION("IFNA(SUM(FILTER('10 серия'!$B$6:$C$15,'10 серия'!$B$6:$B$15=C64)), )"),23.25)</f>
        <v>23.25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)"),27.75)</f>
        <v>27.75</v>
      </c>
      <c r="AH64" s="30" t="str">
        <f>IFERROR(__xludf.DUMMYFUNCTION("IFNA(SUM(FILTER('15 серия'!$B$6:$C$15,'15 серия'!$B$6:$B$15=C64)), )"),"")</f>
        <v/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10</v>
      </c>
      <c r="E65" s="28">
        <f t="shared" si="2"/>
        <v>33.5</v>
      </c>
      <c r="F65" s="29">
        <f t="shared" si="3"/>
        <v>16.75</v>
      </c>
      <c r="G65" s="44">
        <f t="shared" si="4"/>
        <v>2.6</v>
      </c>
      <c r="H65" s="44">
        <f>SUMIFS('Все игры'!C$3:C1011,'Все игры'!A$3:A1011,C65)</f>
        <v>7.5</v>
      </c>
      <c r="I65" s="44">
        <f t="shared" si="5"/>
        <v>26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3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серия'!$B$7:$C$16,'9 серия'!$B$7:$B$16=C65)), )"),"")</f>
        <v/>
      </c>
      <c r="AC65" s="30" t="str">
        <f>IFERROR(__xludf.DUMMYFUNCTION("IFNA(SUM(FILTER('10 серия'!$B$6:$C$15,'10 серия'!$B$6:$B$15=C65)), )"),"")</f>
        <v/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20</v>
      </c>
      <c r="E66" s="28">
        <f t="shared" si="2"/>
        <v>83.25</v>
      </c>
      <c r="F66" s="29">
        <f t="shared" si="3"/>
        <v>20.8125</v>
      </c>
      <c r="G66" s="53">
        <f t="shared" si="4"/>
        <v>2.9125</v>
      </c>
      <c r="H66" s="53">
        <f>SUMIFS('Все игры'!C$3:C1011,'Все игры'!A$3:A1011,C66)</f>
        <v>25</v>
      </c>
      <c r="I66" s="53">
        <f t="shared" si="5"/>
        <v>57.75</v>
      </c>
      <c r="J66" s="54">
        <f>SUMIFS('Все игры'!F$3:F1011,'Все игры'!A$3:A1011,C66)</f>
        <v>0</v>
      </c>
      <c r="K66" s="55">
        <f>SUMIFS('Все игры'!G$3:G1011,'Все игры'!A$3:A1011,C66)</f>
        <v>0.5</v>
      </c>
      <c r="L66" s="33">
        <f>'Игроки статистика'!G64</f>
        <v>1</v>
      </c>
      <c r="M66" s="34">
        <f t="shared" si="6"/>
        <v>10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)"),15.75)</f>
        <v>15.75</v>
      </c>
      <c r="AB66" s="30" t="str">
        <f>IFERROR(__xludf.DUMMYFUNCTION("IFNA(SUM(FILTER('9 серия'!$B$7:$C$16,'9 серия'!$B$7:$B$16=C66)),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)"),17.75)</f>
        <v>17.75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)"),23.75)</f>
        <v>23.75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23.375</v>
      </c>
      <c r="I4" s="73"/>
      <c r="J4" s="71" t="s">
        <v>141</v>
      </c>
      <c r="M4" s="74">
        <f>'Турнирная таблица по среднему б'!M4</f>
        <v>20.5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187.25</v>
      </c>
      <c r="I5" s="79"/>
      <c r="J5" s="80" t="s">
        <v>143</v>
      </c>
      <c r="K5" s="77"/>
      <c r="L5" s="81"/>
      <c r="M5" s="82">
        <f>'Турнирная таблица по среднему б'!M5</f>
        <v>164.25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РФ</v>
      </c>
      <c r="D9" s="97">
        <v>30.0</v>
      </c>
      <c r="E9" s="98">
        <v>139.75</v>
      </c>
      <c r="F9" s="99">
        <v>23.291666666666664</v>
      </c>
      <c r="G9" s="100">
        <v>3.2416666666666667</v>
      </c>
      <c r="H9" s="99">
        <v>42.5</v>
      </c>
      <c r="I9" s="101">
        <v>89.75</v>
      </c>
      <c r="J9" s="102">
        <v>2.0</v>
      </c>
      <c r="K9" s="103">
        <v>5.5</v>
      </c>
      <c r="L9" s="104">
        <v>8.0</v>
      </c>
      <c r="M9" s="105">
        <v>17.0</v>
      </c>
      <c r="N9" s="105">
        <v>6.0</v>
      </c>
      <c r="O9" s="106">
        <v>2.0</v>
      </c>
      <c r="P9" s="107"/>
      <c r="Q9" s="108"/>
      <c r="R9" s="108"/>
      <c r="S9" s="109"/>
      <c r="T9" s="110"/>
      <c r="U9" s="111"/>
      <c r="V9" s="111"/>
      <c r="W9" s="112"/>
      <c r="X9" s="112"/>
      <c r="Y9" s="112"/>
      <c r="Z9" s="111">
        <v>30.75</v>
      </c>
      <c r="AA9" s="112">
        <v>20.5</v>
      </c>
      <c r="AB9" s="111">
        <v>24.75</v>
      </c>
      <c r="AC9" s="111">
        <v>18.5</v>
      </c>
      <c r="AD9" s="112">
        <v>29.0</v>
      </c>
      <c r="AE9" s="112">
        <v>16.25</v>
      </c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/>
      <c r="BL9" s="115"/>
      <c r="BM9" s="115"/>
      <c r="BN9" s="115"/>
      <c r="BO9" s="115">
        <v>0.0</v>
      </c>
      <c r="BP9" s="116">
        <v>0.0</v>
      </c>
      <c r="BQ9" s="116">
        <v>0.0</v>
      </c>
      <c r="BR9" s="116">
        <v>0.0</v>
      </c>
      <c r="BS9" s="116"/>
      <c r="BT9" s="116"/>
      <c r="BU9" s="116"/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118</v>
      </c>
      <c r="D10" s="119">
        <v>30.0</v>
      </c>
      <c r="E10" s="120">
        <v>114.75</v>
      </c>
      <c r="F10" s="121">
        <v>19.125</v>
      </c>
      <c r="G10" s="122">
        <v>2.658333333333333</v>
      </c>
      <c r="H10" s="121">
        <v>35.0</v>
      </c>
      <c r="I10" s="123">
        <v>79.25</v>
      </c>
      <c r="J10" s="124">
        <v>0.0</v>
      </c>
      <c r="K10" s="125">
        <v>0.5</v>
      </c>
      <c r="L10" s="126">
        <v>1.0</v>
      </c>
      <c r="M10" s="127">
        <v>14.0</v>
      </c>
      <c r="N10" s="127">
        <v>3.0</v>
      </c>
      <c r="O10" s="128">
        <v>2.0</v>
      </c>
      <c r="P10" s="129"/>
      <c r="Q10" s="130"/>
      <c r="R10" s="130"/>
      <c r="S10" s="131"/>
      <c r="T10" s="132">
        <v>15.75</v>
      </c>
      <c r="U10" s="133"/>
      <c r="V10" s="133">
        <v>17.5</v>
      </c>
      <c r="W10" s="133"/>
      <c r="X10" s="134"/>
      <c r="Y10" s="133"/>
      <c r="Z10" s="133">
        <v>19.75</v>
      </c>
      <c r="AA10" s="133"/>
      <c r="AB10" s="133"/>
      <c r="AC10" s="134">
        <v>23.5</v>
      </c>
      <c r="AD10" s="133"/>
      <c r="AE10" s="133">
        <v>19.25</v>
      </c>
      <c r="AF10" s="133"/>
      <c r="AG10" s="133">
        <v>19.0</v>
      </c>
      <c r="AH10" s="134"/>
      <c r="AI10" s="133"/>
      <c r="AJ10" s="133">
        <v>0.0</v>
      </c>
      <c r="AK10" s="133"/>
      <c r="AL10" s="133"/>
      <c r="AM10" s="133">
        <v>0.0</v>
      </c>
      <c r="AN10" s="134"/>
      <c r="AO10" s="133">
        <v>0.0</v>
      </c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/>
      <c r="BA10" s="135"/>
      <c r="BB10" s="135"/>
      <c r="BC10" s="135"/>
      <c r="BD10" s="135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87</v>
      </c>
      <c r="D11" s="137">
        <v>25.0</v>
      </c>
      <c r="E11" s="138">
        <v>113.75</v>
      </c>
      <c r="F11" s="139">
        <v>22.75</v>
      </c>
      <c r="G11" s="140">
        <v>3.25</v>
      </c>
      <c r="H11" s="139">
        <v>32.5</v>
      </c>
      <c r="I11" s="141">
        <v>78.25</v>
      </c>
      <c r="J11" s="142">
        <v>0.0</v>
      </c>
      <c r="K11" s="143">
        <v>3.0</v>
      </c>
      <c r="L11" s="144">
        <v>5.0</v>
      </c>
      <c r="M11" s="145">
        <v>13.0</v>
      </c>
      <c r="N11" s="145">
        <v>2.0</v>
      </c>
      <c r="O11" s="146">
        <v>0.0</v>
      </c>
      <c r="P11" s="147"/>
      <c r="Q11" s="148"/>
      <c r="R11" s="148"/>
      <c r="S11" s="149"/>
      <c r="T11" s="150"/>
      <c r="U11" s="151"/>
      <c r="V11" s="151"/>
      <c r="W11" s="151"/>
      <c r="X11" s="151"/>
      <c r="Y11" s="151"/>
      <c r="Z11" s="152"/>
      <c r="AA11" s="152"/>
      <c r="AB11" s="151"/>
      <c r="AC11" s="151"/>
      <c r="AD11" s="151">
        <v>23.0</v>
      </c>
      <c r="AE11" s="151">
        <v>18.25</v>
      </c>
      <c r="AF11" s="151">
        <v>25.5</v>
      </c>
      <c r="AG11" s="151">
        <v>28.0</v>
      </c>
      <c r="AH11" s="151">
        <v>19.0</v>
      </c>
      <c r="AI11" s="151"/>
      <c r="AJ11" s="151"/>
      <c r="AK11" s="152"/>
      <c r="AL11" s="152"/>
      <c r="AM11" s="151"/>
      <c r="AN11" s="151"/>
      <c r="AO11" s="151"/>
      <c r="AP11" s="151"/>
      <c r="AQ11" s="151"/>
      <c r="AR11" s="151"/>
      <c r="AS11" s="151"/>
      <c r="AT11" s="151"/>
      <c r="AU11" s="152">
        <v>0.0</v>
      </c>
      <c r="AV11" s="152">
        <v>0.0</v>
      </c>
      <c r="AW11" s="151">
        <v>0.0</v>
      </c>
      <c r="AX11" s="151">
        <v>0.0</v>
      </c>
      <c r="AY11" s="151">
        <v>0.0</v>
      </c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88</v>
      </c>
      <c r="D12" s="119">
        <v>25.0</v>
      </c>
      <c r="E12" s="120">
        <v>101.75</v>
      </c>
      <c r="F12" s="121">
        <v>20.35</v>
      </c>
      <c r="G12" s="122">
        <v>2.67</v>
      </c>
      <c r="H12" s="121">
        <v>35.0</v>
      </c>
      <c r="I12" s="123">
        <v>66.25</v>
      </c>
      <c r="J12" s="124">
        <v>0.0</v>
      </c>
      <c r="K12" s="125">
        <v>0.5</v>
      </c>
      <c r="L12" s="126">
        <v>1.0</v>
      </c>
      <c r="M12" s="127">
        <v>14.0</v>
      </c>
      <c r="N12" s="127">
        <v>3.0</v>
      </c>
      <c r="O12" s="128">
        <v>1.0</v>
      </c>
      <c r="P12" s="129"/>
      <c r="Q12" s="130"/>
      <c r="R12" s="130"/>
      <c r="S12" s="131"/>
      <c r="T12" s="132"/>
      <c r="U12" s="133"/>
      <c r="V12" s="133"/>
      <c r="W12" s="133"/>
      <c r="X12" s="134"/>
      <c r="Y12" s="133"/>
      <c r="Z12" s="133"/>
      <c r="AA12" s="133">
        <v>12.0</v>
      </c>
      <c r="AB12" s="133">
        <v>25.0</v>
      </c>
      <c r="AC12" s="134">
        <v>17.25</v>
      </c>
      <c r="AD12" s="133">
        <v>19.75</v>
      </c>
      <c r="AE12" s="133">
        <v>27.75</v>
      </c>
      <c r="AF12" s="133"/>
      <c r="AG12" s="133"/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/>
      <c r="AV12" s="133"/>
      <c r="AW12" s="133"/>
      <c r="AX12" s="133"/>
      <c r="AY12" s="133"/>
      <c r="AZ12" s="135">
        <v>0.0</v>
      </c>
      <c r="BA12" s="135">
        <v>0.0</v>
      </c>
      <c r="BB12" s="135">
        <v>0.0</v>
      </c>
      <c r="BC12" s="135">
        <v>0.0</v>
      </c>
      <c r="BD12" s="135">
        <v>0.0</v>
      </c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82</v>
      </c>
      <c r="D13" s="137">
        <v>20.0</v>
      </c>
      <c r="E13" s="138">
        <v>99.75</v>
      </c>
      <c r="F13" s="139">
        <v>24.9375</v>
      </c>
      <c r="G13" s="140">
        <v>3.3625</v>
      </c>
      <c r="H13" s="139">
        <v>32.5</v>
      </c>
      <c r="I13" s="141">
        <v>62.25</v>
      </c>
      <c r="J13" s="142">
        <v>1.0</v>
      </c>
      <c r="K13" s="143">
        <v>4.0</v>
      </c>
      <c r="L13" s="144">
        <v>6.0</v>
      </c>
      <c r="M13" s="145">
        <v>13.0</v>
      </c>
      <c r="N13" s="145">
        <v>4.0</v>
      </c>
      <c r="O13" s="146">
        <v>1.0</v>
      </c>
      <c r="P13" s="147"/>
      <c r="Q13" s="148"/>
      <c r="R13" s="148"/>
      <c r="S13" s="149"/>
      <c r="T13" s="150">
        <v>27.5</v>
      </c>
      <c r="U13" s="151"/>
      <c r="V13" s="151"/>
      <c r="W13" s="151"/>
      <c r="X13" s="151"/>
      <c r="Y13" s="151">
        <v>15.5</v>
      </c>
      <c r="Z13" s="152"/>
      <c r="AA13" s="152"/>
      <c r="AB13" s="151"/>
      <c r="AC13" s="151"/>
      <c r="AD13" s="151"/>
      <c r="AE13" s="151"/>
      <c r="AF13" s="151"/>
      <c r="AG13" s="151">
        <v>29.25</v>
      </c>
      <c r="AH13" s="151">
        <v>27.5</v>
      </c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/>
      <c r="AV13" s="152">
        <v>0.0</v>
      </c>
      <c r="AW13" s="151">
        <v>0.0</v>
      </c>
      <c r="AX13" s="151"/>
      <c r="AY13" s="151"/>
      <c r="AZ13" s="153"/>
      <c r="BA13" s="153"/>
      <c r="BB13" s="153"/>
      <c r="BC13" s="153">
        <v>0.0</v>
      </c>
      <c r="BD13" s="153"/>
      <c r="BE13" s="141"/>
      <c r="BF13" s="141"/>
      <c r="BG13" s="141">
        <v>0.0</v>
      </c>
      <c r="BH13" s="141"/>
      <c r="BI13" s="141"/>
      <c r="BJ13" s="141"/>
      <c r="BK13" s="141"/>
      <c r="BL13" s="141"/>
      <c r="BM13" s="141"/>
      <c r="BN13" s="141"/>
      <c r="BO13" s="141"/>
      <c r="BP13" s="116">
        <v>0.0</v>
      </c>
      <c r="BQ13" s="116"/>
      <c r="BR13" s="116"/>
      <c r="BS13" s="116"/>
      <c r="BT13" s="116"/>
      <c r="BU13" s="116"/>
      <c r="BV13" s="116">
        <v>0.0</v>
      </c>
      <c r="BW13" s="116"/>
      <c r="BX13" s="116"/>
      <c r="BY13" s="116"/>
      <c r="BZ13" s="116"/>
      <c r="CA13" s="116">
        <v>0.0</v>
      </c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116</v>
      </c>
      <c r="D14" s="119">
        <v>20.0</v>
      </c>
      <c r="E14" s="120">
        <v>93.5</v>
      </c>
      <c r="F14" s="121">
        <v>23.375</v>
      </c>
      <c r="G14" s="122">
        <v>3.05</v>
      </c>
      <c r="H14" s="121">
        <v>32.5</v>
      </c>
      <c r="I14" s="123">
        <v>60.0</v>
      </c>
      <c r="J14" s="124">
        <v>0.5</v>
      </c>
      <c r="K14" s="125">
        <v>0.5</v>
      </c>
      <c r="L14" s="126">
        <v>1.0</v>
      </c>
      <c r="M14" s="127">
        <v>13.0</v>
      </c>
      <c r="N14" s="127">
        <v>3.0</v>
      </c>
      <c r="O14" s="128">
        <v>1.0</v>
      </c>
      <c r="P14" s="129"/>
      <c r="Q14" s="130"/>
      <c r="R14" s="130"/>
      <c r="S14" s="131"/>
      <c r="T14" s="132"/>
      <c r="U14" s="133">
        <v>23.75</v>
      </c>
      <c r="V14" s="133"/>
      <c r="W14" s="133"/>
      <c r="X14" s="134"/>
      <c r="Y14" s="133">
        <v>29.0</v>
      </c>
      <c r="Z14" s="133"/>
      <c r="AA14" s="133">
        <v>25.25</v>
      </c>
      <c r="AB14" s="133"/>
      <c r="AC14" s="134"/>
      <c r="AD14" s="133"/>
      <c r="AE14" s="133">
        <v>15.5</v>
      </c>
      <c r="AF14" s="133"/>
      <c r="AG14" s="133"/>
      <c r="AH14" s="134"/>
      <c r="AI14" s="133"/>
      <c r="AJ14" s="133"/>
      <c r="AK14" s="133"/>
      <c r="AL14" s="133"/>
      <c r="AM14" s="133"/>
      <c r="AN14" s="134"/>
      <c r="AO14" s="133"/>
      <c r="AP14" s="133"/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/>
      <c r="BA14" s="135"/>
      <c r="BB14" s="135"/>
      <c r="BC14" s="135"/>
      <c r="BD14" s="135"/>
      <c r="BE14" s="123">
        <v>0.0</v>
      </c>
      <c r="BF14" s="123"/>
      <c r="BG14" s="123"/>
      <c r="BH14" s="123">
        <v>0.0</v>
      </c>
      <c r="BI14" s="123"/>
      <c r="BJ14" s="123"/>
      <c r="BK14" s="123"/>
      <c r="BL14" s="123"/>
      <c r="BM14" s="123"/>
      <c r="BN14" s="123"/>
      <c r="BO14" s="123"/>
      <c r="BP14" s="116"/>
      <c r="BQ14" s="116"/>
      <c r="BR14" s="116"/>
      <c r="BS14" s="116">
        <v>0.0</v>
      </c>
      <c r="BT14" s="116"/>
      <c r="BU14" s="116"/>
      <c r="BV14" s="116"/>
      <c r="BW14" s="116"/>
      <c r="BX14" s="116">
        <v>0.0</v>
      </c>
      <c r="BY14" s="116">
        <v>0.0</v>
      </c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89</v>
      </c>
      <c r="D15" s="137">
        <v>20.0</v>
      </c>
      <c r="E15" s="138">
        <v>85.5</v>
      </c>
      <c r="F15" s="139">
        <v>21.375</v>
      </c>
      <c r="G15" s="140">
        <v>2.775</v>
      </c>
      <c r="H15" s="139">
        <v>30.0</v>
      </c>
      <c r="I15" s="141">
        <v>54.5</v>
      </c>
      <c r="J15" s="142">
        <v>0.0</v>
      </c>
      <c r="K15" s="143">
        <v>1.0</v>
      </c>
      <c r="L15" s="144">
        <v>2.0</v>
      </c>
      <c r="M15" s="145">
        <v>12.0</v>
      </c>
      <c r="N15" s="145">
        <v>1.0</v>
      </c>
      <c r="O15" s="146">
        <v>3.0</v>
      </c>
      <c r="P15" s="147"/>
      <c r="Q15" s="148"/>
      <c r="R15" s="148"/>
      <c r="S15" s="149"/>
      <c r="T15" s="150"/>
      <c r="U15" s="151"/>
      <c r="V15" s="151"/>
      <c r="W15" s="151"/>
      <c r="X15" s="151"/>
      <c r="Y15" s="151"/>
      <c r="Z15" s="152">
        <v>24.0</v>
      </c>
      <c r="AA15" s="152">
        <v>22.25</v>
      </c>
      <c r="AB15" s="151">
        <v>17.75</v>
      </c>
      <c r="AC15" s="151">
        <v>21.5</v>
      </c>
      <c r="AD15" s="151"/>
      <c r="AE15" s="151"/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>
        <v>0.0</v>
      </c>
      <c r="AQ15" s="151">
        <v>0.0</v>
      </c>
      <c r="AR15" s="151">
        <v>0.0</v>
      </c>
      <c r="AS15" s="151">
        <v>0.0</v>
      </c>
      <c r="AT15" s="151"/>
      <c r="AU15" s="152"/>
      <c r="AV15" s="152"/>
      <c r="AW15" s="151"/>
      <c r="AX15" s="151"/>
      <c r="AY15" s="151"/>
      <c r="AZ15" s="153"/>
      <c r="BA15" s="153"/>
      <c r="BB15" s="153"/>
      <c r="BC15" s="153"/>
      <c r="BD15" s="153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>
        <v>0.0</v>
      </c>
      <c r="BZ15" s="116">
        <v>0.0</v>
      </c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138</v>
      </c>
      <c r="D16" s="119">
        <v>20.0</v>
      </c>
      <c r="E16" s="120">
        <v>83.25</v>
      </c>
      <c r="F16" s="121">
        <v>20.8125</v>
      </c>
      <c r="G16" s="122">
        <v>2.9125</v>
      </c>
      <c r="H16" s="121">
        <v>25.0</v>
      </c>
      <c r="I16" s="123">
        <v>57.75</v>
      </c>
      <c r="J16" s="124">
        <v>0.0</v>
      </c>
      <c r="K16" s="125">
        <v>0.5</v>
      </c>
      <c r="L16" s="126">
        <v>1.0</v>
      </c>
      <c r="M16" s="127">
        <v>10.0</v>
      </c>
      <c r="N16" s="127">
        <v>0.0</v>
      </c>
      <c r="O16" s="128">
        <v>0.0</v>
      </c>
      <c r="P16" s="129"/>
      <c r="Q16" s="130"/>
      <c r="R16" s="130"/>
      <c r="S16" s="131"/>
      <c r="T16" s="132"/>
      <c r="U16" s="133">
        <v>26.0</v>
      </c>
      <c r="V16" s="133"/>
      <c r="W16" s="133"/>
      <c r="X16" s="134"/>
      <c r="Y16" s="133"/>
      <c r="Z16" s="133"/>
      <c r="AA16" s="133">
        <v>15.75</v>
      </c>
      <c r="AB16" s="133"/>
      <c r="AC16" s="134"/>
      <c r="AD16" s="133">
        <v>17.75</v>
      </c>
      <c r="AE16" s="133"/>
      <c r="AF16" s="133"/>
      <c r="AG16" s="133">
        <v>23.75</v>
      </c>
      <c r="AH16" s="134"/>
      <c r="AI16" s="133"/>
      <c r="AJ16" s="133"/>
      <c r="AK16" s="133"/>
      <c r="AL16" s="133"/>
      <c r="AM16" s="133"/>
      <c r="AN16" s="134"/>
      <c r="AO16" s="133">
        <v>0.0</v>
      </c>
      <c r="AP16" s="133"/>
      <c r="AQ16" s="133"/>
      <c r="AR16" s="134">
        <v>0.0</v>
      </c>
      <c r="AS16" s="133"/>
      <c r="AT16" s="133"/>
      <c r="AU16" s="133"/>
      <c r="AV16" s="133"/>
      <c r="AW16" s="133"/>
      <c r="AX16" s="133"/>
      <c r="AY16" s="133"/>
      <c r="AZ16" s="135"/>
      <c r="BA16" s="135"/>
      <c r="BB16" s="135">
        <v>0.0</v>
      </c>
      <c r="BC16" s="135"/>
      <c r="BD16" s="135"/>
      <c r="BE16" s="123">
        <v>0.0</v>
      </c>
      <c r="BF16" s="123"/>
      <c r="BG16" s="123"/>
      <c r="BH16" s="123"/>
      <c r="BI16" s="123"/>
      <c r="BJ16" s="123">
        <v>0.0</v>
      </c>
      <c r="BK16" s="123"/>
      <c r="BL16" s="123"/>
      <c r="BM16" s="123"/>
      <c r="BN16" s="123"/>
      <c r="BO16" s="123"/>
      <c r="BP16" s="116"/>
      <c r="BQ16" s="116"/>
      <c r="BR16" s="116"/>
      <c r="BS16" s="116">
        <v>0.0</v>
      </c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125</v>
      </c>
      <c r="D17" s="137">
        <v>25.0</v>
      </c>
      <c r="E17" s="138">
        <v>82.5</v>
      </c>
      <c r="F17" s="139">
        <v>16.5</v>
      </c>
      <c r="G17" s="140">
        <v>2.4</v>
      </c>
      <c r="H17" s="139">
        <v>22.5</v>
      </c>
      <c r="I17" s="141">
        <v>59.5</v>
      </c>
      <c r="J17" s="142">
        <v>0.0</v>
      </c>
      <c r="K17" s="143">
        <v>0.5</v>
      </c>
      <c r="L17" s="144">
        <v>1.0</v>
      </c>
      <c r="M17" s="145">
        <v>9.0</v>
      </c>
      <c r="N17" s="145">
        <v>1.0</v>
      </c>
      <c r="O17" s="146">
        <v>3.0</v>
      </c>
      <c r="P17" s="147"/>
      <c r="Q17" s="148"/>
      <c r="R17" s="148"/>
      <c r="S17" s="149"/>
      <c r="T17" s="150"/>
      <c r="U17" s="151"/>
      <c r="V17" s="151"/>
      <c r="W17" s="151"/>
      <c r="X17" s="151"/>
      <c r="Y17" s="151"/>
      <c r="Z17" s="152"/>
      <c r="AA17" s="152"/>
      <c r="AB17" s="151"/>
      <c r="AC17" s="151">
        <v>20.75</v>
      </c>
      <c r="AD17" s="151"/>
      <c r="AE17" s="151">
        <v>11.0</v>
      </c>
      <c r="AF17" s="151">
        <v>15.0</v>
      </c>
      <c r="AG17" s="151">
        <v>18.25</v>
      </c>
      <c r="AH17" s="151">
        <v>17.5</v>
      </c>
      <c r="AI17" s="151">
        <v>0.0</v>
      </c>
      <c r="AJ17" s="151"/>
      <c r="AK17" s="152"/>
      <c r="AL17" s="152"/>
      <c r="AM17" s="151">
        <v>0.0</v>
      </c>
      <c r="AN17" s="151"/>
      <c r="AO17" s="151"/>
      <c r="AP17" s="151"/>
      <c r="AQ17" s="151"/>
      <c r="AR17" s="151"/>
      <c r="AS17" s="151"/>
      <c r="AT17" s="151"/>
      <c r="AU17" s="152"/>
      <c r="AV17" s="152"/>
      <c r="AW17" s="151">
        <v>0.0</v>
      </c>
      <c r="AX17" s="151"/>
      <c r="AY17" s="151">
        <v>0.0</v>
      </c>
      <c r="AZ17" s="153"/>
      <c r="BA17" s="153"/>
      <c r="BB17" s="153"/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16"/>
      <c r="BQ17" s="116"/>
      <c r="BR17" s="116"/>
      <c r="BS17" s="116"/>
      <c r="BT17" s="116">
        <v>0.0</v>
      </c>
      <c r="BU17" s="116">
        <v>0.0</v>
      </c>
      <c r="BV17" s="116"/>
      <c r="BW17" s="116"/>
      <c r="BX17" s="116">
        <v>0.0</v>
      </c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101</v>
      </c>
      <c r="D18" s="119">
        <v>20.0</v>
      </c>
      <c r="E18" s="120">
        <v>75.25</v>
      </c>
      <c r="F18" s="121">
        <v>18.8125</v>
      </c>
      <c r="G18" s="122">
        <v>2.5125</v>
      </c>
      <c r="H18" s="121">
        <v>25.0</v>
      </c>
      <c r="I18" s="123">
        <v>49.25</v>
      </c>
      <c r="J18" s="124">
        <v>0.0</v>
      </c>
      <c r="K18" s="125">
        <v>1.0</v>
      </c>
      <c r="L18" s="126">
        <v>2.0</v>
      </c>
      <c r="M18" s="127">
        <v>10.0</v>
      </c>
      <c r="N18" s="127">
        <v>0.0</v>
      </c>
      <c r="O18" s="128">
        <v>2.0</v>
      </c>
      <c r="P18" s="129"/>
      <c r="Q18" s="130"/>
      <c r="R18" s="130"/>
      <c r="S18" s="131"/>
      <c r="T18" s="132">
        <v>17.0</v>
      </c>
      <c r="U18" s="133"/>
      <c r="V18" s="133"/>
      <c r="W18" s="133"/>
      <c r="X18" s="134"/>
      <c r="Y18" s="133">
        <v>21.0</v>
      </c>
      <c r="Z18" s="133"/>
      <c r="AA18" s="133"/>
      <c r="AB18" s="133"/>
      <c r="AC18" s="134"/>
      <c r="AD18" s="133"/>
      <c r="AE18" s="133"/>
      <c r="AF18" s="133">
        <v>20.5</v>
      </c>
      <c r="AG18" s="133"/>
      <c r="AH18" s="134">
        <v>16.75</v>
      </c>
      <c r="AI18" s="133"/>
      <c r="AJ18" s="133"/>
      <c r="AK18" s="133"/>
      <c r="AL18" s="133"/>
      <c r="AM18" s="133"/>
      <c r="AN18" s="134">
        <v>0.0</v>
      </c>
      <c r="AO18" s="133"/>
      <c r="AP18" s="133"/>
      <c r="AQ18" s="133">
        <v>0.0</v>
      </c>
      <c r="AR18" s="134"/>
      <c r="AS18" s="133"/>
      <c r="AT18" s="133"/>
      <c r="AU18" s="133">
        <v>0.0</v>
      </c>
      <c r="AV18" s="133"/>
      <c r="AW18" s="133"/>
      <c r="AX18" s="133"/>
      <c r="AY18" s="133"/>
      <c r="AZ18" s="135"/>
      <c r="BA18" s="135"/>
      <c r="BB18" s="135"/>
      <c r="BC18" s="135"/>
      <c r="BD18" s="135"/>
      <c r="BE18" s="123"/>
      <c r="BF18" s="123"/>
      <c r="BG18" s="123"/>
      <c r="BH18" s="123"/>
      <c r="BI18" s="123">
        <v>0.0</v>
      </c>
      <c r="BJ18" s="123"/>
      <c r="BK18" s="123"/>
      <c r="BL18" s="123"/>
      <c r="BM18" s="123"/>
      <c r="BN18" s="123"/>
      <c r="BO18" s="123">
        <v>0.0</v>
      </c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>
        <v>0.0</v>
      </c>
      <c r="CA18" s="116">
        <v>0.0</v>
      </c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123</v>
      </c>
      <c r="D19" s="137">
        <v>15.0</v>
      </c>
      <c r="E19" s="138">
        <v>73.0</v>
      </c>
      <c r="F19" s="139">
        <v>24.333333333333332</v>
      </c>
      <c r="G19" s="140">
        <v>3.2</v>
      </c>
      <c r="H19" s="139">
        <v>25.0</v>
      </c>
      <c r="I19" s="141">
        <v>47.0</v>
      </c>
      <c r="J19" s="142">
        <v>0.0</v>
      </c>
      <c r="K19" s="143">
        <v>1.0</v>
      </c>
      <c r="L19" s="144">
        <v>2.0</v>
      </c>
      <c r="M19" s="145">
        <v>10.0</v>
      </c>
      <c r="N19" s="145">
        <v>4.0</v>
      </c>
      <c r="O19" s="146">
        <v>0.0</v>
      </c>
      <c r="P19" s="147"/>
      <c r="Q19" s="148"/>
      <c r="R19" s="148"/>
      <c r="S19" s="149"/>
      <c r="T19" s="150"/>
      <c r="U19" s="151"/>
      <c r="V19" s="151">
        <v>22.75</v>
      </c>
      <c r="W19" s="151">
        <v>26.5</v>
      </c>
      <c r="X19" s="151"/>
      <c r="Y19" s="151"/>
      <c r="Z19" s="152">
        <v>23.75</v>
      </c>
      <c r="AA19" s="152"/>
      <c r="AB19" s="151"/>
      <c r="AC19" s="151"/>
      <c r="AD19" s="151"/>
      <c r="AE19" s="151"/>
      <c r="AF19" s="151"/>
      <c r="AG19" s="151"/>
      <c r="AH19" s="151"/>
      <c r="AI19" s="151"/>
      <c r="AJ19" s="151"/>
      <c r="AK19" s="152"/>
      <c r="AL19" s="152"/>
      <c r="AM19" s="151"/>
      <c r="AN19" s="151"/>
      <c r="AO19" s="151"/>
      <c r="AP19" s="151"/>
      <c r="AQ19" s="151"/>
      <c r="AR19" s="151"/>
      <c r="AS19" s="151"/>
      <c r="AT19" s="151">
        <v>0.0</v>
      </c>
      <c r="AU19" s="152"/>
      <c r="AV19" s="152"/>
      <c r="AW19" s="151"/>
      <c r="AX19" s="151"/>
      <c r="AY19" s="151">
        <v>0.0</v>
      </c>
      <c r="AZ19" s="153"/>
      <c r="BA19" s="153"/>
      <c r="BB19" s="153"/>
      <c r="BC19" s="153"/>
      <c r="BD19" s="153">
        <v>0.0</v>
      </c>
      <c r="BE19" s="141"/>
      <c r="BF19" s="141"/>
      <c r="BG19" s="141">
        <v>0.0</v>
      </c>
      <c r="BH19" s="141"/>
      <c r="BI19" s="141"/>
      <c r="BJ19" s="141"/>
      <c r="BK19" s="141"/>
      <c r="BL19" s="141"/>
      <c r="BM19" s="141"/>
      <c r="BN19" s="141">
        <v>0.0</v>
      </c>
      <c r="BO19" s="141"/>
      <c r="BP19" s="116"/>
      <c r="BQ19" s="116"/>
      <c r="BR19" s="116"/>
      <c r="BS19" s="116"/>
      <c r="BT19" s="116"/>
      <c r="BU19" s="116"/>
      <c r="BV19" s="116"/>
      <c r="BW19" s="116"/>
      <c r="BX19" s="116">
        <v>0.0</v>
      </c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131</v>
      </c>
      <c r="D20" s="119">
        <v>20.0</v>
      </c>
      <c r="E20" s="120">
        <v>72.25</v>
      </c>
      <c r="F20" s="121">
        <v>18.0625</v>
      </c>
      <c r="G20" s="122">
        <v>2.7375</v>
      </c>
      <c r="H20" s="121">
        <v>17.5</v>
      </c>
      <c r="I20" s="123">
        <v>53.25</v>
      </c>
      <c r="J20" s="124">
        <v>0.5</v>
      </c>
      <c r="K20" s="125">
        <v>1.0</v>
      </c>
      <c r="L20" s="126">
        <v>2.0</v>
      </c>
      <c r="M20" s="127">
        <v>7.0</v>
      </c>
      <c r="N20" s="127">
        <v>0.0</v>
      </c>
      <c r="O20" s="128">
        <v>1.0</v>
      </c>
      <c r="P20" s="129"/>
      <c r="Q20" s="130"/>
      <c r="R20" s="130"/>
      <c r="S20" s="131"/>
      <c r="T20" s="132"/>
      <c r="U20" s="133"/>
      <c r="V20" s="133">
        <v>15.0</v>
      </c>
      <c r="W20" s="133">
        <v>23.25</v>
      </c>
      <c r="X20" s="134">
        <v>17.0</v>
      </c>
      <c r="Y20" s="133">
        <v>17.0</v>
      </c>
      <c r="Z20" s="133"/>
      <c r="AA20" s="133"/>
      <c r="AB20" s="133"/>
      <c r="AC20" s="134"/>
      <c r="AD20" s="133"/>
      <c r="AE20" s="133"/>
      <c r="AF20" s="133"/>
      <c r="AG20" s="133"/>
      <c r="AH20" s="134"/>
      <c r="AI20" s="133"/>
      <c r="AJ20" s="133"/>
      <c r="AK20" s="133"/>
      <c r="AL20" s="133"/>
      <c r="AM20" s="133"/>
      <c r="AN20" s="134"/>
      <c r="AO20" s="133"/>
      <c r="AP20" s="133"/>
      <c r="AQ20" s="133"/>
      <c r="AR20" s="134"/>
      <c r="AS20" s="133"/>
      <c r="AT20" s="133"/>
      <c r="AU20" s="133"/>
      <c r="AV20" s="133"/>
      <c r="AW20" s="133"/>
      <c r="AX20" s="133"/>
      <c r="AY20" s="133"/>
      <c r="AZ20" s="135"/>
      <c r="BA20" s="135"/>
      <c r="BB20" s="135"/>
      <c r="BC20" s="135"/>
      <c r="BD20" s="135"/>
      <c r="BE20" s="123"/>
      <c r="BF20" s="123"/>
      <c r="BG20" s="123"/>
      <c r="BH20" s="123"/>
      <c r="BI20" s="123">
        <v>0.0</v>
      </c>
      <c r="BJ20" s="123">
        <v>0.0</v>
      </c>
      <c r="BK20" s="123">
        <v>0.0</v>
      </c>
      <c r="BL20" s="123">
        <v>0.0</v>
      </c>
      <c r="BM20" s="123"/>
      <c r="BN20" s="123"/>
      <c r="BO20" s="123"/>
      <c r="BP20" s="116"/>
      <c r="BQ20" s="116"/>
      <c r="BR20" s="116"/>
      <c r="BS20" s="116"/>
      <c r="BT20" s="116">
        <v>0.0</v>
      </c>
      <c r="BU20" s="116">
        <v>0.0</v>
      </c>
      <c r="BV20" s="116"/>
      <c r="BW20" s="116"/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124</v>
      </c>
      <c r="D21" s="137">
        <v>15.0</v>
      </c>
      <c r="E21" s="138">
        <v>71.5</v>
      </c>
      <c r="F21" s="139">
        <v>23.833333333333332</v>
      </c>
      <c r="G21" s="140">
        <v>2.933333333333333</v>
      </c>
      <c r="H21" s="139">
        <v>27.5</v>
      </c>
      <c r="I21" s="141">
        <v>43.0</v>
      </c>
      <c r="J21" s="142">
        <v>0.5</v>
      </c>
      <c r="K21" s="143">
        <v>0.5</v>
      </c>
      <c r="L21" s="144">
        <v>1.0</v>
      </c>
      <c r="M21" s="145">
        <v>11.0</v>
      </c>
      <c r="N21" s="145">
        <v>4.0</v>
      </c>
      <c r="O21" s="146">
        <v>0.0</v>
      </c>
      <c r="P21" s="147"/>
      <c r="Q21" s="148"/>
      <c r="R21" s="148"/>
      <c r="S21" s="149"/>
      <c r="T21" s="150">
        <v>28.75</v>
      </c>
      <c r="U21" s="151"/>
      <c r="V21" s="151"/>
      <c r="W21" s="151"/>
      <c r="X21" s="151"/>
      <c r="Y21" s="151">
        <v>17.5</v>
      </c>
      <c r="Z21" s="152"/>
      <c r="AA21" s="152"/>
      <c r="AB21" s="151"/>
      <c r="AC21" s="151"/>
      <c r="AD21" s="151"/>
      <c r="AE21" s="151"/>
      <c r="AF21" s="151"/>
      <c r="AG21" s="151">
        <v>25.25</v>
      </c>
      <c r="AH21" s="151"/>
      <c r="AI21" s="151"/>
      <c r="AJ21" s="151"/>
      <c r="AK21" s="152"/>
      <c r="AL21" s="152"/>
      <c r="AM21" s="151"/>
      <c r="AN21" s="151"/>
      <c r="AO21" s="151"/>
      <c r="AP21" s="151">
        <v>0.0</v>
      </c>
      <c r="AQ21" s="151"/>
      <c r="AR21" s="151"/>
      <c r="AS21" s="151">
        <v>0.0</v>
      </c>
      <c r="AT21" s="151">
        <v>0.0</v>
      </c>
      <c r="AU21" s="152"/>
      <c r="AV21" s="152">
        <v>0.0</v>
      </c>
      <c r="AW21" s="151"/>
      <c r="AX21" s="151"/>
      <c r="AY21" s="151"/>
      <c r="AZ21" s="153"/>
      <c r="BA21" s="153"/>
      <c r="BB21" s="153"/>
      <c r="BC21" s="153"/>
      <c r="BD21" s="153"/>
      <c r="BE21" s="141"/>
      <c r="BF21" s="141"/>
      <c r="BG21" s="141"/>
      <c r="BH21" s="141"/>
      <c r="BI21" s="141"/>
      <c r="BJ21" s="141"/>
      <c r="BK21" s="141">
        <v>0.0</v>
      </c>
      <c r="BL21" s="141"/>
      <c r="BM21" s="141"/>
      <c r="BN21" s="141"/>
      <c r="BO21" s="141"/>
      <c r="BP21" s="116"/>
      <c r="BQ21" s="116"/>
      <c r="BR21" s="116"/>
      <c r="BS21" s="116"/>
      <c r="BT21" s="116">
        <v>0.0</v>
      </c>
      <c r="BU21" s="116"/>
      <c r="BV21" s="116"/>
      <c r="BW21" s="116"/>
      <c r="BX21" s="116"/>
      <c r="BY21" s="116">
        <v>0.0</v>
      </c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119</v>
      </c>
      <c r="D22" s="119">
        <v>20.0</v>
      </c>
      <c r="E22" s="120">
        <v>69.0</v>
      </c>
      <c r="F22" s="121">
        <v>17.25</v>
      </c>
      <c r="G22" s="122">
        <v>2.45</v>
      </c>
      <c r="H22" s="121">
        <v>20.0</v>
      </c>
      <c r="I22" s="123">
        <v>46.5</v>
      </c>
      <c r="J22" s="124">
        <v>1.5</v>
      </c>
      <c r="K22" s="125">
        <v>1.0</v>
      </c>
      <c r="L22" s="126">
        <v>2.0</v>
      </c>
      <c r="M22" s="127">
        <v>8.0</v>
      </c>
      <c r="N22" s="127">
        <v>0.0</v>
      </c>
      <c r="O22" s="128">
        <v>1.0</v>
      </c>
      <c r="P22" s="129"/>
      <c r="Q22" s="130"/>
      <c r="R22" s="130"/>
      <c r="S22" s="131"/>
      <c r="T22" s="132">
        <v>21.25</v>
      </c>
      <c r="U22" s="133"/>
      <c r="V22" s="133"/>
      <c r="W22" s="133"/>
      <c r="X22" s="134">
        <v>14.75</v>
      </c>
      <c r="Y22" s="133"/>
      <c r="Z22" s="133"/>
      <c r="AA22" s="133"/>
      <c r="AB22" s="133">
        <v>12.0</v>
      </c>
      <c r="AC22" s="134"/>
      <c r="AD22" s="133"/>
      <c r="AE22" s="133">
        <v>21.0</v>
      </c>
      <c r="AF22" s="133"/>
      <c r="AG22" s="133"/>
      <c r="AH22" s="134"/>
      <c r="AI22" s="133"/>
      <c r="AJ22" s="133"/>
      <c r="AK22" s="133"/>
      <c r="AL22" s="133"/>
      <c r="AM22" s="133"/>
      <c r="AN22" s="134">
        <v>0.0</v>
      </c>
      <c r="AO22" s="133"/>
      <c r="AP22" s="133"/>
      <c r="AQ22" s="133"/>
      <c r="AR22" s="134"/>
      <c r="AS22" s="133"/>
      <c r="AT22" s="133"/>
      <c r="AU22" s="133"/>
      <c r="AV22" s="133"/>
      <c r="AW22" s="133"/>
      <c r="AX22" s="133"/>
      <c r="AY22" s="133">
        <v>0.0</v>
      </c>
      <c r="AZ22" s="135"/>
      <c r="BA22" s="135"/>
      <c r="BB22" s="135"/>
      <c r="BC22" s="135"/>
      <c r="BD22" s="135"/>
      <c r="BE22" s="123"/>
      <c r="BF22" s="123"/>
      <c r="BG22" s="123"/>
      <c r="BH22" s="123">
        <v>0.0</v>
      </c>
      <c r="BI22" s="123">
        <v>0.0</v>
      </c>
      <c r="BJ22" s="123"/>
      <c r="BK22" s="123"/>
      <c r="BL22" s="123">
        <v>0.0</v>
      </c>
      <c r="BM22" s="123"/>
      <c r="BN22" s="123"/>
      <c r="BO22" s="123"/>
      <c r="BP22" s="116"/>
      <c r="BQ22" s="116"/>
      <c r="BR22" s="116"/>
      <c r="BS22" s="116"/>
      <c r="BT22" s="116"/>
      <c r="BU22" s="116"/>
      <c r="BV22" s="116"/>
      <c r="BW22" s="116"/>
      <c r="BX22" s="116">
        <v>0.0</v>
      </c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81</v>
      </c>
      <c r="D23" s="137">
        <v>15.0</v>
      </c>
      <c r="E23" s="138">
        <v>67.0</v>
      </c>
      <c r="F23" s="139">
        <v>22.333333333333336</v>
      </c>
      <c r="G23" s="140">
        <v>2.8</v>
      </c>
      <c r="H23" s="139">
        <v>25.0</v>
      </c>
      <c r="I23" s="141">
        <v>40.0</v>
      </c>
      <c r="J23" s="142">
        <v>0.5</v>
      </c>
      <c r="K23" s="143">
        <v>1.5</v>
      </c>
      <c r="L23" s="144">
        <v>2.0</v>
      </c>
      <c r="M23" s="145">
        <v>10.0</v>
      </c>
      <c r="N23" s="145">
        <v>2.0</v>
      </c>
      <c r="O23" s="146">
        <v>1.0</v>
      </c>
      <c r="P23" s="147"/>
      <c r="Q23" s="148"/>
      <c r="R23" s="148"/>
      <c r="S23" s="149"/>
      <c r="T23" s="150"/>
      <c r="U23" s="151">
        <v>20.0</v>
      </c>
      <c r="V23" s="151"/>
      <c r="W23" s="151"/>
      <c r="X23" s="151"/>
      <c r="Y23" s="151"/>
      <c r="Z23" s="152"/>
      <c r="AA23" s="152"/>
      <c r="AB23" s="151"/>
      <c r="AC23" s="151">
        <v>22.0</v>
      </c>
      <c r="AD23" s="151">
        <v>25.0</v>
      </c>
      <c r="AE23" s="151"/>
      <c r="AF23" s="151"/>
      <c r="AG23" s="151"/>
      <c r="AH23" s="151"/>
      <c r="AI23" s="151"/>
      <c r="AJ23" s="151">
        <v>0.0</v>
      </c>
      <c r="AK23" s="152"/>
      <c r="AL23" s="152"/>
      <c r="AM23" s="151"/>
      <c r="AN23" s="151"/>
      <c r="AO23" s="151"/>
      <c r="AP23" s="151"/>
      <c r="AQ23" s="151"/>
      <c r="AR23" s="151">
        <v>0.0</v>
      </c>
      <c r="AS23" s="151"/>
      <c r="AT23" s="151"/>
      <c r="AU23" s="152"/>
      <c r="AV23" s="152">
        <v>0.0</v>
      </c>
      <c r="AW23" s="151"/>
      <c r="AX23" s="151"/>
      <c r="AY23" s="151"/>
      <c r="AZ23" s="153"/>
      <c r="BA23" s="153"/>
      <c r="BB23" s="153">
        <v>0.0</v>
      </c>
      <c r="BC23" s="153"/>
      <c r="BD23" s="153"/>
      <c r="BE23" s="141"/>
      <c r="BF23" s="141"/>
      <c r="BG23" s="141"/>
      <c r="BH23" s="141"/>
      <c r="BI23" s="141"/>
      <c r="BJ23" s="141"/>
      <c r="BK23" s="141"/>
      <c r="BL23" s="141"/>
      <c r="BM23" s="141">
        <v>0.0</v>
      </c>
      <c r="BN23" s="141"/>
      <c r="BO23" s="141"/>
      <c r="BP23" s="116"/>
      <c r="BQ23" s="116"/>
      <c r="BR23" s="116">
        <v>0.0</v>
      </c>
      <c r="BS23" s="116"/>
      <c r="BT23" s="116"/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91</v>
      </c>
      <c r="D24" s="119">
        <v>15.0</v>
      </c>
      <c r="E24" s="120">
        <v>65.75</v>
      </c>
      <c r="F24" s="121">
        <v>21.916666666666668</v>
      </c>
      <c r="G24" s="122">
        <v>2.8833333333333333</v>
      </c>
      <c r="H24" s="121">
        <v>22.5</v>
      </c>
      <c r="I24" s="123">
        <v>42.25</v>
      </c>
      <c r="J24" s="124">
        <v>0.0</v>
      </c>
      <c r="K24" s="125">
        <v>1.0</v>
      </c>
      <c r="L24" s="126">
        <v>2.0</v>
      </c>
      <c r="M24" s="127">
        <v>9.0</v>
      </c>
      <c r="N24" s="127">
        <v>1.0</v>
      </c>
      <c r="O24" s="128">
        <v>1.0</v>
      </c>
      <c r="P24" s="129"/>
      <c r="Q24" s="130"/>
      <c r="R24" s="130"/>
      <c r="S24" s="131"/>
      <c r="T24" s="132"/>
      <c r="U24" s="133"/>
      <c r="V24" s="133">
        <v>23.25</v>
      </c>
      <c r="W24" s="133"/>
      <c r="X24" s="134">
        <v>20.5</v>
      </c>
      <c r="Y24" s="133"/>
      <c r="Z24" s="133">
        <v>22.0</v>
      </c>
      <c r="AA24" s="133"/>
      <c r="AB24" s="133"/>
      <c r="AC24" s="134"/>
      <c r="AD24" s="133"/>
      <c r="AE24" s="133"/>
      <c r="AF24" s="133"/>
      <c r="AG24" s="133"/>
      <c r="AH24" s="134"/>
      <c r="AI24" s="133"/>
      <c r="AJ24" s="133"/>
      <c r="AK24" s="133">
        <v>0.0</v>
      </c>
      <c r="AL24" s="133"/>
      <c r="AM24" s="133"/>
      <c r="AN24" s="134"/>
      <c r="AO24" s="133"/>
      <c r="AP24" s="133"/>
      <c r="AQ24" s="133"/>
      <c r="AR24" s="134">
        <v>0.0</v>
      </c>
      <c r="AS24" s="133"/>
      <c r="AT24" s="133"/>
      <c r="AU24" s="133"/>
      <c r="AV24" s="133"/>
      <c r="AW24" s="133"/>
      <c r="AX24" s="133"/>
      <c r="AY24" s="133">
        <v>0.0</v>
      </c>
      <c r="AZ24" s="135"/>
      <c r="BA24" s="135"/>
      <c r="BB24" s="135"/>
      <c r="BC24" s="135"/>
      <c r="BD24" s="135">
        <v>0.0</v>
      </c>
      <c r="BE24" s="123"/>
      <c r="BF24" s="123"/>
      <c r="BG24" s="123"/>
      <c r="BH24" s="123"/>
      <c r="BI24" s="123"/>
      <c r="BJ24" s="123"/>
      <c r="BK24" s="123"/>
      <c r="BL24" s="123"/>
      <c r="BM24" s="123">
        <v>0.0</v>
      </c>
      <c r="BN24" s="123"/>
      <c r="BO24" s="123"/>
      <c r="BP24" s="116">
        <v>0.0</v>
      </c>
      <c r="BQ24" s="116"/>
      <c r="BR24" s="116"/>
      <c r="BS24" s="116"/>
      <c r="BT24" s="116"/>
      <c r="BU24" s="116"/>
      <c r="BV24" s="116">
        <v>0.0</v>
      </c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136</v>
      </c>
      <c r="D25" s="137">
        <v>15.0</v>
      </c>
      <c r="E25" s="138">
        <v>65.5</v>
      </c>
      <c r="F25" s="139">
        <v>21.833333333333332</v>
      </c>
      <c r="G25" s="140">
        <v>2.8666666666666667</v>
      </c>
      <c r="H25" s="139">
        <v>22.5</v>
      </c>
      <c r="I25" s="141">
        <v>43.0</v>
      </c>
      <c r="J25" s="142">
        <v>0.0</v>
      </c>
      <c r="K25" s="143">
        <v>0.0</v>
      </c>
      <c r="L25" s="144">
        <v>0.0</v>
      </c>
      <c r="M25" s="145">
        <v>9.0</v>
      </c>
      <c r="N25" s="145">
        <v>4.0</v>
      </c>
      <c r="O25" s="146">
        <v>0.0</v>
      </c>
      <c r="P25" s="147"/>
      <c r="Q25" s="148"/>
      <c r="R25" s="148"/>
      <c r="S25" s="149"/>
      <c r="T25" s="150"/>
      <c r="U25" s="151"/>
      <c r="V25" s="151">
        <v>14.5</v>
      </c>
      <c r="W25" s="151"/>
      <c r="X25" s="151"/>
      <c r="Y25" s="151"/>
      <c r="Z25" s="152"/>
      <c r="AA25" s="152"/>
      <c r="AB25" s="151"/>
      <c r="AC25" s="151">
        <v>23.25</v>
      </c>
      <c r="AD25" s="151"/>
      <c r="AE25" s="151"/>
      <c r="AF25" s="151"/>
      <c r="AG25" s="151">
        <v>27.75</v>
      </c>
      <c r="AH25" s="151"/>
      <c r="AI25" s="151"/>
      <c r="AJ25" s="151"/>
      <c r="AK25" s="152"/>
      <c r="AL25" s="152"/>
      <c r="AM25" s="151"/>
      <c r="AN25" s="151"/>
      <c r="AO25" s="151"/>
      <c r="AP25" s="151"/>
      <c r="AQ25" s="151"/>
      <c r="AR25" s="151">
        <v>0.0</v>
      </c>
      <c r="AS25" s="151"/>
      <c r="AT25" s="151"/>
      <c r="AU25" s="152"/>
      <c r="AV25" s="152"/>
      <c r="AW25" s="151"/>
      <c r="AX25" s="151"/>
      <c r="AY25" s="151"/>
      <c r="AZ25" s="153"/>
      <c r="BA25" s="153"/>
      <c r="BB25" s="153"/>
      <c r="BC25" s="153"/>
      <c r="BD25" s="153">
        <v>0.0</v>
      </c>
      <c r="BE25" s="141"/>
      <c r="BF25" s="141"/>
      <c r="BG25" s="141">
        <v>0.0</v>
      </c>
      <c r="BH25" s="141"/>
      <c r="BI25" s="141"/>
      <c r="BJ25" s="141"/>
      <c r="BK25" s="141"/>
      <c r="BL25" s="141"/>
      <c r="BM25" s="141"/>
      <c r="BN25" s="141"/>
      <c r="BO25" s="141">
        <v>0.0</v>
      </c>
      <c r="BP25" s="116"/>
      <c r="BQ25" s="116"/>
      <c r="BR25" s="116"/>
      <c r="BS25" s="116"/>
      <c r="BT25" s="116">
        <v>0.0</v>
      </c>
      <c r="BU25" s="116"/>
      <c r="BV25" s="116"/>
      <c r="BW25" s="116"/>
      <c r="BX25" s="116"/>
      <c r="BY25" s="116"/>
      <c r="BZ25" s="116">
        <v>0.0</v>
      </c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102</v>
      </c>
      <c r="D26" s="119">
        <v>15.0</v>
      </c>
      <c r="E26" s="120">
        <v>64.75</v>
      </c>
      <c r="F26" s="121">
        <v>21.583333333333332</v>
      </c>
      <c r="G26" s="122">
        <v>3.15</v>
      </c>
      <c r="H26" s="121">
        <v>17.5</v>
      </c>
      <c r="I26" s="123">
        <v>45.75</v>
      </c>
      <c r="J26" s="124">
        <v>0.5</v>
      </c>
      <c r="K26" s="125">
        <v>1.0</v>
      </c>
      <c r="L26" s="126">
        <v>2.0</v>
      </c>
      <c r="M26" s="127">
        <v>7.0</v>
      </c>
      <c r="N26" s="127">
        <v>3.0</v>
      </c>
      <c r="O26" s="128">
        <v>1.0</v>
      </c>
      <c r="P26" s="129"/>
      <c r="Q26" s="130"/>
      <c r="R26" s="130"/>
      <c r="S26" s="131"/>
      <c r="T26" s="132"/>
      <c r="U26" s="133">
        <v>23.0</v>
      </c>
      <c r="V26" s="133"/>
      <c r="W26" s="133">
        <v>22.5</v>
      </c>
      <c r="X26" s="134"/>
      <c r="Y26" s="133"/>
      <c r="Z26" s="133"/>
      <c r="AA26" s="133"/>
      <c r="AB26" s="133"/>
      <c r="AC26" s="134"/>
      <c r="AD26" s="133"/>
      <c r="AE26" s="133"/>
      <c r="AF26" s="133">
        <v>19.25</v>
      </c>
      <c r="AG26" s="133"/>
      <c r="AH26" s="134"/>
      <c r="AI26" s="133"/>
      <c r="AJ26" s="133"/>
      <c r="AK26" s="133"/>
      <c r="AL26" s="133"/>
      <c r="AM26" s="133">
        <v>0.0</v>
      </c>
      <c r="AN26" s="134"/>
      <c r="AO26" s="133"/>
      <c r="AP26" s="133"/>
      <c r="AQ26" s="133">
        <v>0.0</v>
      </c>
      <c r="AR26" s="134"/>
      <c r="AS26" s="133"/>
      <c r="AT26" s="133"/>
      <c r="AU26" s="133"/>
      <c r="AV26" s="133"/>
      <c r="AW26" s="133">
        <v>0.0</v>
      </c>
      <c r="AX26" s="133"/>
      <c r="AY26" s="133"/>
      <c r="AZ26" s="135"/>
      <c r="BA26" s="135"/>
      <c r="BB26" s="135"/>
      <c r="BC26" s="135"/>
      <c r="BD26" s="135"/>
      <c r="BE26" s="123"/>
      <c r="BF26" s="123"/>
      <c r="BG26" s="123">
        <v>0.0</v>
      </c>
      <c r="BH26" s="123"/>
      <c r="BI26" s="123"/>
      <c r="BJ26" s="123">
        <v>0.0</v>
      </c>
      <c r="BK26" s="123"/>
      <c r="BL26" s="123"/>
      <c r="BM26" s="123"/>
      <c r="BN26" s="123"/>
      <c r="BO26" s="123"/>
      <c r="BP26" s="116"/>
      <c r="BQ26" s="116"/>
      <c r="BR26" s="116"/>
      <c r="BS26" s="116"/>
      <c r="BT26" s="116"/>
      <c r="BU26" s="116">
        <v>0.0</v>
      </c>
      <c r="BV26" s="116"/>
      <c r="BW26" s="116"/>
      <c r="BX26" s="116"/>
      <c r="BY26" s="116"/>
      <c r="BZ26" s="116">
        <v>0.0</v>
      </c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85</v>
      </c>
      <c r="D27" s="137">
        <v>20.0</v>
      </c>
      <c r="E27" s="138">
        <v>62.25</v>
      </c>
      <c r="F27" s="139">
        <v>15.5625</v>
      </c>
      <c r="G27" s="140">
        <v>2.4875</v>
      </c>
      <c r="H27" s="139">
        <v>12.5</v>
      </c>
      <c r="I27" s="141">
        <v>49.75</v>
      </c>
      <c r="J27" s="142">
        <v>0.0</v>
      </c>
      <c r="K27" s="143">
        <v>0.0</v>
      </c>
      <c r="L27" s="144">
        <v>0.0</v>
      </c>
      <c r="M27" s="145">
        <v>5.0</v>
      </c>
      <c r="N27" s="145">
        <v>2.0</v>
      </c>
      <c r="O27" s="146">
        <v>2.0</v>
      </c>
      <c r="P27" s="147"/>
      <c r="Q27" s="148"/>
      <c r="R27" s="148"/>
      <c r="S27" s="149"/>
      <c r="T27" s="150"/>
      <c r="U27" s="151">
        <v>14.25</v>
      </c>
      <c r="V27" s="151"/>
      <c r="W27" s="151">
        <v>16.5</v>
      </c>
      <c r="X27" s="151"/>
      <c r="Y27" s="151">
        <v>15.75</v>
      </c>
      <c r="Z27" s="152"/>
      <c r="AA27" s="152"/>
      <c r="AB27" s="151"/>
      <c r="AC27" s="151">
        <v>15.75</v>
      </c>
      <c r="AD27" s="151"/>
      <c r="AE27" s="151"/>
      <c r="AF27" s="151"/>
      <c r="AG27" s="151"/>
      <c r="AH27" s="151"/>
      <c r="AI27" s="151"/>
      <c r="AJ27" s="151"/>
      <c r="AK27" s="152"/>
      <c r="AL27" s="152"/>
      <c r="AM27" s="151"/>
      <c r="AN27" s="151"/>
      <c r="AO27" s="151"/>
      <c r="AP27" s="151"/>
      <c r="AQ27" s="151"/>
      <c r="AR27" s="151">
        <v>0.0</v>
      </c>
      <c r="AS27" s="151"/>
      <c r="AT27" s="151"/>
      <c r="AU27" s="152"/>
      <c r="AV27" s="152"/>
      <c r="AW27" s="151"/>
      <c r="AX27" s="151"/>
      <c r="AY27" s="151"/>
      <c r="AZ27" s="153">
        <v>0.0</v>
      </c>
      <c r="BA27" s="153"/>
      <c r="BB27" s="153"/>
      <c r="BC27" s="153"/>
      <c r="BD27" s="153"/>
      <c r="BE27" s="141"/>
      <c r="BF27" s="141"/>
      <c r="BG27" s="141">
        <v>0.0</v>
      </c>
      <c r="BH27" s="141"/>
      <c r="BI27" s="141"/>
      <c r="BJ27" s="141"/>
      <c r="BK27" s="141"/>
      <c r="BL27" s="141">
        <v>0.0</v>
      </c>
      <c r="BM27" s="141"/>
      <c r="BN27" s="141"/>
      <c r="BO27" s="141">
        <v>0.0</v>
      </c>
      <c r="BP27" s="116"/>
      <c r="BQ27" s="116"/>
      <c r="BR27" s="116"/>
      <c r="BS27" s="116"/>
      <c r="BT27" s="116"/>
      <c r="BU27" s="116"/>
      <c r="BV27" s="116"/>
      <c r="BW27" s="116"/>
      <c r="BX27" s="116"/>
      <c r="BY27" s="116">
        <v>0.0</v>
      </c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104</v>
      </c>
      <c r="D28" s="119">
        <v>15.0</v>
      </c>
      <c r="E28" s="120">
        <v>61.5</v>
      </c>
      <c r="F28" s="121">
        <v>20.5</v>
      </c>
      <c r="G28" s="122">
        <v>2.7666666666666666</v>
      </c>
      <c r="H28" s="121">
        <v>20.0</v>
      </c>
      <c r="I28" s="123">
        <v>40.0</v>
      </c>
      <c r="J28" s="124">
        <v>0.5</v>
      </c>
      <c r="K28" s="125">
        <v>1.0</v>
      </c>
      <c r="L28" s="126">
        <v>2.0</v>
      </c>
      <c r="M28" s="127">
        <v>8.0</v>
      </c>
      <c r="N28" s="127">
        <v>3.0</v>
      </c>
      <c r="O28" s="128">
        <v>2.0</v>
      </c>
      <c r="P28" s="129"/>
      <c r="Q28" s="130"/>
      <c r="R28" s="130"/>
      <c r="S28" s="131"/>
      <c r="T28" s="132">
        <v>21.0</v>
      </c>
      <c r="U28" s="133"/>
      <c r="V28" s="133"/>
      <c r="W28" s="133"/>
      <c r="X28" s="134"/>
      <c r="Y28" s="133"/>
      <c r="Z28" s="133"/>
      <c r="AA28" s="133"/>
      <c r="AB28" s="133"/>
      <c r="AC28" s="134"/>
      <c r="AD28" s="133"/>
      <c r="AE28" s="133"/>
      <c r="AF28" s="133">
        <v>15.75</v>
      </c>
      <c r="AG28" s="133"/>
      <c r="AH28" s="134">
        <v>24.75</v>
      </c>
      <c r="AI28" s="133">
        <v>0.0</v>
      </c>
      <c r="AJ28" s="133"/>
      <c r="AK28" s="133"/>
      <c r="AL28" s="133"/>
      <c r="AM28" s="133">
        <v>0.0</v>
      </c>
      <c r="AN28" s="134"/>
      <c r="AO28" s="133"/>
      <c r="AP28" s="133"/>
      <c r="AQ28" s="133">
        <v>0.0</v>
      </c>
      <c r="AR28" s="134"/>
      <c r="AS28" s="133"/>
      <c r="AT28" s="133"/>
      <c r="AU28" s="133"/>
      <c r="AV28" s="133"/>
      <c r="AW28" s="133"/>
      <c r="AX28" s="133"/>
      <c r="AY28" s="133"/>
      <c r="AZ28" s="135"/>
      <c r="BA28" s="135"/>
      <c r="BB28" s="135"/>
      <c r="BC28" s="135">
        <v>0.0</v>
      </c>
      <c r="BD28" s="135"/>
      <c r="BE28" s="123"/>
      <c r="BF28" s="123">
        <v>0.0</v>
      </c>
      <c r="BG28" s="123"/>
      <c r="BH28" s="123"/>
      <c r="BI28" s="123">
        <v>0.0</v>
      </c>
      <c r="BJ28" s="123"/>
      <c r="BK28" s="123">
        <v>0.0</v>
      </c>
      <c r="BL28" s="123"/>
      <c r="BM28" s="123"/>
      <c r="BN28" s="123"/>
      <c r="BO28" s="123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110</v>
      </c>
      <c r="D29" s="137">
        <v>15.0</v>
      </c>
      <c r="E29" s="138">
        <v>61.0</v>
      </c>
      <c r="F29" s="139">
        <v>20.333333333333332</v>
      </c>
      <c r="G29" s="140">
        <v>2.7333333333333334</v>
      </c>
      <c r="H29" s="139">
        <v>20.0</v>
      </c>
      <c r="I29" s="141">
        <v>39.0</v>
      </c>
      <c r="J29" s="142">
        <v>0.5</v>
      </c>
      <c r="K29" s="143">
        <v>1.5</v>
      </c>
      <c r="L29" s="144">
        <v>2.0</v>
      </c>
      <c r="M29" s="145">
        <v>8.0</v>
      </c>
      <c r="N29" s="145">
        <v>1.0</v>
      </c>
      <c r="O29" s="146">
        <v>1.0</v>
      </c>
      <c r="P29" s="147"/>
      <c r="Q29" s="148"/>
      <c r="R29" s="148"/>
      <c r="S29" s="149"/>
      <c r="T29" s="150"/>
      <c r="U29" s="151">
        <v>25.25</v>
      </c>
      <c r="V29" s="151"/>
      <c r="W29" s="151"/>
      <c r="X29" s="151"/>
      <c r="Y29" s="151"/>
      <c r="Z29" s="152">
        <v>18.75</v>
      </c>
      <c r="AA29" s="152"/>
      <c r="AB29" s="151"/>
      <c r="AC29" s="151"/>
      <c r="AD29" s="151"/>
      <c r="AE29" s="151"/>
      <c r="AF29" s="151">
        <v>17.0</v>
      </c>
      <c r="AG29" s="151"/>
      <c r="AH29" s="151"/>
      <c r="AI29" s="151">
        <v>0.0</v>
      </c>
      <c r="AJ29" s="151"/>
      <c r="AK29" s="152"/>
      <c r="AL29" s="152"/>
      <c r="AM29" s="151"/>
      <c r="AN29" s="151"/>
      <c r="AO29" s="151"/>
      <c r="AP29" s="151">
        <v>0.0</v>
      </c>
      <c r="AQ29" s="151"/>
      <c r="AR29" s="151"/>
      <c r="AS29" s="151"/>
      <c r="AT29" s="151"/>
      <c r="AU29" s="152">
        <v>0.0</v>
      </c>
      <c r="AV29" s="152"/>
      <c r="AW29" s="151"/>
      <c r="AX29" s="151"/>
      <c r="AY29" s="151"/>
      <c r="AZ29" s="153"/>
      <c r="BA29" s="153"/>
      <c r="BB29" s="153"/>
      <c r="BC29" s="153">
        <v>0.0</v>
      </c>
      <c r="BD29" s="153"/>
      <c r="BE29" s="141">
        <v>0.0</v>
      </c>
      <c r="BF29" s="141"/>
      <c r="BG29" s="141"/>
      <c r="BH29" s="141"/>
      <c r="BI29" s="141"/>
      <c r="BJ29" s="141"/>
      <c r="BK29" s="141"/>
      <c r="BL29" s="141"/>
      <c r="BM29" s="141"/>
      <c r="BN29" s="141"/>
      <c r="BO29" s="141">
        <v>0.0</v>
      </c>
      <c r="BP29" s="116"/>
      <c r="BQ29" s="116"/>
      <c r="BR29" s="116"/>
      <c r="BS29" s="116"/>
      <c r="BT29" s="116"/>
      <c r="BU29" s="116"/>
      <c r="BV29" s="116"/>
      <c r="BW29" s="116"/>
      <c r="BX29" s="116">
        <v>0.0</v>
      </c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132</v>
      </c>
      <c r="D30" s="119">
        <v>15.0</v>
      </c>
      <c r="E30" s="120">
        <v>58.75</v>
      </c>
      <c r="F30" s="121">
        <v>19.583333333333332</v>
      </c>
      <c r="G30" s="122">
        <v>2.9166666666666665</v>
      </c>
      <c r="H30" s="121">
        <v>15.0</v>
      </c>
      <c r="I30" s="123">
        <v>43.25</v>
      </c>
      <c r="J30" s="124">
        <v>0.0</v>
      </c>
      <c r="K30" s="125">
        <v>0.5</v>
      </c>
      <c r="L30" s="126">
        <v>1.0</v>
      </c>
      <c r="M30" s="127">
        <v>6.0</v>
      </c>
      <c r="N30" s="127">
        <v>1.0</v>
      </c>
      <c r="O30" s="128">
        <v>2.0</v>
      </c>
      <c r="P30" s="129"/>
      <c r="Q30" s="130"/>
      <c r="R30" s="130"/>
      <c r="S30" s="131"/>
      <c r="T30" s="132"/>
      <c r="U30" s="133"/>
      <c r="V30" s="133">
        <v>22.25</v>
      </c>
      <c r="W30" s="133"/>
      <c r="X30" s="134"/>
      <c r="Y30" s="133"/>
      <c r="Z30" s="133"/>
      <c r="AA30" s="133"/>
      <c r="AB30" s="133">
        <v>16.0</v>
      </c>
      <c r="AC30" s="134"/>
      <c r="AD30" s="133"/>
      <c r="AE30" s="133"/>
      <c r="AF30" s="133">
        <v>20.5</v>
      </c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/>
      <c r="BB30" s="135">
        <v>0.0</v>
      </c>
      <c r="BC30" s="135"/>
      <c r="BD30" s="135">
        <v>0.0</v>
      </c>
      <c r="BE30" s="123">
        <v>0.0</v>
      </c>
      <c r="BF30" s="123"/>
      <c r="BG30" s="123">
        <v>0.0</v>
      </c>
      <c r="BH30" s="123"/>
      <c r="BI30" s="123">
        <v>0.0</v>
      </c>
      <c r="BJ30" s="123"/>
      <c r="BK30" s="123"/>
      <c r="BL30" s="123"/>
      <c r="BM30" s="123"/>
      <c r="BN30" s="123"/>
      <c r="BO30" s="123"/>
      <c r="BP30" s="116"/>
      <c r="BQ30" s="116"/>
      <c r="BR30" s="116"/>
      <c r="BS30" s="116">
        <v>0.0</v>
      </c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96</v>
      </c>
      <c r="D31" s="137">
        <v>15.0</v>
      </c>
      <c r="E31" s="138">
        <v>58.25</v>
      </c>
      <c r="F31" s="139">
        <v>19.416666666666668</v>
      </c>
      <c r="G31" s="140">
        <v>2.3833333333333333</v>
      </c>
      <c r="H31" s="139">
        <v>22.5</v>
      </c>
      <c r="I31" s="141">
        <v>35.25</v>
      </c>
      <c r="J31" s="142">
        <v>0.0</v>
      </c>
      <c r="K31" s="143">
        <v>0.5</v>
      </c>
      <c r="L31" s="144">
        <v>1.0</v>
      </c>
      <c r="M31" s="145">
        <v>9.0</v>
      </c>
      <c r="N31" s="145">
        <v>1.0</v>
      </c>
      <c r="O31" s="146">
        <v>0.0</v>
      </c>
      <c r="P31" s="147"/>
      <c r="Q31" s="148"/>
      <c r="R31" s="148"/>
      <c r="S31" s="149"/>
      <c r="T31" s="150"/>
      <c r="U31" s="151"/>
      <c r="V31" s="151"/>
      <c r="W31" s="151">
        <v>22.5</v>
      </c>
      <c r="X31" s="151"/>
      <c r="Y31" s="151"/>
      <c r="Z31" s="152"/>
      <c r="AA31" s="152">
        <v>13.25</v>
      </c>
      <c r="AB31" s="151"/>
      <c r="AC31" s="151"/>
      <c r="AD31" s="151">
        <v>22.5</v>
      </c>
      <c r="AE31" s="151"/>
      <c r="AF31" s="151"/>
      <c r="AG31" s="151"/>
      <c r="AH31" s="151"/>
      <c r="AI31" s="151">
        <v>0.0</v>
      </c>
      <c r="AJ31" s="151"/>
      <c r="AK31" s="152"/>
      <c r="AL31" s="152"/>
      <c r="AM31" s="151"/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>
        <v>0.0</v>
      </c>
      <c r="BA31" s="153"/>
      <c r="BB31" s="153"/>
      <c r="BC31" s="153"/>
      <c r="BD31" s="153">
        <v>0.0</v>
      </c>
      <c r="BE31" s="141"/>
      <c r="BF31" s="141"/>
      <c r="BG31" s="141"/>
      <c r="BH31" s="141"/>
      <c r="BI31" s="141"/>
      <c r="BJ31" s="141">
        <v>0.0</v>
      </c>
      <c r="BK31" s="141"/>
      <c r="BL31" s="141"/>
      <c r="BM31" s="141"/>
      <c r="BN31" s="141">
        <v>0.0</v>
      </c>
      <c r="BO31" s="141"/>
      <c r="BP31" s="116"/>
      <c r="BQ31" s="116"/>
      <c r="BR31" s="116"/>
      <c r="BS31" s="116"/>
      <c r="BT31" s="116">
        <v>0.0</v>
      </c>
      <c r="BU31" s="116"/>
      <c r="BV31" s="116"/>
      <c r="BW31" s="116"/>
      <c r="BX31" s="116"/>
      <c r="BY31" s="116"/>
      <c r="BZ31" s="116"/>
      <c r="CA31" s="116">
        <v>0.0</v>
      </c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128</v>
      </c>
      <c r="D32" s="119">
        <v>15.0</v>
      </c>
      <c r="E32" s="120">
        <v>57.75</v>
      </c>
      <c r="F32" s="121">
        <v>19.25</v>
      </c>
      <c r="G32" s="122">
        <v>2.5166666666666666</v>
      </c>
      <c r="H32" s="121">
        <v>20.0</v>
      </c>
      <c r="I32" s="123">
        <v>36.75</v>
      </c>
      <c r="J32" s="124">
        <v>0.5</v>
      </c>
      <c r="K32" s="125">
        <v>0.5</v>
      </c>
      <c r="L32" s="126">
        <v>1.0</v>
      </c>
      <c r="M32" s="127">
        <v>8.0</v>
      </c>
      <c r="N32" s="127">
        <v>0.0</v>
      </c>
      <c r="O32" s="128">
        <v>3.0</v>
      </c>
      <c r="P32" s="129"/>
      <c r="Q32" s="130"/>
      <c r="R32" s="130"/>
      <c r="S32" s="131"/>
      <c r="T32" s="132"/>
      <c r="U32" s="133"/>
      <c r="V32" s="133"/>
      <c r="W32" s="133"/>
      <c r="X32" s="134"/>
      <c r="Y32" s="133"/>
      <c r="Z32" s="133">
        <v>20.75</v>
      </c>
      <c r="AA32" s="133"/>
      <c r="AB32" s="133"/>
      <c r="AC32" s="134"/>
      <c r="AD32" s="133">
        <v>17.5</v>
      </c>
      <c r="AE32" s="133"/>
      <c r="AF32" s="133"/>
      <c r="AG32" s="133">
        <v>19.5</v>
      </c>
      <c r="AH32" s="134"/>
      <c r="AI32" s="133"/>
      <c r="AJ32" s="133"/>
      <c r="AK32" s="133"/>
      <c r="AL32" s="133">
        <v>0.0</v>
      </c>
      <c r="AM32" s="133"/>
      <c r="AN32" s="134"/>
      <c r="AO32" s="133"/>
      <c r="AP32" s="133"/>
      <c r="AQ32" s="133">
        <v>0.0</v>
      </c>
      <c r="AR32" s="134"/>
      <c r="AS32" s="133"/>
      <c r="AT32" s="133"/>
      <c r="AU32" s="133"/>
      <c r="AV32" s="133"/>
      <c r="AW32" s="133"/>
      <c r="AX32" s="133">
        <v>0.0</v>
      </c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>
        <v>0.0</v>
      </c>
      <c r="BJ32" s="123"/>
      <c r="BK32" s="123"/>
      <c r="BL32" s="123"/>
      <c r="BM32" s="123"/>
      <c r="BN32" s="123"/>
      <c r="BO32" s="123"/>
      <c r="BP32" s="116">
        <v>0.0</v>
      </c>
      <c r="BQ32" s="116"/>
      <c r="BR32" s="116"/>
      <c r="BS32" s="116">
        <v>0.0</v>
      </c>
      <c r="BT32" s="116"/>
      <c r="BU32" s="116">
        <v>0.0</v>
      </c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98</v>
      </c>
      <c r="D33" s="137">
        <v>15.0</v>
      </c>
      <c r="E33" s="138">
        <v>57.5</v>
      </c>
      <c r="F33" s="139">
        <v>19.166666666666668</v>
      </c>
      <c r="G33" s="140">
        <v>2.8333333333333335</v>
      </c>
      <c r="H33" s="139">
        <v>15.0</v>
      </c>
      <c r="I33" s="141">
        <v>41.0</v>
      </c>
      <c r="J33" s="142">
        <v>0.5</v>
      </c>
      <c r="K33" s="143">
        <v>1.0</v>
      </c>
      <c r="L33" s="144">
        <v>2.0</v>
      </c>
      <c r="M33" s="145">
        <v>6.0</v>
      </c>
      <c r="N33" s="145">
        <v>3.0</v>
      </c>
      <c r="O33" s="146">
        <v>2.0</v>
      </c>
      <c r="P33" s="147"/>
      <c r="Q33" s="148"/>
      <c r="R33" s="148"/>
      <c r="S33" s="149"/>
      <c r="T33" s="150"/>
      <c r="U33" s="151">
        <v>21.5</v>
      </c>
      <c r="V33" s="151"/>
      <c r="W33" s="151"/>
      <c r="X33" s="151"/>
      <c r="Y33" s="151"/>
      <c r="Z33" s="152"/>
      <c r="AA33" s="152">
        <v>13.75</v>
      </c>
      <c r="AB33" s="151"/>
      <c r="AC33" s="151"/>
      <c r="AD33" s="151"/>
      <c r="AE33" s="151"/>
      <c r="AF33" s="151">
        <v>22.25</v>
      </c>
      <c r="AG33" s="151"/>
      <c r="AH33" s="151"/>
      <c r="AI33" s="151"/>
      <c r="AJ33" s="151">
        <v>0.0</v>
      </c>
      <c r="AK33" s="152"/>
      <c r="AL33" s="152"/>
      <c r="AM33" s="151"/>
      <c r="AN33" s="151"/>
      <c r="AO33" s="151"/>
      <c r="AP33" s="151">
        <v>0.0</v>
      </c>
      <c r="AQ33" s="151"/>
      <c r="AR33" s="151"/>
      <c r="AS33" s="151">
        <v>0.0</v>
      </c>
      <c r="AT33" s="151"/>
      <c r="AU33" s="152"/>
      <c r="AV33" s="152"/>
      <c r="AW33" s="151"/>
      <c r="AX33" s="151"/>
      <c r="AY33" s="151"/>
      <c r="AZ33" s="153"/>
      <c r="BA33" s="153">
        <v>0.0</v>
      </c>
      <c r="BB33" s="153"/>
      <c r="BC33" s="153"/>
      <c r="BD33" s="153"/>
      <c r="BE33" s="141"/>
      <c r="BF33" s="141"/>
      <c r="BG33" s="141"/>
      <c r="BH33" s="141"/>
      <c r="BI33" s="141"/>
      <c r="BJ33" s="141">
        <v>0.0</v>
      </c>
      <c r="BK33" s="141"/>
      <c r="BL33" s="141"/>
      <c r="BM33" s="141"/>
      <c r="BN33" s="141"/>
      <c r="BO33" s="141"/>
      <c r="BP33" s="116"/>
      <c r="BQ33" s="116"/>
      <c r="BR33" s="116">
        <v>0.0</v>
      </c>
      <c r="BS33" s="116"/>
      <c r="BT33" s="116"/>
      <c r="BU33" s="116"/>
      <c r="BV33" s="116">
        <v>0.0</v>
      </c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106</v>
      </c>
      <c r="D34" s="119">
        <v>15.0</v>
      </c>
      <c r="E34" s="120">
        <v>57.5</v>
      </c>
      <c r="F34" s="121">
        <v>19.166666666666668</v>
      </c>
      <c r="G34" s="122">
        <v>2.6666666666666665</v>
      </c>
      <c r="H34" s="121">
        <v>17.5</v>
      </c>
      <c r="I34" s="123">
        <v>39.5</v>
      </c>
      <c r="J34" s="124">
        <v>0.0</v>
      </c>
      <c r="K34" s="125">
        <v>0.5</v>
      </c>
      <c r="L34" s="126">
        <v>1.0</v>
      </c>
      <c r="M34" s="127">
        <v>7.0</v>
      </c>
      <c r="N34" s="127">
        <v>2.0</v>
      </c>
      <c r="O34" s="128">
        <v>0.0</v>
      </c>
      <c r="P34" s="129"/>
      <c r="Q34" s="130"/>
      <c r="R34" s="130"/>
      <c r="S34" s="131"/>
      <c r="T34" s="132">
        <v>20.0</v>
      </c>
      <c r="U34" s="133"/>
      <c r="V34" s="133"/>
      <c r="W34" s="133"/>
      <c r="X34" s="134">
        <v>19.25</v>
      </c>
      <c r="Y34" s="133"/>
      <c r="Z34" s="133"/>
      <c r="AA34" s="133"/>
      <c r="AB34" s="133"/>
      <c r="AC34" s="134"/>
      <c r="AD34" s="133">
        <v>18.25</v>
      </c>
      <c r="AE34" s="133"/>
      <c r="AF34" s="133"/>
      <c r="AG34" s="133"/>
      <c r="AH34" s="134"/>
      <c r="AI34" s="133"/>
      <c r="AJ34" s="133"/>
      <c r="AK34" s="133"/>
      <c r="AL34" s="133"/>
      <c r="AM34" s="133"/>
      <c r="AN34" s="134">
        <v>0.0</v>
      </c>
      <c r="AO34" s="133"/>
      <c r="AP34" s="133"/>
      <c r="AQ34" s="133">
        <v>0.0</v>
      </c>
      <c r="AR34" s="134"/>
      <c r="AS34" s="133"/>
      <c r="AT34" s="133"/>
      <c r="AU34" s="133"/>
      <c r="AV34" s="133"/>
      <c r="AW34" s="133"/>
      <c r="AX34" s="133">
        <v>0.0</v>
      </c>
      <c r="AY34" s="133"/>
      <c r="AZ34" s="135"/>
      <c r="BA34" s="135"/>
      <c r="BB34" s="135"/>
      <c r="BC34" s="135">
        <v>0.0</v>
      </c>
      <c r="BD34" s="135"/>
      <c r="BE34" s="123"/>
      <c r="BF34" s="123"/>
      <c r="BG34" s="123"/>
      <c r="BH34" s="123"/>
      <c r="BI34" s="123"/>
      <c r="BJ34" s="123"/>
      <c r="BK34" s="123"/>
      <c r="BL34" s="123"/>
      <c r="BM34" s="123">
        <v>0.0</v>
      </c>
      <c r="BN34" s="123"/>
      <c r="BO34" s="123"/>
      <c r="BP34" s="116"/>
      <c r="BQ34" s="116">
        <v>0.0</v>
      </c>
      <c r="BR34" s="116"/>
      <c r="BS34" s="116"/>
      <c r="BT34" s="116"/>
      <c r="BU34" s="116"/>
      <c r="BV34" s="116">
        <v>0.0</v>
      </c>
      <c r="BW34" s="116"/>
      <c r="BX34" s="116"/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129</v>
      </c>
      <c r="D35" s="137">
        <v>15.0</v>
      </c>
      <c r="E35" s="138">
        <v>57.5</v>
      </c>
      <c r="F35" s="139">
        <v>19.166666666666668</v>
      </c>
      <c r="G35" s="140">
        <v>2.6666666666666665</v>
      </c>
      <c r="H35" s="139">
        <v>17.5</v>
      </c>
      <c r="I35" s="141">
        <v>39.5</v>
      </c>
      <c r="J35" s="142">
        <v>0.0</v>
      </c>
      <c r="K35" s="143">
        <v>0.5</v>
      </c>
      <c r="L35" s="144">
        <v>1.0</v>
      </c>
      <c r="M35" s="145">
        <v>7.0</v>
      </c>
      <c r="N35" s="145">
        <v>0.0</v>
      </c>
      <c r="O35" s="146">
        <v>4.0</v>
      </c>
      <c r="P35" s="147"/>
      <c r="Q35" s="148"/>
      <c r="R35" s="148"/>
      <c r="S35" s="149"/>
      <c r="T35" s="150"/>
      <c r="U35" s="151"/>
      <c r="V35" s="151"/>
      <c r="W35" s="151"/>
      <c r="X35" s="151"/>
      <c r="Y35" s="151"/>
      <c r="Z35" s="152"/>
      <c r="AA35" s="152"/>
      <c r="AB35" s="151">
        <v>25.25</v>
      </c>
      <c r="AC35" s="151">
        <v>18.25</v>
      </c>
      <c r="AD35" s="151"/>
      <c r="AE35" s="151"/>
      <c r="AF35" s="151">
        <v>14.0</v>
      </c>
      <c r="AG35" s="151"/>
      <c r="AH35" s="151"/>
      <c r="AI35" s="151"/>
      <c r="AJ35" s="151"/>
      <c r="AK35" s="152"/>
      <c r="AL35" s="152"/>
      <c r="AM35" s="151"/>
      <c r="AN35" s="151"/>
      <c r="AO35" s="151">
        <v>0.0</v>
      </c>
      <c r="AP35" s="151"/>
      <c r="AQ35" s="151"/>
      <c r="AR35" s="151"/>
      <c r="AS35" s="151"/>
      <c r="AT35" s="151">
        <v>0.0</v>
      </c>
      <c r="AU35" s="152"/>
      <c r="AV35" s="152">
        <v>0.0</v>
      </c>
      <c r="AW35" s="151"/>
      <c r="AX35" s="151"/>
      <c r="AY35" s="151"/>
      <c r="AZ35" s="153"/>
      <c r="BA35" s="153"/>
      <c r="BB35" s="153">
        <v>0.0</v>
      </c>
      <c r="BC35" s="153"/>
      <c r="BD35" s="153"/>
      <c r="BE35" s="141"/>
      <c r="BF35" s="141"/>
      <c r="BG35" s="141"/>
      <c r="BH35" s="141"/>
      <c r="BI35" s="141"/>
      <c r="BJ35" s="141"/>
      <c r="BK35" s="141">
        <v>0.0</v>
      </c>
      <c r="BL35" s="141"/>
      <c r="BM35" s="141"/>
      <c r="BN35" s="141"/>
      <c r="BO35" s="141"/>
      <c r="BP35" s="116"/>
      <c r="BQ35" s="116"/>
      <c r="BR35" s="116"/>
      <c r="BS35" s="116">
        <v>0.0</v>
      </c>
      <c r="BT35" s="116"/>
      <c r="BU35" s="116"/>
      <c r="BV35" s="116"/>
      <c r="BW35" s="116"/>
      <c r="BX35" s="116"/>
      <c r="BY35" s="116">
        <v>0.0</v>
      </c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111</v>
      </c>
      <c r="D36" s="119">
        <v>15.0</v>
      </c>
      <c r="E36" s="120">
        <v>57.25</v>
      </c>
      <c r="F36" s="121">
        <v>19.083333333333336</v>
      </c>
      <c r="G36" s="122">
        <v>2.65</v>
      </c>
      <c r="H36" s="121">
        <v>17.5</v>
      </c>
      <c r="I36" s="123">
        <v>39.25</v>
      </c>
      <c r="J36" s="124">
        <v>0.0</v>
      </c>
      <c r="K36" s="125">
        <v>0.5</v>
      </c>
      <c r="L36" s="126">
        <v>1.0</v>
      </c>
      <c r="M36" s="127">
        <v>7.0</v>
      </c>
      <c r="N36" s="127">
        <v>2.0</v>
      </c>
      <c r="O36" s="128">
        <v>3.0</v>
      </c>
      <c r="P36" s="129"/>
      <c r="Q36" s="130"/>
      <c r="R36" s="130"/>
      <c r="S36" s="131"/>
      <c r="T36" s="132"/>
      <c r="U36" s="133"/>
      <c r="V36" s="133"/>
      <c r="W36" s="133"/>
      <c r="X36" s="134"/>
      <c r="Y36" s="133"/>
      <c r="Z36" s="133"/>
      <c r="AA36" s="133"/>
      <c r="AB36" s="133"/>
      <c r="AC36" s="134"/>
      <c r="AD36" s="133"/>
      <c r="AE36" s="133"/>
      <c r="AF36" s="133">
        <v>13.0</v>
      </c>
      <c r="AG36" s="133">
        <v>18.75</v>
      </c>
      <c r="AH36" s="134">
        <v>25.5</v>
      </c>
      <c r="AI36" s="133">
        <v>0.0</v>
      </c>
      <c r="AJ36" s="133">
        <v>0.0</v>
      </c>
      <c r="AK36" s="133"/>
      <c r="AL36" s="133"/>
      <c r="AM36" s="133"/>
      <c r="AN36" s="134"/>
      <c r="AO36" s="133"/>
      <c r="AP36" s="133"/>
      <c r="AQ36" s="133"/>
      <c r="AR36" s="134"/>
      <c r="AS36" s="133"/>
      <c r="AT36" s="133"/>
      <c r="AU36" s="133"/>
      <c r="AV36" s="133"/>
      <c r="AW36" s="133"/>
      <c r="AX36" s="133"/>
      <c r="AY36" s="133"/>
      <c r="AZ36" s="135"/>
      <c r="BA36" s="135"/>
      <c r="BB36" s="135"/>
      <c r="BC36" s="135"/>
      <c r="BD36" s="135"/>
      <c r="BE36" s="123"/>
      <c r="BF36" s="123"/>
      <c r="BG36" s="123"/>
      <c r="BH36" s="123"/>
      <c r="BI36" s="123">
        <v>0.0</v>
      </c>
      <c r="BJ36" s="123">
        <v>0.0</v>
      </c>
      <c r="BK36" s="123">
        <v>0.0</v>
      </c>
      <c r="BL36" s="123">
        <v>0.0</v>
      </c>
      <c r="BM36" s="123">
        <v>0.0</v>
      </c>
      <c r="BN36" s="123"/>
      <c r="BO36" s="123"/>
      <c r="BP36" s="116"/>
      <c r="BQ36" s="116"/>
      <c r="BR36" s="116"/>
      <c r="BS36" s="116"/>
      <c r="BT36" s="116"/>
      <c r="BU36" s="116"/>
      <c r="BV36" s="116"/>
      <c r="BW36" s="116"/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126</v>
      </c>
      <c r="D37" s="137">
        <v>15.0</v>
      </c>
      <c r="E37" s="138">
        <v>57.0</v>
      </c>
      <c r="F37" s="139">
        <v>19.0</v>
      </c>
      <c r="G37" s="140">
        <v>2.6333333333333333</v>
      </c>
      <c r="H37" s="139">
        <v>17.5</v>
      </c>
      <c r="I37" s="141">
        <v>39.5</v>
      </c>
      <c r="J37" s="142">
        <v>0.0</v>
      </c>
      <c r="K37" s="143">
        <v>0.0</v>
      </c>
      <c r="L37" s="144">
        <v>0.0</v>
      </c>
      <c r="M37" s="145">
        <v>7.0</v>
      </c>
      <c r="N37" s="145">
        <v>2.0</v>
      </c>
      <c r="O37" s="146">
        <v>3.0</v>
      </c>
      <c r="P37" s="147"/>
      <c r="Q37" s="148"/>
      <c r="R37" s="148"/>
      <c r="S37" s="149"/>
      <c r="T37" s="150"/>
      <c r="U37" s="151"/>
      <c r="V37" s="151">
        <v>18.5</v>
      </c>
      <c r="W37" s="151"/>
      <c r="X37" s="151"/>
      <c r="Y37" s="151"/>
      <c r="Z37" s="152"/>
      <c r="AA37" s="152"/>
      <c r="AB37" s="151">
        <v>20.5</v>
      </c>
      <c r="AC37" s="151"/>
      <c r="AD37" s="151"/>
      <c r="AE37" s="151">
        <v>18.0</v>
      </c>
      <c r="AF37" s="151"/>
      <c r="AG37" s="151"/>
      <c r="AH37" s="151"/>
      <c r="AI37" s="151"/>
      <c r="AJ37" s="151"/>
      <c r="AK37" s="152">
        <v>0.0</v>
      </c>
      <c r="AL37" s="152"/>
      <c r="AM37" s="151"/>
      <c r="AN37" s="151"/>
      <c r="AO37" s="151"/>
      <c r="AP37" s="151"/>
      <c r="AQ37" s="151"/>
      <c r="AR37" s="151"/>
      <c r="AS37" s="151">
        <v>0.0</v>
      </c>
      <c r="AT37" s="151"/>
      <c r="AU37" s="152"/>
      <c r="AV37" s="152"/>
      <c r="AW37" s="151"/>
      <c r="AX37" s="151"/>
      <c r="AY37" s="151">
        <v>0.0</v>
      </c>
      <c r="AZ37" s="153"/>
      <c r="BA37" s="153"/>
      <c r="BB37" s="153"/>
      <c r="BC37" s="153"/>
      <c r="BD37" s="153"/>
      <c r="BE37" s="141"/>
      <c r="BF37" s="141"/>
      <c r="BG37" s="141"/>
      <c r="BH37" s="141">
        <v>0.0</v>
      </c>
      <c r="BI37" s="141"/>
      <c r="BJ37" s="141"/>
      <c r="BK37" s="141"/>
      <c r="BL37" s="141"/>
      <c r="BM37" s="141"/>
      <c r="BN37" s="141"/>
      <c r="BO37" s="141"/>
      <c r="BP37" s="116">
        <v>0.0</v>
      </c>
      <c r="BQ37" s="116"/>
      <c r="BR37" s="116">
        <v>0.0</v>
      </c>
      <c r="BS37" s="116"/>
      <c r="BT37" s="116"/>
      <c r="BU37" s="116"/>
      <c r="BV37" s="116"/>
      <c r="BW37" s="116">
        <v>0.0</v>
      </c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103</v>
      </c>
      <c r="D38" s="119">
        <v>15.0</v>
      </c>
      <c r="E38" s="120">
        <v>56.0</v>
      </c>
      <c r="F38" s="121">
        <v>18.666666666666668</v>
      </c>
      <c r="G38" s="122">
        <v>2.4</v>
      </c>
      <c r="H38" s="121">
        <v>20.0</v>
      </c>
      <c r="I38" s="123">
        <v>36.0</v>
      </c>
      <c r="J38" s="124">
        <v>0.0</v>
      </c>
      <c r="K38" s="125">
        <v>0.0</v>
      </c>
      <c r="L38" s="126">
        <v>0.0</v>
      </c>
      <c r="M38" s="127">
        <v>8.0</v>
      </c>
      <c r="N38" s="127">
        <v>2.0</v>
      </c>
      <c r="O38" s="128">
        <v>2.0</v>
      </c>
      <c r="P38" s="129"/>
      <c r="Q38" s="130"/>
      <c r="R38" s="130"/>
      <c r="S38" s="131"/>
      <c r="T38" s="132"/>
      <c r="U38" s="133"/>
      <c r="V38" s="133"/>
      <c r="W38" s="133"/>
      <c r="X38" s="134">
        <v>14.0</v>
      </c>
      <c r="Y38" s="133"/>
      <c r="Z38" s="133">
        <v>19.5</v>
      </c>
      <c r="AA38" s="133"/>
      <c r="AB38" s="133"/>
      <c r="AC38" s="134">
        <v>22.5</v>
      </c>
      <c r="AD38" s="133"/>
      <c r="AE38" s="133"/>
      <c r="AF38" s="133"/>
      <c r="AG38" s="133"/>
      <c r="AH38" s="134"/>
      <c r="AI38" s="133"/>
      <c r="AJ38" s="133"/>
      <c r="AK38" s="133"/>
      <c r="AL38" s="133"/>
      <c r="AM38" s="133"/>
      <c r="AN38" s="134"/>
      <c r="AO38" s="133"/>
      <c r="AP38" s="133">
        <v>0.0</v>
      </c>
      <c r="AQ38" s="133"/>
      <c r="AR38" s="134"/>
      <c r="AS38" s="133"/>
      <c r="AT38" s="133"/>
      <c r="AU38" s="133"/>
      <c r="AV38" s="133">
        <v>0.0</v>
      </c>
      <c r="AW38" s="133"/>
      <c r="AX38" s="133"/>
      <c r="AY38" s="133"/>
      <c r="AZ38" s="135"/>
      <c r="BA38" s="135"/>
      <c r="BB38" s="135">
        <v>0.0</v>
      </c>
      <c r="BC38" s="135"/>
      <c r="BD38" s="135"/>
      <c r="BE38" s="123"/>
      <c r="BF38" s="123">
        <v>0.0</v>
      </c>
      <c r="BG38" s="123"/>
      <c r="BH38" s="123"/>
      <c r="BI38" s="123"/>
      <c r="BJ38" s="123"/>
      <c r="BK38" s="123"/>
      <c r="BL38" s="123">
        <v>0.0</v>
      </c>
      <c r="BM38" s="123"/>
      <c r="BN38" s="123"/>
      <c r="BO38" s="123"/>
      <c r="BP38" s="116"/>
      <c r="BQ38" s="116"/>
      <c r="BR38" s="116"/>
      <c r="BS38" s="116"/>
      <c r="BT38" s="116"/>
      <c r="BU38" s="116"/>
      <c r="BV38" s="116"/>
      <c r="BW38" s="116">
        <v>0.0</v>
      </c>
      <c r="BX38" s="116"/>
      <c r="BY38" s="116"/>
      <c r="BZ38" s="116">
        <v>0.0</v>
      </c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86</v>
      </c>
      <c r="D39" s="137">
        <v>15.0</v>
      </c>
      <c r="E39" s="138">
        <v>53.25</v>
      </c>
      <c r="F39" s="139">
        <v>17.75</v>
      </c>
      <c r="G39" s="140">
        <v>2.55</v>
      </c>
      <c r="H39" s="139">
        <v>15.0</v>
      </c>
      <c r="I39" s="141">
        <v>37.75</v>
      </c>
      <c r="J39" s="142">
        <v>0.0</v>
      </c>
      <c r="K39" s="143">
        <v>0.5</v>
      </c>
      <c r="L39" s="144">
        <v>1.0</v>
      </c>
      <c r="M39" s="145">
        <v>6.0</v>
      </c>
      <c r="N39" s="145">
        <v>3.0</v>
      </c>
      <c r="O39" s="146">
        <v>2.0</v>
      </c>
      <c r="P39" s="147"/>
      <c r="Q39" s="148"/>
      <c r="R39" s="148"/>
      <c r="S39" s="149"/>
      <c r="T39" s="150"/>
      <c r="U39" s="151"/>
      <c r="V39" s="151"/>
      <c r="W39" s="151"/>
      <c r="X39" s="151">
        <v>21.75</v>
      </c>
      <c r="Y39" s="151">
        <v>19.5</v>
      </c>
      <c r="Z39" s="152"/>
      <c r="AA39" s="152"/>
      <c r="AB39" s="151"/>
      <c r="AC39" s="151"/>
      <c r="AD39" s="151"/>
      <c r="AE39" s="151">
        <v>12.0</v>
      </c>
      <c r="AF39" s="151"/>
      <c r="AG39" s="151"/>
      <c r="AH39" s="151"/>
      <c r="AI39" s="151"/>
      <c r="AJ39" s="151"/>
      <c r="AK39" s="152">
        <v>0.0</v>
      </c>
      <c r="AL39" s="152"/>
      <c r="AM39" s="151"/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/>
      <c r="BA39" s="153">
        <v>0.0</v>
      </c>
      <c r="BB39" s="153">
        <v>0.0</v>
      </c>
      <c r="BC39" s="153"/>
      <c r="BD39" s="153"/>
      <c r="BE39" s="141"/>
      <c r="BF39" s="141"/>
      <c r="BG39" s="141"/>
      <c r="BH39" s="141"/>
      <c r="BI39" s="141">
        <v>0.0</v>
      </c>
      <c r="BJ39" s="141"/>
      <c r="BK39" s="141"/>
      <c r="BL39" s="141"/>
      <c r="BM39" s="141"/>
      <c r="BN39" s="141"/>
      <c r="BO39" s="141">
        <v>0.0</v>
      </c>
      <c r="BP39" s="116"/>
      <c r="BQ39" s="116"/>
      <c r="BR39" s="116"/>
      <c r="BS39" s="116">
        <v>0.0</v>
      </c>
      <c r="BT39" s="116"/>
      <c r="BU39" s="116"/>
      <c r="BV39" s="116"/>
      <c r="BW39" s="116"/>
      <c r="BX39" s="116">
        <v>0.0</v>
      </c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79</v>
      </c>
      <c r="D40" s="119">
        <v>10.0</v>
      </c>
      <c r="E40" s="120">
        <v>49.75</v>
      </c>
      <c r="F40" s="121">
        <v>24.875</v>
      </c>
      <c r="G40" s="122">
        <v>3.225</v>
      </c>
      <c r="H40" s="121">
        <v>17.5</v>
      </c>
      <c r="I40" s="123">
        <v>31.25</v>
      </c>
      <c r="J40" s="124">
        <v>0.5</v>
      </c>
      <c r="K40" s="125">
        <v>0.5</v>
      </c>
      <c r="L40" s="126">
        <v>1.0</v>
      </c>
      <c r="M40" s="127">
        <v>7.0</v>
      </c>
      <c r="N40" s="127">
        <v>2.0</v>
      </c>
      <c r="O40" s="128">
        <v>0.0</v>
      </c>
      <c r="P40" s="129"/>
      <c r="Q40" s="130"/>
      <c r="R40" s="130"/>
      <c r="S40" s="131"/>
      <c r="T40" s="132"/>
      <c r="U40" s="133"/>
      <c r="V40" s="133"/>
      <c r="W40" s="133">
        <v>22.75</v>
      </c>
      <c r="X40" s="134"/>
      <c r="Y40" s="133"/>
      <c r="Z40" s="133"/>
      <c r="AA40" s="133"/>
      <c r="AB40" s="133">
        <v>27.0</v>
      </c>
      <c r="AC40" s="134"/>
      <c r="AD40" s="133"/>
      <c r="AE40" s="133"/>
      <c r="AF40" s="133"/>
      <c r="AG40" s="133"/>
      <c r="AH40" s="134"/>
      <c r="AI40" s="133">
        <v>0.0</v>
      </c>
      <c r="AJ40" s="133"/>
      <c r="AK40" s="133"/>
      <c r="AL40" s="133"/>
      <c r="AM40" s="133"/>
      <c r="AN40" s="134"/>
      <c r="AO40" s="133"/>
      <c r="AP40" s="133"/>
      <c r="AQ40" s="133"/>
      <c r="AR40" s="134"/>
      <c r="AS40" s="133">
        <v>0.0</v>
      </c>
      <c r="AT40" s="133"/>
      <c r="AU40" s="133"/>
      <c r="AV40" s="133"/>
      <c r="AW40" s="133"/>
      <c r="AX40" s="133">
        <v>0.0</v>
      </c>
      <c r="AY40" s="133"/>
      <c r="AZ40" s="135"/>
      <c r="BA40" s="135"/>
      <c r="BB40" s="135"/>
      <c r="BC40" s="135">
        <v>0.0</v>
      </c>
      <c r="BD40" s="135"/>
      <c r="BE40" s="123"/>
      <c r="BF40" s="123"/>
      <c r="BG40" s="123">
        <v>0.0</v>
      </c>
      <c r="BH40" s="123"/>
      <c r="BI40" s="123"/>
      <c r="BJ40" s="123"/>
      <c r="BK40" s="123">
        <v>0.0</v>
      </c>
      <c r="BL40" s="123"/>
      <c r="BM40" s="123"/>
      <c r="BN40" s="123"/>
      <c r="BO40" s="123"/>
      <c r="BP40" s="116"/>
      <c r="BQ40" s="116"/>
      <c r="BR40" s="116">
        <v>0.0</v>
      </c>
      <c r="BS40" s="116"/>
      <c r="BT40" s="116"/>
      <c r="BU40" s="116">
        <v>0.0</v>
      </c>
      <c r="BV40" s="116">
        <v>0.0</v>
      </c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94</v>
      </c>
      <c r="D41" s="137">
        <v>15.0</v>
      </c>
      <c r="E41" s="138">
        <v>49.0</v>
      </c>
      <c r="F41" s="139">
        <v>16.333333333333332</v>
      </c>
      <c r="G41" s="140">
        <v>2.433333333333333</v>
      </c>
      <c r="H41" s="139">
        <v>12.5</v>
      </c>
      <c r="I41" s="141">
        <v>36.5</v>
      </c>
      <c r="J41" s="142">
        <v>0.0</v>
      </c>
      <c r="K41" s="143">
        <v>0.0</v>
      </c>
      <c r="L41" s="144">
        <v>0.0</v>
      </c>
      <c r="M41" s="145">
        <v>5.0</v>
      </c>
      <c r="N41" s="145">
        <v>0.0</v>
      </c>
      <c r="O41" s="146">
        <v>2.0</v>
      </c>
      <c r="P41" s="147"/>
      <c r="Q41" s="148"/>
      <c r="R41" s="148"/>
      <c r="S41" s="149"/>
      <c r="T41" s="150"/>
      <c r="U41" s="151"/>
      <c r="V41" s="151"/>
      <c r="W41" s="151">
        <v>18.25</v>
      </c>
      <c r="X41" s="151"/>
      <c r="Y41" s="151">
        <v>14.25</v>
      </c>
      <c r="Z41" s="152"/>
      <c r="AA41" s="152"/>
      <c r="AB41" s="151"/>
      <c r="AC41" s="151"/>
      <c r="AD41" s="151"/>
      <c r="AE41" s="151"/>
      <c r="AF41" s="151"/>
      <c r="AG41" s="151"/>
      <c r="AH41" s="151">
        <v>16.5</v>
      </c>
      <c r="AI41" s="151"/>
      <c r="AJ41" s="151"/>
      <c r="AK41" s="152"/>
      <c r="AL41" s="152"/>
      <c r="AM41" s="151"/>
      <c r="AN41" s="151"/>
      <c r="AO41" s="151"/>
      <c r="AP41" s="151">
        <v>0.0</v>
      </c>
      <c r="AQ41" s="151">
        <v>0.0</v>
      </c>
      <c r="AR41" s="151"/>
      <c r="AS41" s="151"/>
      <c r="AT41" s="151"/>
      <c r="AU41" s="152"/>
      <c r="AV41" s="152"/>
      <c r="AW41" s="151"/>
      <c r="AX41" s="151"/>
      <c r="AY41" s="151"/>
      <c r="AZ41" s="153">
        <v>0.0</v>
      </c>
      <c r="BA41" s="153"/>
      <c r="BB41" s="153"/>
      <c r="BC41" s="153"/>
      <c r="BD41" s="153"/>
      <c r="BE41" s="141"/>
      <c r="BF41" s="141">
        <v>0.0</v>
      </c>
      <c r="BG41" s="141">
        <v>0.0</v>
      </c>
      <c r="BH41" s="141"/>
      <c r="BI41" s="141"/>
      <c r="BJ41" s="141"/>
      <c r="BK41" s="141"/>
      <c r="BL41" s="141"/>
      <c r="BM41" s="141"/>
      <c r="BN41" s="141">
        <v>0.0</v>
      </c>
      <c r="BO41" s="141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>
        <v>0.0</v>
      </c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105</v>
      </c>
      <c r="D42" s="119">
        <v>15.0</v>
      </c>
      <c r="E42" s="120">
        <v>48.0</v>
      </c>
      <c r="F42" s="121">
        <v>16.0</v>
      </c>
      <c r="G42" s="122">
        <v>2.3666666666666667</v>
      </c>
      <c r="H42" s="121">
        <v>12.5</v>
      </c>
      <c r="I42" s="123">
        <v>35.0</v>
      </c>
      <c r="J42" s="124">
        <v>0.0</v>
      </c>
      <c r="K42" s="125">
        <v>0.5</v>
      </c>
      <c r="L42" s="126">
        <v>1.0</v>
      </c>
      <c r="M42" s="127">
        <v>5.0</v>
      </c>
      <c r="N42" s="127">
        <v>1.0</v>
      </c>
      <c r="O42" s="128">
        <v>4.0</v>
      </c>
      <c r="P42" s="129"/>
      <c r="Q42" s="130"/>
      <c r="R42" s="130"/>
      <c r="S42" s="131"/>
      <c r="T42" s="132">
        <v>14.75</v>
      </c>
      <c r="U42" s="133"/>
      <c r="V42" s="133"/>
      <c r="W42" s="133"/>
      <c r="X42" s="134">
        <v>22.5</v>
      </c>
      <c r="Y42" s="133"/>
      <c r="Z42" s="133"/>
      <c r="AA42" s="133"/>
      <c r="AB42" s="133"/>
      <c r="AC42" s="134"/>
      <c r="AD42" s="133"/>
      <c r="AE42" s="133"/>
      <c r="AF42" s="133"/>
      <c r="AG42" s="133"/>
      <c r="AH42" s="134">
        <v>10.75</v>
      </c>
      <c r="AI42" s="133"/>
      <c r="AJ42" s="133"/>
      <c r="AK42" s="133"/>
      <c r="AL42" s="133">
        <v>0.0</v>
      </c>
      <c r="AM42" s="133"/>
      <c r="AN42" s="134"/>
      <c r="AO42" s="133"/>
      <c r="AP42" s="133"/>
      <c r="AQ42" s="133"/>
      <c r="AR42" s="134">
        <v>0.0</v>
      </c>
      <c r="AS42" s="133"/>
      <c r="AT42" s="133"/>
      <c r="AU42" s="133">
        <v>0.0</v>
      </c>
      <c r="AV42" s="133"/>
      <c r="AW42" s="133"/>
      <c r="AX42" s="133"/>
      <c r="AY42" s="133"/>
      <c r="AZ42" s="135"/>
      <c r="BA42" s="135">
        <v>0.0</v>
      </c>
      <c r="BB42" s="135"/>
      <c r="BC42" s="135"/>
      <c r="BD42" s="135"/>
      <c r="BE42" s="123"/>
      <c r="BF42" s="123"/>
      <c r="BG42" s="123"/>
      <c r="BH42" s="123"/>
      <c r="BI42" s="123"/>
      <c r="BJ42" s="123">
        <v>0.0</v>
      </c>
      <c r="BK42" s="123"/>
      <c r="BL42" s="123"/>
      <c r="BM42" s="123"/>
      <c r="BN42" s="123"/>
      <c r="BO42" s="123"/>
      <c r="BP42" s="116"/>
      <c r="BQ42" s="116">
        <v>0.0</v>
      </c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90</v>
      </c>
      <c r="D43" s="137">
        <v>10.0</v>
      </c>
      <c r="E43" s="138">
        <v>47.0</v>
      </c>
      <c r="F43" s="139">
        <v>23.5</v>
      </c>
      <c r="G43" s="140">
        <v>2.95</v>
      </c>
      <c r="H43" s="139">
        <v>17.5</v>
      </c>
      <c r="I43" s="141">
        <v>29.0</v>
      </c>
      <c r="J43" s="142">
        <v>0.0</v>
      </c>
      <c r="K43" s="143">
        <v>0.5</v>
      </c>
      <c r="L43" s="144">
        <v>1.0</v>
      </c>
      <c r="M43" s="145">
        <v>7.0</v>
      </c>
      <c r="N43" s="145">
        <v>0.0</v>
      </c>
      <c r="O43" s="146">
        <v>0.0</v>
      </c>
      <c r="P43" s="147"/>
      <c r="Q43" s="148"/>
      <c r="R43" s="148"/>
      <c r="S43" s="149"/>
      <c r="T43" s="150">
        <v>22.0</v>
      </c>
      <c r="U43" s="151"/>
      <c r="V43" s="151"/>
      <c r="W43" s="151"/>
      <c r="X43" s="151"/>
      <c r="Y43" s="151"/>
      <c r="Z43" s="152">
        <v>25.0</v>
      </c>
      <c r="AA43" s="152"/>
      <c r="AB43" s="151"/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/>
      <c r="AN43" s="151">
        <v>0.0</v>
      </c>
      <c r="AO43" s="151"/>
      <c r="AP43" s="151"/>
      <c r="AQ43" s="151"/>
      <c r="AR43" s="151"/>
      <c r="AS43" s="151"/>
      <c r="AT43" s="151"/>
      <c r="AU43" s="152">
        <v>0.0</v>
      </c>
      <c r="AV43" s="152"/>
      <c r="AW43" s="151"/>
      <c r="AX43" s="151"/>
      <c r="AY43" s="151"/>
      <c r="AZ43" s="153">
        <v>0.0</v>
      </c>
      <c r="BA43" s="153"/>
      <c r="BB43" s="153"/>
      <c r="BC43" s="153"/>
      <c r="BD43" s="153">
        <v>0.0</v>
      </c>
      <c r="BE43" s="141"/>
      <c r="BF43" s="141"/>
      <c r="BG43" s="141"/>
      <c r="BH43" s="141"/>
      <c r="BI43" s="141"/>
      <c r="BJ43" s="141">
        <v>0.0</v>
      </c>
      <c r="BK43" s="141"/>
      <c r="BL43" s="141"/>
      <c r="BM43" s="141"/>
      <c r="BN43" s="141"/>
      <c r="BO43" s="141"/>
      <c r="BP43" s="116"/>
      <c r="BQ43" s="116"/>
      <c r="BR43" s="116">
        <v>0.0</v>
      </c>
      <c r="BS43" s="116"/>
      <c r="BT43" s="116"/>
      <c r="BU43" s="116"/>
      <c r="BV43" s="116"/>
      <c r="BW43" s="116">
        <v>0.0</v>
      </c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95</v>
      </c>
      <c r="D44" s="119">
        <v>15.0</v>
      </c>
      <c r="E44" s="120">
        <v>46.25</v>
      </c>
      <c r="F44" s="121">
        <v>15.416666666666668</v>
      </c>
      <c r="G44" s="122">
        <v>2.5833333333333335</v>
      </c>
      <c r="H44" s="121">
        <v>7.5</v>
      </c>
      <c r="I44" s="123">
        <v>37.25</v>
      </c>
      <c r="J44" s="124">
        <v>0.5</v>
      </c>
      <c r="K44" s="125">
        <v>1.0</v>
      </c>
      <c r="L44" s="126">
        <v>2.0</v>
      </c>
      <c r="M44" s="127">
        <v>3.0</v>
      </c>
      <c r="N44" s="127">
        <v>1.0</v>
      </c>
      <c r="O44" s="128">
        <v>6.0</v>
      </c>
      <c r="P44" s="129"/>
      <c r="Q44" s="130"/>
      <c r="R44" s="130"/>
      <c r="S44" s="131"/>
      <c r="T44" s="132"/>
      <c r="U44" s="133"/>
      <c r="V44" s="133">
        <v>15.5</v>
      </c>
      <c r="W44" s="133"/>
      <c r="X44" s="134">
        <v>16.75</v>
      </c>
      <c r="Y44" s="133"/>
      <c r="Z44" s="133"/>
      <c r="AA44" s="133"/>
      <c r="AB44" s="133"/>
      <c r="AC44" s="134"/>
      <c r="AD44" s="133">
        <v>14.0</v>
      </c>
      <c r="AE44" s="133"/>
      <c r="AF44" s="133"/>
      <c r="AG44" s="133"/>
      <c r="AH44" s="134"/>
      <c r="AI44" s="133"/>
      <c r="AJ44" s="133"/>
      <c r="AK44" s="133">
        <v>0.0</v>
      </c>
      <c r="AL44" s="133"/>
      <c r="AM44" s="133"/>
      <c r="AN44" s="134"/>
      <c r="AO44" s="133"/>
      <c r="AP44" s="133"/>
      <c r="AQ44" s="133"/>
      <c r="AR44" s="134"/>
      <c r="AS44" s="133"/>
      <c r="AT44" s="133">
        <v>0.0</v>
      </c>
      <c r="AU44" s="133"/>
      <c r="AV44" s="133"/>
      <c r="AW44" s="133"/>
      <c r="AX44" s="133"/>
      <c r="AY44" s="133">
        <v>0.0</v>
      </c>
      <c r="AZ44" s="135"/>
      <c r="BA44" s="135"/>
      <c r="BB44" s="135"/>
      <c r="BC44" s="135"/>
      <c r="BD44" s="135">
        <v>0.0</v>
      </c>
      <c r="BE44" s="123"/>
      <c r="BF44" s="123"/>
      <c r="BG44" s="123"/>
      <c r="BH44" s="123">
        <v>0.0</v>
      </c>
      <c r="BI44" s="123"/>
      <c r="BJ44" s="123"/>
      <c r="BK44" s="123"/>
      <c r="BL44" s="123"/>
      <c r="BM44" s="123">
        <v>0.0</v>
      </c>
      <c r="BN44" s="123"/>
      <c r="BO44" s="123"/>
      <c r="BP44" s="116"/>
      <c r="BQ44" s="116"/>
      <c r="BR44" s="116"/>
      <c r="BS44" s="116"/>
      <c r="BT44" s="116"/>
      <c r="BU44" s="116"/>
      <c r="BV44" s="116"/>
      <c r="BW44" s="116"/>
      <c r="BX44" s="116"/>
      <c r="BY44" s="116"/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97</v>
      </c>
      <c r="D45" s="137">
        <v>10.0</v>
      </c>
      <c r="E45" s="138">
        <v>45.25</v>
      </c>
      <c r="F45" s="139">
        <v>22.625</v>
      </c>
      <c r="G45" s="140">
        <v>3.025</v>
      </c>
      <c r="H45" s="139">
        <v>15.0</v>
      </c>
      <c r="I45" s="141">
        <v>30.25</v>
      </c>
      <c r="J45" s="142">
        <v>0.0</v>
      </c>
      <c r="K45" s="143">
        <v>0.0</v>
      </c>
      <c r="L45" s="144">
        <v>0.0</v>
      </c>
      <c r="M45" s="145">
        <v>6.0</v>
      </c>
      <c r="N45" s="145">
        <v>0.0</v>
      </c>
      <c r="O45" s="146">
        <v>1.0</v>
      </c>
      <c r="P45" s="147"/>
      <c r="Q45" s="148"/>
      <c r="R45" s="148"/>
      <c r="S45" s="149"/>
      <c r="T45" s="150"/>
      <c r="U45" s="151"/>
      <c r="V45" s="151"/>
      <c r="W45" s="151"/>
      <c r="X45" s="151"/>
      <c r="Y45" s="151"/>
      <c r="Z45" s="152"/>
      <c r="AA45" s="152">
        <v>18.5</v>
      </c>
      <c r="AB45" s="151"/>
      <c r="AC45" s="151"/>
      <c r="AD45" s="151">
        <v>26.75</v>
      </c>
      <c r="AE45" s="151"/>
      <c r="AF45" s="151"/>
      <c r="AG45" s="151"/>
      <c r="AH45" s="151"/>
      <c r="AI45" s="151"/>
      <c r="AJ45" s="151">
        <v>0.0</v>
      </c>
      <c r="AK45" s="152"/>
      <c r="AL45" s="152"/>
      <c r="AM45" s="151"/>
      <c r="AN45" s="151">
        <v>0.0</v>
      </c>
      <c r="AO45" s="151"/>
      <c r="AP45" s="151"/>
      <c r="AQ45" s="151"/>
      <c r="AR45" s="151"/>
      <c r="AS45" s="151"/>
      <c r="AT45" s="151"/>
      <c r="AU45" s="152">
        <v>0.0</v>
      </c>
      <c r="AV45" s="152"/>
      <c r="AW45" s="151"/>
      <c r="AX45" s="151">
        <v>0.0</v>
      </c>
      <c r="AY45" s="151"/>
      <c r="AZ45" s="153"/>
      <c r="BA45" s="153"/>
      <c r="BB45" s="153"/>
      <c r="BC45" s="153"/>
      <c r="BD45" s="153"/>
      <c r="BE45" s="141"/>
      <c r="BF45" s="141"/>
      <c r="BG45" s="141"/>
      <c r="BH45" s="141"/>
      <c r="BI45" s="141"/>
      <c r="BJ45" s="141">
        <v>0.0</v>
      </c>
      <c r="BK45" s="141"/>
      <c r="BL45" s="141"/>
      <c r="BM45" s="141"/>
      <c r="BN45" s="141"/>
      <c r="BO45" s="141"/>
      <c r="BP45" s="116"/>
      <c r="BQ45" s="116">
        <v>0.0</v>
      </c>
      <c r="BR45" s="116"/>
      <c r="BS45" s="116"/>
      <c r="BT45" s="116">
        <v>0.0</v>
      </c>
      <c r="BU45" s="116"/>
      <c r="BV45" s="116">
        <v>0.0</v>
      </c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127</v>
      </c>
      <c r="D46" s="119">
        <v>10.0</v>
      </c>
      <c r="E46" s="120">
        <v>39.75</v>
      </c>
      <c r="F46" s="121">
        <v>19.875</v>
      </c>
      <c r="G46" s="122">
        <v>2.725</v>
      </c>
      <c r="H46" s="121">
        <v>12.5</v>
      </c>
      <c r="I46" s="123">
        <v>24.75</v>
      </c>
      <c r="J46" s="124">
        <v>0.5</v>
      </c>
      <c r="K46" s="125">
        <v>2.0</v>
      </c>
      <c r="L46" s="126">
        <v>3.0</v>
      </c>
      <c r="M46" s="127">
        <v>5.0</v>
      </c>
      <c r="N46" s="127">
        <v>1.0</v>
      </c>
      <c r="O46" s="128">
        <v>2.0</v>
      </c>
      <c r="P46" s="129"/>
      <c r="Q46" s="130"/>
      <c r="R46" s="130"/>
      <c r="S46" s="131"/>
      <c r="T46" s="132"/>
      <c r="U46" s="133">
        <v>21.0</v>
      </c>
      <c r="V46" s="133"/>
      <c r="W46" s="133"/>
      <c r="X46" s="134"/>
      <c r="Y46" s="133"/>
      <c r="Z46" s="133"/>
      <c r="AA46" s="133"/>
      <c r="AB46" s="133">
        <v>18.75</v>
      </c>
      <c r="AC46" s="134"/>
      <c r="AD46" s="133"/>
      <c r="AE46" s="133"/>
      <c r="AF46" s="133"/>
      <c r="AG46" s="133"/>
      <c r="AH46" s="134"/>
      <c r="AI46" s="133"/>
      <c r="AJ46" s="133"/>
      <c r="AK46" s="133"/>
      <c r="AL46" s="133"/>
      <c r="AM46" s="133">
        <v>0.0</v>
      </c>
      <c r="AN46" s="134"/>
      <c r="AO46" s="133"/>
      <c r="AP46" s="133"/>
      <c r="AQ46" s="133"/>
      <c r="AR46" s="134"/>
      <c r="AS46" s="133"/>
      <c r="AT46" s="133">
        <v>0.0</v>
      </c>
      <c r="AU46" s="133"/>
      <c r="AV46" s="133"/>
      <c r="AW46" s="133"/>
      <c r="AX46" s="133">
        <v>0.0</v>
      </c>
      <c r="AY46" s="133"/>
      <c r="AZ46" s="135"/>
      <c r="BA46" s="135"/>
      <c r="BB46" s="135"/>
      <c r="BC46" s="135"/>
      <c r="BD46" s="135"/>
      <c r="BE46" s="123">
        <v>0.0</v>
      </c>
      <c r="BF46" s="123"/>
      <c r="BG46" s="123"/>
      <c r="BH46" s="123"/>
      <c r="BI46" s="123"/>
      <c r="BJ46" s="123"/>
      <c r="BK46" s="123">
        <v>0.0</v>
      </c>
      <c r="BL46" s="123"/>
      <c r="BM46" s="123"/>
      <c r="BN46" s="123"/>
      <c r="BO46" s="123"/>
      <c r="BP46" s="116">
        <v>0.0</v>
      </c>
      <c r="BQ46" s="116"/>
      <c r="BR46" s="116"/>
      <c r="BS46" s="116">
        <v>0.0</v>
      </c>
      <c r="BT46" s="116"/>
      <c r="BU46" s="116"/>
      <c r="BV46" s="116"/>
      <c r="BW46" s="116"/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99</v>
      </c>
      <c r="D47" s="137">
        <v>10.0</v>
      </c>
      <c r="E47" s="138">
        <v>38.25</v>
      </c>
      <c r="F47" s="139">
        <v>19.125</v>
      </c>
      <c r="G47" s="140">
        <v>2.825</v>
      </c>
      <c r="H47" s="139">
        <v>10.0</v>
      </c>
      <c r="I47" s="141">
        <v>28.25</v>
      </c>
      <c r="J47" s="142">
        <v>0.0</v>
      </c>
      <c r="K47" s="143">
        <v>0.0</v>
      </c>
      <c r="L47" s="144">
        <v>0.0</v>
      </c>
      <c r="M47" s="145">
        <v>4.0</v>
      </c>
      <c r="N47" s="145">
        <v>1.0</v>
      </c>
      <c r="O47" s="146">
        <v>2.0</v>
      </c>
      <c r="P47" s="147"/>
      <c r="Q47" s="148"/>
      <c r="R47" s="148"/>
      <c r="S47" s="149"/>
      <c r="T47" s="150"/>
      <c r="U47" s="151"/>
      <c r="V47" s="151"/>
      <c r="W47" s="151"/>
      <c r="X47" s="151"/>
      <c r="Y47" s="151"/>
      <c r="Z47" s="152"/>
      <c r="AA47" s="152">
        <v>15.25</v>
      </c>
      <c r="AB47" s="151"/>
      <c r="AC47" s="151"/>
      <c r="AD47" s="151"/>
      <c r="AE47" s="151"/>
      <c r="AF47" s="151"/>
      <c r="AG47" s="151">
        <v>23.0</v>
      </c>
      <c r="AH47" s="151"/>
      <c r="AI47" s="151">
        <v>0.0</v>
      </c>
      <c r="AJ47" s="151"/>
      <c r="AK47" s="152"/>
      <c r="AL47" s="152"/>
      <c r="AM47" s="151"/>
      <c r="AN47" s="151"/>
      <c r="AO47" s="151"/>
      <c r="AP47" s="151">
        <v>0.0</v>
      </c>
      <c r="AQ47" s="151"/>
      <c r="AR47" s="151"/>
      <c r="AS47" s="151"/>
      <c r="AT47" s="151"/>
      <c r="AU47" s="152"/>
      <c r="AV47" s="152"/>
      <c r="AW47" s="151"/>
      <c r="AX47" s="151"/>
      <c r="AY47" s="151"/>
      <c r="AZ47" s="153">
        <v>0.0</v>
      </c>
      <c r="BA47" s="153"/>
      <c r="BB47" s="153"/>
      <c r="BC47" s="153">
        <v>0.0</v>
      </c>
      <c r="BD47" s="153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16">
        <v>0.0</v>
      </c>
      <c r="BQ47" s="116"/>
      <c r="BR47" s="116"/>
      <c r="BS47" s="116">
        <v>0.0</v>
      </c>
      <c r="BT47" s="116"/>
      <c r="BU47" s="116"/>
      <c r="BV47" s="116"/>
      <c r="BW47" s="116"/>
      <c r="BX47" s="116"/>
      <c r="BY47" s="116">
        <v>0.0</v>
      </c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135</v>
      </c>
      <c r="D48" s="119">
        <v>10.0</v>
      </c>
      <c r="E48" s="120">
        <v>37.0</v>
      </c>
      <c r="F48" s="121">
        <v>18.5</v>
      </c>
      <c r="G48" s="122">
        <v>2.45</v>
      </c>
      <c r="H48" s="121">
        <v>12.5</v>
      </c>
      <c r="I48" s="123">
        <v>24.5</v>
      </c>
      <c r="J48" s="124">
        <v>0.0</v>
      </c>
      <c r="K48" s="125">
        <v>0.0</v>
      </c>
      <c r="L48" s="126">
        <v>0.0</v>
      </c>
      <c r="M48" s="127">
        <v>5.0</v>
      </c>
      <c r="N48" s="127">
        <v>0.0</v>
      </c>
      <c r="O48" s="128">
        <v>0.0</v>
      </c>
      <c r="P48" s="129"/>
      <c r="Q48" s="130"/>
      <c r="R48" s="130"/>
      <c r="S48" s="131"/>
      <c r="T48" s="132"/>
      <c r="U48" s="133">
        <v>18.0</v>
      </c>
      <c r="V48" s="133"/>
      <c r="W48" s="133">
        <v>19.0</v>
      </c>
      <c r="X48" s="134"/>
      <c r="Y48" s="133"/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/>
      <c r="AK48" s="133"/>
      <c r="AL48" s="133">
        <v>0.0</v>
      </c>
      <c r="AM48" s="133"/>
      <c r="AN48" s="134"/>
      <c r="AO48" s="133"/>
      <c r="AP48" s="133">
        <v>0.0</v>
      </c>
      <c r="AQ48" s="133"/>
      <c r="AR48" s="134"/>
      <c r="AS48" s="133">
        <v>0.0</v>
      </c>
      <c r="AT48" s="133"/>
      <c r="AU48" s="133"/>
      <c r="AV48" s="133"/>
      <c r="AW48" s="133">
        <v>0.0</v>
      </c>
      <c r="AX48" s="133"/>
      <c r="AY48" s="133"/>
      <c r="AZ48" s="135"/>
      <c r="BA48" s="135"/>
      <c r="BB48" s="135"/>
      <c r="BC48" s="135"/>
      <c r="BD48" s="135">
        <v>0.0</v>
      </c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16">
        <v>0.0</v>
      </c>
      <c r="BQ48" s="116">
        <v>0.0</v>
      </c>
      <c r="BR48" s="116"/>
      <c r="BS48" s="116"/>
      <c r="BT48" s="116"/>
      <c r="BU48" s="116"/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120</v>
      </c>
      <c r="D49" s="137">
        <v>10.0</v>
      </c>
      <c r="E49" s="138">
        <v>36.0</v>
      </c>
      <c r="F49" s="139">
        <v>18.0</v>
      </c>
      <c r="G49" s="140">
        <v>2.6</v>
      </c>
      <c r="H49" s="139">
        <v>10.0</v>
      </c>
      <c r="I49" s="141">
        <v>25.5</v>
      </c>
      <c r="J49" s="142">
        <v>0.0</v>
      </c>
      <c r="K49" s="143">
        <v>0.5</v>
      </c>
      <c r="L49" s="144">
        <v>1.0</v>
      </c>
      <c r="M49" s="145">
        <v>4.0</v>
      </c>
      <c r="N49" s="145">
        <v>2.0</v>
      </c>
      <c r="O49" s="146">
        <v>1.0</v>
      </c>
      <c r="P49" s="147"/>
      <c r="Q49" s="148"/>
      <c r="R49" s="148"/>
      <c r="S49" s="149"/>
      <c r="T49" s="150"/>
      <c r="U49" s="151"/>
      <c r="V49" s="151"/>
      <c r="W49" s="151"/>
      <c r="X49" s="151"/>
      <c r="Y49" s="151"/>
      <c r="Z49" s="152">
        <v>13.5</v>
      </c>
      <c r="AA49" s="152"/>
      <c r="AB49" s="151"/>
      <c r="AC49" s="151"/>
      <c r="AD49" s="151"/>
      <c r="AE49" s="151"/>
      <c r="AF49" s="151"/>
      <c r="AG49" s="151"/>
      <c r="AH49" s="151">
        <v>22.5</v>
      </c>
      <c r="AI49" s="151"/>
      <c r="AJ49" s="151"/>
      <c r="AK49" s="152"/>
      <c r="AL49" s="152"/>
      <c r="AM49" s="151">
        <v>0.0</v>
      </c>
      <c r="AN49" s="151"/>
      <c r="AO49" s="151"/>
      <c r="AP49" s="151"/>
      <c r="AQ49" s="151"/>
      <c r="AR49" s="151"/>
      <c r="AS49" s="151"/>
      <c r="AT49" s="151"/>
      <c r="AU49" s="152"/>
      <c r="AV49" s="152"/>
      <c r="AW49" s="151">
        <v>0.0</v>
      </c>
      <c r="AX49" s="151"/>
      <c r="AY49" s="151"/>
      <c r="AZ49" s="153"/>
      <c r="BA49" s="153"/>
      <c r="BB49" s="153">
        <v>0.0</v>
      </c>
      <c r="BC49" s="153"/>
      <c r="BD49" s="153"/>
      <c r="BE49" s="141"/>
      <c r="BF49" s="141">
        <v>0.0</v>
      </c>
      <c r="BG49" s="141"/>
      <c r="BH49" s="141">
        <v>0.0</v>
      </c>
      <c r="BI49" s="141">
        <v>0.0</v>
      </c>
      <c r="BJ49" s="141"/>
      <c r="BK49" s="141"/>
      <c r="BL49" s="141">
        <v>0.0</v>
      </c>
      <c r="BM49" s="141"/>
      <c r="BN49" s="141"/>
      <c r="BO49" s="141"/>
      <c r="BP49" s="116"/>
      <c r="BQ49" s="116">
        <v>0.0</v>
      </c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122</v>
      </c>
      <c r="D50" s="119">
        <v>10.0</v>
      </c>
      <c r="E50" s="120">
        <v>36.0</v>
      </c>
      <c r="F50" s="121">
        <v>18.0</v>
      </c>
      <c r="G50" s="122">
        <v>2.6</v>
      </c>
      <c r="H50" s="121">
        <v>10.0</v>
      </c>
      <c r="I50" s="123">
        <v>25.5</v>
      </c>
      <c r="J50" s="124">
        <v>0.0</v>
      </c>
      <c r="K50" s="125">
        <v>0.5</v>
      </c>
      <c r="L50" s="126">
        <v>1.0</v>
      </c>
      <c r="M50" s="127">
        <v>4.0</v>
      </c>
      <c r="N50" s="127">
        <v>0.0</v>
      </c>
      <c r="O50" s="128">
        <v>1.0</v>
      </c>
      <c r="P50" s="129"/>
      <c r="Q50" s="130"/>
      <c r="R50" s="130"/>
      <c r="S50" s="131"/>
      <c r="T50" s="132"/>
      <c r="U50" s="133"/>
      <c r="V50" s="133"/>
      <c r="W50" s="133">
        <v>20.75</v>
      </c>
      <c r="X50" s="134"/>
      <c r="Y50" s="133"/>
      <c r="Z50" s="133"/>
      <c r="AA50" s="133">
        <v>15.25</v>
      </c>
      <c r="AB50" s="133"/>
      <c r="AC50" s="134"/>
      <c r="AD50" s="133"/>
      <c r="AE50" s="133"/>
      <c r="AF50" s="133"/>
      <c r="AG50" s="133"/>
      <c r="AH50" s="134"/>
      <c r="AI50" s="133"/>
      <c r="AJ50" s="133"/>
      <c r="AK50" s="133"/>
      <c r="AL50" s="133"/>
      <c r="AM50" s="133"/>
      <c r="AN50" s="134"/>
      <c r="AO50" s="133">
        <v>0.0</v>
      </c>
      <c r="AP50" s="133"/>
      <c r="AQ50" s="133"/>
      <c r="AR50" s="134"/>
      <c r="AS50" s="133">
        <v>0.0</v>
      </c>
      <c r="AT50" s="133"/>
      <c r="AU50" s="133"/>
      <c r="AV50" s="133"/>
      <c r="AW50" s="133">
        <v>0.0</v>
      </c>
      <c r="AX50" s="133"/>
      <c r="AY50" s="133"/>
      <c r="AZ50" s="135"/>
      <c r="BA50" s="135">
        <v>0.0</v>
      </c>
      <c r="BB50" s="135"/>
      <c r="BC50" s="135"/>
      <c r="BD50" s="135"/>
      <c r="BE50" s="123"/>
      <c r="BF50" s="123">
        <v>0.0</v>
      </c>
      <c r="BG50" s="123"/>
      <c r="BH50" s="123"/>
      <c r="BI50" s="123"/>
      <c r="BJ50" s="123"/>
      <c r="BK50" s="123"/>
      <c r="BL50" s="123"/>
      <c r="BM50" s="123"/>
      <c r="BN50" s="123"/>
      <c r="BO50" s="123">
        <v>0.0</v>
      </c>
      <c r="BP50" s="116"/>
      <c r="BQ50" s="116"/>
      <c r="BR50" s="116"/>
      <c r="BS50" s="116"/>
      <c r="BT50" s="116"/>
      <c r="BU50" s="116">
        <v>0.0</v>
      </c>
      <c r="BV50" s="116"/>
      <c r="BW50" s="116"/>
      <c r="BX50" s="116"/>
      <c r="BY50" s="116"/>
      <c r="BZ50" s="116"/>
      <c r="CA50" s="116">
        <v>0.0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112</v>
      </c>
      <c r="D51" s="137">
        <v>10.0</v>
      </c>
      <c r="E51" s="138">
        <v>35.25</v>
      </c>
      <c r="F51" s="139">
        <v>17.625</v>
      </c>
      <c r="G51" s="140">
        <v>2.525</v>
      </c>
      <c r="H51" s="139">
        <v>10.0</v>
      </c>
      <c r="I51" s="141">
        <v>25.25</v>
      </c>
      <c r="J51" s="142">
        <v>0.0</v>
      </c>
      <c r="K51" s="143">
        <v>0.0</v>
      </c>
      <c r="L51" s="144">
        <v>0.0</v>
      </c>
      <c r="M51" s="145">
        <v>4.0</v>
      </c>
      <c r="N51" s="145">
        <v>0.0</v>
      </c>
      <c r="O51" s="146">
        <v>3.0</v>
      </c>
      <c r="P51" s="147"/>
      <c r="Q51" s="148"/>
      <c r="R51" s="148"/>
      <c r="S51" s="149"/>
      <c r="T51" s="150">
        <v>17.75</v>
      </c>
      <c r="U51" s="151"/>
      <c r="V51" s="151"/>
      <c r="W51" s="151"/>
      <c r="X51" s="151">
        <v>17.5</v>
      </c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/>
      <c r="AJ51" s="151"/>
      <c r="AK51" s="152"/>
      <c r="AL51" s="152"/>
      <c r="AM51" s="151"/>
      <c r="AN51" s="151">
        <v>0.0</v>
      </c>
      <c r="AO51" s="151"/>
      <c r="AP51" s="151"/>
      <c r="AQ51" s="151"/>
      <c r="AR51" s="151"/>
      <c r="AS51" s="151"/>
      <c r="AT51" s="151"/>
      <c r="AU51" s="152"/>
      <c r="AV51" s="152"/>
      <c r="AW51" s="151"/>
      <c r="AX51" s="151">
        <v>0.0</v>
      </c>
      <c r="AY51" s="151"/>
      <c r="AZ51" s="153"/>
      <c r="BA51" s="153"/>
      <c r="BB51" s="153"/>
      <c r="BC51" s="153"/>
      <c r="BD51" s="153"/>
      <c r="BE51" s="141"/>
      <c r="BF51" s="141">
        <v>0.0</v>
      </c>
      <c r="BG51" s="141"/>
      <c r="BH51" s="141">
        <v>0.0</v>
      </c>
      <c r="BI51" s="141">
        <v>0.0</v>
      </c>
      <c r="BJ51" s="141"/>
      <c r="BK51" s="141"/>
      <c r="BL51" s="141"/>
      <c r="BM51" s="141"/>
      <c r="BN51" s="141">
        <v>0.0</v>
      </c>
      <c r="BO51" s="141"/>
      <c r="BP51" s="116"/>
      <c r="BQ51" s="116"/>
      <c r="BR51" s="116"/>
      <c r="BS51" s="116"/>
      <c r="BT51" s="116">
        <v>0.0</v>
      </c>
      <c r="BU51" s="116"/>
      <c r="BV51" s="116"/>
      <c r="BW51" s="116"/>
      <c r="BX51" s="116"/>
      <c r="BY51" s="116">
        <v>0.0</v>
      </c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117</v>
      </c>
      <c r="D52" s="119">
        <v>10.0</v>
      </c>
      <c r="E52" s="120">
        <v>35.0</v>
      </c>
      <c r="F52" s="121">
        <v>17.5</v>
      </c>
      <c r="G52" s="122">
        <v>2.5</v>
      </c>
      <c r="H52" s="121">
        <v>10.0</v>
      </c>
      <c r="I52" s="123">
        <v>24.0</v>
      </c>
      <c r="J52" s="124">
        <v>0.5</v>
      </c>
      <c r="K52" s="125">
        <v>0.5</v>
      </c>
      <c r="L52" s="126">
        <v>1.0</v>
      </c>
      <c r="M52" s="127">
        <v>4.0</v>
      </c>
      <c r="N52" s="127">
        <v>0.0</v>
      </c>
      <c r="O52" s="128">
        <v>0.0</v>
      </c>
      <c r="P52" s="129"/>
      <c r="Q52" s="130"/>
      <c r="R52" s="130"/>
      <c r="S52" s="131"/>
      <c r="T52" s="132"/>
      <c r="U52" s="133"/>
      <c r="V52" s="133">
        <v>14.5</v>
      </c>
      <c r="W52" s="133"/>
      <c r="X52" s="134"/>
      <c r="Y52" s="133"/>
      <c r="Z52" s="133"/>
      <c r="AA52" s="133"/>
      <c r="AB52" s="133">
        <v>20.5</v>
      </c>
      <c r="AC52" s="134"/>
      <c r="AD52" s="133"/>
      <c r="AE52" s="133"/>
      <c r="AF52" s="133"/>
      <c r="AG52" s="133"/>
      <c r="AH52" s="134"/>
      <c r="AI52" s="133"/>
      <c r="AJ52" s="133"/>
      <c r="AK52" s="133"/>
      <c r="AL52" s="133"/>
      <c r="AM52" s="133">
        <v>0.0</v>
      </c>
      <c r="AN52" s="134"/>
      <c r="AO52" s="133"/>
      <c r="AP52" s="133">
        <v>0.0</v>
      </c>
      <c r="AQ52" s="133"/>
      <c r="AR52" s="134"/>
      <c r="AS52" s="133">
        <v>0.0</v>
      </c>
      <c r="AT52" s="133"/>
      <c r="AU52" s="133"/>
      <c r="AV52" s="133"/>
      <c r="AW52" s="133"/>
      <c r="AX52" s="133"/>
      <c r="AY52" s="133"/>
      <c r="AZ52" s="135"/>
      <c r="BA52" s="135"/>
      <c r="BB52" s="135"/>
      <c r="BC52" s="135"/>
      <c r="BD52" s="135"/>
      <c r="BE52" s="123">
        <v>0.0</v>
      </c>
      <c r="BF52" s="123">
        <v>0.0</v>
      </c>
      <c r="BG52" s="123"/>
      <c r="BH52" s="123">
        <v>0.0</v>
      </c>
      <c r="BI52" s="123"/>
      <c r="BJ52" s="123"/>
      <c r="BK52" s="123">
        <v>0.0</v>
      </c>
      <c r="BL52" s="123"/>
      <c r="BM52" s="123"/>
      <c r="BN52" s="123"/>
      <c r="BO52" s="123"/>
      <c r="BP52" s="116"/>
      <c r="BQ52" s="116"/>
      <c r="BR52" s="116"/>
      <c r="BS52" s="116"/>
      <c r="BT52" s="116"/>
      <c r="BU52" s="116"/>
      <c r="BV52" s="116"/>
      <c r="BW52" s="116"/>
      <c r="BX52" s="116"/>
      <c r="BY52" s="116"/>
      <c r="BZ52" s="116">
        <v>0.0</v>
      </c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108</v>
      </c>
      <c r="D53" s="137">
        <v>10.0</v>
      </c>
      <c r="E53" s="138">
        <v>34.25</v>
      </c>
      <c r="F53" s="139">
        <v>17.125</v>
      </c>
      <c r="G53" s="140">
        <v>2.675</v>
      </c>
      <c r="H53" s="139">
        <v>7.5</v>
      </c>
      <c r="I53" s="141">
        <v>25.25</v>
      </c>
      <c r="J53" s="142">
        <v>0.5</v>
      </c>
      <c r="K53" s="143">
        <v>1.0</v>
      </c>
      <c r="L53" s="144">
        <v>2.0</v>
      </c>
      <c r="M53" s="145">
        <v>3.0</v>
      </c>
      <c r="N53" s="145">
        <v>1.0</v>
      </c>
      <c r="O53" s="146">
        <v>3.0</v>
      </c>
      <c r="P53" s="147"/>
      <c r="Q53" s="148"/>
      <c r="R53" s="148"/>
      <c r="S53" s="149"/>
      <c r="T53" s="150"/>
      <c r="U53" s="151"/>
      <c r="V53" s="151"/>
      <c r="W53" s="151"/>
      <c r="X53" s="151">
        <v>15.25</v>
      </c>
      <c r="Y53" s="151">
        <v>19.0</v>
      </c>
      <c r="Z53" s="152"/>
      <c r="AA53" s="152"/>
      <c r="AB53" s="151"/>
      <c r="AC53" s="151"/>
      <c r="AD53" s="151"/>
      <c r="AE53" s="151"/>
      <c r="AF53" s="151"/>
      <c r="AG53" s="151"/>
      <c r="AH53" s="151"/>
      <c r="AI53" s="151"/>
      <c r="AJ53" s="151">
        <v>0.0</v>
      </c>
      <c r="AK53" s="152">
        <v>0.0</v>
      </c>
      <c r="AL53" s="152">
        <v>0.0</v>
      </c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/>
      <c r="BJ53" s="141">
        <v>0.0</v>
      </c>
      <c r="BK53" s="141">
        <v>0.0</v>
      </c>
      <c r="BL53" s="141">
        <v>0.0</v>
      </c>
      <c r="BM53" s="141">
        <v>0.0</v>
      </c>
      <c r="BN53" s="141">
        <v>0.0</v>
      </c>
      <c r="BO53" s="141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137</v>
      </c>
      <c r="D54" s="119">
        <v>10.0</v>
      </c>
      <c r="E54" s="120">
        <v>33.5</v>
      </c>
      <c r="F54" s="121">
        <v>16.75</v>
      </c>
      <c r="G54" s="122">
        <v>2.6</v>
      </c>
      <c r="H54" s="121">
        <v>7.5</v>
      </c>
      <c r="I54" s="123">
        <v>26.0</v>
      </c>
      <c r="J54" s="124">
        <v>0.0</v>
      </c>
      <c r="K54" s="125">
        <v>0.0</v>
      </c>
      <c r="L54" s="126">
        <v>0.0</v>
      </c>
      <c r="M54" s="127">
        <v>3.0</v>
      </c>
      <c r="N54" s="127">
        <v>1.0</v>
      </c>
      <c r="O54" s="128">
        <v>2.0</v>
      </c>
      <c r="P54" s="129"/>
      <c r="Q54" s="130"/>
      <c r="R54" s="130"/>
      <c r="S54" s="131"/>
      <c r="T54" s="132"/>
      <c r="U54" s="133">
        <v>16.0</v>
      </c>
      <c r="V54" s="133">
        <v>17.5</v>
      </c>
      <c r="W54" s="133"/>
      <c r="X54" s="134"/>
      <c r="Y54" s="133"/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>
        <v>0.0</v>
      </c>
      <c r="AK54" s="133"/>
      <c r="AL54" s="133"/>
      <c r="AM54" s="133"/>
      <c r="AN54" s="134"/>
      <c r="AO54" s="133">
        <v>0.0</v>
      </c>
      <c r="AP54" s="133"/>
      <c r="AQ54" s="133"/>
      <c r="AR54" s="134"/>
      <c r="AS54" s="133"/>
      <c r="AT54" s="133">
        <v>0.0</v>
      </c>
      <c r="AU54" s="133"/>
      <c r="AV54" s="133"/>
      <c r="AW54" s="133"/>
      <c r="AX54" s="133"/>
      <c r="AY54" s="133">
        <v>0.0</v>
      </c>
      <c r="AZ54" s="135"/>
      <c r="BA54" s="135"/>
      <c r="BB54" s="135"/>
      <c r="BC54" s="135"/>
      <c r="BD54" s="135"/>
      <c r="BE54" s="123">
        <v>0.0</v>
      </c>
      <c r="BF54" s="123"/>
      <c r="BG54" s="123"/>
      <c r="BH54" s="123"/>
      <c r="BI54" s="123"/>
      <c r="BJ54" s="123"/>
      <c r="BK54" s="123"/>
      <c r="BL54" s="123">
        <v>0.0</v>
      </c>
      <c r="BM54" s="123"/>
      <c r="BN54" s="123"/>
      <c r="BO54" s="123"/>
      <c r="BP54" s="116"/>
      <c r="BQ54" s="116">
        <v>0.0</v>
      </c>
      <c r="BR54" s="116"/>
      <c r="BS54" s="116"/>
      <c r="BT54" s="116"/>
      <c r="BU54" s="116"/>
      <c r="BV54" s="116"/>
      <c r="BW54" s="116"/>
      <c r="BX54" s="116"/>
      <c r="BY54" s="116"/>
      <c r="BZ54" s="116"/>
      <c r="CA54" s="116">
        <v>0.0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133</v>
      </c>
      <c r="D55" s="137">
        <v>10.0</v>
      </c>
      <c r="E55" s="138">
        <v>32.5</v>
      </c>
      <c r="F55" s="139">
        <v>16.25</v>
      </c>
      <c r="G55" s="140">
        <v>2.75</v>
      </c>
      <c r="H55" s="139">
        <v>5.0</v>
      </c>
      <c r="I55" s="141">
        <v>27.0</v>
      </c>
      <c r="J55" s="142">
        <v>0.0</v>
      </c>
      <c r="K55" s="143">
        <v>0.5</v>
      </c>
      <c r="L55" s="144">
        <v>1.0</v>
      </c>
      <c r="M55" s="145">
        <v>2.0</v>
      </c>
      <c r="N55" s="145">
        <v>1.0</v>
      </c>
      <c r="O55" s="146">
        <v>1.0</v>
      </c>
      <c r="P55" s="147"/>
      <c r="Q55" s="148"/>
      <c r="R55" s="148"/>
      <c r="S55" s="149"/>
      <c r="T55" s="150"/>
      <c r="U55" s="151"/>
      <c r="V55" s="151"/>
      <c r="W55" s="151">
        <v>16.5</v>
      </c>
      <c r="X55" s="151"/>
      <c r="Y55" s="151">
        <v>16.0</v>
      </c>
      <c r="Z55" s="152"/>
      <c r="AA55" s="152"/>
      <c r="AB55" s="151"/>
      <c r="AC55" s="151"/>
      <c r="AD55" s="151"/>
      <c r="AE55" s="151"/>
      <c r="AF55" s="151"/>
      <c r="AG55" s="151"/>
      <c r="AH55" s="151"/>
      <c r="AI55" s="151"/>
      <c r="AJ55" s="151"/>
      <c r="AK55" s="152">
        <v>0.0</v>
      </c>
      <c r="AL55" s="152"/>
      <c r="AM55" s="151"/>
      <c r="AN55" s="151">
        <v>0.0</v>
      </c>
      <c r="AO55" s="151"/>
      <c r="AP55" s="151"/>
      <c r="AQ55" s="151"/>
      <c r="AR55" s="151"/>
      <c r="AS55" s="151"/>
      <c r="AT55" s="151"/>
      <c r="AU55" s="152">
        <v>0.0</v>
      </c>
      <c r="AV55" s="152"/>
      <c r="AW55" s="151"/>
      <c r="AX55" s="151"/>
      <c r="AY55" s="151"/>
      <c r="AZ55" s="153"/>
      <c r="BA55" s="153">
        <v>0.0</v>
      </c>
      <c r="BB55" s="153"/>
      <c r="BC55" s="153"/>
      <c r="BD55" s="153"/>
      <c r="BE55" s="141">
        <v>0.0</v>
      </c>
      <c r="BF55" s="141"/>
      <c r="BG55" s="141"/>
      <c r="BH55" s="141"/>
      <c r="BI55" s="141"/>
      <c r="BJ55" s="141"/>
      <c r="BK55" s="141">
        <v>0.0</v>
      </c>
      <c r="BL55" s="141"/>
      <c r="BM55" s="141"/>
      <c r="BN55" s="141"/>
      <c r="BO55" s="141"/>
      <c r="BP55" s="116"/>
      <c r="BQ55" s="116"/>
      <c r="BR55" s="116">
        <v>0.0</v>
      </c>
      <c r="BS55" s="116"/>
      <c r="BT55" s="116"/>
      <c r="BU55" s="116"/>
      <c r="BV55" s="116"/>
      <c r="BW55" s="116"/>
      <c r="BX55" s="116"/>
      <c r="BY55" s="116"/>
      <c r="BZ55" s="116"/>
      <c r="CA55" s="116">
        <v>0.0</v>
      </c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92</v>
      </c>
      <c r="D56" s="119">
        <v>5.0</v>
      </c>
      <c r="E56" s="120">
        <v>24.5</v>
      </c>
      <c r="F56" s="121">
        <v>24.5</v>
      </c>
      <c r="G56" s="122">
        <v>2.9</v>
      </c>
      <c r="H56" s="121">
        <v>10.0</v>
      </c>
      <c r="I56" s="123">
        <v>14.5</v>
      </c>
      <c r="J56" s="124">
        <v>0.0</v>
      </c>
      <c r="K56" s="125">
        <v>0.0</v>
      </c>
      <c r="L56" s="126">
        <v>0.0</v>
      </c>
      <c r="M56" s="127">
        <v>4.0</v>
      </c>
      <c r="N56" s="127">
        <v>1.0</v>
      </c>
      <c r="O56" s="128">
        <v>0.0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>
        <v>24.5</v>
      </c>
      <c r="AI56" s="133">
        <v>0.0</v>
      </c>
      <c r="AJ56" s="133"/>
      <c r="AK56" s="133"/>
      <c r="AL56" s="133"/>
      <c r="AM56" s="133"/>
      <c r="AN56" s="134"/>
      <c r="AO56" s="133">
        <v>0.0</v>
      </c>
      <c r="AP56" s="133"/>
      <c r="AQ56" s="133">
        <v>0.0</v>
      </c>
      <c r="AR56" s="134"/>
      <c r="AS56" s="133"/>
      <c r="AT56" s="133"/>
      <c r="AU56" s="133"/>
      <c r="AV56" s="133">
        <v>0.0</v>
      </c>
      <c r="AW56" s="133"/>
      <c r="AX56" s="133"/>
      <c r="AY56" s="133"/>
      <c r="AZ56" s="135"/>
      <c r="BA56" s="135">
        <v>0.0</v>
      </c>
      <c r="BB56" s="135"/>
      <c r="BC56" s="135"/>
      <c r="BD56" s="135"/>
      <c r="BE56" s="123"/>
      <c r="BF56" s="123">
        <v>0.0</v>
      </c>
      <c r="BG56" s="123"/>
      <c r="BH56" s="123"/>
      <c r="BI56" s="123"/>
      <c r="BJ56" s="123"/>
      <c r="BK56" s="123"/>
      <c r="BL56" s="123"/>
      <c r="BM56" s="123"/>
      <c r="BN56" s="123"/>
      <c r="BO56" s="123"/>
      <c r="BP56" s="116"/>
      <c r="BQ56" s="116"/>
      <c r="BR56" s="116"/>
      <c r="BS56" s="116">
        <v>0.0</v>
      </c>
      <c r="BT56" s="116"/>
      <c r="BU56" s="116">
        <v>0.0</v>
      </c>
      <c r="BV56" s="116"/>
      <c r="BW56" s="116"/>
      <c r="BX56" s="116"/>
      <c r="BY56" s="116"/>
      <c r="BZ56" s="116"/>
      <c r="CA56" s="116">
        <v>0.0</v>
      </c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134</v>
      </c>
      <c r="D57" s="137">
        <v>5.0</v>
      </c>
      <c r="E57" s="138">
        <v>18.75</v>
      </c>
      <c r="F57" s="139">
        <v>18.75</v>
      </c>
      <c r="G57" s="140">
        <v>2.75</v>
      </c>
      <c r="H57" s="139">
        <v>5.0</v>
      </c>
      <c r="I57" s="141">
        <v>13.75</v>
      </c>
      <c r="J57" s="142">
        <v>0.0</v>
      </c>
      <c r="K57" s="143">
        <v>0.0</v>
      </c>
      <c r="L57" s="144">
        <v>0.0</v>
      </c>
      <c r="M57" s="145">
        <v>2.0</v>
      </c>
      <c r="N57" s="145">
        <v>0.0</v>
      </c>
      <c r="O57" s="146">
        <v>1.0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>
        <v>18.75</v>
      </c>
      <c r="AF57" s="151"/>
      <c r="AG57" s="151"/>
      <c r="AH57" s="151"/>
      <c r="AI57" s="151"/>
      <c r="AJ57" s="151"/>
      <c r="AK57" s="152"/>
      <c r="AL57" s="152">
        <v>0.0</v>
      </c>
      <c r="AM57" s="151"/>
      <c r="AN57" s="151"/>
      <c r="AO57" s="151"/>
      <c r="AP57" s="151"/>
      <c r="AQ57" s="151"/>
      <c r="AR57" s="151"/>
      <c r="AS57" s="151"/>
      <c r="AT57" s="151">
        <v>0.0</v>
      </c>
      <c r="AU57" s="152"/>
      <c r="AV57" s="152"/>
      <c r="AW57" s="151"/>
      <c r="AX57" s="151"/>
      <c r="AY57" s="151"/>
      <c r="AZ57" s="153"/>
      <c r="BA57" s="153"/>
      <c r="BB57" s="153"/>
      <c r="BC57" s="153"/>
      <c r="BD57" s="153"/>
      <c r="BE57" s="141"/>
      <c r="BF57" s="141"/>
      <c r="BG57" s="141"/>
      <c r="BH57" s="141">
        <v>0.0</v>
      </c>
      <c r="BI57" s="141"/>
      <c r="BJ57" s="141"/>
      <c r="BK57" s="141"/>
      <c r="BL57" s="141"/>
      <c r="BM57" s="141"/>
      <c r="BN57" s="141">
        <v>0.0</v>
      </c>
      <c r="BO57" s="141"/>
      <c r="BP57" s="116"/>
      <c r="BQ57" s="116">
        <v>0.0</v>
      </c>
      <c r="BR57" s="116"/>
      <c r="BS57" s="116"/>
      <c r="BT57" s="116"/>
      <c r="BU57" s="116"/>
      <c r="BV57" s="116"/>
      <c r="BW57" s="116">
        <v>0.0</v>
      </c>
      <c r="BX57" s="116"/>
      <c r="BY57" s="116">
        <v>0.0</v>
      </c>
      <c r="BZ57" s="116">
        <v>0.0</v>
      </c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80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/>
      <c r="AK58" s="133"/>
      <c r="AL58" s="133"/>
      <c r="AM58" s="133"/>
      <c r="AN58" s="134"/>
      <c r="AO58" s="133"/>
      <c r="AP58" s="133"/>
      <c r="AQ58" s="133"/>
      <c r="AR58" s="134">
        <v>0.0</v>
      </c>
      <c r="AS58" s="133">
        <v>0.0</v>
      </c>
      <c r="AT58" s="133">
        <v>0.0</v>
      </c>
      <c r="AU58" s="133">
        <v>0.0</v>
      </c>
      <c r="AV58" s="133">
        <v>0.0</v>
      </c>
      <c r="AW58" s="133">
        <v>0.0</v>
      </c>
      <c r="AX58" s="133">
        <v>0.0</v>
      </c>
      <c r="AY58" s="133">
        <v>0.0</v>
      </c>
      <c r="AZ58" s="135">
        <v>0.0</v>
      </c>
      <c r="BA58" s="135">
        <v>0.0</v>
      </c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83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>
        <v>0.0</v>
      </c>
      <c r="AK59" s="152">
        <v>0.0</v>
      </c>
      <c r="AL59" s="152">
        <v>0.0</v>
      </c>
      <c r="AM59" s="151">
        <v>0.0</v>
      </c>
      <c r="AN59" s="151"/>
      <c r="AO59" s="151"/>
      <c r="AP59" s="151"/>
      <c r="AQ59" s="151"/>
      <c r="AR59" s="151"/>
      <c r="AS59" s="151"/>
      <c r="AT59" s="151"/>
      <c r="AU59" s="152"/>
      <c r="AV59" s="152"/>
      <c r="AW59" s="151"/>
      <c r="AX59" s="151"/>
      <c r="AY59" s="151"/>
      <c r="AZ59" s="153"/>
      <c r="BA59" s="153"/>
      <c r="BB59" s="153"/>
      <c r="BC59" s="153"/>
      <c r="BD59" s="153"/>
      <c r="BE59" s="141"/>
      <c r="BF59" s="141"/>
      <c r="BG59" s="141"/>
      <c r="BH59" s="141"/>
      <c r="BI59" s="141"/>
      <c r="BJ59" s="141"/>
      <c r="BK59" s="141"/>
      <c r="BL59" s="141">
        <v>0.0</v>
      </c>
      <c r="BM59" s="141">
        <v>0.0</v>
      </c>
      <c r="BN59" s="141">
        <v>0.0</v>
      </c>
      <c r="BO59" s="141"/>
      <c r="BP59" s="116"/>
      <c r="BQ59" s="116"/>
      <c r="BR59" s="116"/>
      <c r="BS59" s="116"/>
      <c r="BT59" s="116"/>
      <c r="BU59" s="116"/>
      <c r="BV59" s="116">
        <v>0.0</v>
      </c>
      <c r="BW59" s="116">
        <v>0.0</v>
      </c>
      <c r="BX59" s="116">
        <v>0.0</v>
      </c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84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>
        <v>0.0</v>
      </c>
      <c r="AK60" s="133">
        <v>0.0</v>
      </c>
      <c r="AL60" s="133">
        <v>0.0</v>
      </c>
      <c r="AM60" s="133"/>
      <c r="AN60" s="134"/>
      <c r="AO60" s="133"/>
      <c r="AP60" s="133"/>
      <c r="AQ60" s="133"/>
      <c r="AR60" s="134"/>
      <c r="AS60" s="133"/>
      <c r="AT60" s="133"/>
      <c r="AU60" s="133">
        <v>0.0</v>
      </c>
      <c r="AV60" s="133">
        <v>0.0</v>
      </c>
      <c r="AW60" s="133">
        <v>0.0</v>
      </c>
      <c r="AX60" s="133"/>
      <c r="AY60" s="133"/>
      <c r="AZ60" s="135"/>
      <c r="BA60" s="135"/>
      <c r="BB60" s="135"/>
      <c r="BC60" s="135"/>
      <c r="BD60" s="135"/>
      <c r="BE60" s="123">
        <v>0.0</v>
      </c>
      <c r="BF60" s="123">
        <v>0.0</v>
      </c>
      <c r="BG60" s="123">
        <v>0.0</v>
      </c>
      <c r="BH60" s="123">
        <v>0.0</v>
      </c>
      <c r="BI60" s="123"/>
      <c r="BJ60" s="123"/>
      <c r="BK60" s="123"/>
      <c r="BL60" s="123"/>
      <c r="BM60" s="123"/>
      <c r="BN60" s="123"/>
      <c r="BO60" s="123"/>
      <c r="BP60" s="116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93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/>
      <c r="BE61" s="141"/>
      <c r="BF61" s="141"/>
      <c r="BG61" s="141"/>
      <c r="BH61" s="141"/>
      <c r="BI61" s="141"/>
      <c r="BJ61" s="141"/>
      <c r="BK61" s="141"/>
      <c r="BL61" s="141"/>
      <c r="BM61" s="141">
        <v>0.0</v>
      </c>
      <c r="BN61" s="141">
        <v>0.0</v>
      </c>
      <c r="BO61" s="141">
        <v>0.0</v>
      </c>
      <c r="BP61" s="116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/>
      <c r="AI62" s="133">
        <v>0.0</v>
      </c>
      <c r="AJ62" s="133">
        <v>0.0</v>
      </c>
      <c r="AK62" s="133">
        <v>0.0</v>
      </c>
      <c r="AL62" s="133">
        <v>0.0</v>
      </c>
      <c r="AM62" s="133"/>
      <c r="AN62" s="134"/>
      <c r="AO62" s="133"/>
      <c r="AP62" s="133"/>
      <c r="AQ62" s="133"/>
      <c r="AR62" s="134"/>
      <c r="AS62" s="133"/>
      <c r="AT62" s="133"/>
      <c r="AU62" s="133"/>
      <c r="AV62" s="133"/>
      <c r="AW62" s="133"/>
      <c r="AX62" s="133"/>
      <c r="AY62" s="133"/>
      <c r="AZ62" s="135"/>
      <c r="BA62" s="135"/>
      <c r="BB62" s="135"/>
      <c r="BC62" s="135"/>
      <c r="BD62" s="135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>
        <v>0.0</v>
      </c>
      <c r="BO62" s="123">
        <v>0.0</v>
      </c>
      <c r="BP62" s="116">
        <v>0.0</v>
      </c>
      <c r="BQ62" s="116">
        <v>0.0</v>
      </c>
      <c r="BR62" s="116">
        <v>0.0</v>
      </c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109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>
        <v>0.0</v>
      </c>
      <c r="AO63" s="151">
        <v>0.0</v>
      </c>
      <c r="AP63" s="151"/>
      <c r="AQ63" s="151"/>
      <c r="AR63" s="151"/>
      <c r="AS63" s="151"/>
      <c r="AT63" s="151"/>
      <c r="AU63" s="152"/>
      <c r="AV63" s="152">
        <v>0.0</v>
      </c>
      <c r="AW63" s="151">
        <v>0.0</v>
      </c>
      <c r="AX63" s="151">
        <v>0.0</v>
      </c>
      <c r="AY63" s="151">
        <v>0.0</v>
      </c>
      <c r="AZ63" s="153"/>
      <c r="BA63" s="153"/>
      <c r="BB63" s="153"/>
      <c r="BC63" s="153"/>
      <c r="BD63" s="153"/>
      <c r="BE63" s="141">
        <v>0.0</v>
      </c>
      <c r="BF63" s="141">
        <v>0.0</v>
      </c>
      <c r="BG63" s="141">
        <v>0.0</v>
      </c>
      <c r="BH63" s="141">
        <v>0.0</v>
      </c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16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16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16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16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16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23.375</v>
      </c>
      <c r="I4" s="73"/>
      <c r="J4" s="71" t="s">
        <v>141</v>
      </c>
      <c r="M4" s="74">
        <f>F25</f>
        <v>20.5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187.25</v>
      </c>
      <c r="I5" s="79"/>
      <c r="J5" s="80" t="s">
        <v>143</v>
      </c>
      <c r="K5" s="185"/>
      <c r="L5" s="185"/>
      <c r="M5" s="82">
        <f>(F25*8)+0.25</f>
        <v>164.25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Артик</v>
      </c>
      <c r="D9" s="97">
        <v>20.0</v>
      </c>
      <c r="E9" s="98">
        <v>99.75</v>
      </c>
      <c r="F9" s="99">
        <v>24.9375</v>
      </c>
      <c r="G9" s="100">
        <v>3.3625</v>
      </c>
      <c r="H9" s="99">
        <v>32.5</v>
      </c>
      <c r="I9" s="101">
        <v>62.25</v>
      </c>
      <c r="J9" s="102">
        <v>1.0</v>
      </c>
      <c r="K9" s="103">
        <v>4.0</v>
      </c>
      <c r="L9" s="104">
        <v>6.0</v>
      </c>
      <c r="M9" s="105">
        <v>13.0</v>
      </c>
      <c r="N9" s="105">
        <v>4.0</v>
      </c>
      <c r="O9" s="106">
        <v>1.0</v>
      </c>
      <c r="P9" s="107"/>
      <c r="Q9" s="108"/>
      <c r="R9" s="108"/>
      <c r="S9" s="109"/>
      <c r="T9" s="187">
        <v>27.5</v>
      </c>
      <c r="U9" s="188"/>
      <c r="V9" s="111"/>
      <c r="W9" s="112"/>
      <c r="X9" s="112"/>
      <c r="Y9" s="112">
        <v>15.5</v>
      </c>
      <c r="Z9" s="111"/>
      <c r="AA9" s="112"/>
      <c r="AB9" s="111"/>
      <c r="AC9" s="111"/>
      <c r="AD9" s="112"/>
      <c r="AE9" s="112"/>
      <c r="AF9" s="112"/>
      <c r="AG9" s="111">
        <v>29.25</v>
      </c>
      <c r="AH9" s="112">
        <v>27.5</v>
      </c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>
        <v>0.0</v>
      </c>
      <c r="AW9" s="112">
        <v>0.0</v>
      </c>
      <c r="AX9" s="112"/>
      <c r="AY9" s="112"/>
      <c r="AZ9" s="113"/>
      <c r="BA9" s="113"/>
      <c r="BB9" s="113"/>
      <c r="BC9" s="113">
        <v>0.0</v>
      </c>
      <c r="BD9" s="113"/>
      <c r="BE9" s="114"/>
      <c r="BF9" s="114"/>
      <c r="BG9" s="114">
        <v>0.0</v>
      </c>
      <c r="BH9" s="114"/>
      <c r="BI9" s="114"/>
      <c r="BJ9" s="114"/>
      <c r="BK9" s="114"/>
      <c r="BL9" s="115"/>
      <c r="BM9" s="115"/>
      <c r="BN9" s="115"/>
      <c r="BO9" s="115"/>
      <c r="BP9" s="189">
        <v>0.0</v>
      </c>
      <c r="BQ9" s="116"/>
      <c r="BR9" s="116"/>
      <c r="BS9" s="116"/>
      <c r="BT9" s="116"/>
      <c r="BU9" s="116"/>
      <c r="BV9" s="116">
        <v>0.0</v>
      </c>
      <c r="BW9" s="116"/>
      <c r="BX9" s="116"/>
      <c r="BY9" s="116"/>
      <c r="BZ9" s="116"/>
      <c r="CA9" s="116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79</v>
      </c>
      <c r="D10" s="119">
        <v>10.0</v>
      </c>
      <c r="E10" s="120">
        <v>49.75</v>
      </c>
      <c r="F10" s="121">
        <v>24.875</v>
      </c>
      <c r="G10" s="122">
        <v>3.225</v>
      </c>
      <c r="H10" s="121">
        <v>17.5</v>
      </c>
      <c r="I10" s="123">
        <v>31.25</v>
      </c>
      <c r="J10" s="124">
        <v>0.5</v>
      </c>
      <c r="K10" s="125">
        <v>0.5</v>
      </c>
      <c r="L10" s="126">
        <v>1.0</v>
      </c>
      <c r="M10" s="127">
        <v>7.0</v>
      </c>
      <c r="N10" s="127">
        <v>2.0</v>
      </c>
      <c r="O10" s="128">
        <v>0.0</v>
      </c>
      <c r="P10" s="129"/>
      <c r="Q10" s="130"/>
      <c r="R10" s="130"/>
      <c r="S10" s="131"/>
      <c r="T10" s="190"/>
      <c r="U10" s="191"/>
      <c r="V10" s="133"/>
      <c r="W10" s="133">
        <v>22.75</v>
      </c>
      <c r="X10" s="134"/>
      <c r="Y10" s="133"/>
      <c r="Z10" s="133"/>
      <c r="AA10" s="133"/>
      <c r="AB10" s="133">
        <v>27.0</v>
      </c>
      <c r="AC10" s="134"/>
      <c r="AD10" s="133"/>
      <c r="AE10" s="133"/>
      <c r="AF10" s="133"/>
      <c r="AG10" s="133"/>
      <c r="AH10" s="134"/>
      <c r="AI10" s="133">
        <v>0.0</v>
      </c>
      <c r="AJ10" s="133"/>
      <c r="AK10" s="133"/>
      <c r="AL10" s="133"/>
      <c r="AM10" s="133"/>
      <c r="AN10" s="134"/>
      <c r="AO10" s="133"/>
      <c r="AP10" s="133"/>
      <c r="AQ10" s="133"/>
      <c r="AR10" s="134"/>
      <c r="AS10" s="133">
        <v>0.0</v>
      </c>
      <c r="AT10" s="133"/>
      <c r="AU10" s="133"/>
      <c r="AV10" s="133"/>
      <c r="AW10" s="133"/>
      <c r="AX10" s="133">
        <v>0.0</v>
      </c>
      <c r="AY10" s="133"/>
      <c r="AZ10" s="135"/>
      <c r="BA10" s="135"/>
      <c r="BB10" s="135"/>
      <c r="BC10" s="135">
        <v>0.0</v>
      </c>
      <c r="BD10" s="135"/>
      <c r="BE10" s="123"/>
      <c r="BF10" s="123"/>
      <c r="BG10" s="123">
        <v>0.0</v>
      </c>
      <c r="BH10" s="123"/>
      <c r="BI10" s="123"/>
      <c r="BJ10" s="123"/>
      <c r="BK10" s="123">
        <v>0.0</v>
      </c>
      <c r="BL10" s="123"/>
      <c r="BM10" s="123"/>
      <c r="BN10" s="123"/>
      <c r="BO10" s="123"/>
      <c r="BP10" s="189"/>
      <c r="BQ10" s="116"/>
      <c r="BR10" s="116">
        <v>0.0</v>
      </c>
      <c r="BS10" s="116"/>
      <c r="BT10" s="116"/>
      <c r="BU10" s="116">
        <v>0.0</v>
      </c>
      <c r="BV10" s="116">
        <v>0.0</v>
      </c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92</v>
      </c>
      <c r="D11" s="137">
        <v>5.0</v>
      </c>
      <c r="E11" s="138">
        <v>24.5</v>
      </c>
      <c r="F11" s="139">
        <v>24.5</v>
      </c>
      <c r="G11" s="140">
        <v>2.9</v>
      </c>
      <c r="H11" s="139">
        <v>10.0</v>
      </c>
      <c r="I11" s="141">
        <v>14.5</v>
      </c>
      <c r="J11" s="142">
        <v>0.0</v>
      </c>
      <c r="K11" s="143">
        <v>0.0</v>
      </c>
      <c r="L11" s="144">
        <v>0.0</v>
      </c>
      <c r="M11" s="145">
        <v>4.0</v>
      </c>
      <c r="N11" s="145">
        <v>1.0</v>
      </c>
      <c r="O11" s="146">
        <v>0.0</v>
      </c>
      <c r="P11" s="147"/>
      <c r="Q11" s="148"/>
      <c r="R11" s="148"/>
      <c r="S11" s="149"/>
      <c r="T11" s="192"/>
      <c r="U11" s="193"/>
      <c r="V11" s="151"/>
      <c r="W11" s="151"/>
      <c r="X11" s="151"/>
      <c r="Y11" s="151"/>
      <c r="Z11" s="152"/>
      <c r="AA11" s="152"/>
      <c r="AB11" s="151"/>
      <c r="AC11" s="151"/>
      <c r="AD11" s="151"/>
      <c r="AE11" s="151"/>
      <c r="AF11" s="151"/>
      <c r="AG11" s="151"/>
      <c r="AH11" s="151">
        <v>24.5</v>
      </c>
      <c r="AI11" s="151">
        <v>0.0</v>
      </c>
      <c r="AJ11" s="151"/>
      <c r="AK11" s="152"/>
      <c r="AL11" s="152"/>
      <c r="AM11" s="151"/>
      <c r="AN11" s="151"/>
      <c r="AO11" s="151">
        <v>0.0</v>
      </c>
      <c r="AP11" s="151"/>
      <c r="AQ11" s="151">
        <v>0.0</v>
      </c>
      <c r="AR11" s="151"/>
      <c r="AS11" s="151"/>
      <c r="AT11" s="151"/>
      <c r="AU11" s="152"/>
      <c r="AV11" s="152">
        <v>0.0</v>
      </c>
      <c r="AW11" s="151"/>
      <c r="AX11" s="151"/>
      <c r="AY11" s="151"/>
      <c r="AZ11" s="153"/>
      <c r="BA11" s="153">
        <v>0.0</v>
      </c>
      <c r="BB11" s="153"/>
      <c r="BC11" s="153"/>
      <c r="BD11" s="153"/>
      <c r="BE11" s="141"/>
      <c r="BF11" s="141">
        <v>0.0</v>
      </c>
      <c r="BG11" s="141"/>
      <c r="BH11" s="141"/>
      <c r="BI11" s="141"/>
      <c r="BJ11" s="141"/>
      <c r="BK11" s="141"/>
      <c r="BL11" s="141"/>
      <c r="BM11" s="141"/>
      <c r="BN11" s="141"/>
      <c r="BO11" s="141"/>
      <c r="BP11" s="189"/>
      <c r="BQ11" s="116"/>
      <c r="BR11" s="116"/>
      <c r="BS11" s="116">
        <v>0.0</v>
      </c>
      <c r="BT11" s="116"/>
      <c r="BU11" s="116">
        <v>0.0</v>
      </c>
      <c r="BV11" s="116"/>
      <c r="BW11" s="116"/>
      <c r="BX11" s="116"/>
      <c r="BY11" s="116"/>
      <c r="BZ11" s="116"/>
      <c r="CA11" s="116">
        <v>0.0</v>
      </c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123</v>
      </c>
      <c r="D12" s="119">
        <v>15.0</v>
      </c>
      <c r="E12" s="120">
        <v>73.0</v>
      </c>
      <c r="F12" s="121">
        <v>24.333333333333332</v>
      </c>
      <c r="G12" s="122">
        <v>3.2</v>
      </c>
      <c r="H12" s="121">
        <v>25.0</v>
      </c>
      <c r="I12" s="123">
        <v>47.0</v>
      </c>
      <c r="J12" s="124">
        <v>0.0</v>
      </c>
      <c r="K12" s="125">
        <v>1.0</v>
      </c>
      <c r="L12" s="126">
        <v>2.0</v>
      </c>
      <c r="M12" s="127">
        <v>10.0</v>
      </c>
      <c r="N12" s="127">
        <v>4.0</v>
      </c>
      <c r="O12" s="128">
        <v>0.0</v>
      </c>
      <c r="P12" s="129"/>
      <c r="Q12" s="130"/>
      <c r="R12" s="130"/>
      <c r="S12" s="131"/>
      <c r="T12" s="190"/>
      <c r="U12" s="191"/>
      <c r="V12" s="133">
        <v>22.75</v>
      </c>
      <c r="W12" s="133">
        <v>26.5</v>
      </c>
      <c r="X12" s="134"/>
      <c r="Y12" s="133"/>
      <c r="Z12" s="133">
        <v>23.75</v>
      </c>
      <c r="AA12" s="133"/>
      <c r="AB12" s="133"/>
      <c r="AC12" s="134"/>
      <c r="AD12" s="133"/>
      <c r="AE12" s="133"/>
      <c r="AF12" s="133"/>
      <c r="AG12" s="133"/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>
        <v>0.0</v>
      </c>
      <c r="AU12" s="133"/>
      <c r="AV12" s="133"/>
      <c r="AW12" s="133"/>
      <c r="AX12" s="133"/>
      <c r="AY12" s="133">
        <v>0.0</v>
      </c>
      <c r="AZ12" s="135"/>
      <c r="BA12" s="135"/>
      <c r="BB12" s="135"/>
      <c r="BC12" s="135"/>
      <c r="BD12" s="135">
        <v>0.0</v>
      </c>
      <c r="BE12" s="123"/>
      <c r="BF12" s="123"/>
      <c r="BG12" s="123">
        <v>0.0</v>
      </c>
      <c r="BH12" s="123"/>
      <c r="BI12" s="123"/>
      <c r="BJ12" s="123"/>
      <c r="BK12" s="123"/>
      <c r="BL12" s="123"/>
      <c r="BM12" s="123"/>
      <c r="BN12" s="123">
        <v>0.0</v>
      </c>
      <c r="BO12" s="123"/>
      <c r="BP12" s="189"/>
      <c r="BQ12" s="116"/>
      <c r="BR12" s="116"/>
      <c r="BS12" s="116"/>
      <c r="BT12" s="116"/>
      <c r="BU12" s="116"/>
      <c r="BV12" s="116"/>
      <c r="BW12" s="116"/>
      <c r="BX12" s="116">
        <v>0.0</v>
      </c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124</v>
      </c>
      <c r="D13" s="137">
        <v>15.0</v>
      </c>
      <c r="E13" s="138">
        <v>71.5</v>
      </c>
      <c r="F13" s="139">
        <v>23.833333333333332</v>
      </c>
      <c r="G13" s="140">
        <v>2.933333333333333</v>
      </c>
      <c r="H13" s="139">
        <v>27.5</v>
      </c>
      <c r="I13" s="141">
        <v>43.0</v>
      </c>
      <c r="J13" s="142">
        <v>0.5</v>
      </c>
      <c r="K13" s="143">
        <v>0.5</v>
      </c>
      <c r="L13" s="144">
        <v>1.0</v>
      </c>
      <c r="M13" s="145">
        <v>11.0</v>
      </c>
      <c r="N13" s="145">
        <v>4.0</v>
      </c>
      <c r="O13" s="146">
        <v>0.0</v>
      </c>
      <c r="P13" s="147"/>
      <c r="Q13" s="148"/>
      <c r="R13" s="148"/>
      <c r="S13" s="149"/>
      <c r="T13" s="192">
        <v>28.75</v>
      </c>
      <c r="U13" s="193"/>
      <c r="V13" s="151"/>
      <c r="W13" s="151"/>
      <c r="X13" s="151"/>
      <c r="Y13" s="151">
        <v>17.5</v>
      </c>
      <c r="Z13" s="152"/>
      <c r="AA13" s="152"/>
      <c r="AB13" s="151"/>
      <c r="AC13" s="151"/>
      <c r="AD13" s="151"/>
      <c r="AE13" s="151"/>
      <c r="AF13" s="151"/>
      <c r="AG13" s="151">
        <v>25.25</v>
      </c>
      <c r="AH13" s="151"/>
      <c r="AI13" s="151"/>
      <c r="AJ13" s="151"/>
      <c r="AK13" s="152"/>
      <c r="AL13" s="152"/>
      <c r="AM13" s="151"/>
      <c r="AN13" s="151"/>
      <c r="AO13" s="151"/>
      <c r="AP13" s="151">
        <v>0.0</v>
      </c>
      <c r="AQ13" s="151"/>
      <c r="AR13" s="151"/>
      <c r="AS13" s="151">
        <v>0.0</v>
      </c>
      <c r="AT13" s="151">
        <v>0.0</v>
      </c>
      <c r="AU13" s="152"/>
      <c r="AV13" s="152">
        <v>0.0</v>
      </c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>
        <v>0.0</v>
      </c>
      <c r="BL13" s="141"/>
      <c r="BM13" s="141"/>
      <c r="BN13" s="141"/>
      <c r="BO13" s="141"/>
      <c r="BP13" s="189"/>
      <c r="BQ13" s="116"/>
      <c r="BR13" s="116"/>
      <c r="BS13" s="116"/>
      <c r="BT13" s="116">
        <v>0.0</v>
      </c>
      <c r="BU13" s="116"/>
      <c r="BV13" s="116"/>
      <c r="BW13" s="116"/>
      <c r="BX13" s="116"/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90</v>
      </c>
      <c r="D14" s="119">
        <v>10.0</v>
      </c>
      <c r="E14" s="120">
        <v>47.0</v>
      </c>
      <c r="F14" s="121">
        <v>23.5</v>
      </c>
      <c r="G14" s="122">
        <v>2.95</v>
      </c>
      <c r="H14" s="121">
        <v>17.5</v>
      </c>
      <c r="I14" s="123">
        <v>29.0</v>
      </c>
      <c r="J14" s="124">
        <v>0.0</v>
      </c>
      <c r="K14" s="125">
        <v>0.5</v>
      </c>
      <c r="L14" s="126">
        <v>1.0</v>
      </c>
      <c r="M14" s="127">
        <v>7.0</v>
      </c>
      <c r="N14" s="127">
        <v>0.0</v>
      </c>
      <c r="O14" s="128">
        <v>0.0</v>
      </c>
      <c r="P14" s="129"/>
      <c r="Q14" s="130"/>
      <c r="R14" s="130"/>
      <c r="S14" s="131"/>
      <c r="T14" s="190">
        <v>22.0</v>
      </c>
      <c r="U14" s="191"/>
      <c r="V14" s="133"/>
      <c r="W14" s="133"/>
      <c r="X14" s="134"/>
      <c r="Y14" s="133"/>
      <c r="Z14" s="133">
        <v>25.0</v>
      </c>
      <c r="AA14" s="133"/>
      <c r="AB14" s="133"/>
      <c r="AC14" s="134"/>
      <c r="AD14" s="133"/>
      <c r="AE14" s="133"/>
      <c r="AF14" s="133"/>
      <c r="AG14" s="133"/>
      <c r="AH14" s="134"/>
      <c r="AI14" s="133"/>
      <c r="AJ14" s="133"/>
      <c r="AK14" s="133"/>
      <c r="AL14" s="133"/>
      <c r="AM14" s="133"/>
      <c r="AN14" s="134">
        <v>0.0</v>
      </c>
      <c r="AO14" s="133"/>
      <c r="AP14" s="133"/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>
        <v>0.0</v>
      </c>
      <c r="BA14" s="135"/>
      <c r="BB14" s="135"/>
      <c r="BC14" s="135"/>
      <c r="BD14" s="135">
        <v>0.0</v>
      </c>
      <c r="BE14" s="123"/>
      <c r="BF14" s="123"/>
      <c r="BG14" s="123"/>
      <c r="BH14" s="123"/>
      <c r="BI14" s="123"/>
      <c r="BJ14" s="123">
        <v>0.0</v>
      </c>
      <c r="BK14" s="123"/>
      <c r="BL14" s="123"/>
      <c r="BM14" s="123"/>
      <c r="BN14" s="123"/>
      <c r="BO14" s="123"/>
      <c r="BP14" s="189"/>
      <c r="BQ14" s="116"/>
      <c r="BR14" s="116">
        <v>0.0</v>
      </c>
      <c r="BS14" s="116"/>
      <c r="BT14" s="116"/>
      <c r="BU14" s="116"/>
      <c r="BV14" s="116"/>
      <c r="BW14" s="116">
        <v>0.0</v>
      </c>
      <c r="BX14" s="116"/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116</v>
      </c>
      <c r="D15" s="137">
        <v>20.0</v>
      </c>
      <c r="E15" s="138">
        <v>93.5</v>
      </c>
      <c r="F15" s="139">
        <v>23.375</v>
      </c>
      <c r="G15" s="140">
        <v>3.05</v>
      </c>
      <c r="H15" s="139">
        <v>32.5</v>
      </c>
      <c r="I15" s="141">
        <v>60.0</v>
      </c>
      <c r="J15" s="142">
        <v>0.5</v>
      </c>
      <c r="K15" s="143">
        <v>0.5</v>
      </c>
      <c r="L15" s="144">
        <v>1.0</v>
      </c>
      <c r="M15" s="145">
        <v>13.0</v>
      </c>
      <c r="N15" s="145">
        <v>3.0</v>
      </c>
      <c r="O15" s="146">
        <v>1.0</v>
      </c>
      <c r="P15" s="147"/>
      <c r="Q15" s="148"/>
      <c r="R15" s="148"/>
      <c r="S15" s="149"/>
      <c r="T15" s="192"/>
      <c r="U15" s="193">
        <v>23.75</v>
      </c>
      <c r="V15" s="151"/>
      <c r="W15" s="151"/>
      <c r="X15" s="151"/>
      <c r="Y15" s="151">
        <v>29.0</v>
      </c>
      <c r="Z15" s="152"/>
      <c r="AA15" s="152">
        <v>25.25</v>
      </c>
      <c r="AB15" s="151"/>
      <c r="AC15" s="151"/>
      <c r="AD15" s="151"/>
      <c r="AE15" s="151">
        <v>15.5</v>
      </c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>
        <v>0.0</v>
      </c>
      <c r="AV15" s="152"/>
      <c r="AW15" s="151"/>
      <c r="AX15" s="151"/>
      <c r="AY15" s="151"/>
      <c r="AZ15" s="153"/>
      <c r="BA15" s="153"/>
      <c r="BB15" s="153"/>
      <c r="BC15" s="153"/>
      <c r="BD15" s="153"/>
      <c r="BE15" s="141">
        <v>0.0</v>
      </c>
      <c r="BF15" s="141"/>
      <c r="BG15" s="141"/>
      <c r="BH15" s="141">
        <v>0.0</v>
      </c>
      <c r="BI15" s="141"/>
      <c r="BJ15" s="141"/>
      <c r="BK15" s="141"/>
      <c r="BL15" s="141"/>
      <c r="BM15" s="141"/>
      <c r="BN15" s="141"/>
      <c r="BO15" s="141"/>
      <c r="BP15" s="189"/>
      <c r="BQ15" s="116"/>
      <c r="BR15" s="116"/>
      <c r="BS15" s="116">
        <v>0.0</v>
      </c>
      <c r="BT15" s="116"/>
      <c r="BU15" s="116"/>
      <c r="BV15" s="116"/>
      <c r="BW15" s="116"/>
      <c r="BX15" s="116">
        <v>0.0</v>
      </c>
      <c r="BY15" s="116">
        <v>0.0</v>
      </c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107</v>
      </c>
      <c r="D16" s="119">
        <v>30.0</v>
      </c>
      <c r="E16" s="120">
        <v>139.75</v>
      </c>
      <c r="F16" s="121">
        <v>23.291666666666664</v>
      </c>
      <c r="G16" s="122">
        <v>3.2416666666666667</v>
      </c>
      <c r="H16" s="121">
        <v>42.5</v>
      </c>
      <c r="I16" s="123">
        <v>89.75</v>
      </c>
      <c r="J16" s="124">
        <v>2.0</v>
      </c>
      <c r="K16" s="125">
        <v>5.5</v>
      </c>
      <c r="L16" s="126">
        <v>8.0</v>
      </c>
      <c r="M16" s="127">
        <v>17.0</v>
      </c>
      <c r="N16" s="127">
        <v>6.0</v>
      </c>
      <c r="O16" s="128">
        <v>2.0</v>
      </c>
      <c r="P16" s="129"/>
      <c r="Q16" s="130"/>
      <c r="R16" s="130"/>
      <c r="S16" s="131"/>
      <c r="T16" s="190"/>
      <c r="U16" s="191"/>
      <c r="V16" s="133"/>
      <c r="W16" s="133"/>
      <c r="X16" s="134"/>
      <c r="Y16" s="133"/>
      <c r="Z16" s="133">
        <v>30.75</v>
      </c>
      <c r="AA16" s="133">
        <v>20.5</v>
      </c>
      <c r="AB16" s="133">
        <v>24.75</v>
      </c>
      <c r="AC16" s="134">
        <v>18.5</v>
      </c>
      <c r="AD16" s="133">
        <v>29.0</v>
      </c>
      <c r="AE16" s="133">
        <v>16.25</v>
      </c>
      <c r="AF16" s="133"/>
      <c r="AG16" s="133"/>
      <c r="AH16" s="134"/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/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>
        <v>0.0</v>
      </c>
      <c r="BP16" s="189">
        <v>0.0</v>
      </c>
      <c r="BQ16" s="116">
        <v>0.0</v>
      </c>
      <c r="BR16" s="116">
        <v>0.0</v>
      </c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87</v>
      </c>
      <c r="D17" s="137">
        <v>25.0</v>
      </c>
      <c r="E17" s="138">
        <v>113.75</v>
      </c>
      <c r="F17" s="139">
        <v>22.75</v>
      </c>
      <c r="G17" s="140">
        <v>3.25</v>
      </c>
      <c r="H17" s="139">
        <v>32.5</v>
      </c>
      <c r="I17" s="141">
        <v>78.25</v>
      </c>
      <c r="J17" s="142">
        <v>0.0</v>
      </c>
      <c r="K17" s="143">
        <v>3.0</v>
      </c>
      <c r="L17" s="144">
        <v>5.0</v>
      </c>
      <c r="M17" s="145">
        <v>13.0</v>
      </c>
      <c r="N17" s="145">
        <v>2.0</v>
      </c>
      <c r="O17" s="146">
        <v>0.0</v>
      </c>
      <c r="P17" s="147"/>
      <c r="Q17" s="148"/>
      <c r="R17" s="148"/>
      <c r="S17" s="149"/>
      <c r="T17" s="192"/>
      <c r="U17" s="193"/>
      <c r="V17" s="151"/>
      <c r="W17" s="151"/>
      <c r="X17" s="151"/>
      <c r="Y17" s="151"/>
      <c r="Z17" s="152"/>
      <c r="AA17" s="152"/>
      <c r="AB17" s="151"/>
      <c r="AC17" s="151"/>
      <c r="AD17" s="151">
        <v>23.0</v>
      </c>
      <c r="AE17" s="151">
        <v>18.25</v>
      </c>
      <c r="AF17" s="151">
        <v>25.5</v>
      </c>
      <c r="AG17" s="151">
        <v>28.0</v>
      </c>
      <c r="AH17" s="151">
        <v>19.0</v>
      </c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>
        <v>0.0</v>
      </c>
      <c r="AV17" s="152">
        <v>0.0</v>
      </c>
      <c r="AW17" s="151">
        <v>0.0</v>
      </c>
      <c r="AX17" s="151">
        <v>0.0</v>
      </c>
      <c r="AY17" s="151">
        <v>0.0</v>
      </c>
      <c r="AZ17" s="153"/>
      <c r="BA17" s="153"/>
      <c r="BB17" s="153"/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89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97</v>
      </c>
      <c r="D18" s="119">
        <v>10.0</v>
      </c>
      <c r="E18" s="120">
        <v>45.25</v>
      </c>
      <c r="F18" s="121">
        <v>22.625</v>
      </c>
      <c r="G18" s="122">
        <v>3.025</v>
      </c>
      <c r="H18" s="121">
        <v>15.0</v>
      </c>
      <c r="I18" s="123">
        <v>30.25</v>
      </c>
      <c r="J18" s="124">
        <v>0.0</v>
      </c>
      <c r="K18" s="125">
        <v>0.0</v>
      </c>
      <c r="L18" s="126">
        <v>0.0</v>
      </c>
      <c r="M18" s="127">
        <v>6.0</v>
      </c>
      <c r="N18" s="127">
        <v>0.0</v>
      </c>
      <c r="O18" s="128">
        <v>1.0</v>
      </c>
      <c r="P18" s="129"/>
      <c r="Q18" s="130"/>
      <c r="R18" s="130"/>
      <c r="S18" s="131"/>
      <c r="T18" s="190"/>
      <c r="U18" s="191"/>
      <c r="V18" s="133"/>
      <c r="W18" s="133"/>
      <c r="X18" s="134"/>
      <c r="Y18" s="133"/>
      <c r="Z18" s="133"/>
      <c r="AA18" s="133">
        <v>18.5</v>
      </c>
      <c r="AB18" s="133"/>
      <c r="AC18" s="134"/>
      <c r="AD18" s="133">
        <v>26.75</v>
      </c>
      <c r="AE18" s="133"/>
      <c r="AF18" s="133"/>
      <c r="AG18" s="133"/>
      <c r="AH18" s="134"/>
      <c r="AI18" s="133"/>
      <c r="AJ18" s="133">
        <v>0.0</v>
      </c>
      <c r="AK18" s="133"/>
      <c r="AL18" s="133"/>
      <c r="AM18" s="133"/>
      <c r="AN18" s="134">
        <v>0.0</v>
      </c>
      <c r="AO18" s="133"/>
      <c r="AP18" s="133"/>
      <c r="AQ18" s="133"/>
      <c r="AR18" s="134"/>
      <c r="AS18" s="133"/>
      <c r="AT18" s="133"/>
      <c r="AU18" s="133">
        <v>0.0</v>
      </c>
      <c r="AV18" s="133"/>
      <c r="AW18" s="133"/>
      <c r="AX18" s="133">
        <v>0.0</v>
      </c>
      <c r="AY18" s="133"/>
      <c r="AZ18" s="135"/>
      <c r="BA18" s="135"/>
      <c r="BB18" s="135"/>
      <c r="BC18" s="135"/>
      <c r="BD18" s="135"/>
      <c r="BE18" s="123"/>
      <c r="BF18" s="123"/>
      <c r="BG18" s="123"/>
      <c r="BH18" s="123"/>
      <c r="BI18" s="123"/>
      <c r="BJ18" s="123">
        <v>0.0</v>
      </c>
      <c r="BK18" s="123"/>
      <c r="BL18" s="123"/>
      <c r="BM18" s="123"/>
      <c r="BN18" s="123"/>
      <c r="BO18" s="123"/>
      <c r="BP18" s="189"/>
      <c r="BQ18" s="116">
        <v>0.0</v>
      </c>
      <c r="BR18" s="116"/>
      <c r="BS18" s="116"/>
      <c r="BT18" s="116">
        <v>0.0</v>
      </c>
      <c r="BU18" s="116"/>
      <c r="BV18" s="116">
        <v>0.0</v>
      </c>
      <c r="BW18" s="116"/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81</v>
      </c>
      <c r="D19" s="137">
        <v>15.0</v>
      </c>
      <c r="E19" s="138">
        <v>67.0</v>
      </c>
      <c r="F19" s="139">
        <v>22.333333333333336</v>
      </c>
      <c r="G19" s="140">
        <v>2.8</v>
      </c>
      <c r="H19" s="139">
        <v>25.0</v>
      </c>
      <c r="I19" s="141">
        <v>40.0</v>
      </c>
      <c r="J19" s="142">
        <v>0.5</v>
      </c>
      <c r="K19" s="143">
        <v>1.5</v>
      </c>
      <c r="L19" s="144">
        <v>2.0</v>
      </c>
      <c r="M19" s="145">
        <v>10.0</v>
      </c>
      <c r="N19" s="145">
        <v>2.0</v>
      </c>
      <c r="O19" s="146">
        <v>1.0</v>
      </c>
      <c r="P19" s="147"/>
      <c r="Q19" s="148"/>
      <c r="R19" s="148"/>
      <c r="S19" s="149"/>
      <c r="T19" s="192"/>
      <c r="U19" s="193">
        <v>20.0</v>
      </c>
      <c r="V19" s="151"/>
      <c r="W19" s="151"/>
      <c r="X19" s="151"/>
      <c r="Y19" s="151"/>
      <c r="Z19" s="152"/>
      <c r="AA19" s="152"/>
      <c r="AB19" s="151"/>
      <c r="AC19" s="151">
        <v>22.0</v>
      </c>
      <c r="AD19" s="151">
        <v>25.0</v>
      </c>
      <c r="AE19" s="151"/>
      <c r="AF19" s="151"/>
      <c r="AG19" s="151"/>
      <c r="AH19" s="151"/>
      <c r="AI19" s="151"/>
      <c r="AJ19" s="151">
        <v>0.0</v>
      </c>
      <c r="AK19" s="152"/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>
        <v>0.0</v>
      </c>
      <c r="AW19" s="151"/>
      <c r="AX19" s="151"/>
      <c r="AY19" s="151"/>
      <c r="AZ19" s="153"/>
      <c r="BA19" s="153"/>
      <c r="BB19" s="153">
        <v>0.0</v>
      </c>
      <c r="BC19" s="153"/>
      <c r="BD19" s="153"/>
      <c r="BE19" s="141"/>
      <c r="BF19" s="141"/>
      <c r="BG19" s="141"/>
      <c r="BH19" s="141"/>
      <c r="BI19" s="141"/>
      <c r="BJ19" s="141"/>
      <c r="BK19" s="141"/>
      <c r="BL19" s="141"/>
      <c r="BM19" s="141">
        <v>0.0</v>
      </c>
      <c r="BN19" s="141"/>
      <c r="BO19" s="141"/>
      <c r="BP19" s="189"/>
      <c r="BQ19" s="116"/>
      <c r="BR19" s="116">
        <v>0.0</v>
      </c>
      <c r="BS19" s="116"/>
      <c r="BT19" s="116"/>
      <c r="BU19" s="116"/>
      <c r="BV19" s="116"/>
      <c r="BW19" s="116"/>
      <c r="BX19" s="116"/>
      <c r="BY19" s="116">
        <v>0.0</v>
      </c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91</v>
      </c>
      <c r="D20" s="119">
        <v>15.0</v>
      </c>
      <c r="E20" s="120">
        <v>65.75</v>
      </c>
      <c r="F20" s="121">
        <v>21.916666666666668</v>
      </c>
      <c r="G20" s="122">
        <v>2.8833333333333333</v>
      </c>
      <c r="H20" s="121">
        <v>22.5</v>
      </c>
      <c r="I20" s="123">
        <v>42.25</v>
      </c>
      <c r="J20" s="124">
        <v>0.0</v>
      </c>
      <c r="K20" s="125">
        <v>1.0</v>
      </c>
      <c r="L20" s="126">
        <v>2.0</v>
      </c>
      <c r="M20" s="127">
        <v>9.0</v>
      </c>
      <c r="N20" s="127">
        <v>1.0</v>
      </c>
      <c r="O20" s="128">
        <v>1.0</v>
      </c>
      <c r="P20" s="129"/>
      <c r="Q20" s="130"/>
      <c r="R20" s="130"/>
      <c r="S20" s="131"/>
      <c r="T20" s="190"/>
      <c r="U20" s="191"/>
      <c r="V20" s="133">
        <v>23.25</v>
      </c>
      <c r="W20" s="133"/>
      <c r="X20" s="134">
        <v>20.5</v>
      </c>
      <c r="Y20" s="133"/>
      <c r="Z20" s="133">
        <v>22.0</v>
      </c>
      <c r="AA20" s="133"/>
      <c r="AB20" s="133"/>
      <c r="AC20" s="134"/>
      <c r="AD20" s="133"/>
      <c r="AE20" s="133"/>
      <c r="AF20" s="133"/>
      <c r="AG20" s="133"/>
      <c r="AH20" s="134"/>
      <c r="AI20" s="133"/>
      <c r="AJ20" s="133"/>
      <c r="AK20" s="133">
        <v>0.0</v>
      </c>
      <c r="AL20" s="133"/>
      <c r="AM20" s="133"/>
      <c r="AN20" s="134"/>
      <c r="AO20" s="133"/>
      <c r="AP20" s="133"/>
      <c r="AQ20" s="133"/>
      <c r="AR20" s="134">
        <v>0.0</v>
      </c>
      <c r="AS20" s="133"/>
      <c r="AT20" s="133"/>
      <c r="AU20" s="133"/>
      <c r="AV20" s="133"/>
      <c r="AW20" s="133"/>
      <c r="AX20" s="133"/>
      <c r="AY20" s="133">
        <v>0.0</v>
      </c>
      <c r="AZ20" s="135"/>
      <c r="BA20" s="135"/>
      <c r="BB20" s="135"/>
      <c r="BC20" s="135"/>
      <c r="BD20" s="135">
        <v>0.0</v>
      </c>
      <c r="BE20" s="123"/>
      <c r="BF20" s="123"/>
      <c r="BG20" s="123"/>
      <c r="BH20" s="123"/>
      <c r="BI20" s="123"/>
      <c r="BJ20" s="123"/>
      <c r="BK20" s="123"/>
      <c r="BL20" s="123"/>
      <c r="BM20" s="123">
        <v>0.0</v>
      </c>
      <c r="BN20" s="123"/>
      <c r="BO20" s="123"/>
      <c r="BP20" s="189">
        <v>0.0</v>
      </c>
      <c r="BQ20" s="116"/>
      <c r="BR20" s="116"/>
      <c r="BS20" s="116"/>
      <c r="BT20" s="116"/>
      <c r="BU20" s="116"/>
      <c r="BV20" s="116">
        <v>0.0</v>
      </c>
      <c r="BW20" s="116"/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136</v>
      </c>
      <c r="D21" s="137">
        <v>15.0</v>
      </c>
      <c r="E21" s="138">
        <v>65.5</v>
      </c>
      <c r="F21" s="139">
        <v>21.833333333333332</v>
      </c>
      <c r="G21" s="140">
        <v>2.8666666666666667</v>
      </c>
      <c r="H21" s="139">
        <v>22.5</v>
      </c>
      <c r="I21" s="141">
        <v>43.0</v>
      </c>
      <c r="J21" s="142">
        <v>0.0</v>
      </c>
      <c r="K21" s="143">
        <v>0.0</v>
      </c>
      <c r="L21" s="144">
        <v>0.0</v>
      </c>
      <c r="M21" s="145">
        <v>9.0</v>
      </c>
      <c r="N21" s="145">
        <v>4.0</v>
      </c>
      <c r="O21" s="146">
        <v>0.0</v>
      </c>
      <c r="P21" s="147"/>
      <c r="Q21" s="148"/>
      <c r="R21" s="148"/>
      <c r="S21" s="149"/>
      <c r="T21" s="192"/>
      <c r="U21" s="193"/>
      <c r="V21" s="151">
        <v>14.5</v>
      </c>
      <c r="W21" s="151"/>
      <c r="X21" s="151"/>
      <c r="Y21" s="151"/>
      <c r="Z21" s="152"/>
      <c r="AA21" s="152"/>
      <c r="AB21" s="151"/>
      <c r="AC21" s="151">
        <v>23.25</v>
      </c>
      <c r="AD21" s="151"/>
      <c r="AE21" s="151"/>
      <c r="AF21" s="151"/>
      <c r="AG21" s="151">
        <v>27.75</v>
      </c>
      <c r="AH21" s="151"/>
      <c r="AI21" s="151"/>
      <c r="AJ21" s="151"/>
      <c r="AK21" s="152"/>
      <c r="AL21" s="152"/>
      <c r="AM21" s="151"/>
      <c r="AN21" s="151"/>
      <c r="AO21" s="151"/>
      <c r="AP21" s="151"/>
      <c r="AQ21" s="151"/>
      <c r="AR21" s="151">
        <v>0.0</v>
      </c>
      <c r="AS21" s="151"/>
      <c r="AT21" s="151"/>
      <c r="AU21" s="152"/>
      <c r="AV21" s="152"/>
      <c r="AW21" s="151"/>
      <c r="AX21" s="151"/>
      <c r="AY21" s="151"/>
      <c r="AZ21" s="153"/>
      <c r="BA21" s="153"/>
      <c r="BB21" s="153"/>
      <c r="BC21" s="153"/>
      <c r="BD21" s="153">
        <v>0.0</v>
      </c>
      <c r="BE21" s="141"/>
      <c r="BF21" s="141"/>
      <c r="BG21" s="141">
        <v>0.0</v>
      </c>
      <c r="BH21" s="141"/>
      <c r="BI21" s="141"/>
      <c r="BJ21" s="141"/>
      <c r="BK21" s="141"/>
      <c r="BL21" s="141"/>
      <c r="BM21" s="141"/>
      <c r="BN21" s="141"/>
      <c r="BO21" s="141">
        <v>0.0</v>
      </c>
      <c r="BP21" s="189"/>
      <c r="BQ21" s="116"/>
      <c r="BR21" s="116"/>
      <c r="BS21" s="116"/>
      <c r="BT21" s="116">
        <v>0.0</v>
      </c>
      <c r="BU21" s="116"/>
      <c r="BV21" s="116"/>
      <c r="BW21" s="116"/>
      <c r="BX21" s="116"/>
      <c r="BY21" s="116"/>
      <c r="BZ21" s="116">
        <v>0.0</v>
      </c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102</v>
      </c>
      <c r="D22" s="119">
        <v>15.0</v>
      </c>
      <c r="E22" s="120">
        <v>64.75</v>
      </c>
      <c r="F22" s="121">
        <v>21.583333333333332</v>
      </c>
      <c r="G22" s="122">
        <v>3.15</v>
      </c>
      <c r="H22" s="121">
        <v>17.5</v>
      </c>
      <c r="I22" s="123">
        <v>45.75</v>
      </c>
      <c r="J22" s="124">
        <v>0.5</v>
      </c>
      <c r="K22" s="125">
        <v>1.0</v>
      </c>
      <c r="L22" s="126">
        <v>2.0</v>
      </c>
      <c r="M22" s="127">
        <v>7.0</v>
      </c>
      <c r="N22" s="127">
        <v>3.0</v>
      </c>
      <c r="O22" s="128">
        <v>1.0</v>
      </c>
      <c r="P22" s="129"/>
      <c r="Q22" s="130"/>
      <c r="R22" s="130"/>
      <c r="S22" s="131"/>
      <c r="T22" s="190"/>
      <c r="U22" s="191">
        <v>23.0</v>
      </c>
      <c r="V22" s="133"/>
      <c r="W22" s="133">
        <v>22.5</v>
      </c>
      <c r="X22" s="134"/>
      <c r="Y22" s="133"/>
      <c r="Z22" s="133"/>
      <c r="AA22" s="133"/>
      <c r="AB22" s="133"/>
      <c r="AC22" s="134"/>
      <c r="AD22" s="133"/>
      <c r="AE22" s="133"/>
      <c r="AF22" s="133">
        <v>19.25</v>
      </c>
      <c r="AG22" s="133"/>
      <c r="AH22" s="134"/>
      <c r="AI22" s="133"/>
      <c r="AJ22" s="133"/>
      <c r="AK22" s="133"/>
      <c r="AL22" s="133"/>
      <c r="AM22" s="133">
        <v>0.0</v>
      </c>
      <c r="AN22" s="134"/>
      <c r="AO22" s="133"/>
      <c r="AP22" s="133"/>
      <c r="AQ22" s="133">
        <v>0.0</v>
      </c>
      <c r="AR22" s="134"/>
      <c r="AS22" s="133"/>
      <c r="AT22" s="133"/>
      <c r="AU22" s="133"/>
      <c r="AV22" s="133"/>
      <c r="AW22" s="133">
        <v>0.0</v>
      </c>
      <c r="AX22" s="133"/>
      <c r="AY22" s="133"/>
      <c r="AZ22" s="135"/>
      <c r="BA22" s="135"/>
      <c r="BB22" s="135"/>
      <c r="BC22" s="135"/>
      <c r="BD22" s="135"/>
      <c r="BE22" s="123"/>
      <c r="BF22" s="123"/>
      <c r="BG22" s="123">
        <v>0.0</v>
      </c>
      <c r="BH22" s="123"/>
      <c r="BI22" s="123"/>
      <c r="BJ22" s="123">
        <v>0.0</v>
      </c>
      <c r="BK22" s="123"/>
      <c r="BL22" s="123"/>
      <c r="BM22" s="123"/>
      <c r="BN22" s="123"/>
      <c r="BO22" s="123"/>
      <c r="BP22" s="189"/>
      <c r="BQ22" s="116"/>
      <c r="BR22" s="116"/>
      <c r="BS22" s="116"/>
      <c r="BT22" s="116"/>
      <c r="BU22" s="116">
        <v>0.0</v>
      </c>
      <c r="BV22" s="116"/>
      <c r="BW22" s="116"/>
      <c r="BX22" s="116"/>
      <c r="BY22" s="116"/>
      <c r="BZ22" s="116">
        <v>0.0</v>
      </c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89</v>
      </c>
      <c r="D23" s="137">
        <v>20.0</v>
      </c>
      <c r="E23" s="138">
        <v>85.5</v>
      </c>
      <c r="F23" s="139">
        <v>21.375</v>
      </c>
      <c r="G23" s="140">
        <v>2.775</v>
      </c>
      <c r="H23" s="139">
        <v>30.0</v>
      </c>
      <c r="I23" s="141">
        <v>54.5</v>
      </c>
      <c r="J23" s="142">
        <v>0.0</v>
      </c>
      <c r="K23" s="143">
        <v>1.0</v>
      </c>
      <c r="L23" s="144">
        <v>2.0</v>
      </c>
      <c r="M23" s="145">
        <v>12.0</v>
      </c>
      <c r="N23" s="145">
        <v>1.0</v>
      </c>
      <c r="O23" s="146">
        <v>3.0</v>
      </c>
      <c r="P23" s="147"/>
      <c r="Q23" s="148"/>
      <c r="R23" s="148"/>
      <c r="S23" s="149"/>
      <c r="T23" s="192"/>
      <c r="U23" s="193"/>
      <c r="V23" s="151"/>
      <c r="W23" s="151"/>
      <c r="X23" s="151"/>
      <c r="Y23" s="151"/>
      <c r="Z23" s="152">
        <v>24.0</v>
      </c>
      <c r="AA23" s="152">
        <v>22.25</v>
      </c>
      <c r="AB23" s="151">
        <v>17.75</v>
      </c>
      <c r="AC23" s="151">
        <v>21.5</v>
      </c>
      <c r="AD23" s="151"/>
      <c r="AE23" s="151"/>
      <c r="AF23" s="151"/>
      <c r="AG23" s="151"/>
      <c r="AH23" s="151"/>
      <c r="AI23" s="151"/>
      <c r="AJ23" s="151"/>
      <c r="AK23" s="152"/>
      <c r="AL23" s="152"/>
      <c r="AM23" s="151"/>
      <c r="AN23" s="151"/>
      <c r="AO23" s="151"/>
      <c r="AP23" s="151">
        <v>0.0</v>
      </c>
      <c r="AQ23" s="151">
        <v>0.0</v>
      </c>
      <c r="AR23" s="151">
        <v>0.0</v>
      </c>
      <c r="AS23" s="151">
        <v>0.0</v>
      </c>
      <c r="AT23" s="151"/>
      <c r="AU23" s="152"/>
      <c r="AV23" s="152"/>
      <c r="AW23" s="151"/>
      <c r="AX23" s="151"/>
      <c r="AY23" s="151"/>
      <c r="AZ23" s="153"/>
      <c r="BA23" s="153"/>
      <c r="BB23" s="153"/>
      <c r="BC23" s="153"/>
      <c r="BD23" s="153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89"/>
      <c r="BQ23" s="116"/>
      <c r="BR23" s="116"/>
      <c r="BS23" s="116"/>
      <c r="BT23" s="116"/>
      <c r="BU23" s="116"/>
      <c r="BV23" s="116"/>
      <c r="BW23" s="116"/>
      <c r="BX23" s="116"/>
      <c r="BY23" s="116">
        <v>0.0</v>
      </c>
      <c r="BZ23" s="116">
        <v>0.0</v>
      </c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138</v>
      </c>
      <c r="D24" s="119">
        <v>20.0</v>
      </c>
      <c r="E24" s="120">
        <v>83.25</v>
      </c>
      <c r="F24" s="121">
        <v>20.8125</v>
      </c>
      <c r="G24" s="122">
        <v>2.9125</v>
      </c>
      <c r="H24" s="121">
        <v>25.0</v>
      </c>
      <c r="I24" s="123">
        <v>57.75</v>
      </c>
      <c r="J24" s="124">
        <v>0.0</v>
      </c>
      <c r="K24" s="125">
        <v>0.5</v>
      </c>
      <c r="L24" s="126">
        <v>1.0</v>
      </c>
      <c r="M24" s="127">
        <v>10.0</v>
      </c>
      <c r="N24" s="127">
        <v>0.0</v>
      </c>
      <c r="O24" s="128">
        <v>0.0</v>
      </c>
      <c r="P24" s="129"/>
      <c r="Q24" s="130"/>
      <c r="R24" s="130"/>
      <c r="S24" s="131"/>
      <c r="T24" s="190"/>
      <c r="U24" s="191">
        <v>26.0</v>
      </c>
      <c r="V24" s="133"/>
      <c r="W24" s="133"/>
      <c r="X24" s="134"/>
      <c r="Y24" s="133"/>
      <c r="Z24" s="133"/>
      <c r="AA24" s="133">
        <v>15.75</v>
      </c>
      <c r="AB24" s="133"/>
      <c r="AC24" s="134"/>
      <c r="AD24" s="133">
        <v>17.75</v>
      </c>
      <c r="AE24" s="133"/>
      <c r="AF24" s="133"/>
      <c r="AG24" s="133">
        <v>23.75</v>
      </c>
      <c r="AH24" s="134"/>
      <c r="AI24" s="133"/>
      <c r="AJ24" s="133"/>
      <c r="AK24" s="133"/>
      <c r="AL24" s="133"/>
      <c r="AM24" s="133"/>
      <c r="AN24" s="134"/>
      <c r="AO24" s="133">
        <v>0.0</v>
      </c>
      <c r="AP24" s="133"/>
      <c r="AQ24" s="133"/>
      <c r="AR24" s="134">
        <v>0.0</v>
      </c>
      <c r="AS24" s="133"/>
      <c r="AT24" s="133"/>
      <c r="AU24" s="133"/>
      <c r="AV24" s="133"/>
      <c r="AW24" s="133"/>
      <c r="AX24" s="133"/>
      <c r="AY24" s="133"/>
      <c r="AZ24" s="135"/>
      <c r="BA24" s="135"/>
      <c r="BB24" s="135">
        <v>0.0</v>
      </c>
      <c r="BC24" s="135"/>
      <c r="BD24" s="135"/>
      <c r="BE24" s="123">
        <v>0.0</v>
      </c>
      <c r="BF24" s="123"/>
      <c r="BG24" s="123"/>
      <c r="BH24" s="123"/>
      <c r="BI24" s="123"/>
      <c r="BJ24" s="123">
        <v>0.0</v>
      </c>
      <c r="BK24" s="123"/>
      <c r="BL24" s="123"/>
      <c r="BM24" s="123"/>
      <c r="BN24" s="123"/>
      <c r="BO24" s="123"/>
      <c r="BP24" s="189"/>
      <c r="BQ24" s="116"/>
      <c r="BR24" s="116"/>
      <c r="BS24" s="116">
        <v>0.0</v>
      </c>
      <c r="BT24" s="116"/>
      <c r="BU24" s="116"/>
      <c r="BV24" s="116"/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104</v>
      </c>
      <c r="D25" s="137">
        <v>15.0</v>
      </c>
      <c r="E25" s="138">
        <v>61.5</v>
      </c>
      <c r="F25" s="139">
        <v>20.5</v>
      </c>
      <c r="G25" s="140">
        <v>2.7666666666666666</v>
      </c>
      <c r="H25" s="139">
        <v>20.0</v>
      </c>
      <c r="I25" s="141">
        <v>40.0</v>
      </c>
      <c r="J25" s="142">
        <v>0.5</v>
      </c>
      <c r="K25" s="143">
        <v>1.0</v>
      </c>
      <c r="L25" s="144">
        <v>2.0</v>
      </c>
      <c r="M25" s="145">
        <v>8.0</v>
      </c>
      <c r="N25" s="145">
        <v>3.0</v>
      </c>
      <c r="O25" s="146">
        <v>2.0</v>
      </c>
      <c r="P25" s="147"/>
      <c r="Q25" s="148"/>
      <c r="R25" s="148"/>
      <c r="S25" s="149"/>
      <c r="T25" s="192">
        <v>21.0</v>
      </c>
      <c r="U25" s="193"/>
      <c r="V25" s="151"/>
      <c r="W25" s="151"/>
      <c r="X25" s="151"/>
      <c r="Y25" s="151"/>
      <c r="Z25" s="152"/>
      <c r="AA25" s="152"/>
      <c r="AB25" s="151"/>
      <c r="AC25" s="151"/>
      <c r="AD25" s="151"/>
      <c r="AE25" s="151"/>
      <c r="AF25" s="151">
        <v>15.75</v>
      </c>
      <c r="AG25" s="151"/>
      <c r="AH25" s="151">
        <v>24.75</v>
      </c>
      <c r="AI25" s="151">
        <v>0.0</v>
      </c>
      <c r="AJ25" s="151"/>
      <c r="AK25" s="152"/>
      <c r="AL25" s="152"/>
      <c r="AM25" s="151">
        <v>0.0</v>
      </c>
      <c r="AN25" s="151"/>
      <c r="AO25" s="151"/>
      <c r="AP25" s="151"/>
      <c r="AQ25" s="151">
        <v>0.0</v>
      </c>
      <c r="AR25" s="151"/>
      <c r="AS25" s="151"/>
      <c r="AT25" s="151"/>
      <c r="AU25" s="152"/>
      <c r="AV25" s="152"/>
      <c r="AW25" s="151"/>
      <c r="AX25" s="151"/>
      <c r="AY25" s="151"/>
      <c r="AZ25" s="153"/>
      <c r="BA25" s="153"/>
      <c r="BB25" s="153"/>
      <c r="BC25" s="153">
        <v>0.0</v>
      </c>
      <c r="BD25" s="153"/>
      <c r="BE25" s="141"/>
      <c r="BF25" s="141">
        <v>0.0</v>
      </c>
      <c r="BG25" s="141"/>
      <c r="BH25" s="141"/>
      <c r="BI25" s="141">
        <v>0.0</v>
      </c>
      <c r="BJ25" s="141"/>
      <c r="BK25" s="141">
        <v>0.0</v>
      </c>
      <c r="BL25" s="141"/>
      <c r="BM25" s="141"/>
      <c r="BN25" s="141"/>
      <c r="BO25" s="141"/>
      <c r="BP25" s="189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>
        <v>0.0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88</v>
      </c>
      <c r="D26" s="119">
        <v>25.0</v>
      </c>
      <c r="E26" s="120">
        <v>101.75</v>
      </c>
      <c r="F26" s="121">
        <v>20.35</v>
      </c>
      <c r="G26" s="122">
        <v>2.67</v>
      </c>
      <c r="H26" s="121">
        <v>35.0</v>
      </c>
      <c r="I26" s="123">
        <v>66.25</v>
      </c>
      <c r="J26" s="124">
        <v>0.0</v>
      </c>
      <c r="K26" s="125">
        <v>0.5</v>
      </c>
      <c r="L26" s="126">
        <v>1.0</v>
      </c>
      <c r="M26" s="127">
        <v>14.0</v>
      </c>
      <c r="N26" s="127">
        <v>3.0</v>
      </c>
      <c r="O26" s="128">
        <v>1.0</v>
      </c>
      <c r="P26" s="129"/>
      <c r="Q26" s="130"/>
      <c r="R26" s="130"/>
      <c r="S26" s="131"/>
      <c r="T26" s="190"/>
      <c r="U26" s="191"/>
      <c r="V26" s="133"/>
      <c r="W26" s="133"/>
      <c r="X26" s="134"/>
      <c r="Y26" s="133"/>
      <c r="Z26" s="133"/>
      <c r="AA26" s="133">
        <v>12.0</v>
      </c>
      <c r="AB26" s="133">
        <v>25.0</v>
      </c>
      <c r="AC26" s="134">
        <v>17.25</v>
      </c>
      <c r="AD26" s="133">
        <v>19.75</v>
      </c>
      <c r="AE26" s="133">
        <v>27.75</v>
      </c>
      <c r="AF26" s="133"/>
      <c r="AG26" s="133"/>
      <c r="AH26" s="134"/>
      <c r="AI26" s="133"/>
      <c r="AJ26" s="133"/>
      <c r="AK26" s="133"/>
      <c r="AL26" s="133"/>
      <c r="AM26" s="133"/>
      <c r="AN26" s="134"/>
      <c r="AO26" s="133"/>
      <c r="AP26" s="133"/>
      <c r="AQ26" s="133"/>
      <c r="AR26" s="134"/>
      <c r="AS26" s="133"/>
      <c r="AT26" s="133"/>
      <c r="AU26" s="133"/>
      <c r="AV26" s="133"/>
      <c r="AW26" s="133"/>
      <c r="AX26" s="133"/>
      <c r="AY26" s="133"/>
      <c r="AZ26" s="135">
        <v>0.0</v>
      </c>
      <c r="BA26" s="135">
        <v>0.0</v>
      </c>
      <c r="BB26" s="135">
        <v>0.0</v>
      </c>
      <c r="BC26" s="135">
        <v>0.0</v>
      </c>
      <c r="BD26" s="135">
        <v>0.0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89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110</v>
      </c>
      <c r="D27" s="137">
        <v>15.0</v>
      </c>
      <c r="E27" s="138">
        <v>61.0</v>
      </c>
      <c r="F27" s="139">
        <v>20.333333333333332</v>
      </c>
      <c r="G27" s="140">
        <v>2.7333333333333334</v>
      </c>
      <c r="H27" s="139">
        <v>20.0</v>
      </c>
      <c r="I27" s="141">
        <v>39.0</v>
      </c>
      <c r="J27" s="142">
        <v>0.5</v>
      </c>
      <c r="K27" s="143">
        <v>1.5</v>
      </c>
      <c r="L27" s="144">
        <v>2.0</v>
      </c>
      <c r="M27" s="145">
        <v>8.0</v>
      </c>
      <c r="N27" s="145">
        <v>1.0</v>
      </c>
      <c r="O27" s="146">
        <v>1.0</v>
      </c>
      <c r="P27" s="147"/>
      <c r="Q27" s="148"/>
      <c r="R27" s="148"/>
      <c r="S27" s="149"/>
      <c r="T27" s="192"/>
      <c r="U27" s="193">
        <v>25.25</v>
      </c>
      <c r="V27" s="151"/>
      <c r="W27" s="151"/>
      <c r="X27" s="151"/>
      <c r="Y27" s="151"/>
      <c r="Z27" s="152">
        <v>18.75</v>
      </c>
      <c r="AA27" s="152"/>
      <c r="AB27" s="151"/>
      <c r="AC27" s="151"/>
      <c r="AD27" s="151"/>
      <c r="AE27" s="151"/>
      <c r="AF27" s="151">
        <v>17.0</v>
      </c>
      <c r="AG27" s="151"/>
      <c r="AH27" s="151"/>
      <c r="AI27" s="151">
        <v>0.0</v>
      </c>
      <c r="AJ27" s="151"/>
      <c r="AK27" s="152"/>
      <c r="AL27" s="152"/>
      <c r="AM27" s="151"/>
      <c r="AN27" s="151"/>
      <c r="AO27" s="151"/>
      <c r="AP27" s="151">
        <v>0.0</v>
      </c>
      <c r="AQ27" s="151"/>
      <c r="AR27" s="151"/>
      <c r="AS27" s="151"/>
      <c r="AT27" s="151"/>
      <c r="AU27" s="152">
        <v>0.0</v>
      </c>
      <c r="AV27" s="152"/>
      <c r="AW27" s="151"/>
      <c r="AX27" s="151"/>
      <c r="AY27" s="151"/>
      <c r="AZ27" s="153"/>
      <c r="BA27" s="153"/>
      <c r="BB27" s="153"/>
      <c r="BC27" s="153">
        <v>0.0</v>
      </c>
      <c r="BD27" s="153"/>
      <c r="BE27" s="141">
        <v>0.0</v>
      </c>
      <c r="BF27" s="141"/>
      <c r="BG27" s="141"/>
      <c r="BH27" s="141"/>
      <c r="BI27" s="141"/>
      <c r="BJ27" s="141"/>
      <c r="BK27" s="141"/>
      <c r="BL27" s="141"/>
      <c r="BM27" s="141"/>
      <c r="BN27" s="141"/>
      <c r="BO27" s="141">
        <v>0.0</v>
      </c>
      <c r="BP27" s="189"/>
      <c r="BQ27" s="116"/>
      <c r="BR27" s="116"/>
      <c r="BS27" s="116"/>
      <c r="BT27" s="116"/>
      <c r="BU27" s="116"/>
      <c r="BV27" s="116"/>
      <c r="BW27" s="116"/>
      <c r="BX27" s="116">
        <v>0.0</v>
      </c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127</v>
      </c>
      <c r="D28" s="119">
        <v>10.0</v>
      </c>
      <c r="E28" s="120">
        <v>39.75</v>
      </c>
      <c r="F28" s="121">
        <v>19.875</v>
      </c>
      <c r="G28" s="122">
        <v>2.725</v>
      </c>
      <c r="H28" s="121">
        <v>12.5</v>
      </c>
      <c r="I28" s="123">
        <v>24.75</v>
      </c>
      <c r="J28" s="124">
        <v>0.5</v>
      </c>
      <c r="K28" s="125">
        <v>2.0</v>
      </c>
      <c r="L28" s="126">
        <v>3.0</v>
      </c>
      <c r="M28" s="127">
        <v>5.0</v>
      </c>
      <c r="N28" s="127">
        <v>1.0</v>
      </c>
      <c r="O28" s="128">
        <v>2.0</v>
      </c>
      <c r="P28" s="129"/>
      <c r="Q28" s="130"/>
      <c r="R28" s="130"/>
      <c r="S28" s="131"/>
      <c r="T28" s="190"/>
      <c r="U28" s="191">
        <v>21.0</v>
      </c>
      <c r="V28" s="133"/>
      <c r="W28" s="133"/>
      <c r="X28" s="134"/>
      <c r="Y28" s="133"/>
      <c r="Z28" s="133"/>
      <c r="AA28" s="133"/>
      <c r="AB28" s="133">
        <v>18.75</v>
      </c>
      <c r="AC28" s="134"/>
      <c r="AD28" s="133"/>
      <c r="AE28" s="133"/>
      <c r="AF28" s="133"/>
      <c r="AG28" s="133"/>
      <c r="AH28" s="134"/>
      <c r="AI28" s="133"/>
      <c r="AJ28" s="133"/>
      <c r="AK28" s="133"/>
      <c r="AL28" s="133"/>
      <c r="AM28" s="133">
        <v>0.0</v>
      </c>
      <c r="AN28" s="134"/>
      <c r="AO28" s="133"/>
      <c r="AP28" s="133"/>
      <c r="AQ28" s="133"/>
      <c r="AR28" s="134"/>
      <c r="AS28" s="133"/>
      <c r="AT28" s="133">
        <v>0.0</v>
      </c>
      <c r="AU28" s="133"/>
      <c r="AV28" s="133"/>
      <c r="AW28" s="133"/>
      <c r="AX28" s="133">
        <v>0.0</v>
      </c>
      <c r="AY28" s="133"/>
      <c r="AZ28" s="135"/>
      <c r="BA28" s="135"/>
      <c r="BB28" s="135"/>
      <c r="BC28" s="135"/>
      <c r="BD28" s="135"/>
      <c r="BE28" s="123">
        <v>0.0</v>
      </c>
      <c r="BF28" s="123"/>
      <c r="BG28" s="123"/>
      <c r="BH28" s="123"/>
      <c r="BI28" s="123"/>
      <c r="BJ28" s="123"/>
      <c r="BK28" s="123">
        <v>0.0</v>
      </c>
      <c r="BL28" s="123"/>
      <c r="BM28" s="123"/>
      <c r="BN28" s="123"/>
      <c r="BO28" s="123"/>
      <c r="BP28" s="189">
        <v>0.0</v>
      </c>
      <c r="BQ28" s="116"/>
      <c r="BR28" s="116"/>
      <c r="BS28" s="116">
        <v>0.0</v>
      </c>
      <c r="BT28" s="116"/>
      <c r="BU28" s="116"/>
      <c r="BV28" s="116"/>
      <c r="BW28" s="116"/>
      <c r="BX28" s="116"/>
      <c r="BY28" s="116"/>
      <c r="BZ28" s="116">
        <v>0.0</v>
      </c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132</v>
      </c>
      <c r="D29" s="137">
        <v>15.0</v>
      </c>
      <c r="E29" s="138">
        <v>58.75</v>
      </c>
      <c r="F29" s="139">
        <v>19.583333333333332</v>
      </c>
      <c r="G29" s="140">
        <v>2.9166666666666665</v>
      </c>
      <c r="H29" s="139">
        <v>15.0</v>
      </c>
      <c r="I29" s="141">
        <v>43.25</v>
      </c>
      <c r="J29" s="142">
        <v>0.0</v>
      </c>
      <c r="K29" s="143">
        <v>0.5</v>
      </c>
      <c r="L29" s="144">
        <v>1.0</v>
      </c>
      <c r="M29" s="145">
        <v>6.0</v>
      </c>
      <c r="N29" s="145">
        <v>1.0</v>
      </c>
      <c r="O29" s="146">
        <v>2.0</v>
      </c>
      <c r="P29" s="147"/>
      <c r="Q29" s="148"/>
      <c r="R29" s="148"/>
      <c r="S29" s="149"/>
      <c r="T29" s="192"/>
      <c r="U29" s="193"/>
      <c r="V29" s="151">
        <v>22.25</v>
      </c>
      <c r="W29" s="151"/>
      <c r="X29" s="151"/>
      <c r="Y29" s="151"/>
      <c r="Z29" s="152"/>
      <c r="AA29" s="152"/>
      <c r="AB29" s="151">
        <v>16.0</v>
      </c>
      <c r="AC29" s="151"/>
      <c r="AD29" s="151"/>
      <c r="AE29" s="151"/>
      <c r="AF29" s="151">
        <v>20.5</v>
      </c>
      <c r="AG29" s="151"/>
      <c r="AH29" s="151"/>
      <c r="AI29" s="151"/>
      <c r="AJ29" s="151"/>
      <c r="AK29" s="152"/>
      <c r="AL29" s="152"/>
      <c r="AM29" s="151"/>
      <c r="AN29" s="151"/>
      <c r="AO29" s="151"/>
      <c r="AP29" s="151"/>
      <c r="AQ29" s="151"/>
      <c r="AR29" s="151"/>
      <c r="AS29" s="151"/>
      <c r="AT29" s="151"/>
      <c r="AU29" s="152"/>
      <c r="AV29" s="152"/>
      <c r="AW29" s="151"/>
      <c r="AX29" s="151"/>
      <c r="AY29" s="151"/>
      <c r="AZ29" s="153">
        <v>0.0</v>
      </c>
      <c r="BA29" s="153"/>
      <c r="BB29" s="153">
        <v>0.0</v>
      </c>
      <c r="BC29" s="153"/>
      <c r="BD29" s="153">
        <v>0.0</v>
      </c>
      <c r="BE29" s="141">
        <v>0.0</v>
      </c>
      <c r="BF29" s="141"/>
      <c r="BG29" s="141">
        <v>0.0</v>
      </c>
      <c r="BH29" s="141"/>
      <c r="BI29" s="141">
        <v>0.0</v>
      </c>
      <c r="BJ29" s="141"/>
      <c r="BK29" s="141"/>
      <c r="BL29" s="141"/>
      <c r="BM29" s="141"/>
      <c r="BN29" s="141"/>
      <c r="BO29" s="141"/>
      <c r="BP29" s="189"/>
      <c r="BQ29" s="116"/>
      <c r="BR29" s="116"/>
      <c r="BS29" s="116">
        <v>0.0</v>
      </c>
      <c r="BT29" s="116"/>
      <c r="BU29" s="116"/>
      <c r="BV29" s="116"/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96</v>
      </c>
      <c r="D30" s="119">
        <v>15.0</v>
      </c>
      <c r="E30" s="120">
        <v>58.25</v>
      </c>
      <c r="F30" s="121">
        <v>19.416666666666668</v>
      </c>
      <c r="G30" s="122">
        <v>2.3833333333333333</v>
      </c>
      <c r="H30" s="121">
        <v>22.5</v>
      </c>
      <c r="I30" s="123">
        <v>35.25</v>
      </c>
      <c r="J30" s="124">
        <v>0.0</v>
      </c>
      <c r="K30" s="125">
        <v>0.5</v>
      </c>
      <c r="L30" s="126">
        <v>1.0</v>
      </c>
      <c r="M30" s="127">
        <v>9.0</v>
      </c>
      <c r="N30" s="127">
        <v>1.0</v>
      </c>
      <c r="O30" s="128">
        <v>0.0</v>
      </c>
      <c r="P30" s="129"/>
      <c r="Q30" s="130"/>
      <c r="R30" s="130"/>
      <c r="S30" s="131"/>
      <c r="T30" s="190"/>
      <c r="U30" s="191"/>
      <c r="V30" s="133"/>
      <c r="W30" s="133">
        <v>22.5</v>
      </c>
      <c r="X30" s="134"/>
      <c r="Y30" s="133"/>
      <c r="Z30" s="133"/>
      <c r="AA30" s="133">
        <v>13.25</v>
      </c>
      <c r="AB30" s="133"/>
      <c r="AC30" s="134"/>
      <c r="AD30" s="133">
        <v>22.5</v>
      </c>
      <c r="AE30" s="133"/>
      <c r="AF30" s="133"/>
      <c r="AG30" s="133"/>
      <c r="AH30" s="134"/>
      <c r="AI30" s="133">
        <v>0.0</v>
      </c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/>
      <c r="BB30" s="135"/>
      <c r="BC30" s="135"/>
      <c r="BD30" s="135">
        <v>0.0</v>
      </c>
      <c r="BE30" s="123"/>
      <c r="BF30" s="123"/>
      <c r="BG30" s="123"/>
      <c r="BH30" s="123"/>
      <c r="BI30" s="123"/>
      <c r="BJ30" s="123">
        <v>0.0</v>
      </c>
      <c r="BK30" s="123"/>
      <c r="BL30" s="123"/>
      <c r="BM30" s="123"/>
      <c r="BN30" s="123">
        <v>0.0</v>
      </c>
      <c r="BO30" s="123"/>
      <c r="BP30" s="189"/>
      <c r="BQ30" s="116"/>
      <c r="BR30" s="116"/>
      <c r="BS30" s="116"/>
      <c r="BT30" s="116">
        <v>0.0</v>
      </c>
      <c r="BU30" s="116"/>
      <c r="BV30" s="116"/>
      <c r="BW30" s="116"/>
      <c r="BX30" s="116"/>
      <c r="BY30" s="116"/>
      <c r="BZ30" s="116"/>
      <c r="CA30" s="116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128</v>
      </c>
      <c r="D31" s="137">
        <v>15.0</v>
      </c>
      <c r="E31" s="138">
        <v>57.75</v>
      </c>
      <c r="F31" s="139">
        <v>19.25</v>
      </c>
      <c r="G31" s="140">
        <v>2.5166666666666666</v>
      </c>
      <c r="H31" s="139">
        <v>20.0</v>
      </c>
      <c r="I31" s="141">
        <v>36.75</v>
      </c>
      <c r="J31" s="142">
        <v>0.5</v>
      </c>
      <c r="K31" s="143">
        <v>0.5</v>
      </c>
      <c r="L31" s="144">
        <v>1.0</v>
      </c>
      <c r="M31" s="145">
        <v>8.0</v>
      </c>
      <c r="N31" s="145">
        <v>0.0</v>
      </c>
      <c r="O31" s="146">
        <v>3.0</v>
      </c>
      <c r="P31" s="147"/>
      <c r="Q31" s="148"/>
      <c r="R31" s="148"/>
      <c r="S31" s="149"/>
      <c r="T31" s="192"/>
      <c r="U31" s="193"/>
      <c r="V31" s="151"/>
      <c r="W31" s="151"/>
      <c r="X31" s="151"/>
      <c r="Y31" s="151"/>
      <c r="Z31" s="152">
        <v>20.75</v>
      </c>
      <c r="AA31" s="152"/>
      <c r="AB31" s="151"/>
      <c r="AC31" s="151"/>
      <c r="AD31" s="151">
        <v>17.5</v>
      </c>
      <c r="AE31" s="151"/>
      <c r="AF31" s="151"/>
      <c r="AG31" s="151">
        <v>19.5</v>
      </c>
      <c r="AH31" s="151"/>
      <c r="AI31" s="151"/>
      <c r="AJ31" s="151"/>
      <c r="AK31" s="152"/>
      <c r="AL31" s="152">
        <v>0.0</v>
      </c>
      <c r="AM31" s="151"/>
      <c r="AN31" s="151"/>
      <c r="AO31" s="151"/>
      <c r="AP31" s="151"/>
      <c r="AQ31" s="151">
        <v>0.0</v>
      </c>
      <c r="AR31" s="151"/>
      <c r="AS31" s="151"/>
      <c r="AT31" s="151"/>
      <c r="AU31" s="152"/>
      <c r="AV31" s="152"/>
      <c r="AW31" s="151"/>
      <c r="AX31" s="151">
        <v>0.0</v>
      </c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>
        <v>0.0</v>
      </c>
      <c r="BJ31" s="141"/>
      <c r="BK31" s="141"/>
      <c r="BL31" s="141"/>
      <c r="BM31" s="141"/>
      <c r="BN31" s="141"/>
      <c r="BO31" s="141"/>
      <c r="BP31" s="189">
        <v>0.0</v>
      </c>
      <c r="BQ31" s="116"/>
      <c r="BR31" s="116"/>
      <c r="BS31" s="116">
        <v>0.0</v>
      </c>
      <c r="BT31" s="116"/>
      <c r="BU31" s="116">
        <v>0.0</v>
      </c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98</v>
      </c>
      <c r="D32" s="119">
        <v>15.0</v>
      </c>
      <c r="E32" s="120">
        <v>57.5</v>
      </c>
      <c r="F32" s="121">
        <v>19.166666666666668</v>
      </c>
      <c r="G32" s="122">
        <v>2.8333333333333335</v>
      </c>
      <c r="H32" s="121">
        <v>15.0</v>
      </c>
      <c r="I32" s="123">
        <v>41.0</v>
      </c>
      <c r="J32" s="124">
        <v>0.5</v>
      </c>
      <c r="K32" s="125">
        <v>1.0</v>
      </c>
      <c r="L32" s="126">
        <v>2.0</v>
      </c>
      <c r="M32" s="127">
        <v>6.0</v>
      </c>
      <c r="N32" s="127">
        <v>3.0</v>
      </c>
      <c r="O32" s="128">
        <v>2.0</v>
      </c>
      <c r="P32" s="129"/>
      <c r="Q32" s="130"/>
      <c r="R32" s="130"/>
      <c r="S32" s="131"/>
      <c r="T32" s="190"/>
      <c r="U32" s="191">
        <v>21.5</v>
      </c>
      <c r="V32" s="133"/>
      <c r="W32" s="133"/>
      <c r="X32" s="134"/>
      <c r="Y32" s="133"/>
      <c r="Z32" s="133"/>
      <c r="AA32" s="133">
        <v>13.75</v>
      </c>
      <c r="AB32" s="133"/>
      <c r="AC32" s="134"/>
      <c r="AD32" s="133"/>
      <c r="AE32" s="133"/>
      <c r="AF32" s="133">
        <v>22.25</v>
      </c>
      <c r="AG32" s="133"/>
      <c r="AH32" s="134"/>
      <c r="AI32" s="133"/>
      <c r="AJ32" s="133">
        <v>0.0</v>
      </c>
      <c r="AK32" s="133"/>
      <c r="AL32" s="133"/>
      <c r="AM32" s="133"/>
      <c r="AN32" s="134"/>
      <c r="AO32" s="133"/>
      <c r="AP32" s="133">
        <v>0.0</v>
      </c>
      <c r="AQ32" s="133"/>
      <c r="AR32" s="134"/>
      <c r="AS32" s="133">
        <v>0.0</v>
      </c>
      <c r="AT32" s="133"/>
      <c r="AU32" s="133"/>
      <c r="AV32" s="133"/>
      <c r="AW32" s="133"/>
      <c r="AX32" s="133"/>
      <c r="AY32" s="133"/>
      <c r="AZ32" s="135"/>
      <c r="BA32" s="135">
        <v>0.0</v>
      </c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89"/>
      <c r="BQ32" s="116"/>
      <c r="BR32" s="116">
        <v>0.0</v>
      </c>
      <c r="BS32" s="116"/>
      <c r="BT32" s="116"/>
      <c r="BU32" s="116"/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106</v>
      </c>
      <c r="D33" s="137">
        <v>15.0</v>
      </c>
      <c r="E33" s="138">
        <v>57.5</v>
      </c>
      <c r="F33" s="139">
        <v>19.166666666666668</v>
      </c>
      <c r="G33" s="140">
        <v>2.6666666666666665</v>
      </c>
      <c r="H33" s="139">
        <v>17.5</v>
      </c>
      <c r="I33" s="141">
        <v>39.5</v>
      </c>
      <c r="J33" s="142">
        <v>0.0</v>
      </c>
      <c r="K33" s="143">
        <v>0.5</v>
      </c>
      <c r="L33" s="144">
        <v>1.0</v>
      </c>
      <c r="M33" s="145">
        <v>7.0</v>
      </c>
      <c r="N33" s="145">
        <v>2.0</v>
      </c>
      <c r="O33" s="146">
        <v>0.0</v>
      </c>
      <c r="P33" s="147"/>
      <c r="Q33" s="148"/>
      <c r="R33" s="148"/>
      <c r="S33" s="149"/>
      <c r="T33" s="192">
        <v>20.0</v>
      </c>
      <c r="U33" s="193"/>
      <c r="V33" s="151"/>
      <c r="W33" s="151"/>
      <c r="X33" s="151">
        <v>19.25</v>
      </c>
      <c r="Y33" s="151"/>
      <c r="Z33" s="152"/>
      <c r="AA33" s="152"/>
      <c r="AB33" s="151"/>
      <c r="AC33" s="151"/>
      <c r="AD33" s="151">
        <v>18.25</v>
      </c>
      <c r="AE33" s="151"/>
      <c r="AF33" s="151"/>
      <c r="AG33" s="151"/>
      <c r="AH33" s="151"/>
      <c r="AI33" s="151"/>
      <c r="AJ33" s="151"/>
      <c r="AK33" s="152"/>
      <c r="AL33" s="152"/>
      <c r="AM33" s="151"/>
      <c r="AN33" s="151">
        <v>0.0</v>
      </c>
      <c r="AO33" s="151"/>
      <c r="AP33" s="151"/>
      <c r="AQ33" s="151">
        <v>0.0</v>
      </c>
      <c r="AR33" s="151"/>
      <c r="AS33" s="151"/>
      <c r="AT33" s="151"/>
      <c r="AU33" s="152"/>
      <c r="AV33" s="152"/>
      <c r="AW33" s="151"/>
      <c r="AX33" s="151">
        <v>0.0</v>
      </c>
      <c r="AY33" s="151"/>
      <c r="AZ33" s="153"/>
      <c r="BA33" s="153"/>
      <c r="BB33" s="153"/>
      <c r="BC33" s="153">
        <v>0.0</v>
      </c>
      <c r="BD33" s="153"/>
      <c r="BE33" s="141"/>
      <c r="BF33" s="141"/>
      <c r="BG33" s="141"/>
      <c r="BH33" s="141"/>
      <c r="BI33" s="141"/>
      <c r="BJ33" s="141"/>
      <c r="BK33" s="141"/>
      <c r="BL33" s="141"/>
      <c r="BM33" s="141">
        <v>0.0</v>
      </c>
      <c r="BN33" s="141"/>
      <c r="BO33" s="141"/>
      <c r="BP33" s="189"/>
      <c r="BQ33" s="116">
        <v>0.0</v>
      </c>
      <c r="BR33" s="116"/>
      <c r="BS33" s="116"/>
      <c r="BT33" s="116"/>
      <c r="BU33" s="116"/>
      <c r="BV33" s="116">
        <v>0.0</v>
      </c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129</v>
      </c>
      <c r="D34" s="119">
        <v>15.0</v>
      </c>
      <c r="E34" s="120">
        <v>57.5</v>
      </c>
      <c r="F34" s="121">
        <v>19.166666666666668</v>
      </c>
      <c r="G34" s="122">
        <v>2.6666666666666665</v>
      </c>
      <c r="H34" s="121">
        <v>17.5</v>
      </c>
      <c r="I34" s="123">
        <v>39.5</v>
      </c>
      <c r="J34" s="124">
        <v>0.0</v>
      </c>
      <c r="K34" s="125">
        <v>0.5</v>
      </c>
      <c r="L34" s="126">
        <v>1.0</v>
      </c>
      <c r="M34" s="127">
        <v>7.0</v>
      </c>
      <c r="N34" s="127">
        <v>0.0</v>
      </c>
      <c r="O34" s="128">
        <v>4.0</v>
      </c>
      <c r="P34" s="129"/>
      <c r="Q34" s="130"/>
      <c r="R34" s="130"/>
      <c r="S34" s="131"/>
      <c r="T34" s="190"/>
      <c r="U34" s="191"/>
      <c r="V34" s="133"/>
      <c r="W34" s="133"/>
      <c r="X34" s="134"/>
      <c r="Y34" s="133"/>
      <c r="Z34" s="133"/>
      <c r="AA34" s="133"/>
      <c r="AB34" s="133">
        <v>25.25</v>
      </c>
      <c r="AC34" s="134">
        <v>18.25</v>
      </c>
      <c r="AD34" s="133"/>
      <c r="AE34" s="133"/>
      <c r="AF34" s="133">
        <v>14.0</v>
      </c>
      <c r="AG34" s="133"/>
      <c r="AH34" s="134"/>
      <c r="AI34" s="133"/>
      <c r="AJ34" s="133"/>
      <c r="AK34" s="133"/>
      <c r="AL34" s="133"/>
      <c r="AM34" s="133"/>
      <c r="AN34" s="134"/>
      <c r="AO34" s="133">
        <v>0.0</v>
      </c>
      <c r="AP34" s="133"/>
      <c r="AQ34" s="133"/>
      <c r="AR34" s="134"/>
      <c r="AS34" s="133"/>
      <c r="AT34" s="133">
        <v>0.0</v>
      </c>
      <c r="AU34" s="133"/>
      <c r="AV34" s="133">
        <v>0.0</v>
      </c>
      <c r="AW34" s="133"/>
      <c r="AX34" s="133"/>
      <c r="AY34" s="133"/>
      <c r="AZ34" s="135"/>
      <c r="BA34" s="135"/>
      <c r="BB34" s="135">
        <v>0.0</v>
      </c>
      <c r="BC34" s="135"/>
      <c r="BD34" s="135"/>
      <c r="BE34" s="123"/>
      <c r="BF34" s="123"/>
      <c r="BG34" s="123"/>
      <c r="BH34" s="123"/>
      <c r="BI34" s="123"/>
      <c r="BJ34" s="123"/>
      <c r="BK34" s="123">
        <v>0.0</v>
      </c>
      <c r="BL34" s="123"/>
      <c r="BM34" s="123"/>
      <c r="BN34" s="123"/>
      <c r="BO34" s="123"/>
      <c r="BP34" s="189"/>
      <c r="BQ34" s="116"/>
      <c r="BR34" s="116"/>
      <c r="BS34" s="116">
        <v>0.0</v>
      </c>
      <c r="BT34" s="116"/>
      <c r="BU34" s="116"/>
      <c r="BV34" s="116"/>
      <c r="BW34" s="116"/>
      <c r="BX34" s="116"/>
      <c r="BY34" s="116">
        <v>0.0</v>
      </c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99</v>
      </c>
      <c r="D35" s="137">
        <v>10.0</v>
      </c>
      <c r="E35" s="138">
        <v>38.25</v>
      </c>
      <c r="F35" s="139">
        <v>19.125</v>
      </c>
      <c r="G35" s="140">
        <v>2.825</v>
      </c>
      <c r="H35" s="139">
        <v>10.0</v>
      </c>
      <c r="I35" s="141">
        <v>28.25</v>
      </c>
      <c r="J35" s="142">
        <v>0.0</v>
      </c>
      <c r="K35" s="143">
        <v>0.0</v>
      </c>
      <c r="L35" s="144">
        <v>0.0</v>
      </c>
      <c r="M35" s="145">
        <v>4.0</v>
      </c>
      <c r="N35" s="145">
        <v>1.0</v>
      </c>
      <c r="O35" s="146">
        <v>2.0</v>
      </c>
      <c r="P35" s="147"/>
      <c r="Q35" s="148"/>
      <c r="R35" s="148"/>
      <c r="S35" s="149"/>
      <c r="T35" s="192"/>
      <c r="U35" s="193"/>
      <c r="V35" s="151"/>
      <c r="W35" s="151"/>
      <c r="X35" s="151"/>
      <c r="Y35" s="151"/>
      <c r="Z35" s="152"/>
      <c r="AA35" s="152">
        <v>15.25</v>
      </c>
      <c r="AB35" s="151"/>
      <c r="AC35" s="151"/>
      <c r="AD35" s="151"/>
      <c r="AE35" s="151"/>
      <c r="AF35" s="151"/>
      <c r="AG35" s="151">
        <v>23.0</v>
      </c>
      <c r="AH35" s="151"/>
      <c r="AI35" s="151">
        <v>0.0</v>
      </c>
      <c r="AJ35" s="151"/>
      <c r="AK35" s="152"/>
      <c r="AL35" s="152"/>
      <c r="AM35" s="151"/>
      <c r="AN35" s="151"/>
      <c r="AO35" s="151"/>
      <c r="AP35" s="151">
        <v>0.0</v>
      </c>
      <c r="AQ35" s="151"/>
      <c r="AR35" s="151"/>
      <c r="AS35" s="151"/>
      <c r="AT35" s="151"/>
      <c r="AU35" s="152"/>
      <c r="AV35" s="152"/>
      <c r="AW35" s="151"/>
      <c r="AX35" s="151"/>
      <c r="AY35" s="151"/>
      <c r="AZ35" s="153">
        <v>0.0</v>
      </c>
      <c r="BA35" s="153"/>
      <c r="BB35" s="153"/>
      <c r="BC35" s="153">
        <v>0.0</v>
      </c>
      <c r="BD35" s="153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89">
        <v>0.0</v>
      </c>
      <c r="BQ35" s="116"/>
      <c r="BR35" s="116"/>
      <c r="BS35" s="116">
        <v>0.0</v>
      </c>
      <c r="BT35" s="116"/>
      <c r="BU35" s="116"/>
      <c r="BV35" s="116"/>
      <c r="BW35" s="116"/>
      <c r="BX35" s="116"/>
      <c r="BY35" s="116">
        <v>0.0</v>
      </c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118</v>
      </c>
      <c r="D36" s="119">
        <v>30.0</v>
      </c>
      <c r="E36" s="120">
        <v>114.75</v>
      </c>
      <c r="F36" s="121">
        <v>19.125</v>
      </c>
      <c r="G36" s="122">
        <v>2.658333333333333</v>
      </c>
      <c r="H36" s="121">
        <v>35.0</v>
      </c>
      <c r="I36" s="123">
        <v>79.25</v>
      </c>
      <c r="J36" s="124">
        <v>0.0</v>
      </c>
      <c r="K36" s="125">
        <v>0.5</v>
      </c>
      <c r="L36" s="126">
        <v>1.0</v>
      </c>
      <c r="M36" s="127">
        <v>14.0</v>
      </c>
      <c r="N36" s="127">
        <v>3.0</v>
      </c>
      <c r="O36" s="128">
        <v>2.0</v>
      </c>
      <c r="P36" s="129"/>
      <c r="Q36" s="130"/>
      <c r="R36" s="130"/>
      <c r="S36" s="131"/>
      <c r="T36" s="190">
        <v>15.75</v>
      </c>
      <c r="U36" s="191"/>
      <c r="V36" s="133">
        <v>17.5</v>
      </c>
      <c r="W36" s="133"/>
      <c r="X36" s="134"/>
      <c r="Y36" s="133"/>
      <c r="Z36" s="133">
        <v>19.75</v>
      </c>
      <c r="AA36" s="133"/>
      <c r="AB36" s="133"/>
      <c r="AC36" s="134">
        <v>23.5</v>
      </c>
      <c r="AD36" s="133"/>
      <c r="AE36" s="133">
        <v>19.25</v>
      </c>
      <c r="AF36" s="133"/>
      <c r="AG36" s="133">
        <v>19.0</v>
      </c>
      <c r="AH36" s="134"/>
      <c r="AI36" s="133"/>
      <c r="AJ36" s="133">
        <v>0.0</v>
      </c>
      <c r="AK36" s="133"/>
      <c r="AL36" s="133"/>
      <c r="AM36" s="133">
        <v>0.0</v>
      </c>
      <c r="AN36" s="134"/>
      <c r="AO36" s="133">
        <v>0.0</v>
      </c>
      <c r="AP36" s="133"/>
      <c r="AQ36" s="133"/>
      <c r="AR36" s="134"/>
      <c r="AS36" s="133"/>
      <c r="AT36" s="133"/>
      <c r="AU36" s="133"/>
      <c r="AV36" s="133"/>
      <c r="AW36" s="133"/>
      <c r="AX36" s="133"/>
      <c r="AY36" s="133"/>
      <c r="AZ36" s="135"/>
      <c r="BA36" s="135"/>
      <c r="BB36" s="135"/>
      <c r="BC36" s="135"/>
      <c r="BD36" s="135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89"/>
      <c r="BQ36" s="116"/>
      <c r="BR36" s="116"/>
      <c r="BS36" s="116"/>
      <c r="BT36" s="116"/>
      <c r="BU36" s="116"/>
      <c r="BV36" s="116"/>
      <c r="BW36" s="116"/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111</v>
      </c>
      <c r="D37" s="137">
        <v>15.0</v>
      </c>
      <c r="E37" s="138">
        <v>57.25</v>
      </c>
      <c r="F37" s="139">
        <v>19.083333333333336</v>
      </c>
      <c r="G37" s="140">
        <v>2.65</v>
      </c>
      <c r="H37" s="139">
        <v>17.5</v>
      </c>
      <c r="I37" s="141">
        <v>39.25</v>
      </c>
      <c r="J37" s="142">
        <v>0.0</v>
      </c>
      <c r="K37" s="143">
        <v>0.5</v>
      </c>
      <c r="L37" s="144">
        <v>1.0</v>
      </c>
      <c r="M37" s="145">
        <v>7.0</v>
      </c>
      <c r="N37" s="145">
        <v>2.0</v>
      </c>
      <c r="O37" s="146">
        <v>3.0</v>
      </c>
      <c r="P37" s="147"/>
      <c r="Q37" s="148"/>
      <c r="R37" s="148"/>
      <c r="S37" s="149"/>
      <c r="T37" s="192"/>
      <c r="U37" s="193"/>
      <c r="V37" s="151"/>
      <c r="W37" s="151"/>
      <c r="X37" s="151"/>
      <c r="Y37" s="151"/>
      <c r="Z37" s="152"/>
      <c r="AA37" s="152"/>
      <c r="AB37" s="151"/>
      <c r="AC37" s="151"/>
      <c r="AD37" s="151"/>
      <c r="AE37" s="151"/>
      <c r="AF37" s="151">
        <v>13.0</v>
      </c>
      <c r="AG37" s="151">
        <v>18.75</v>
      </c>
      <c r="AH37" s="151">
        <v>25.5</v>
      </c>
      <c r="AI37" s="151">
        <v>0.0</v>
      </c>
      <c r="AJ37" s="151">
        <v>0.0</v>
      </c>
      <c r="AK37" s="152"/>
      <c r="AL37" s="152"/>
      <c r="AM37" s="151"/>
      <c r="AN37" s="151"/>
      <c r="AO37" s="151"/>
      <c r="AP37" s="151"/>
      <c r="AQ37" s="151"/>
      <c r="AR37" s="151"/>
      <c r="AS37" s="151"/>
      <c r="AT37" s="151"/>
      <c r="AU37" s="152"/>
      <c r="AV37" s="152"/>
      <c r="AW37" s="151"/>
      <c r="AX37" s="151"/>
      <c r="AY37" s="151"/>
      <c r="AZ37" s="153"/>
      <c r="BA37" s="153"/>
      <c r="BB37" s="153"/>
      <c r="BC37" s="153"/>
      <c r="BD37" s="153"/>
      <c r="BE37" s="141"/>
      <c r="BF37" s="141"/>
      <c r="BG37" s="141"/>
      <c r="BH37" s="141"/>
      <c r="BI37" s="141">
        <v>0.0</v>
      </c>
      <c r="BJ37" s="141">
        <v>0.0</v>
      </c>
      <c r="BK37" s="141">
        <v>0.0</v>
      </c>
      <c r="BL37" s="141">
        <v>0.0</v>
      </c>
      <c r="BM37" s="141">
        <v>0.0</v>
      </c>
      <c r="BN37" s="141"/>
      <c r="BO37" s="141"/>
      <c r="BP37" s="189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126</v>
      </c>
      <c r="D38" s="119">
        <v>15.0</v>
      </c>
      <c r="E38" s="120">
        <v>57.0</v>
      </c>
      <c r="F38" s="121">
        <v>19.0</v>
      </c>
      <c r="G38" s="122">
        <v>2.6333333333333333</v>
      </c>
      <c r="H38" s="121">
        <v>17.5</v>
      </c>
      <c r="I38" s="123">
        <v>39.5</v>
      </c>
      <c r="J38" s="124">
        <v>0.0</v>
      </c>
      <c r="K38" s="125">
        <v>0.0</v>
      </c>
      <c r="L38" s="126">
        <v>0.0</v>
      </c>
      <c r="M38" s="127">
        <v>7.0</v>
      </c>
      <c r="N38" s="127">
        <v>2.0</v>
      </c>
      <c r="O38" s="128">
        <v>3.0</v>
      </c>
      <c r="P38" s="129"/>
      <c r="Q38" s="130"/>
      <c r="R38" s="130"/>
      <c r="S38" s="131"/>
      <c r="T38" s="190"/>
      <c r="U38" s="191"/>
      <c r="V38" s="133">
        <v>18.5</v>
      </c>
      <c r="W38" s="133"/>
      <c r="X38" s="134"/>
      <c r="Y38" s="133"/>
      <c r="Z38" s="133"/>
      <c r="AA38" s="133"/>
      <c r="AB38" s="133">
        <v>20.5</v>
      </c>
      <c r="AC38" s="134"/>
      <c r="AD38" s="133"/>
      <c r="AE38" s="133">
        <v>18.0</v>
      </c>
      <c r="AF38" s="133"/>
      <c r="AG38" s="133"/>
      <c r="AH38" s="134"/>
      <c r="AI38" s="133"/>
      <c r="AJ38" s="133"/>
      <c r="AK38" s="133">
        <v>0.0</v>
      </c>
      <c r="AL38" s="133"/>
      <c r="AM38" s="133"/>
      <c r="AN38" s="134"/>
      <c r="AO38" s="133"/>
      <c r="AP38" s="133"/>
      <c r="AQ38" s="133"/>
      <c r="AR38" s="134"/>
      <c r="AS38" s="133">
        <v>0.0</v>
      </c>
      <c r="AT38" s="133"/>
      <c r="AU38" s="133"/>
      <c r="AV38" s="133"/>
      <c r="AW38" s="133"/>
      <c r="AX38" s="133"/>
      <c r="AY38" s="133">
        <v>0.0</v>
      </c>
      <c r="AZ38" s="135"/>
      <c r="BA38" s="135"/>
      <c r="BB38" s="135"/>
      <c r="BC38" s="135"/>
      <c r="BD38" s="135"/>
      <c r="BE38" s="123"/>
      <c r="BF38" s="123"/>
      <c r="BG38" s="123"/>
      <c r="BH38" s="123">
        <v>0.0</v>
      </c>
      <c r="BI38" s="123"/>
      <c r="BJ38" s="123"/>
      <c r="BK38" s="123"/>
      <c r="BL38" s="123"/>
      <c r="BM38" s="123"/>
      <c r="BN38" s="123"/>
      <c r="BO38" s="123"/>
      <c r="BP38" s="189">
        <v>0.0</v>
      </c>
      <c r="BQ38" s="116"/>
      <c r="BR38" s="116">
        <v>0.0</v>
      </c>
      <c r="BS38" s="116"/>
      <c r="BT38" s="116"/>
      <c r="BU38" s="116"/>
      <c r="BV38" s="116"/>
      <c r="BW38" s="116">
        <v>0.0</v>
      </c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101</v>
      </c>
      <c r="D39" s="137">
        <v>20.0</v>
      </c>
      <c r="E39" s="138">
        <v>75.25</v>
      </c>
      <c r="F39" s="139">
        <v>18.8125</v>
      </c>
      <c r="G39" s="140">
        <v>2.5125</v>
      </c>
      <c r="H39" s="139">
        <v>25.0</v>
      </c>
      <c r="I39" s="141">
        <v>49.25</v>
      </c>
      <c r="J39" s="142">
        <v>0.0</v>
      </c>
      <c r="K39" s="143">
        <v>1.0</v>
      </c>
      <c r="L39" s="144">
        <v>2.0</v>
      </c>
      <c r="M39" s="145">
        <v>10.0</v>
      </c>
      <c r="N39" s="145">
        <v>0.0</v>
      </c>
      <c r="O39" s="146">
        <v>2.0</v>
      </c>
      <c r="P39" s="147"/>
      <c r="Q39" s="148"/>
      <c r="R39" s="148"/>
      <c r="S39" s="149"/>
      <c r="T39" s="192">
        <v>17.0</v>
      </c>
      <c r="U39" s="193"/>
      <c r="V39" s="151"/>
      <c r="W39" s="151"/>
      <c r="X39" s="151"/>
      <c r="Y39" s="151">
        <v>21.0</v>
      </c>
      <c r="Z39" s="152"/>
      <c r="AA39" s="152"/>
      <c r="AB39" s="151"/>
      <c r="AC39" s="151"/>
      <c r="AD39" s="151"/>
      <c r="AE39" s="151"/>
      <c r="AF39" s="151">
        <v>20.5</v>
      </c>
      <c r="AG39" s="151"/>
      <c r="AH39" s="151">
        <v>16.75</v>
      </c>
      <c r="AI39" s="151"/>
      <c r="AJ39" s="151"/>
      <c r="AK39" s="152"/>
      <c r="AL39" s="152"/>
      <c r="AM39" s="151"/>
      <c r="AN39" s="151">
        <v>0.0</v>
      </c>
      <c r="AO39" s="151"/>
      <c r="AP39" s="151"/>
      <c r="AQ39" s="151">
        <v>0.0</v>
      </c>
      <c r="AR39" s="151"/>
      <c r="AS39" s="151"/>
      <c r="AT39" s="151"/>
      <c r="AU39" s="152">
        <v>0.0</v>
      </c>
      <c r="AV39" s="152"/>
      <c r="AW39" s="151"/>
      <c r="AX39" s="151"/>
      <c r="AY39" s="151"/>
      <c r="AZ39" s="153"/>
      <c r="BA39" s="153"/>
      <c r="BB39" s="153"/>
      <c r="BC39" s="153"/>
      <c r="BD39" s="153"/>
      <c r="BE39" s="141"/>
      <c r="BF39" s="141"/>
      <c r="BG39" s="141"/>
      <c r="BH39" s="141"/>
      <c r="BI39" s="141">
        <v>0.0</v>
      </c>
      <c r="BJ39" s="141"/>
      <c r="BK39" s="141"/>
      <c r="BL39" s="141"/>
      <c r="BM39" s="141"/>
      <c r="BN39" s="141"/>
      <c r="BO39" s="141">
        <v>0.0</v>
      </c>
      <c r="BP39" s="189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>
        <v>0.0</v>
      </c>
      <c r="CA39" s="116">
        <v>0.0</v>
      </c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134</v>
      </c>
      <c r="D40" s="119">
        <v>5.0</v>
      </c>
      <c r="E40" s="120">
        <v>18.75</v>
      </c>
      <c r="F40" s="121">
        <v>18.75</v>
      </c>
      <c r="G40" s="122">
        <v>2.75</v>
      </c>
      <c r="H40" s="121">
        <v>5.0</v>
      </c>
      <c r="I40" s="123">
        <v>13.75</v>
      </c>
      <c r="J40" s="124">
        <v>0.0</v>
      </c>
      <c r="K40" s="125">
        <v>0.0</v>
      </c>
      <c r="L40" s="126">
        <v>0.0</v>
      </c>
      <c r="M40" s="127">
        <v>2.0</v>
      </c>
      <c r="N40" s="127">
        <v>0.0</v>
      </c>
      <c r="O40" s="128">
        <v>1.0</v>
      </c>
      <c r="P40" s="129"/>
      <c r="Q40" s="130"/>
      <c r="R40" s="130"/>
      <c r="S40" s="131"/>
      <c r="T40" s="190"/>
      <c r="U40" s="191"/>
      <c r="V40" s="133"/>
      <c r="W40" s="133"/>
      <c r="X40" s="134"/>
      <c r="Y40" s="133"/>
      <c r="Z40" s="133"/>
      <c r="AA40" s="133"/>
      <c r="AB40" s="133"/>
      <c r="AC40" s="134"/>
      <c r="AD40" s="133"/>
      <c r="AE40" s="133">
        <v>18.75</v>
      </c>
      <c r="AF40" s="133"/>
      <c r="AG40" s="133"/>
      <c r="AH40" s="134"/>
      <c r="AI40" s="133"/>
      <c r="AJ40" s="133"/>
      <c r="AK40" s="133"/>
      <c r="AL40" s="133">
        <v>0.0</v>
      </c>
      <c r="AM40" s="133"/>
      <c r="AN40" s="134"/>
      <c r="AO40" s="133"/>
      <c r="AP40" s="133"/>
      <c r="AQ40" s="133"/>
      <c r="AR40" s="134"/>
      <c r="AS40" s="133"/>
      <c r="AT40" s="133">
        <v>0.0</v>
      </c>
      <c r="AU40" s="133"/>
      <c r="AV40" s="133"/>
      <c r="AW40" s="133"/>
      <c r="AX40" s="133"/>
      <c r="AY40" s="133"/>
      <c r="AZ40" s="135"/>
      <c r="BA40" s="135"/>
      <c r="BB40" s="135"/>
      <c r="BC40" s="135"/>
      <c r="BD40" s="135"/>
      <c r="BE40" s="123"/>
      <c r="BF40" s="123"/>
      <c r="BG40" s="123"/>
      <c r="BH40" s="123">
        <v>0.0</v>
      </c>
      <c r="BI40" s="123"/>
      <c r="BJ40" s="123"/>
      <c r="BK40" s="123"/>
      <c r="BL40" s="123"/>
      <c r="BM40" s="123"/>
      <c r="BN40" s="123">
        <v>0.0</v>
      </c>
      <c r="BO40" s="123"/>
      <c r="BP40" s="189"/>
      <c r="BQ40" s="116">
        <v>0.0</v>
      </c>
      <c r="BR40" s="116"/>
      <c r="BS40" s="116"/>
      <c r="BT40" s="116"/>
      <c r="BU40" s="116"/>
      <c r="BV40" s="116"/>
      <c r="BW40" s="116">
        <v>0.0</v>
      </c>
      <c r="BX40" s="116"/>
      <c r="BY40" s="116">
        <v>0.0</v>
      </c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103</v>
      </c>
      <c r="D41" s="137">
        <v>15.0</v>
      </c>
      <c r="E41" s="138">
        <v>56.0</v>
      </c>
      <c r="F41" s="139">
        <v>18.666666666666668</v>
      </c>
      <c r="G41" s="140">
        <v>2.4</v>
      </c>
      <c r="H41" s="139">
        <v>20.0</v>
      </c>
      <c r="I41" s="141">
        <v>36.0</v>
      </c>
      <c r="J41" s="142">
        <v>0.0</v>
      </c>
      <c r="K41" s="143">
        <v>0.0</v>
      </c>
      <c r="L41" s="144">
        <v>0.0</v>
      </c>
      <c r="M41" s="145">
        <v>8.0</v>
      </c>
      <c r="N41" s="145">
        <v>2.0</v>
      </c>
      <c r="O41" s="146">
        <v>2.0</v>
      </c>
      <c r="P41" s="147"/>
      <c r="Q41" s="148"/>
      <c r="R41" s="148"/>
      <c r="S41" s="149"/>
      <c r="T41" s="192"/>
      <c r="U41" s="193"/>
      <c r="V41" s="151"/>
      <c r="W41" s="151"/>
      <c r="X41" s="151">
        <v>14.0</v>
      </c>
      <c r="Y41" s="151"/>
      <c r="Z41" s="152">
        <v>19.5</v>
      </c>
      <c r="AA41" s="152"/>
      <c r="AB41" s="151"/>
      <c r="AC41" s="151">
        <v>22.5</v>
      </c>
      <c r="AD41" s="151"/>
      <c r="AE41" s="151"/>
      <c r="AF41" s="151"/>
      <c r="AG41" s="151"/>
      <c r="AH41" s="151"/>
      <c r="AI41" s="151"/>
      <c r="AJ41" s="151"/>
      <c r="AK41" s="152"/>
      <c r="AL41" s="152"/>
      <c r="AM41" s="151"/>
      <c r="AN41" s="151"/>
      <c r="AO41" s="151"/>
      <c r="AP41" s="151">
        <v>0.0</v>
      </c>
      <c r="AQ41" s="151"/>
      <c r="AR41" s="151"/>
      <c r="AS41" s="151"/>
      <c r="AT41" s="151"/>
      <c r="AU41" s="152"/>
      <c r="AV41" s="152">
        <v>0.0</v>
      </c>
      <c r="AW41" s="151"/>
      <c r="AX41" s="151"/>
      <c r="AY41" s="151"/>
      <c r="AZ41" s="153"/>
      <c r="BA41" s="153"/>
      <c r="BB41" s="153">
        <v>0.0</v>
      </c>
      <c r="BC41" s="153"/>
      <c r="BD41" s="153"/>
      <c r="BE41" s="141"/>
      <c r="BF41" s="141">
        <v>0.0</v>
      </c>
      <c r="BG41" s="141"/>
      <c r="BH41" s="141"/>
      <c r="BI41" s="141"/>
      <c r="BJ41" s="141"/>
      <c r="BK41" s="141"/>
      <c r="BL41" s="141">
        <v>0.0</v>
      </c>
      <c r="BM41" s="141"/>
      <c r="BN41" s="141"/>
      <c r="BO41" s="141"/>
      <c r="BP41" s="189"/>
      <c r="BQ41" s="116"/>
      <c r="BR41" s="116"/>
      <c r="BS41" s="116"/>
      <c r="BT41" s="116"/>
      <c r="BU41" s="116"/>
      <c r="BV41" s="116"/>
      <c r="BW41" s="116">
        <v>0.0</v>
      </c>
      <c r="BX41" s="116"/>
      <c r="BY41" s="116"/>
      <c r="BZ41" s="116">
        <v>0.0</v>
      </c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135</v>
      </c>
      <c r="D42" s="119">
        <v>10.0</v>
      </c>
      <c r="E42" s="120">
        <v>37.0</v>
      </c>
      <c r="F42" s="121">
        <v>18.5</v>
      </c>
      <c r="G42" s="122">
        <v>2.45</v>
      </c>
      <c r="H42" s="121">
        <v>12.5</v>
      </c>
      <c r="I42" s="123">
        <v>24.5</v>
      </c>
      <c r="J42" s="124">
        <v>0.0</v>
      </c>
      <c r="K42" s="125">
        <v>0.0</v>
      </c>
      <c r="L42" s="126">
        <v>0.0</v>
      </c>
      <c r="M42" s="127">
        <v>5.0</v>
      </c>
      <c r="N42" s="127">
        <v>0.0</v>
      </c>
      <c r="O42" s="128">
        <v>0.0</v>
      </c>
      <c r="P42" s="129"/>
      <c r="Q42" s="130"/>
      <c r="R42" s="130"/>
      <c r="S42" s="131"/>
      <c r="T42" s="190"/>
      <c r="U42" s="191">
        <v>18.0</v>
      </c>
      <c r="V42" s="133"/>
      <c r="W42" s="133">
        <v>19.0</v>
      </c>
      <c r="X42" s="134"/>
      <c r="Y42" s="133"/>
      <c r="Z42" s="133"/>
      <c r="AA42" s="133"/>
      <c r="AB42" s="133"/>
      <c r="AC42" s="134"/>
      <c r="AD42" s="133"/>
      <c r="AE42" s="133"/>
      <c r="AF42" s="133"/>
      <c r="AG42" s="133"/>
      <c r="AH42" s="134"/>
      <c r="AI42" s="133"/>
      <c r="AJ42" s="133"/>
      <c r="AK42" s="133"/>
      <c r="AL42" s="133">
        <v>0.0</v>
      </c>
      <c r="AM42" s="133"/>
      <c r="AN42" s="134"/>
      <c r="AO42" s="133"/>
      <c r="AP42" s="133">
        <v>0.0</v>
      </c>
      <c r="AQ42" s="133"/>
      <c r="AR42" s="134"/>
      <c r="AS42" s="133">
        <v>0.0</v>
      </c>
      <c r="AT42" s="133"/>
      <c r="AU42" s="133"/>
      <c r="AV42" s="133"/>
      <c r="AW42" s="133">
        <v>0.0</v>
      </c>
      <c r="AX42" s="133"/>
      <c r="AY42" s="133"/>
      <c r="AZ42" s="135"/>
      <c r="BA42" s="135"/>
      <c r="BB42" s="135"/>
      <c r="BC42" s="135"/>
      <c r="BD42" s="135">
        <v>0.0</v>
      </c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89">
        <v>0.0</v>
      </c>
      <c r="BQ42" s="116">
        <v>0.0</v>
      </c>
      <c r="BR42" s="116"/>
      <c r="BS42" s="116"/>
      <c r="BT42" s="116"/>
      <c r="BU42" s="116"/>
      <c r="BV42" s="116"/>
      <c r="BW42" s="116"/>
      <c r="BX42" s="116"/>
      <c r="BY42" s="116"/>
      <c r="BZ42" s="116"/>
      <c r="CA42" s="116">
        <v>0.0</v>
      </c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131</v>
      </c>
      <c r="D43" s="137">
        <v>20.0</v>
      </c>
      <c r="E43" s="138">
        <v>72.25</v>
      </c>
      <c r="F43" s="139">
        <v>18.0625</v>
      </c>
      <c r="G43" s="140">
        <v>2.7375</v>
      </c>
      <c r="H43" s="139">
        <v>17.5</v>
      </c>
      <c r="I43" s="141">
        <v>53.25</v>
      </c>
      <c r="J43" s="142">
        <v>0.5</v>
      </c>
      <c r="K43" s="143">
        <v>1.0</v>
      </c>
      <c r="L43" s="144">
        <v>2.0</v>
      </c>
      <c r="M43" s="145">
        <v>7.0</v>
      </c>
      <c r="N43" s="145">
        <v>0.0</v>
      </c>
      <c r="O43" s="146">
        <v>1.0</v>
      </c>
      <c r="P43" s="147"/>
      <c r="Q43" s="148"/>
      <c r="R43" s="148"/>
      <c r="S43" s="149"/>
      <c r="T43" s="192"/>
      <c r="U43" s="193"/>
      <c r="V43" s="151">
        <v>15.0</v>
      </c>
      <c r="W43" s="151">
        <v>23.25</v>
      </c>
      <c r="X43" s="151">
        <v>17.0</v>
      </c>
      <c r="Y43" s="151">
        <v>17.0</v>
      </c>
      <c r="Z43" s="152"/>
      <c r="AA43" s="152"/>
      <c r="AB43" s="151"/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/>
      <c r="AN43" s="151"/>
      <c r="AO43" s="151"/>
      <c r="AP43" s="151"/>
      <c r="AQ43" s="151"/>
      <c r="AR43" s="151"/>
      <c r="AS43" s="151"/>
      <c r="AT43" s="151"/>
      <c r="AU43" s="152"/>
      <c r="AV43" s="152"/>
      <c r="AW43" s="151"/>
      <c r="AX43" s="151"/>
      <c r="AY43" s="151"/>
      <c r="AZ43" s="153"/>
      <c r="BA43" s="153"/>
      <c r="BB43" s="153"/>
      <c r="BC43" s="153"/>
      <c r="BD43" s="153"/>
      <c r="BE43" s="141"/>
      <c r="BF43" s="141"/>
      <c r="BG43" s="141"/>
      <c r="BH43" s="141"/>
      <c r="BI43" s="141">
        <v>0.0</v>
      </c>
      <c r="BJ43" s="141">
        <v>0.0</v>
      </c>
      <c r="BK43" s="141">
        <v>0.0</v>
      </c>
      <c r="BL43" s="141">
        <v>0.0</v>
      </c>
      <c r="BM43" s="141"/>
      <c r="BN43" s="141"/>
      <c r="BO43" s="141"/>
      <c r="BP43" s="189"/>
      <c r="BQ43" s="116"/>
      <c r="BR43" s="116"/>
      <c r="BS43" s="116"/>
      <c r="BT43" s="116">
        <v>0.0</v>
      </c>
      <c r="BU43" s="116">
        <v>0.0</v>
      </c>
      <c r="BV43" s="116"/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120</v>
      </c>
      <c r="D44" s="119">
        <v>10.0</v>
      </c>
      <c r="E44" s="120">
        <v>36.0</v>
      </c>
      <c r="F44" s="121">
        <v>18.0</v>
      </c>
      <c r="G44" s="122">
        <v>2.6</v>
      </c>
      <c r="H44" s="121">
        <v>10.0</v>
      </c>
      <c r="I44" s="123">
        <v>25.5</v>
      </c>
      <c r="J44" s="124">
        <v>0.0</v>
      </c>
      <c r="K44" s="125">
        <v>0.5</v>
      </c>
      <c r="L44" s="126">
        <v>1.0</v>
      </c>
      <c r="M44" s="127">
        <v>4.0</v>
      </c>
      <c r="N44" s="127">
        <v>2.0</v>
      </c>
      <c r="O44" s="128">
        <v>1.0</v>
      </c>
      <c r="P44" s="129"/>
      <c r="Q44" s="130"/>
      <c r="R44" s="130"/>
      <c r="S44" s="131"/>
      <c r="T44" s="190"/>
      <c r="U44" s="191"/>
      <c r="V44" s="133"/>
      <c r="W44" s="133"/>
      <c r="X44" s="134"/>
      <c r="Y44" s="133"/>
      <c r="Z44" s="133">
        <v>13.5</v>
      </c>
      <c r="AA44" s="133"/>
      <c r="AB44" s="133"/>
      <c r="AC44" s="134"/>
      <c r="AD44" s="133"/>
      <c r="AE44" s="133"/>
      <c r="AF44" s="133"/>
      <c r="AG44" s="133"/>
      <c r="AH44" s="134">
        <v>22.5</v>
      </c>
      <c r="AI44" s="133"/>
      <c r="AJ44" s="133"/>
      <c r="AK44" s="133"/>
      <c r="AL44" s="133"/>
      <c r="AM44" s="133">
        <v>0.0</v>
      </c>
      <c r="AN44" s="134"/>
      <c r="AO44" s="133"/>
      <c r="AP44" s="133"/>
      <c r="AQ44" s="133"/>
      <c r="AR44" s="134"/>
      <c r="AS44" s="133"/>
      <c r="AT44" s="133"/>
      <c r="AU44" s="133"/>
      <c r="AV44" s="133"/>
      <c r="AW44" s="133">
        <v>0.0</v>
      </c>
      <c r="AX44" s="133"/>
      <c r="AY44" s="133"/>
      <c r="AZ44" s="135"/>
      <c r="BA44" s="135"/>
      <c r="BB44" s="135">
        <v>0.0</v>
      </c>
      <c r="BC44" s="135"/>
      <c r="BD44" s="135"/>
      <c r="BE44" s="123"/>
      <c r="BF44" s="123">
        <v>0.0</v>
      </c>
      <c r="BG44" s="123"/>
      <c r="BH44" s="123">
        <v>0.0</v>
      </c>
      <c r="BI44" s="123">
        <v>0.0</v>
      </c>
      <c r="BJ44" s="123"/>
      <c r="BK44" s="123"/>
      <c r="BL44" s="123">
        <v>0.0</v>
      </c>
      <c r="BM44" s="123"/>
      <c r="BN44" s="123"/>
      <c r="BO44" s="123"/>
      <c r="BP44" s="189"/>
      <c r="BQ44" s="116">
        <v>0.0</v>
      </c>
      <c r="BR44" s="116"/>
      <c r="BS44" s="116"/>
      <c r="BT44" s="116"/>
      <c r="BU44" s="116"/>
      <c r="BV44" s="116"/>
      <c r="BW44" s="116"/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122</v>
      </c>
      <c r="D45" s="137">
        <v>10.0</v>
      </c>
      <c r="E45" s="138">
        <v>36.0</v>
      </c>
      <c r="F45" s="139">
        <v>18.0</v>
      </c>
      <c r="G45" s="140">
        <v>2.6</v>
      </c>
      <c r="H45" s="139">
        <v>10.0</v>
      </c>
      <c r="I45" s="141">
        <v>25.5</v>
      </c>
      <c r="J45" s="142">
        <v>0.0</v>
      </c>
      <c r="K45" s="143">
        <v>0.5</v>
      </c>
      <c r="L45" s="144">
        <v>1.0</v>
      </c>
      <c r="M45" s="145">
        <v>4.0</v>
      </c>
      <c r="N45" s="145">
        <v>0.0</v>
      </c>
      <c r="O45" s="146">
        <v>1.0</v>
      </c>
      <c r="P45" s="147"/>
      <c r="Q45" s="148"/>
      <c r="R45" s="148"/>
      <c r="S45" s="149"/>
      <c r="T45" s="192"/>
      <c r="U45" s="193"/>
      <c r="V45" s="151"/>
      <c r="W45" s="151">
        <v>20.75</v>
      </c>
      <c r="X45" s="151"/>
      <c r="Y45" s="151"/>
      <c r="Z45" s="152"/>
      <c r="AA45" s="152">
        <v>15.25</v>
      </c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/>
      <c r="AN45" s="151"/>
      <c r="AO45" s="151">
        <v>0.0</v>
      </c>
      <c r="AP45" s="151"/>
      <c r="AQ45" s="151"/>
      <c r="AR45" s="151"/>
      <c r="AS45" s="151">
        <v>0.0</v>
      </c>
      <c r="AT45" s="151"/>
      <c r="AU45" s="152"/>
      <c r="AV45" s="152"/>
      <c r="AW45" s="151">
        <v>0.0</v>
      </c>
      <c r="AX45" s="151"/>
      <c r="AY45" s="151"/>
      <c r="AZ45" s="153"/>
      <c r="BA45" s="153">
        <v>0.0</v>
      </c>
      <c r="BB45" s="153"/>
      <c r="BC45" s="153"/>
      <c r="BD45" s="153"/>
      <c r="BE45" s="141"/>
      <c r="BF45" s="141">
        <v>0.0</v>
      </c>
      <c r="BG45" s="141"/>
      <c r="BH45" s="141"/>
      <c r="BI45" s="141"/>
      <c r="BJ45" s="141"/>
      <c r="BK45" s="141"/>
      <c r="BL45" s="141"/>
      <c r="BM45" s="141"/>
      <c r="BN45" s="141"/>
      <c r="BO45" s="141">
        <v>0.0</v>
      </c>
      <c r="BP45" s="189"/>
      <c r="BQ45" s="116"/>
      <c r="BR45" s="116"/>
      <c r="BS45" s="116"/>
      <c r="BT45" s="116"/>
      <c r="BU45" s="116">
        <v>0.0</v>
      </c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86</v>
      </c>
      <c r="D46" s="119">
        <v>15.0</v>
      </c>
      <c r="E46" s="120">
        <v>53.25</v>
      </c>
      <c r="F46" s="121">
        <v>17.75</v>
      </c>
      <c r="G46" s="122">
        <v>2.55</v>
      </c>
      <c r="H46" s="121">
        <v>15.0</v>
      </c>
      <c r="I46" s="123">
        <v>37.75</v>
      </c>
      <c r="J46" s="124">
        <v>0.0</v>
      </c>
      <c r="K46" s="125">
        <v>0.5</v>
      </c>
      <c r="L46" s="126">
        <v>1.0</v>
      </c>
      <c r="M46" s="127">
        <v>6.0</v>
      </c>
      <c r="N46" s="127">
        <v>3.0</v>
      </c>
      <c r="O46" s="128">
        <v>2.0</v>
      </c>
      <c r="P46" s="129"/>
      <c r="Q46" s="130"/>
      <c r="R46" s="130"/>
      <c r="S46" s="131"/>
      <c r="T46" s="190"/>
      <c r="U46" s="191"/>
      <c r="V46" s="133"/>
      <c r="W46" s="133"/>
      <c r="X46" s="134">
        <v>21.75</v>
      </c>
      <c r="Y46" s="133">
        <v>19.5</v>
      </c>
      <c r="Z46" s="133"/>
      <c r="AA46" s="133"/>
      <c r="AB46" s="133"/>
      <c r="AC46" s="134"/>
      <c r="AD46" s="133"/>
      <c r="AE46" s="133">
        <v>12.0</v>
      </c>
      <c r="AF46" s="133"/>
      <c r="AG46" s="133"/>
      <c r="AH46" s="134"/>
      <c r="AI46" s="133"/>
      <c r="AJ46" s="133"/>
      <c r="AK46" s="133">
        <v>0.0</v>
      </c>
      <c r="AL46" s="133"/>
      <c r="AM46" s="133"/>
      <c r="AN46" s="134"/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/>
      <c r="AZ46" s="135"/>
      <c r="BA46" s="135">
        <v>0.0</v>
      </c>
      <c r="BB46" s="135">
        <v>0.0</v>
      </c>
      <c r="BC46" s="135"/>
      <c r="BD46" s="135"/>
      <c r="BE46" s="123"/>
      <c r="BF46" s="123"/>
      <c r="BG46" s="123"/>
      <c r="BH46" s="123"/>
      <c r="BI46" s="123">
        <v>0.0</v>
      </c>
      <c r="BJ46" s="123"/>
      <c r="BK46" s="123"/>
      <c r="BL46" s="123"/>
      <c r="BM46" s="123"/>
      <c r="BN46" s="123"/>
      <c r="BO46" s="123">
        <v>0.0</v>
      </c>
      <c r="BP46" s="189"/>
      <c r="BQ46" s="116"/>
      <c r="BR46" s="116"/>
      <c r="BS46" s="116">
        <v>0.0</v>
      </c>
      <c r="BT46" s="116"/>
      <c r="BU46" s="116"/>
      <c r="BV46" s="116"/>
      <c r="BW46" s="116"/>
      <c r="BX46" s="116">
        <v>0.0</v>
      </c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112</v>
      </c>
      <c r="D47" s="137">
        <v>10.0</v>
      </c>
      <c r="E47" s="138">
        <v>35.25</v>
      </c>
      <c r="F47" s="139">
        <v>17.625</v>
      </c>
      <c r="G47" s="140">
        <v>2.525</v>
      </c>
      <c r="H47" s="139">
        <v>10.0</v>
      </c>
      <c r="I47" s="141">
        <v>25.25</v>
      </c>
      <c r="J47" s="142">
        <v>0.0</v>
      </c>
      <c r="K47" s="143">
        <v>0.0</v>
      </c>
      <c r="L47" s="144">
        <v>0.0</v>
      </c>
      <c r="M47" s="145">
        <v>4.0</v>
      </c>
      <c r="N47" s="145">
        <v>0.0</v>
      </c>
      <c r="O47" s="146">
        <v>3.0</v>
      </c>
      <c r="P47" s="147"/>
      <c r="Q47" s="148"/>
      <c r="R47" s="148"/>
      <c r="S47" s="149"/>
      <c r="T47" s="192">
        <v>17.75</v>
      </c>
      <c r="U47" s="193"/>
      <c r="V47" s="151"/>
      <c r="W47" s="151"/>
      <c r="X47" s="151">
        <v>17.5</v>
      </c>
      <c r="Y47" s="151"/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/>
      <c r="AK47" s="152"/>
      <c r="AL47" s="152"/>
      <c r="AM47" s="151"/>
      <c r="AN47" s="151">
        <v>0.0</v>
      </c>
      <c r="AO47" s="151"/>
      <c r="AP47" s="151"/>
      <c r="AQ47" s="151"/>
      <c r="AR47" s="151"/>
      <c r="AS47" s="151"/>
      <c r="AT47" s="151"/>
      <c r="AU47" s="152"/>
      <c r="AV47" s="152"/>
      <c r="AW47" s="151"/>
      <c r="AX47" s="151">
        <v>0.0</v>
      </c>
      <c r="AY47" s="151"/>
      <c r="AZ47" s="153"/>
      <c r="BA47" s="153"/>
      <c r="BB47" s="153"/>
      <c r="BC47" s="153"/>
      <c r="BD47" s="153"/>
      <c r="BE47" s="141"/>
      <c r="BF47" s="141">
        <v>0.0</v>
      </c>
      <c r="BG47" s="141"/>
      <c r="BH47" s="141">
        <v>0.0</v>
      </c>
      <c r="BI47" s="141">
        <v>0.0</v>
      </c>
      <c r="BJ47" s="141"/>
      <c r="BK47" s="141"/>
      <c r="BL47" s="141"/>
      <c r="BM47" s="141"/>
      <c r="BN47" s="141">
        <v>0.0</v>
      </c>
      <c r="BO47" s="141"/>
      <c r="BP47" s="189"/>
      <c r="BQ47" s="116"/>
      <c r="BR47" s="116"/>
      <c r="BS47" s="116"/>
      <c r="BT47" s="116">
        <v>0.0</v>
      </c>
      <c r="BU47" s="116"/>
      <c r="BV47" s="116"/>
      <c r="BW47" s="116"/>
      <c r="BX47" s="116"/>
      <c r="BY47" s="116">
        <v>0.0</v>
      </c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117</v>
      </c>
      <c r="D48" s="119">
        <v>10.0</v>
      </c>
      <c r="E48" s="120">
        <v>35.0</v>
      </c>
      <c r="F48" s="121">
        <v>17.5</v>
      </c>
      <c r="G48" s="122">
        <v>2.5</v>
      </c>
      <c r="H48" s="121">
        <v>10.0</v>
      </c>
      <c r="I48" s="123">
        <v>24.0</v>
      </c>
      <c r="J48" s="124">
        <v>0.5</v>
      </c>
      <c r="K48" s="125">
        <v>0.5</v>
      </c>
      <c r="L48" s="126">
        <v>1.0</v>
      </c>
      <c r="M48" s="127">
        <v>4.0</v>
      </c>
      <c r="N48" s="127">
        <v>0.0</v>
      </c>
      <c r="O48" s="128">
        <v>0.0</v>
      </c>
      <c r="P48" s="129"/>
      <c r="Q48" s="130"/>
      <c r="R48" s="130"/>
      <c r="S48" s="131"/>
      <c r="T48" s="190"/>
      <c r="U48" s="191"/>
      <c r="V48" s="133">
        <v>14.5</v>
      </c>
      <c r="W48" s="133"/>
      <c r="X48" s="134"/>
      <c r="Y48" s="133"/>
      <c r="Z48" s="133"/>
      <c r="AA48" s="133"/>
      <c r="AB48" s="133">
        <v>20.5</v>
      </c>
      <c r="AC48" s="134"/>
      <c r="AD48" s="133"/>
      <c r="AE48" s="133"/>
      <c r="AF48" s="133"/>
      <c r="AG48" s="133"/>
      <c r="AH48" s="134"/>
      <c r="AI48" s="133"/>
      <c r="AJ48" s="133"/>
      <c r="AK48" s="133"/>
      <c r="AL48" s="133"/>
      <c r="AM48" s="133">
        <v>0.0</v>
      </c>
      <c r="AN48" s="134"/>
      <c r="AO48" s="133"/>
      <c r="AP48" s="133">
        <v>0.0</v>
      </c>
      <c r="AQ48" s="133"/>
      <c r="AR48" s="134"/>
      <c r="AS48" s="133">
        <v>0.0</v>
      </c>
      <c r="AT48" s="133"/>
      <c r="AU48" s="133"/>
      <c r="AV48" s="133"/>
      <c r="AW48" s="133"/>
      <c r="AX48" s="133"/>
      <c r="AY48" s="133"/>
      <c r="AZ48" s="135"/>
      <c r="BA48" s="135"/>
      <c r="BB48" s="135"/>
      <c r="BC48" s="135"/>
      <c r="BD48" s="135"/>
      <c r="BE48" s="123">
        <v>0.0</v>
      </c>
      <c r="BF48" s="123">
        <v>0.0</v>
      </c>
      <c r="BG48" s="123"/>
      <c r="BH48" s="123">
        <v>0.0</v>
      </c>
      <c r="BI48" s="123"/>
      <c r="BJ48" s="123"/>
      <c r="BK48" s="123">
        <v>0.0</v>
      </c>
      <c r="BL48" s="123"/>
      <c r="BM48" s="123"/>
      <c r="BN48" s="123"/>
      <c r="BO48" s="123"/>
      <c r="BP48" s="189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>
        <v>0.0</v>
      </c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119</v>
      </c>
      <c r="D49" s="137">
        <v>20.0</v>
      </c>
      <c r="E49" s="138">
        <v>69.0</v>
      </c>
      <c r="F49" s="139">
        <v>17.25</v>
      </c>
      <c r="G49" s="140">
        <v>2.45</v>
      </c>
      <c r="H49" s="139">
        <v>20.0</v>
      </c>
      <c r="I49" s="141">
        <v>46.5</v>
      </c>
      <c r="J49" s="142">
        <v>1.5</v>
      </c>
      <c r="K49" s="143">
        <v>1.0</v>
      </c>
      <c r="L49" s="144">
        <v>2.0</v>
      </c>
      <c r="M49" s="145">
        <v>8.0</v>
      </c>
      <c r="N49" s="145">
        <v>0.0</v>
      </c>
      <c r="O49" s="146">
        <v>1.0</v>
      </c>
      <c r="P49" s="147"/>
      <c r="Q49" s="148"/>
      <c r="R49" s="148"/>
      <c r="S49" s="149"/>
      <c r="T49" s="192">
        <v>21.25</v>
      </c>
      <c r="U49" s="193"/>
      <c r="V49" s="151"/>
      <c r="W49" s="151"/>
      <c r="X49" s="151">
        <v>14.75</v>
      </c>
      <c r="Y49" s="151"/>
      <c r="Z49" s="152"/>
      <c r="AA49" s="152"/>
      <c r="AB49" s="151">
        <v>12.0</v>
      </c>
      <c r="AC49" s="151"/>
      <c r="AD49" s="151"/>
      <c r="AE49" s="151">
        <v>21.0</v>
      </c>
      <c r="AF49" s="151"/>
      <c r="AG49" s="151"/>
      <c r="AH49" s="151"/>
      <c r="AI49" s="151"/>
      <c r="AJ49" s="151"/>
      <c r="AK49" s="152"/>
      <c r="AL49" s="152"/>
      <c r="AM49" s="151"/>
      <c r="AN49" s="151">
        <v>0.0</v>
      </c>
      <c r="AO49" s="151"/>
      <c r="AP49" s="151"/>
      <c r="AQ49" s="151"/>
      <c r="AR49" s="151"/>
      <c r="AS49" s="151"/>
      <c r="AT49" s="151"/>
      <c r="AU49" s="152"/>
      <c r="AV49" s="152"/>
      <c r="AW49" s="151"/>
      <c r="AX49" s="151"/>
      <c r="AY49" s="151">
        <v>0.0</v>
      </c>
      <c r="AZ49" s="153"/>
      <c r="BA49" s="153"/>
      <c r="BB49" s="153"/>
      <c r="BC49" s="153"/>
      <c r="BD49" s="153"/>
      <c r="BE49" s="141"/>
      <c r="BF49" s="141"/>
      <c r="BG49" s="141"/>
      <c r="BH49" s="141">
        <v>0.0</v>
      </c>
      <c r="BI49" s="141">
        <v>0.0</v>
      </c>
      <c r="BJ49" s="141"/>
      <c r="BK49" s="141"/>
      <c r="BL49" s="141">
        <v>0.0</v>
      </c>
      <c r="BM49" s="141"/>
      <c r="BN49" s="141"/>
      <c r="BO49" s="141"/>
      <c r="BP49" s="189"/>
      <c r="BQ49" s="116"/>
      <c r="BR49" s="116"/>
      <c r="BS49" s="116"/>
      <c r="BT49" s="116"/>
      <c r="BU49" s="116"/>
      <c r="BV49" s="116"/>
      <c r="BW49" s="116"/>
      <c r="BX49" s="116">
        <v>0.0</v>
      </c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108</v>
      </c>
      <c r="D50" s="119">
        <v>10.0</v>
      </c>
      <c r="E50" s="120">
        <v>34.25</v>
      </c>
      <c r="F50" s="121">
        <v>17.125</v>
      </c>
      <c r="G50" s="122">
        <v>2.675</v>
      </c>
      <c r="H50" s="121">
        <v>7.5</v>
      </c>
      <c r="I50" s="123">
        <v>25.25</v>
      </c>
      <c r="J50" s="124">
        <v>0.5</v>
      </c>
      <c r="K50" s="125">
        <v>1.0</v>
      </c>
      <c r="L50" s="126">
        <v>2.0</v>
      </c>
      <c r="M50" s="127">
        <v>3.0</v>
      </c>
      <c r="N50" s="127">
        <v>1.0</v>
      </c>
      <c r="O50" s="128">
        <v>3.0</v>
      </c>
      <c r="P50" s="129"/>
      <c r="Q50" s="130"/>
      <c r="R50" s="130"/>
      <c r="S50" s="131"/>
      <c r="T50" s="190"/>
      <c r="U50" s="191"/>
      <c r="V50" s="133"/>
      <c r="W50" s="133"/>
      <c r="X50" s="134">
        <v>15.25</v>
      </c>
      <c r="Y50" s="133">
        <v>19.0</v>
      </c>
      <c r="Z50" s="133"/>
      <c r="AA50" s="133"/>
      <c r="AB50" s="133"/>
      <c r="AC50" s="134"/>
      <c r="AD50" s="133"/>
      <c r="AE50" s="133"/>
      <c r="AF50" s="133"/>
      <c r="AG50" s="133"/>
      <c r="AH50" s="134"/>
      <c r="AI50" s="133"/>
      <c r="AJ50" s="133">
        <v>0.0</v>
      </c>
      <c r="AK50" s="133">
        <v>0.0</v>
      </c>
      <c r="AL50" s="133">
        <v>0.0</v>
      </c>
      <c r="AM50" s="133"/>
      <c r="AN50" s="134"/>
      <c r="AO50" s="133"/>
      <c r="AP50" s="133"/>
      <c r="AQ50" s="133"/>
      <c r="AR50" s="134"/>
      <c r="AS50" s="133"/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/>
      <c r="BJ50" s="123">
        <v>0.0</v>
      </c>
      <c r="BK50" s="123">
        <v>0.0</v>
      </c>
      <c r="BL50" s="123">
        <v>0.0</v>
      </c>
      <c r="BM50" s="123">
        <v>0.0</v>
      </c>
      <c r="BN50" s="123">
        <v>0.0</v>
      </c>
      <c r="BO50" s="123"/>
      <c r="BP50" s="189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137</v>
      </c>
      <c r="D51" s="137">
        <v>10.0</v>
      </c>
      <c r="E51" s="138">
        <v>33.5</v>
      </c>
      <c r="F51" s="139">
        <v>16.75</v>
      </c>
      <c r="G51" s="140">
        <v>2.6</v>
      </c>
      <c r="H51" s="139">
        <v>7.5</v>
      </c>
      <c r="I51" s="141">
        <v>26.0</v>
      </c>
      <c r="J51" s="142">
        <v>0.0</v>
      </c>
      <c r="K51" s="143">
        <v>0.0</v>
      </c>
      <c r="L51" s="144">
        <v>0.0</v>
      </c>
      <c r="M51" s="145">
        <v>3.0</v>
      </c>
      <c r="N51" s="145">
        <v>1.0</v>
      </c>
      <c r="O51" s="146">
        <v>2.0</v>
      </c>
      <c r="P51" s="147"/>
      <c r="Q51" s="148"/>
      <c r="R51" s="148"/>
      <c r="S51" s="149"/>
      <c r="T51" s="192"/>
      <c r="U51" s="193">
        <v>16.0</v>
      </c>
      <c r="V51" s="151">
        <v>17.5</v>
      </c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/>
      <c r="AJ51" s="151">
        <v>0.0</v>
      </c>
      <c r="AK51" s="152"/>
      <c r="AL51" s="152"/>
      <c r="AM51" s="151"/>
      <c r="AN51" s="151"/>
      <c r="AO51" s="151">
        <v>0.0</v>
      </c>
      <c r="AP51" s="151"/>
      <c r="AQ51" s="151"/>
      <c r="AR51" s="151"/>
      <c r="AS51" s="151"/>
      <c r="AT51" s="151">
        <v>0.0</v>
      </c>
      <c r="AU51" s="152"/>
      <c r="AV51" s="152"/>
      <c r="AW51" s="151"/>
      <c r="AX51" s="151"/>
      <c r="AY51" s="151">
        <v>0.0</v>
      </c>
      <c r="AZ51" s="153"/>
      <c r="BA51" s="153"/>
      <c r="BB51" s="153"/>
      <c r="BC51" s="153"/>
      <c r="BD51" s="153"/>
      <c r="BE51" s="141">
        <v>0.0</v>
      </c>
      <c r="BF51" s="141"/>
      <c r="BG51" s="141"/>
      <c r="BH51" s="141"/>
      <c r="BI51" s="141"/>
      <c r="BJ51" s="141"/>
      <c r="BK51" s="141"/>
      <c r="BL51" s="141">
        <v>0.0</v>
      </c>
      <c r="BM51" s="141"/>
      <c r="BN51" s="141"/>
      <c r="BO51" s="141"/>
      <c r="BP51" s="189"/>
      <c r="BQ51" s="116">
        <v>0.0</v>
      </c>
      <c r="BR51" s="116"/>
      <c r="BS51" s="116"/>
      <c r="BT51" s="116"/>
      <c r="BU51" s="116"/>
      <c r="BV51" s="116"/>
      <c r="BW51" s="116"/>
      <c r="BX51" s="116"/>
      <c r="BY51" s="116"/>
      <c r="BZ51" s="116"/>
      <c r="CA51" s="116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125</v>
      </c>
      <c r="D52" s="119">
        <v>25.0</v>
      </c>
      <c r="E52" s="120">
        <v>82.5</v>
      </c>
      <c r="F52" s="121">
        <v>16.5</v>
      </c>
      <c r="G52" s="122">
        <v>2.4</v>
      </c>
      <c r="H52" s="121">
        <v>22.5</v>
      </c>
      <c r="I52" s="123">
        <v>59.5</v>
      </c>
      <c r="J52" s="124">
        <v>0.0</v>
      </c>
      <c r="K52" s="125">
        <v>0.5</v>
      </c>
      <c r="L52" s="126">
        <v>1.0</v>
      </c>
      <c r="M52" s="127">
        <v>9.0</v>
      </c>
      <c r="N52" s="127">
        <v>1.0</v>
      </c>
      <c r="O52" s="128">
        <v>3.0</v>
      </c>
      <c r="P52" s="129"/>
      <c r="Q52" s="130"/>
      <c r="R52" s="130"/>
      <c r="S52" s="131"/>
      <c r="T52" s="190"/>
      <c r="U52" s="191"/>
      <c r="V52" s="133"/>
      <c r="W52" s="133"/>
      <c r="X52" s="134"/>
      <c r="Y52" s="133"/>
      <c r="Z52" s="133"/>
      <c r="AA52" s="133"/>
      <c r="AB52" s="133"/>
      <c r="AC52" s="134">
        <v>20.75</v>
      </c>
      <c r="AD52" s="133"/>
      <c r="AE52" s="133">
        <v>11.0</v>
      </c>
      <c r="AF52" s="133">
        <v>15.0</v>
      </c>
      <c r="AG52" s="133">
        <v>18.25</v>
      </c>
      <c r="AH52" s="134">
        <v>17.5</v>
      </c>
      <c r="AI52" s="133">
        <v>0.0</v>
      </c>
      <c r="AJ52" s="133"/>
      <c r="AK52" s="133"/>
      <c r="AL52" s="133"/>
      <c r="AM52" s="133">
        <v>0.0</v>
      </c>
      <c r="AN52" s="134"/>
      <c r="AO52" s="133"/>
      <c r="AP52" s="133"/>
      <c r="AQ52" s="133"/>
      <c r="AR52" s="134"/>
      <c r="AS52" s="133"/>
      <c r="AT52" s="133"/>
      <c r="AU52" s="133"/>
      <c r="AV52" s="133"/>
      <c r="AW52" s="133">
        <v>0.0</v>
      </c>
      <c r="AX52" s="133"/>
      <c r="AY52" s="133">
        <v>0.0</v>
      </c>
      <c r="AZ52" s="135"/>
      <c r="BA52" s="135"/>
      <c r="BB52" s="135"/>
      <c r="BC52" s="135"/>
      <c r="BD52" s="135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89"/>
      <c r="BQ52" s="116"/>
      <c r="BR52" s="116"/>
      <c r="BS52" s="116"/>
      <c r="BT52" s="116">
        <v>0.0</v>
      </c>
      <c r="BU52" s="116">
        <v>0.0</v>
      </c>
      <c r="BV52" s="116"/>
      <c r="BW52" s="116"/>
      <c r="BX52" s="116">
        <v>0.0</v>
      </c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94</v>
      </c>
      <c r="D53" s="137">
        <v>15.0</v>
      </c>
      <c r="E53" s="138">
        <v>49.0</v>
      </c>
      <c r="F53" s="139">
        <v>16.333333333333332</v>
      </c>
      <c r="G53" s="140">
        <v>2.433333333333333</v>
      </c>
      <c r="H53" s="139">
        <v>12.5</v>
      </c>
      <c r="I53" s="141">
        <v>36.5</v>
      </c>
      <c r="J53" s="142">
        <v>0.0</v>
      </c>
      <c r="K53" s="143">
        <v>0.0</v>
      </c>
      <c r="L53" s="144">
        <v>0.0</v>
      </c>
      <c r="M53" s="145">
        <v>5.0</v>
      </c>
      <c r="N53" s="145">
        <v>0.0</v>
      </c>
      <c r="O53" s="146">
        <v>2.0</v>
      </c>
      <c r="P53" s="147"/>
      <c r="Q53" s="148"/>
      <c r="R53" s="148"/>
      <c r="S53" s="149"/>
      <c r="T53" s="192"/>
      <c r="U53" s="193"/>
      <c r="V53" s="151"/>
      <c r="W53" s="151">
        <v>18.25</v>
      </c>
      <c r="X53" s="151"/>
      <c r="Y53" s="151">
        <v>14.25</v>
      </c>
      <c r="Z53" s="152"/>
      <c r="AA53" s="152"/>
      <c r="AB53" s="151"/>
      <c r="AC53" s="151"/>
      <c r="AD53" s="151"/>
      <c r="AE53" s="151"/>
      <c r="AF53" s="151"/>
      <c r="AG53" s="151"/>
      <c r="AH53" s="151">
        <v>16.5</v>
      </c>
      <c r="AI53" s="151"/>
      <c r="AJ53" s="151"/>
      <c r="AK53" s="152"/>
      <c r="AL53" s="152"/>
      <c r="AM53" s="151"/>
      <c r="AN53" s="151"/>
      <c r="AO53" s="151"/>
      <c r="AP53" s="151">
        <v>0.0</v>
      </c>
      <c r="AQ53" s="151">
        <v>0.0</v>
      </c>
      <c r="AR53" s="151"/>
      <c r="AS53" s="151"/>
      <c r="AT53" s="151"/>
      <c r="AU53" s="152"/>
      <c r="AV53" s="152"/>
      <c r="AW53" s="151"/>
      <c r="AX53" s="151"/>
      <c r="AY53" s="151"/>
      <c r="AZ53" s="153">
        <v>0.0</v>
      </c>
      <c r="BA53" s="153"/>
      <c r="BB53" s="153"/>
      <c r="BC53" s="153"/>
      <c r="BD53" s="153"/>
      <c r="BE53" s="141"/>
      <c r="BF53" s="141">
        <v>0.0</v>
      </c>
      <c r="BG53" s="141">
        <v>0.0</v>
      </c>
      <c r="BH53" s="141"/>
      <c r="BI53" s="141"/>
      <c r="BJ53" s="141"/>
      <c r="BK53" s="141"/>
      <c r="BL53" s="141"/>
      <c r="BM53" s="141"/>
      <c r="BN53" s="141">
        <v>0.0</v>
      </c>
      <c r="BO53" s="141"/>
      <c r="BP53" s="189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>
        <v>0.0</v>
      </c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133</v>
      </c>
      <c r="D54" s="119">
        <v>10.0</v>
      </c>
      <c r="E54" s="120">
        <v>32.5</v>
      </c>
      <c r="F54" s="121">
        <v>16.25</v>
      </c>
      <c r="G54" s="122">
        <v>2.75</v>
      </c>
      <c r="H54" s="121">
        <v>5.0</v>
      </c>
      <c r="I54" s="123">
        <v>27.0</v>
      </c>
      <c r="J54" s="124">
        <v>0.0</v>
      </c>
      <c r="K54" s="125">
        <v>0.5</v>
      </c>
      <c r="L54" s="126">
        <v>1.0</v>
      </c>
      <c r="M54" s="127">
        <v>2.0</v>
      </c>
      <c r="N54" s="127">
        <v>1.0</v>
      </c>
      <c r="O54" s="128">
        <v>1.0</v>
      </c>
      <c r="P54" s="129"/>
      <c r="Q54" s="130"/>
      <c r="R54" s="130"/>
      <c r="S54" s="131"/>
      <c r="T54" s="190"/>
      <c r="U54" s="191"/>
      <c r="V54" s="133"/>
      <c r="W54" s="133">
        <v>16.5</v>
      </c>
      <c r="X54" s="134"/>
      <c r="Y54" s="133">
        <v>16.0</v>
      </c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/>
      <c r="AK54" s="133">
        <v>0.0</v>
      </c>
      <c r="AL54" s="133"/>
      <c r="AM54" s="133"/>
      <c r="AN54" s="134">
        <v>0.0</v>
      </c>
      <c r="AO54" s="133"/>
      <c r="AP54" s="133"/>
      <c r="AQ54" s="133"/>
      <c r="AR54" s="134"/>
      <c r="AS54" s="133"/>
      <c r="AT54" s="133"/>
      <c r="AU54" s="133">
        <v>0.0</v>
      </c>
      <c r="AV54" s="133"/>
      <c r="AW54" s="133"/>
      <c r="AX54" s="133"/>
      <c r="AY54" s="133"/>
      <c r="AZ54" s="135"/>
      <c r="BA54" s="135">
        <v>0.0</v>
      </c>
      <c r="BB54" s="135"/>
      <c r="BC54" s="135"/>
      <c r="BD54" s="135"/>
      <c r="BE54" s="123">
        <v>0.0</v>
      </c>
      <c r="BF54" s="123"/>
      <c r="BG54" s="123"/>
      <c r="BH54" s="123"/>
      <c r="BI54" s="123"/>
      <c r="BJ54" s="123"/>
      <c r="BK54" s="123">
        <v>0.0</v>
      </c>
      <c r="BL54" s="123"/>
      <c r="BM54" s="123"/>
      <c r="BN54" s="123"/>
      <c r="BO54" s="123"/>
      <c r="BP54" s="189"/>
      <c r="BQ54" s="116"/>
      <c r="BR54" s="116">
        <v>0.0</v>
      </c>
      <c r="BS54" s="116"/>
      <c r="BT54" s="116"/>
      <c r="BU54" s="116"/>
      <c r="BV54" s="116"/>
      <c r="BW54" s="116"/>
      <c r="BX54" s="116"/>
      <c r="BY54" s="116"/>
      <c r="BZ54" s="116"/>
      <c r="CA54" s="116">
        <v>0.0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105</v>
      </c>
      <c r="D55" s="137">
        <v>15.0</v>
      </c>
      <c r="E55" s="138">
        <v>48.0</v>
      </c>
      <c r="F55" s="139">
        <v>16.0</v>
      </c>
      <c r="G55" s="140">
        <v>2.3666666666666667</v>
      </c>
      <c r="H55" s="139">
        <v>12.5</v>
      </c>
      <c r="I55" s="141">
        <v>35.0</v>
      </c>
      <c r="J55" s="142">
        <v>0.0</v>
      </c>
      <c r="K55" s="143">
        <v>0.5</v>
      </c>
      <c r="L55" s="144">
        <v>1.0</v>
      </c>
      <c r="M55" s="145">
        <v>5.0</v>
      </c>
      <c r="N55" s="145">
        <v>1.0</v>
      </c>
      <c r="O55" s="146">
        <v>4.0</v>
      </c>
      <c r="P55" s="147"/>
      <c r="Q55" s="148"/>
      <c r="R55" s="148"/>
      <c r="S55" s="149"/>
      <c r="T55" s="192">
        <v>14.75</v>
      </c>
      <c r="U55" s="193"/>
      <c r="V55" s="151"/>
      <c r="W55" s="151"/>
      <c r="X55" s="151">
        <v>22.5</v>
      </c>
      <c r="Y55" s="151"/>
      <c r="Z55" s="152"/>
      <c r="AA55" s="152"/>
      <c r="AB55" s="151"/>
      <c r="AC55" s="151"/>
      <c r="AD55" s="151"/>
      <c r="AE55" s="151"/>
      <c r="AF55" s="151"/>
      <c r="AG55" s="151"/>
      <c r="AH55" s="151">
        <v>10.75</v>
      </c>
      <c r="AI55" s="151"/>
      <c r="AJ55" s="151"/>
      <c r="AK55" s="152"/>
      <c r="AL55" s="152">
        <v>0.0</v>
      </c>
      <c r="AM55" s="151"/>
      <c r="AN55" s="151"/>
      <c r="AO55" s="151"/>
      <c r="AP55" s="151"/>
      <c r="AQ55" s="151"/>
      <c r="AR55" s="151">
        <v>0.0</v>
      </c>
      <c r="AS55" s="151"/>
      <c r="AT55" s="151"/>
      <c r="AU55" s="152">
        <v>0.0</v>
      </c>
      <c r="AV55" s="152"/>
      <c r="AW55" s="151"/>
      <c r="AX55" s="151"/>
      <c r="AY55" s="151"/>
      <c r="AZ55" s="153"/>
      <c r="BA55" s="153">
        <v>0.0</v>
      </c>
      <c r="BB55" s="153"/>
      <c r="BC55" s="153"/>
      <c r="BD55" s="153"/>
      <c r="BE55" s="141"/>
      <c r="BF55" s="141"/>
      <c r="BG55" s="141"/>
      <c r="BH55" s="141"/>
      <c r="BI55" s="141"/>
      <c r="BJ55" s="141">
        <v>0.0</v>
      </c>
      <c r="BK55" s="141"/>
      <c r="BL55" s="141"/>
      <c r="BM55" s="141"/>
      <c r="BN55" s="141"/>
      <c r="BO55" s="141"/>
      <c r="BP55" s="189"/>
      <c r="BQ55" s="116">
        <v>0.0</v>
      </c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85</v>
      </c>
      <c r="D56" s="119">
        <v>20.0</v>
      </c>
      <c r="E56" s="120">
        <v>62.25</v>
      </c>
      <c r="F56" s="121">
        <v>15.5625</v>
      </c>
      <c r="G56" s="122">
        <v>2.4875</v>
      </c>
      <c r="H56" s="121">
        <v>12.5</v>
      </c>
      <c r="I56" s="123">
        <v>49.75</v>
      </c>
      <c r="J56" s="124">
        <v>0.0</v>
      </c>
      <c r="K56" s="125">
        <v>0.0</v>
      </c>
      <c r="L56" s="126">
        <v>0.0</v>
      </c>
      <c r="M56" s="127">
        <v>5.0</v>
      </c>
      <c r="N56" s="127">
        <v>2.0</v>
      </c>
      <c r="O56" s="128">
        <v>2.0</v>
      </c>
      <c r="P56" s="129"/>
      <c r="Q56" s="130"/>
      <c r="R56" s="130"/>
      <c r="S56" s="131"/>
      <c r="T56" s="190"/>
      <c r="U56" s="191">
        <v>14.25</v>
      </c>
      <c r="V56" s="133"/>
      <c r="W56" s="133">
        <v>16.5</v>
      </c>
      <c r="X56" s="134"/>
      <c r="Y56" s="133">
        <v>15.75</v>
      </c>
      <c r="Z56" s="133"/>
      <c r="AA56" s="133"/>
      <c r="AB56" s="133"/>
      <c r="AC56" s="134">
        <v>15.75</v>
      </c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>
        <v>0.0</v>
      </c>
      <c r="AS56" s="133"/>
      <c r="AT56" s="133"/>
      <c r="AU56" s="133"/>
      <c r="AV56" s="133"/>
      <c r="AW56" s="133"/>
      <c r="AX56" s="133"/>
      <c r="AY56" s="133"/>
      <c r="AZ56" s="135">
        <v>0.0</v>
      </c>
      <c r="BA56" s="135"/>
      <c r="BB56" s="135"/>
      <c r="BC56" s="135"/>
      <c r="BD56" s="135"/>
      <c r="BE56" s="123"/>
      <c r="BF56" s="123"/>
      <c r="BG56" s="123">
        <v>0.0</v>
      </c>
      <c r="BH56" s="123"/>
      <c r="BI56" s="123"/>
      <c r="BJ56" s="123"/>
      <c r="BK56" s="123"/>
      <c r="BL56" s="123">
        <v>0.0</v>
      </c>
      <c r="BM56" s="123"/>
      <c r="BN56" s="123"/>
      <c r="BO56" s="123">
        <v>0.0</v>
      </c>
      <c r="BP56" s="189"/>
      <c r="BQ56" s="116"/>
      <c r="BR56" s="116"/>
      <c r="BS56" s="116"/>
      <c r="BT56" s="116"/>
      <c r="BU56" s="116"/>
      <c r="BV56" s="116"/>
      <c r="BW56" s="116"/>
      <c r="BX56" s="116"/>
      <c r="BY56" s="116">
        <v>0.0</v>
      </c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95</v>
      </c>
      <c r="D57" s="137">
        <v>15.0</v>
      </c>
      <c r="E57" s="138">
        <v>46.25</v>
      </c>
      <c r="F57" s="139">
        <v>15.416666666666668</v>
      </c>
      <c r="G57" s="140">
        <v>2.5833333333333335</v>
      </c>
      <c r="H57" s="139">
        <v>7.5</v>
      </c>
      <c r="I57" s="141">
        <v>37.25</v>
      </c>
      <c r="J57" s="142">
        <v>0.5</v>
      </c>
      <c r="K57" s="143">
        <v>1.0</v>
      </c>
      <c r="L57" s="144">
        <v>2.0</v>
      </c>
      <c r="M57" s="145">
        <v>3.0</v>
      </c>
      <c r="N57" s="145">
        <v>1.0</v>
      </c>
      <c r="O57" s="146">
        <v>6.0</v>
      </c>
      <c r="P57" s="147"/>
      <c r="Q57" s="148"/>
      <c r="R57" s="148"/>
      <c r="S57" s="149"/>
      <c r="T57" s="192"/>
      <c r="U57" s="193"/>
      <c r="V57" s="151">
        <v>15.5</v>
      </c>
      <c r="W57" s="151"/>
      <c r="X57" s="151">
        <v>16.75</v>
      </c>
      <c r="Y57" s="151"/>
      <c r="Z57" s="152"/>
      <c r="AA57" s="152"/>
      <c r="AB57" s="151"/>
      <c r="AC57" s="151"/>
      <c r="AD57" s="151">
        <v>14.0</v>
      </c>
      <c r="AE57" s="151"/>
      <c r="AF57" s="151"/>
      <c r="AG57" s="151"/>
      <c r="AH57" s="151"/>
      <c r="AI57" s="151"/>
      <c r="AJ57" s="151"/>
      <c r="AK57" s="152">
        <v>0.0</v>
      </c>
      <c r="AL57" s="152"/>
      <c r="AM57" s="151"/>
      <c r="AN57" s="151"/>
      <c r="AO57" s="151"/>
      <c r="AP57" s="151"/>
      <c r="AQ57" s="151"/>
      <c r="AR57" s="151"/>
      <c r="AS57" s="151"/>
      <c r="AT57" s="151">
        <v>0.0</v>
      </c>
      <c r="AU57" s="152"/>
      <c r="AV57" s="152"/>
      <c r="AW57" s="151"/>
      <c r="AX57" s="151"/>
      <c r="AY57" s="151">
        <v>0.0</v>
      </c>
      <c r="AZ57" s="153"/>
      <c r="BA57" s="153"/>
      <c r="BB57" s="153"/>
      <c r="BC57" s="153"/>
      <c r="BD57" s="153">
        <v>0.0</v>
      </c>
      <c r="BE57" s="141"/>
      <c r="BF57" s="141"/>
      <c r="BG57" s="141"/>
      <c r="BH57" s="141">
        <v>0.0</v>
      </c>
      <c r="BI57" s="141"/>
      <c r="BJ57" s="141"/>
      <c r="BK57" s="141"/>
      <c r="BL57" s="141"/>
      <c r="BM57" s="141">
        <v>0.0</v>
      </c>
      <c r="BN57" s="141"/>
      <c r="BO57" s="141"/>
      <c r="BP57" s="189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>
        <v>0.0</v>
      </c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80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/>
      <c r="AK58" s="133"/>
      <c r="AL58" s="133"/>
      <c r="AM58" s="133"/>
      <c r="AN58" s="134"/>
      <c r="AO58" s="133"/>
      <c r="AP58" s="133"/>
      <c r="AQ58" s="133"/>
      <c r="AR58" s="134">
        <v>0.0</v>
      </c>
      <c r="AS58" s="133">
        <v>0.0</v>
      </c>
      <c r="AT58" s="133">
        <v>0.0</v>
      </c>
      <c r="AU58" s="133">
        <v>0.0</v>
      </c>
      <c r="AV58" s="133">
        <v>0.0</v>
      </c>
      <c r="AW58" s="133">
        <v>0.0</v>
      </c>
      <c r="AX58" s="133">
        <v>0.0</v>
      </c>
      <c r="AY58" s="133">
        <v>0.0</v>
      </c>
      <c r="AZ58" s="135">
        <v>0.0</v>
      </c>
      <c r="BA58" s="135">
        <v>0.0</v>
      </c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89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83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>
        <v>0.0</v>
      </c>
      <c r="AK59" s="152">
        <v>0.0</v>
      </c>
      <c r="AL59" s="152">
        <v>0.0</v>
      </c>
      <c r="AM59" s="151">
        <v>0.0</v>
      </c>
      <c r="AN59" s="151"/>
      <c r="AO59" s="151"/>
      <c r="AP59" s="151"/>
      <c r="AQ59" s="151"/>
      <c r="AR59" s="151"/>
      <c r="AS59" s="151"/>
      <c r="AT59" s="151"/>
      <c r="AU59" s="152"/>
      <c r="AV59" s="152"/>
      <c r="AW59" s="151"/>
      <c r="AX59" s="151"/>
      <c r="AY59" s="151"/>
      <c r="AZ59" s="153"/>
      <c r="BA59" s="153"/>
      <c r="BB59" s="153"/>
      <c r="BC59" s="153"/>
      <c r="BD59" s="153"/>
      <c r="BE59" s="141"/>
      <c r="BF59" s="141"/>
      <c r="BG59" s="141"/>
      <c r="BH59" s="141"/>
      <c r="BI59" s="141"/>
      <c r="BJ59" s="141"/>
      <c r="BK59" s="141"/>
      <c r="BL59" s="141">
        <v>0.0</v>
      </c>
      <c r="BM59" s="141">
        <v>0.0</v>
      </c>
      <c r="BN59" s="141">
        <v>0.0</v>
      </c>
      <c r="BO59" s="141"/>
      <c r="BP59" s="189"/>
      <c r="BQ59" s="116"/>
      <c r="BR59" s="116"/>
      <c r="BS59" s="116"/>
      <c r="BT59" s="116"/>
      <c r="BU59" s="116"/>
      <c r="BV59" s="116">
        <v>0.0</v>
      </c>
      <c r="BW59" s="116">
        <v>0.0</v>
      </c>
      <c r="BX59" s="116">
        <v>0.0</v>
      </c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84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>
        <v>0.0</v>
      </c>
      <c r="AK60" s="133">
        <v>0.0</v>
      </c>
      <c r="AL60" s="133">
        <v>0.0</v>
      </c>
      <c r="AM60" s="133"/>
      <c r="AN60" s="134"/>
      <c r="AO60" s="133"/>
      <c r="AP60" s="133"/>
      <c r="AQ60" s="133"/>
      <c r="AR60" s="134"/>
      <c r="AS60" s="133"/>
      <c r="AT60" s="133"/>
      <c r="AU60" s="133">
        <v>0.0</v>
      </c>
      <c r="AV60" s="133">
        <v>0.0</v>
      </c>
      <c r="AW60" s="133">
        <v>0.0</v>
      </c>
      <c r="AX60" s="133"/>
      <c r="AY60" s="133"/>
      <c r="AZ60" s="135"/>
      <c r="BA60" s="135"/>
      <c r="BB60" s="135"/>
      <c r="BC60" s="135"/>
      <c r="BD60" s="135"/>
      <c r="BE60" s="123">
        <v>0.0</v>
      </c>
      <c r="BF60" s="123">
        <v>0.0</v>
      </c>
      <c r="BG60" s="123">
        <v>0.0</v>
      </c>
      <c r="BH60" s="123">
        <v>0.0</v>
      </c>
      <c r="BI60" s="123"/>
      <c r="BJ60" s="123"/>
      <c r="BK60" s="123"/>
      <c r="BL60" s="123"/>
      <c r="BM60" s="123"/>
      <c r="BN60" s="123"/>
      <c r="BO60" s="123"/>
      <c r="BP60" s="189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93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/>
      <c r="BE61" s="141"/>
      <c r="BF61" s="141"/>
      <c r="BG61" s="141"/>
      <c r="BH61" s="141"/>
      <c r="BI61" s="141"/>
      <c r="BJ61" s="141"/>
      <c r="BK61" s="141"/>
      <c r="BL61" s="141"/>
      <c r="BM61" s="141">
        <v>0.0</v>
      </c>
      <c r="BN61" s="141">
        <v>0.0</v>
      </c>
      <c r="BO61" s="141">
        <v>0.0</v>
      </c>
      <c r="BP61" s="189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/>
      <c r="AI62" s="133">
        <v>0.0</v>
      </c>
      <c r="AJ62" s="133">
        <v>0.0</v>
      </c>
      <c r="AK62" s="133">
        <v>0.0</v>
      </c>
      <c r="AL62" s="133">
        <v>0.0</v>
      </c>
      <c r="AM62" s="133"/>
      <c r="AN62" s="134"/>
      <c r="AO62" s="133"/>
      <c r="AP62" s="133"/>
      <c r="AQ62" s="133"/>
      <c r="AR62" s="134"/>
      <c r="AS62" s="133"/>
      <c r="AT62" s="133"/>
      <c r="AU62" s="133"/>
      <c r="AV62" s="133"/>
      <c r="AW62" s="133"/>
      <c r="AX62" s="133"/>
      <c r="AY62" s="133"/>
      <c r="AZ62" s="135"/>
      <c r="BA62" s="135"/>
      <c r="BB62" s="135"/>
      <c r="BC62" s="135"/>
      <c r="BD62" s="135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>
        <v>0.0</v>
      </c>
      <c r="BO62" s="123">
        <v>0.0</v>
      </c>
      <c r="BP62" s="189">
        <v>0.0</v>
      </c>
      <c r="BQ62" s="116">
        <v>0.0</v>
      </c>
      <c r="BR62" s="116">
        <v>0.0</v>
      </c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109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>
        <v>0.0</v>
      </c>
      <c r="AO63" s="151">
        <v>0.0</v>
      </c>
      <c r="AP63" s="151"/>
      <c r="AQ63" s="151"/>
      <c r="AR63" s="151"/>
      <c r="AS63" s="151"/>
      <c r="AT63" s="151"/>
      <c r="AU63" s="152"/>
      <c r="AV63" s="152">
        <v>0.0</v>
      </c>
      <c r="AW63" s="151">
        <v>0.0</v>
      </c>
      <c r="AX63" s="151">
        <v>0.0</v>
      </c>
      <c r="AY63" s="151">
        <v>0.0</v>
      </c>
      <c r="AZ63" s="153"/>
      <c r="BA63" s="153"/>
      <c r="BB63" s="153"/>
      <c r="BC63" s="153"/>
      <c r="BD63" s="153"/>
      <c r="BE63" s="141">
        <v>0.0</v>
      </c>
      <c r="BF63" s="141">
        <v>0.0</v>
      </c>
      <c r="BG63" s="141">
        <v>0.0</v>
      </c>
      <c r="BH63" s="141">
        <v>0.0</v>
      </c>
      <c r="BI63" s="141"/>
      <c r="BJ63" s="141"/>
      <c r="BK63" s="141"/>
      <c r="BL63" s="141"/>
      <c r="BM63" s="141"/>
      <c r="BN63" s="141"/>
      <c r="BO63" s="141"/>
      <c r="BP63" s="189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89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89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89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89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89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Артик</v>
      </c>
      <c r="C9" s="243">
        <v>20.0</v>
      </c>
      <c r="D9" s="101">
        <v>99.75</v>
      </c>
      <c r="E9" s="101">
        <v>24.9375</v>
      </c>
      <c r="F9" s="244">
        <f t="shared" ref="F9:F14" si="1">(40-C9)/5</f>
        <v>4</v>
      </c>
      <c r="G9" s="245">
        <f t="shared" ref="G9:G14" si="2">$D$80-D9</f>
        <v>87.25</v>
      </c>
      <c r="H9" s="246">
        <f t="shared" ref="H9:H68" si="3">IFERROR(G9/F9,"-")</f>
        <v>21.8125</v>
      </c>
      <c r="I9" s="99">
        <f t="shared" ref="I9:I25" si="4">$I$80-D9</f>
        <v>64.25</v>
      </c>
      <c r="J9" s="247">
        <f t="shared" ref="J9:J68" si="5">IFERROR(I9/F9,"-")</f>
        <v>16.0625</v>
      </c>
      <c r="K9" s="246">
        <f>MAX('Турнирная таблица по среднему б'!T9:BO9)</f>
        <v>29.25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""))"),"Мишель ")</f>
        <v>Мишель </v>
      </c>
      <c r="N9" s="249">
        <f>IFERROR(__xludf.DUMMYFUNCTION("""COMPUTED_VALUE"""),20.0)</f>
        <v>20</v>
      </c>
      <c r="O9" s="250">
        <f>IFERROR(__xludf.DUMMYFUNCTION("""COMPUTED_VALUE"""),75.25)</f>
        <v>75.25</v>
      </c>
      <c r="P9" s="251">
        <f t="shared" ref="P9:P12" si="6">$D$80-O9</f>
        <v>111.75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IFERROR(__xludf.DUMMYFUNCTION("""COMPUTED_VALUE"""),15.0)</f>
        <v>15</v>
      </c>
      <c r="T9" s="254">
        <f>IFERROR(__xludf.DUMMYFUNCTION("""COMPUTED_VALUE"""),61.0)</f>
        <v>61</v>
      </c>
      <c r="U9" s="255">
        <f t="shared" ref="U9:U18" si="7">$I$80-T9</f>
        <v>103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79</v>
      </c>
      <c r="C10" s="257">
        <v>10.0</v>
      </c>
      <c r="D10" s="123">
        <v>49.75</v>
      </c>
      <c r="E10" s="123">
        <v>24.875</v>
      </c>
      <c r="F10" s="258">
        <f t="shared" si="1"/>
        <v>6</v>
      </c>
      <c r="G10" s="259">
        <f t="shared" si="2"/>
        <v>137.25</v>
      </c>
      <c r="H10" s="260">
        <f t="shared" si="3"/>
        <v>22.875</v>
      </c>
      <c r="I10" s="261">
        <f t="shared" si="4"/>
        <v>114.25</v>
      </c>
      <c r="J10" s="260">
        <f t="shared" si="5"/>
        <v>19.04166667</v>
      </c>
      <c r="K10" s="262">
        <f>MAX('Турнирная таблица по среднему б'!T10:BO10)</f>
        <v>27</v>
      </c>
      <c r="L10" s="226"/>
      <c r="M10" s="263" t="str">
        <f>IFERROR(__xludf.DUMMYFUNCTION("""COMPUTED_VALUE"""),"Тихий закат")</f>
        <v>Тихий закат</v>
      </c>
      <c r="N10" s="264">
        <f>IFERROR(__xludf.DUMMYFUNCTION("""COMPUTED_VALUE"""),15.0)</f>
        <v>15</v>
      </c>
      <c r="O10" s="265">
        <f>IFERROR(__xludf.DUMMYFUNCTION("""COMPUTED_VALUE"""),57.25)</f>
        <v>57.25</v>
      </c>
      <c r="P10" s="251">
        <f t="shared" si="6"/>
        <v>129.75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IFERROR(__xludf.DUMMYFUNCTION("""COMPUTED_VALUE"""),10.0)</f>
        <v>10</v>
      </c>
      <c r="T10" s="268">
        <f>IFERROR(__xludf.DUMMYFUNCTION("""COMPUTED_VALUE"""),36.0)</f>
        <v>36</v>
      </c>
      <c r="U10" s="269">
        <f t="shared" si="7"/>
        <v>128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92</v>
      </c>
      <c r="C11" s="270">
        <v>5.0</v>
      </c>
      <c r="D11" s="141">
        <v>24.5</v>
      </c>
      <c r="E11" s="141">
        <v>24.5</v>
      </c>
      <c r="F11" s="244">
        <f t="shared" si="1"/>
        <v>7</v>
      </c>
      <c r="G11" s="245">
        <f t="shared" si="2"/>
        <v>162.5</v>
      </c>
      <c r="H11" s="100">
        <f t="shared" si="3"/>
        <v>23.21428571</v>
      </c>
      <c r="I11" s="99">
        <f t="shared" si="4"/>
        <v>139.5</v>
      </c>
      <c r="J11" s="100">
        <f t="shared" si="5"/>
        <v>19.92857143</v>
      </c>
      <c r="K11" s="246">
        <f>MAX('Турнирная таблица по среднему б'!T11:BO11)</f>
        <v>24.5</v>
      </c>
      <c r="L11" s="226"/>
      <c r="M11" s="271" t="str">
        <f>IFERROR(__xludf.DUMMYFUNCTION("""COMPUTED_VALUE"""),"SOVEST")</f>
        <v>SOVEST</v>
      </c>
      <c r="N11" s="272">
        <f>IFERROR(__xludf.DUMMYFUNCTION("""COMPUTED_VALUE"""),10.0)</f>
        <v>10</v>
      </c>
      <c r="O11" s="273">
        <f>IFERROR(__xludf.DUMMYFUNCTION("""COMPUTED_VALUE"""),37.0)</f>
        <v>37</v>
      </c>
      <c r="P11" s="274">
        <f t="shared" si="6"/>
        <v>150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164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123</v>
      </c>
      <c r="C12" s="257">
        <v>15.0</v>
      </c>
      <c r="D12" s="123">
        <v>73.0</v>
      </c>
      <c r="E12" s="123">
        <v>24.333333333333332</v>
      </c>
      <c r="F12" s="258">
        <f t="shared" si="1"/>
        <v>5</v>
      </c>
      <c r="G12" s="259">
        <f t="shared" si="2"/>
        <v>114</v>
      </c>
      <c r="H12" s="260">
        <f t="shared" si="3"/>
        <v>22.8</v>
      </c>
      <c r="I12" s="261">
        <f t="shared" si="4"/>
        <v>91</v>
      </c>
      <c r="J12" s="260">
        <f t="shared" si="5"/>
        <v>18.2</v>
      </c>
      <c r="K12" s="262">
        <f>MAX('Турнирная таблица по среднему б'!T12:BO12)</f>
        <v>26.5</v>
      </c>
      <c r="L12" s="226"/>
      <c r="M12" s="275"/>
      <c r="N12" s="276"/>
      <c r="O12" s="277"/>
      <c r="P12" s="278">
        <f t="shared" si="6"/>
        <v>187</v>
      </c>
      <c r="Q12" s="226"/>
      <c r="R12" s="266"/>
      <c r="S12" s="267"/>
      <c r="T12" s="268"/>
      <c r="U12" s="269">
        <f t="shared" si="7"/>
        <v>164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124</v>
      </c>
      <c r="C13" s="270">
        <v>15.0</v>
      </c>
      <c r="D13" s="141">
        <v>71.5</v>
      </c>
      <c r="E13" s="141">
        <v>23.833333333333332</v>
      </c>
      <c r="F13" s="244">
        <f t="shared" si="1"/>
        <v>5</v>
      </c>
      <c r="G13" s="245">
        <f t="shared" si="2"/>
        <v>115.5</v>
      </c>
      <c r="H13" s="100">
        <f t="shared" si="3"/>
        <v>23.1</v>
      </c>
      <c r="I13" s="99">
        <f t="shared" si="4"/>
        <v>92.5</v>
      </c>
      <c r="J13" s="100">
        <f t="shared" si="5"/>
        <v>18.5</v>
      </c>
      <c r="K13" s="246">
        <f>MAX('Турнирная таблица по среднему б'!T13:BO13)</f>
        <v>28.75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164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90</v>
      </c>
      <c r="C14" s="257">
        <v>10.0</v>
      </c>
      <c r="D14" s="123">
        <v>47.0</v>
      </c>
      <c r="E14" s="123">
        <v>23.5</v>
      </c>
      <c r="F14" s="258">
        <f t="shared" si="1"/>
        <v>6</v>
      </c>
      <c r="G14" s="259">
        <f t="shared" si="2"/>
        <v>140</v>
      </c>
      <c r="H14" s="260">
        <f t="shared" si="3"/>
        <v>23.33333333</v>
      </c>
      <c r="I14" s="261">
        <f t="shared" si="4"/>
        <v>117</v>
      </c>
      <c r="J14" s="260">
        <f t="shared" si="5"/>
        <v>19.5</v>
      </c>
      <c r="K14" s="262">
        <f>MAX('Турнирная таблица по среднему б'!T14:BO14)</f>
        <v>25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164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116</v>
      </c>
      <c r="C15" s="286">
        <v>20.0</v>
      </c>
      <c r="D15" s="175">
        <v>93.5</v>
      </c>
      <c r="E15" s="175">
        <v>23.375</v>
      </c>
      <c r="F15" s="287">
        <f>(40-C15)</f>
        <v>20</v>
      </c>
      <c r="G15" s="288">
        <f>171.25-D15</f>
        <v>77.75</v>
      </c>
      <c r="H15" s="289">
        <f t="shared" si="3"/>
        <v>3.8875</v>
      </c>
      <c r="I15" s="290">
        <f t="shared" si="4"/>
        <v>70.5</v>
      </c>
      <c r="J15" s="289">
        <f t="shared" si="5"/>
        <v>3.525</v>
      </c>
      <c r="K15" s="291">
        <f>MAX('Турнирная таблица по среднему б'!T15:BO15)</f>
        <v>29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164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107</v>
      </c>
      <c r="C16" s="297">
        <v>30.0</v>
      </c>
      <c r="D16" s="298">
        <v>139.75</v>
      </c>
      <c r="E16" s="298">
        <v>23.291666666666664</v>
      </c>
      <c r="F16" s="258">
        <f t="shared" ref="F16:F19" si="8">(40-C16)/5</f>
        <v>2</v>
      </c>
      <c r="G16" s="259">
        <f t="shared" ref="G16:G19" si="9">$D$80-D16</f>
        <v>47.25</v>
      </c>
      <c r="H16" s="260">
        <f t="shared" si="3"/>
        <v>23.625</v>
      </c>
      <c r="I16" s="261">
        <f t="shared" si="4"/>
        <v>24.25</v>
      </c>
      <c r="J16" s="260">
        <f t="shared" si="5"/>
        <v>12.125</v>
      </c>
      <c r="K16" s="262">
        <f>MAX('Турнирная таблица по среднему б'!T16:BO16)</f>
        <v>30.75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164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87</v>
      </c>
      <c r="C17" s="270">
        <v>25.0</v>
      </c>
      <c r="D17" s="141">
        <v>113.75</v>
      </c>
      <c r="E17" s="141">
        <v>22.75</v>
      </c>
      <c r="F17" s="244">
        <f t="shared" si="8"/>
        <v>3</v>
      </c>
      <c r="G17" s="245">
        <f t="shared" si="9"/>
        <v>73.25</v>
      </c>
      <c r="H17" s="100">
        <f t="shared" si="3"/>
        <v>24.41666667</v>
      </c>
      <c r="I17" s="99">
        <f t="shared" si="4"/>
        <v>50.25</v>
      </c>
      <c r="J17" s="100">
        <f t="shared" si="5"/>
        <v>16.75</v>
      </c>
      <c r="K17" s="246">
        <f>MAX('Турнирная таблица по среднему б'!T17:BO17)</f>
        <v>28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164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97</v>
      </c>
      <c r="C18" s="257">
        <v>10.0</v>
      </c>
      <c r="D18" s="123">
        <v>45.25</v>
      </c>
      <c r="E18" s="123">
        <v>22.625</v>
      </c>
      <c r="F18" s="258">
        <f t="shared" si="8"/>
        <v>6</v>
      </c>
      <c r="G18" s="259">
        <f t="shared" si="9"/>
        <v>141.75</v>
      </c>
      <c r="H18" s="260">
        <f t="shared" si="3"/>
        <v>23.625</v>
      </c>
      <c r="I18" s="261">
        <f t="shared" si="4"/>
        <v>118.75</v>
      </c>
      <c r="J18" s="260">
        <f t="shared" si="5"/>
        <v>19.79166667</v>
      </c>
      <c r="K18" s="262">
        <f>MAX('Турнирная таблица по среднему б'!T18:BO18)</f>
        <v>26.75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164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81</v>
      </c>
      <c r="C19" s="270">
        <v>15.0</v>
      </c>
      <c r="D19" s="141">
        <v>67.0</v>
      </c>
      <c r="E19" s="141">
        <v>22.333333333333336</v>
      </c>
      <c r="F19" s="244">
        <f t="shared" si="8"/>
        <v>5</v>
      </c>
      <c r="G19" s="245">
        <f t="shared" si="9"/>
        <v>120</v>
      </c>
      <c r="H19" s="100">
        <f t="shared" si="3"/>
        <v>24</v>
      </c>
      <c r="I19" s="99">
        <f t="shared" si="4"/>
        <v>97</v>
      </c>
      <c r="J19" s="100">
        <f t="shared" si="5"/>
        <v>19.4</v>
      </c>
      <c r="K19" s="246">
        <f>MAX('Турнирная таблица по среднему б'!T19:BO19)</f>
        <v>25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91</v>
      </c>
      <c r="C20" s="257">
        <v>15.0</v>
      </c>
      <c r="D20" s="123">
        <v>65.75</v>
      </c>
      <c r="E20" s="123">
        <v>21.916666666666668</v>
      </c>
      <c r="F20" s="258">
        <f t="shared" ref="F20:F68" si="10">(40-C20)</f>
        <v>25</v>
      </c>
      <c r="G20" s="259">
        <f>171.25-D20</f>
        <v>105.5</v>
      </c>
      <c r="H20" s="260">
        <f t="shared" si="3"/>
        <v>4.22</v>
      </c>
      <c r="I20" s="261">
        <f t="shared" si="4"/>
        <v>98.25</v>
      </c>
      <c r="J20" s="260">
        <f t="shared" si="5"/>
        <v>3.93</v>
      </c>
      <c r="K20" s="262">
        <f>MAX('Турнирная таблица по среднему б'!T20:BO20)</f>
        <v>23.25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136</v>
      </c>
      <c r="C21" s="270">
        <v>15.0</v>
      </c>
      <c r="D21" s="141">
        <v>65.5</v>
      </c>
      <c r="E21" s="141">
        <v>21.833333333333332</v>
      </c>
      <c r="F21" s="258">
        <f t="shared" si="10"/>
        <v>25</v>
      </c>
      <c r="G21" s="245">
        <f t="shared" ref="G21:G25" si="11">$D$80-D21</f>
        <v>121.5</v>
      </c>
      <c r="H21" s="100">
        <f t="shared" si="3"/>
        <v>4.86</v>
      </c>
      <c r="I21" s="99">
        <f t="shared" si="4"/>
        <v>98.5</v>
      </c>
      <c r="J21" s="100">
        <f t="shared" si="5"/>
        <v>3.94</v>
      </c>
      <c r="K21" s="246">
        <f>MAX('Турнирная таблица по среднему б'!T21:BO21)</f>
        <v>27.75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102</v>
      </c>
      <c r="C22" s="257">
        <v>15.0</v>
      </c>
      <c r="D22" s="123">
        <v>64.75</v>
      </c>
      <c r="E22" s="123">
        <v>21.583333333333332</v>
      </c>
      <c r="F22" s="258">
        <f t="shared" si="10"/>
        <v>25</v>
      </c>
      <c r="G22" s="259">
        <f t="shared" si="11"/>
        <v>122.25</v>
      </c>
      <c r="H22" s="260">
        <f t="shared" si="3"/>
        <v>4.89</v>
      </c>
      <c r="I22" s="261">
        <f t="shared" si="4"/>
        <v>99.25</v>
      </c>
      <c r="J22" s="260">
        <f t="shared" si="5"/>
        <v>3.97</v>
      </c>
      <c r="K22" s="262">
        <f>MAX('Турнирная таблица по среднему б'!T22:BO22)</f>
        <v>23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89</v>
      </c>
      <c r="C23" s="270">
        <v>20.0</v>
      </c>
      <c r="D23" s="141">
        <v>85.5</v>
      </c>
      <c r="E23" s="141">
        <v>21.375</v>
      </c>
      <c r="F23" s="258">
        <f t="shared" si="10"/>
        <v>20</v>
      </c>
      <c r="G23" s="245">
        <f t="shared" si="11"/>
        <v>101.5</v>
      </c>
      <c r="H23" s="100">
        <f t="shared" si="3"/>
        <v>5.075</v>
      </c>
      <c r="I23" s="99">
        <f t="shared" si="4"/>
        <v>78.5</v>
      </c>
      <c r="J23" s="100">
        <f t="shared" si="5"/>
        <v>3.925</v>
      </c>
      <c r="K23" s="246">
        <f>MAX('Турнирная таблица по среднему б'!T23:BO23)</f>
        <v>24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138</v>
      </c>
      <c r="C24" s="257">
        <v>20.0</v>
      </c>
      <c r="D24" s="123">
        <v>83.25</v>
      </c>
      <c r="E24" s="123">
        <v>20.8125</v>
      </c>
      <c r="F24" s="258">
        <f t="shared" si="10"/>
        <v>20</v>
      </c>
      <c r="G24" s="259">
        <f t="shared" si="11"/>
        <v>103.75</v>
      </c>
      <c r="H24" s="260">
        <f t="shared" si="3"/>
        <v>5.1875</v>
      </c>
      <c r="I24" s="261">
        <f t="shared" si="4"/>
        <v>80.75</v>
      </c>
      <c r="J24" s="260">
        <f t="shared" si="5"/>
        <v>4.0375</v>
      </c>
      <c r="K24" s="262">
        <f>MAX('Турнирная таблица по среднему б'!T24:BO24)</f>
        <v>26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104</v>
      </c>
      <c r="C25" s="286">
        <v>15.0</v>
      </c>
      <c r="D25" s="175">
        <v>61.5</v>
      </c>
      <c r="E25" s="175">
        <v>20.5</v>
      </c>
      <c r="F25" s="258">
        <f t="shared" si="10"/>
        <v>25</v>
      </c>
      <c r="G25" s="288">
        <f t="shared" si="11"/>
        <v>125.5</v>
      </c>
      <c r="H25" s="289">
        <f t="shared" si="3"/>
        <v>5.02</v>
      </c>
      <c r="I25" s="290">
        <f t="shared" si="4"/>
        <v>102.5</v>
      </c>
      <c r="J25" s="289">
        <f t="shared" si="5"/>
        <v>4.1</v>
      </c>
      <c r="K25" s="291">
        <f>MAX('Турнирная таблица по среднему б'!T25:BO25)</f>
        <v>24.75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88</v>
      </c>
      <c r="C26" s="297">
        <v>25.0</v>
      </c>
      <c r="D26" s="298">
        <v>101.75</v>
      </c>
      <c r="E26" s="298">
        <v>20.35</v>
      </c>
      <c r="F26" s="258">
        <f t="shared" si="10"/>
        <v>15</v>
      </c>
      <c r="G26" s="259">
        <f>171.25-D26</f>
        <v>69.5</v>
      </c>
      <c r="H26" s="260">
        <f t="shared" si="3"/>
        <v>4.633333333</v>
      </c>
      <c r="I26" s="261">
        <f>D25-D26</f>
        <v>-40.25</v>
      </c>
      <c r="J26" s="260">
        <f t="shared" si="5"/>
        <v>-2.683333333</v>
      </c>
      <c r="K26" s="262">
        <f>MAX('Турнирная таблица по среднему б'!T26:BO26)</f>
        <v>27.75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110</v>
      </c>
      <c r="C27" s="270">
        <v>15.0</v>
      </c>
      <c r="D27" s="141">
        <v>61.0</v>
      </c>
      <c r="E27" s="141">
        <v>20.333333333333332</v>
      </c>
      <c r="F27" s="258">
        <f t="shared" si="10"/>
        <v>25</v>
      </c>
      <c r="G27" s="245">
        <f t="shared" ref="G27:G68" si="12">$D$80-D27</f>
        <v>126</v>
      </c>
      <c r="H27" s="100">
        <f t="shared" si="3"/>
        <v>5.04</v>
      </c>
      <c r="I27" s="99">
        <f t="shared" ref="I27:I68" si="13">$I$80-D27</f>
        <v>103</v>
      </c>
      <c r="J27" s="100">
        <f t="shared" si="5"/>
        <v>4.12</v>
      </c>
      <c r="K27" s="246">
        <f>MAX('Турнирная таблица по среднему б'!T27:BO27)</f>
        <v>25.25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127</v>
      </c>
      <c r="C28" s="257">
        <v>10.0</v>
      </c>
      <c r="D28" s="123">
        <v>39.75</v>
      </c>
      <c r="E28" s="123">
        <v>19.875</v>
      </c>
      <c r="F28" s="258">
        <f t="shared" si="10"/>
        <v>30</v>
      </c>
      <c r="G28" s="259">
        <f t="shared" si="12"/>
        <v>147.25</v>
      </c>
      <c r="H28" s="260">
        <f t="shared" si="3"/>
        <v>4.908333333</v>
      </c>
      <c r="I28" s="261">
        <f t="shared" si="13"/>
        <v>124.25</v>
      </c>
      <c r="J28" s="260">
        <f t="shared" si="5"/>
        <v>4.141666667</v>
      </c>
      <c r="K28" s="262">
        <f>MAX('Турнирная таблица по среднему б'!T28:BO28)</f>
        <v>21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132</v>
      </c>
      <c r="C29" s="270">
        <v>15.0</v>
      </c>
      <c r="D29" s="141">
        <v>58.75</v>
      </c>
      <c r="E29" s="141">
        <v>19.583333333333332</v>
      </c>
      <c r="F29" s="258">
        <f t="shared" si="10"/>
        <v>25</v>
      </c>
      <c r="G29" s="245">
        <f t="shared" si="12"/>
        <v>128.25</v>
      </c>
      <c r="H29" s="100">
        <f t="shared" si="3"/>
        <v>5.13</v>
      </c>
      <c r="I29" s="99">
        <f t="shared" si="13"/>
        <v>105.25</v>
      </c>
      <c r="J29" s="100">
        <f t="shared" si="5"/>
        <v>4.21</v>
      </c>
      <c r="K29" s="246">
        <f>MAX('Турнирная таблица по среднему б'!T29:BO29)</f>
        <v>22.25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96</v>
      </c>
      <c r="C30" s="257">
        <v>15.0</v>
      </c>
      <c r="D30" s="123">
        <v>58.25</v>
      </c>
      <c r="E30" s="123">
        <v>19.416666666666668</v>
      </c>
      <c r="F30" s="258">
        <f t="shared" si="10"/>
        <v>25</v>
      </c>
      <c r="G30" s="259">
        <f t="shared" si="12"/>
        <v>128.75</v>
      </c>
      <c r="H30" s="260">
        <f t="shared" si="3"/>
        <v>5.15</v>
      </c>
      <c r="I30" s="261">
        <f t="shared" si="13"/>
        <v>105.75</v>
      </c>
      <c r="J30" s="260">
        <f t="shared" si="5"/>
        <v>4.23</v>
      </c>
      <c r="K30" s="262">
        <f>MAX('Турнирная таблица по среднему б'!T30:BO30)</f>
        <v>22.5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128</v>
      </c>
      <c r="C31" s="270">
        <v>15.0</v>
      </c>
      <c r="D31" s="141">
        <v>57.75</v>
      </c>
      <c r="E31" s="141">
        <v>19.25</v>
      </c>
      <c r="F31" s="258">
        <f t="shared" si="10"/>
        <v>25</v>
      </c>
      <c r="G31" s="245">
        <f t="shared" si="12"/>
        <v>129.25</v>
      </c>
      <c r="H31" s="100">
        <f t="shared" si="3"/>
        <v>5.17</v>
      </c>
      <c r="I31" s="99">
        <f t="shared" si="13"/>
        <v>106.25</v>
      </c>
      <c r="J31" s="100">
        <f t="shared" si="5"/>
        <v>4.25</v>
      </c>
      <c r="K31" s="246">
        <f>MAX('Турнирная таблица по среднему б'!T31:BO31)</f>
        <v>20.75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98</v>
      </c>
      <c r="C32" s="257">
        <v>15.0</v>
      </c>
      <c r="D32" s="123">
        <v>57.5</v>
      </c>
      <c r="E32" s="123">
        <v>19.166666666666668</v>
      </c>
      <c r="F32" s="258">
        <f t="shared" si="10"/>
        <v>25</v>
      </c>
      <c r="G32" s="259">
        <f t="shared" si="12"/>
        <v>129.5</v>
      </c>
      <c r="H32" s="260">
        <f t="shared" si="3"/>
        <v>5.18</v>
      </c>
      <c r="I32" s="261">
        <f t="shared" si="13"/>
        <v>106.5</v>
      </c>
      <c r="J32" s="260">
        <f t="shared" si="5"/>
        <v>4.26</v>
      </c>
      <c r="K32" s="262">
        <f>MAX('Турнирная таблица по среднему б'!T32:BO32)</f>
        <v>22.25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106</v>
      </c>
      <c r="C33" s="270">
        <v>15.0</v>
      </c>
      <c r="D33" s="141">
        <v>57.5</v>
      </c>
      <c r="E33" s="141">
        <v>19.166666666666668</v>
      </c>
      <c r="F33" s="258">
        <f t="shared" si="10"/>
        <v>25</v>
      </c>
      <c r="G33" s="245">
        <f t="shared" si="12"/>
        <v>129.5</v>
      </c>
      <c r="H33" s="100">
        <f t="shared" si="3"/>
        <v>5.18</v>
      </c>
      <c r="I33" s="99">
        <f t="shared" si="13"/>
        <v>106.5</v>
      </c>
      <c r="J33" s="100">
        <f t="shared" si="5"/>
        <v>4.26</v>
      </c>
      <c r="K33" s="246">
        <f>MAX('Турнирная таблица по среднему б'!T33:BO33)</f>
        <v>20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129</v>
      </c>
      <c r="C34" s="257">
        <v>15.0</v>
      </c>
      <c r="D34" s="123">
        <v>57.5</v>
      </c>
      <c r="E34" s="123">
        <v>19.166666666666668</v>
      </c>
      <c r="F34" s="258">
        <f t="shared" si="10"/>
        <v>25</v>
      </c>
      <c r="G34" s="259">
        <f t="shared" si="12"/>
        <v>129.5</v>
      </c>
      <c r="H34" s="260">
        <f t="shared" si="3"/>
        <v>5.18</v>
      </c>
      <c r="I34" s="261">
        <f t="shared" si="13"/>
        <v>106.5</v>
      </c>
      <c r="J34" s="260">
        <f t="shared" si="5"/>
        <v>4.26</v>
      </c>
      <c r="K34" s="262">
        <f>MAX('Турнирная таблица по среднему б'!T34:BO34)</f>
        <v>25.25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99</v>
      </c>
      <c r="C35" s="270">
        <v>10.0</v>
      </c>
      <c r="D35" s="141">
        <v>38.25</v>
      </c>
      <c r="E35" s="141">
        <v>19.125</v>
      </c>
      <c r="F35" s="258">
        <f t="shared" si="10"/>
        <v>30</v>
      </c>
      <c r="G35" s="245">
        <f t="shared" si="12"/>
        <v>148.75</v>
      </c>
      <c r="H35" s="100">
        <f t="shared" si="3"/>
        <v>4.958333333</v>
      </c>
      <c r="I35" s="99">
        <f t="shared" si="13"/>
        <v>125.75</v>
      </c>
      <c r="J35" s="100">
        <f t="shared" si="5"/>
        <v>4.191666667</v>
      </c>
      <c r="K35" s="246">
        <f>MAX('Турнирная таблица по среднему б'!T35:BO35)</f>
        <v>23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118</v>
      </c>
      <c r="C36" s="257">
        <v>30.0</v>
      </c>
      <c r="D36" s="123">
        <v>114.75</v>
      </c>
      <c r="E36" s="123">
        <v>19.125</v>
      </c>
      <c r="F36" s="258">
        <f t="shared" si="10"/>
        <v>10</v>
      </c>
      <c r="G36" s="259">
        <f t="shared" si="12"/>
        <v>72.25</v>
      </c>
      <c r="H36" s="260">
        <f t="shared" si="3"/>
        <v>7.225</v>
      </c>
      <c r="I36" s="261">
        <f t="shared" si="13"/>
        <v>49.25</v>
      </c>
      <c r="J36" s="260">
        <f t="shared" si="5"/>
        <v>4.925</v>
      </c>
      <c r="K36" s="262">
        <f>MAX('Турнирная таблица по среднему б'!T36:BO36)</f>
        <v>23.5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111</v>
      </c>
      <c r="C37" s="270">
        <v>15.0</v>
      </c>
      <c r="D37" s="141">
        <v>57.25</v>
      </c>
      <c r="E37" s="141">
        <v>19.083333333333336</v>
      </c>
      <c r="F37" s="258">
        <f t="shared" si="10"/>
        <v>25</v>
      </c>
      <c r="G37" s="245">
        <f t="shared" si="12"/>
        <v>129.75</v>
      </c>
      <c r="H37" s="100">
        <f t="shared" si="3"/>
        <v>5.19</v>
      </c>
      <c r="I37" s="99">
        <f t="shared" si="13"/>
        <v>106.75</v>
      </c>
      <c r="J37" s="100">
        <f t="shared" si="5"/>
        <v>4.27</v>
      </c>
      <c r="K37" s="246">
        <f>MAX('Турнирная таблица по среднему б'!T37:BO37)</f>
        <v>25.5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126</v>
      </c>
      <c r="C38" s="257">
        <v>15.0</v>
      </c>
      <c r="D38" s="123">
        <v>57.0</v>
      </c>
      <c r="E38" s="123">
        <v>19.0</v>
      </c>
      <c r="F38" s="258">
        <f t="shared" si="10"/>
        <v>25</v>
      </c>
      <c r="G38" s="259">
        <f t="shared" si="12"/>
        <v>130</v>
      </c>
      <c r="H38" s="260">
        <f t="shared" si="3"/>
        <v>5.2</v>
      </c>
      <c r="I38" s="261">
        <f t="shared" si="13"/>
        <v>107</v>
      </c>
      <c r="J38" s="260">
        <f t="shared" si="5"/>
        <v>4.28</v>
      </c>
      <c r="K38" s="262">
        <f>MAX('Турнирная таблица по среднему б'!T38:BO38)</f>
        <v>20.5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101</v>
      </c>
      <c r="C39" s="270">
        <v>20.0</v>
      </c>
      <c r="D39" s="141">
        <v>75.25</v>
      </c>
      <c r="E39" s="141">
        <v>18.8125</v>
      </c>
      <c r="F39" s="258">
        <f t="shared" si="10"/>
        <v>20</v>
      </c>
      <c r="G39" s="245">
        <f t="shared" si="12"/>
        <v>111.75</v>
      </c>
      <c r="H39" s="100">
        <f t="shared" si="3"/>
        <v>5.5875</v>
      </c>
      <c r="I39" s="99">
        <f t="shared" si="13"/>
        <v>88.75</v>
      </c>
      <c r="J39" s="100">
        <f t="shared" si="5"/>
        <v>4.4375</v>
      </c>
      <c r="K39" s="246">
        <f>MAX('Турнирная таблица по среднему б'!T39:BO39)</f>
        <v>21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134</v>
      </c>
      <c r="C40" s="257">
        <v>5.0</v>
      </c>
      <c r="D40" s="123">
        <v>18.75</v>
      </c>
      <c r="E40" s="123">
        <v>18.75</v>
      </c>
      <c r="F40" s="258">
        <f t="shared" si="10"/>
        <v>35</v>
      </c>
      <c r="G40" s="259">
        <f t="shared" si="12"/>
        <v>168.25</v>
      </c>
      <c r="H40" s="260">
        <f t="shared" si="3"/>
        <v>4.807142857</v>
      </c>
      <c r="I40" s="261">
        <f t="shared" si="13"/>
        <v>145.25</v>
      </c>
      <c r="J40" s="260">
        <f t="shared" si="5"/>
        <v>4.15</v>
      </c>
      <c r="K40" s="262">
        <f>MAX('Турнирная таблица по среднему б'!T40:BO40)</f>
        <v>18.75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103</v>
      </c>
      <c r="C41" s="270">
        <v>15.0</v>
      </c>
      <c r="D41" s="141">
        <v>56.0</v>
      </c>
      <c r="E41" s="141">
        <v>18.666666666666668</v>
      </c>
      <c r="F41" s="258">
        <f t="shared" si="10"/>
        <v>25</v>
      </c>
      <c r="G41" s="245">
        <f t="shared" si="12"/>
        <v>131</v>
      </c>
      <c r="H41" s="100">
        <f t="shared" si="3"/>
        <v>5.24</v>
      </c>
      <c r="I41" s="99">
        <f t="shared" si="13"/>
        <v>108</v>
      </c>
      <c r="J41" s="100">
        <f t="shared" si="5"/>
        <v>4.32</v>
      </c>
      <c r="K41" s="246">
        <f>MAX('Турнирная таблица по среднему б'!T41:BO41)</f>
        <v>22.5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135</v>
      </c>
      <c r="C42" s="257">
        <v>10.0</v>
      </c>
      <c r="D42" s="123">
        <v>37.0</v>
      </c>
      <c r="E42" s="123">
        <v>18.5</v>
      </c>
      <c r="F42" s="258">
        <f t="shared" si="10"/>
        <v>30</v>
      </c>
      <c r="G42" s="259">
        <f t="shared" si="12"/>
        <v>150</v>
      </c>
      <c r="H42" s="260">
        <f t="shared" si="3"/>
        <v>5</v>
      </c>
      <c r="I42" s="261">
        <f t="shared" si="13"/>
        <v>127</v>
      </c>
      <c r="J42" s="260">
        <f t="shared" si="5"/>
        <v>4.233333333</v>
      </c>
      <c r="K42" s="262">
        <f>MAX('Турнирная таблица по среднему б'!T42:BO42)</f>
        <v>19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131</v>
      </c>
      <c r="C43" s="270">
        <v>20.0</v>
      </c>
      <c r="D43" s="141">
        <v>72.25</v>
      </c>
      <c r="E43" s="141">
        <v>18.0625</v>
      </c>
      <c r="F43" s="258">
        <f t="shared" si="10"/>
        <v>20</v>
      </c>
      <c r="G43" s="245">
        <f t="shared" si="12"/>
        <v>114.75</v>
      </c>
      <c r="H43" s="100">
        <f t="shared" si="3"/>
        <v>5.7375</v>
      </c>
      <c r="I43" s="99">
        <f t="shared" si="13"/>
        <v>91.75</v>
      </c>
      <c r="J43" s="100">
        <f t="shared" si="5"/>
        <v>4.5875</v>
      </c>
      <c r="K43" s="246">
        <f>MAX('Турнирная таблица по среднему б'!T43:BO43)</f>
        <v>23.25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120</v>
      </c>
      <c r="C44" s="257">
        <v>10.0</v>
      </c>
      <c r="D44" s="123">
        <v>36.0</v>
      </c>
      <c r="E44" s="123">
        <v>18.0</v>
      </c>
      <c r="F44" s="258">
        <f t="shared" si="10"/>
        <v>30</v>
      </c>
      <c r="G44" s="259">
        <f t="shared" si="12"/>
        <v>151</v>
      </c>
      <c r="H44" s="260">
        <f t="shared" si="3"/>
        <v>5.033333333</v>
      </c>
      <c r="I44" s="261">
        <f t="shared" si="13"/>
        <v>128</v>
      </c>
      <c r="J44" s="260">
        <f t="shared" si="5"/>
        <v>4.266666667</v>
      </c>
      <c r="K44" s="262">
        <f>MAX('Турнирная таблица по среднему б'!T44:BO44)</f>
        <v>22.5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122</v>
      </c>
      <c r="C45" s="270">
        <v>10.0</v>
      </c>
      <c r="D45" s="141">
        <v>36.0</v>
      </c>
      <c r="E45" s="141">
        <v>18.0</v>
      </c>
      <c r="F45" s="258">
        <f t="shared" si="10"/>
        <v>30</v>
      </c>
      <c r="G45" s="245">
        <f t="shared" si="12"/>
        <v>151</v>
      </c>
      <c r="H45" s="100">
        <f t="shared" si="3"/>
        <v>5.033333333</v>
      </c>
      <c r="I45" s="99">
        <f t="shared" si="13"/>
        <v>128</v>
      </c>
      <c r="J45" s="100">
        <f t="shared" si="5"/>
        <v>4.266666667</v>
      </c>
      <c r="K45" s="246">
        <f>MAX('Турнирная таблица по среднему б'!T45:BO45)</f>
        <v>20.75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86</v>
      </c>
      <c r="C46" s="257">
        <v>15.0</v>
      </c>
      <c r="D46" s="123">
        <v>53.25</v>
      </c>
      <c r="E46" s="123">
        <v>17.75</v>
      </c>
      <c r="F46" s="258">
        <f t="shared" si="10"/>
        <v>25</v>
      </c>
      <c r="G46" s="259">
        <f t="shared" si="12"/>
        <v>133.75</v>
      </c>
      <c r="H46" s="260">
        <f t="shared" si="3"/>
        <v>5.35</v>
      </c>
      <c r="I46" s="261">
        <f t="shared" si="13"/>
        <v>110.75</v>
      </c>
      <c r="J46" s="260">
        <f t="shared" si="5"/>
        <v>4.43</v>
      </c>
      <c r="K46" s="262">
        <f>MAX('Турнирная таблица по среднему б'!T46:BO46)</f>
        <v>21.75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112</v>
      </c>
      <c r="C47" s="270">
        <v>10.0</v>
      </c>
      <c r="D47" s="141">
        <v>35.25</v>
      </c>
      <c r="E47" s="141">
        <v>17.625</v>
      </c>
      <c r="F47" s="258">
        <f t="shared" si="10"/>
        <v>30</v>
      </c>
      <c r="G47" s="245">
        <f t="shared" si="12"/>
        <v>151.75</v>
      </c>
      <c r="H47" s="100">
        <f t="shared" si="3"/>
        <v>5.058333333</v>
      </c>
      <c r="I47" s="99">
        <f t="shared" si="13"/>
        <v>128.75</v>
      </c>
      <c r="J47" s="100">
        <f t="shared" si="5"/>
        <v>4.291666667</v>
      </c>
      <c r="K47" s="246">
        <f>MAX('Турнирная таблица по среднему б'!T47:BO47)</f>
        <v>17.75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117</v>
      </c>
      <c r="C48" s="257">
        <v>10.0</v>
      </c>
      <c r="D48" s="123">
        <v>35.0</v>
      </c>
      <c r="E48" s="123">
        <v>17.5</v>
      </c>
      <c r="F48" s="258">
        <f t="shared" si="10"/>
        <v>30</v>
      </c>
      <c r="G48" s="259">
        <f t="shared" si="12"/>
        <v>152</v>
      </c>
      <c r="H48" s="260">
        <f t="shared" si="3"/>
        <v>5.066666667</v>
      </c>
      <c r="I48" s="261">
        <f t="shared" si="13"/>
        <v>129</v>
      </c>
      <c r="J48" s="260">
        <f t="shared" si="5"/>
        <v>4.3</v>
      </c>
      <c r="K48" s="262">
        <f>MAX('Турнирная таблица по среднему б'!T48:BO48)</f>
        <v>20.5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119</v>
      </c>
      <c r="C49" s="270">
        <v>20.0</v>
      </c>
      <c r="D49" s="141">
        <v>69.0</v>
      </c>
      <c r="E49" s="141">
        <v>17.25</v>
      </c>
      <c r="F49" s="258">
        <f t="shared" si="10"/>
        <v>20</v>
      </c>
      <c r="G49" s="245">
        <f t="shared" si="12"/>
        <v>118</v>
      </c>
      <c r="H49" s="100">
        <f t="shared" si="3"/>
        <v>5.9</v>
      </c>
      <c r="I49" s="99">
        <f t="shared" si="13"/>
        <v>95</v>
      </c>
      <c r="J49" s="100">
        <f t="shared" si="5"/>
        <v>4.75</v>
      </c>
      <c r="K49" s="246">
        <f>MAX('Турнирная таблица по среднему б'!T49:BO49)</f>
        <v>21.25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108</v>
      </c>
      <c r="C50" s="257">
        <v>10.0</v>
      </c>
      <c r="D50" s="123">
        <v>34.25</v>
      </c>
      <c r="E50" s="123">
        <v>17.125</v>
      </c>
      <c r="F50" s="258">
        <f t="shared" si="10"/>
        <v>30</v>
      </c>
      <c r="G50" s="259">
        <f t="shared" si="12"/>
        <v>152.75</v>
      </c>
      <c r="H50" s="260">
        <f t="shared" si="3"/>
        <v>5.091666667</v>
      </c>
      <c r="I50" s="261">
        <f t="shared" si="13"/>
        <v>129.75</v>
      </c>
      <c r="J50" s="260">
        <f t="shared" si="5"/>
        <v>4.325</v>
      </c>
      <c r="K50" s="262">
        <f>MAX('Турнирная таблица по среднему б'!T50:BO50)</f>
        <v>19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137</v>
      </c>
      <c r="C51" s="270">
        <v>10.0</v>
      </c>
      <c r="D51" s="141">
        <v>33.5</v>
      </c>
      <c r="E51" s="141">
        <v>16.75</v>
      </c>
      <c r="F51" s="258">
        <f t="shared" si="10"/>
        <v>30</v>
      </c>
      <c r="G51" s="245">
        <f t="shared" si="12"/>
        <v>153.5</v>
      </c>
      <c r="H51" s="100">
        <f t="shared" si="3"/>
        <v>5.116666667</v>
      </c>
      <c r="I51" s="99">
        <f t="shared" si="13"/>
        <v>130.5</v>
      </c>
      <c r="J51" s="100">
        <f t="shared" si="5"/>
        <v>4.35</v>
      </c>
      <c r="K51" s="246">
        <f>MAX('Турнирная таблица по среднему б'!T51:BO51)</f>
        <v>17.5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125</v>
      </c>
      <c r="C52" s="257">
        <v>25.0</v>
      </c>
      <c r="D52" s="123">
        <v>82.5</v>
      </c>
      <c r="E52" s="123">
        <v>16.5</v>
      </c>
      <c r="F52" s="258">
        <f t="shared" si="10"/>
        <v>15</v>
      </c>
      <c r="G52" s="259">
        <f t="shared" si="12"/>
        <v>104.5</v>
      </c>
      <c r="H52" s="260">
        <f t="shared" si="3"/>
        <v>6.966666667</v>
      </c>
      <c r="I52" s="261">
        <f t="shared" si="13"/>
        <v>81.5</v>
      </c>
      <c r="J52" s="260">
        <f t="shared" si="5"/>
        <v>5.433333333</v>
      </c>
      <c r="K52" s="262">
        <f>MAX('Турнирная таблица по среднему б'!T52:BO52)</f>
        <v>20.75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94</v>
      </c>
      <c r="C53" s="270">
        <v>15.0</v>
      </c>
      <c r="D53" s="141">
        <v>49.0</v>
      </c>
      <c r="E53" s="141">
        <v>16.333333333333332</v>
      </c>
      <c r="F53" s="258">
        <f t="shared" si="10"/>
        <v>25</v>
      </c>
      <c r="G53" s="245">
        <f t="shared" si="12"/>
        <v>138</v>
      </c>
      <c r="H53" s="100">
        <f t="shared" si="3"/>
        <v>5.52</v>
      </c>
      <c r="I53" s="99">
        <f t="shared" si="13"/>
        <v>115</v>
      </c>
      <c r="J53" s="100">
        <f t="shared" si="5"/>
        <v>4.6</v>
      </c>
      <c r="K53" s="246">
        <f>MAX('Турнирная таблица по среднему б'!T53:BO53)</f>
        <v>18.25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133</v>
      </c>
      <c r="C54" s="257">
        <v>10.0</v>
      </c>
      <c r="D54" s="123">
        <v>32.5</v>
      </c>
      <c r="E54" s="123">
        <v>16.25</v>
      </c>
      <c r="F54" s="258">
        <f t="shared" si="10"/>
        <v>30</v>
      </c>
      <c r="G54" s="259">
        <f t="shared" si="12"/>
        <v>154.5</v>
      </c>
      <c r="H54" s="260">
        <f t="shared" si="3"/>
        <v>5.15</v>
      </c>
      <c r="I54" s="261">
        <f t="shared" si="13"/>
        <v>131.5</v>
      </c>
      <c r="J54" s="260">
        <f t="shared" si="5"/>
        <v>4.383333333</v>
      </c>
      <c r="K54" s="262">
        <f>MAX('Турнирная таблица по среднему б'!T54:BO54)</f>
        <v>16.5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105</v>
      </c>
      <c r="C55" s="270">
        <v>15.0</v>
      </c>
      <c r="D55" s="141">
        <v>48.0</v>
      </c>
      <c r="E55" s="141">
        <v>16.0</v>
      </c>
      <c r="F55" s="258">
        <f t="shared" si="10"/>
        <v>25</v>
      </c>
      <c r="G55" s="245">
        <f t="shared" si="12"/>
        <v>139</v>
      </c>
      <c r="H55" s="100">
        <f t="shared" si="3"/>
        <v>5.56</v>
      </c>
      <c r="I55" s="99">
        <f t="shared" si="13"/>
        <v>116</v>
      </c>
      <c r="J55" s="100">
        <f t="shared" si="5"/>
        <v>4.64</v>
      </c>
      <c r="K55" s="246">
        <f>MAX('Турнирная таблица по среднему б'!T55:BO55)</f>
        <v>22.5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85</v>
      </c>
      <c r="C56" s="257">
        <v>20.0</v>
      </c>
      <c r="D56" s="123">
        <v>62.25</v>
      </c>
      <c r="E56" s="123">
        <v>15.5625</v>
      </c>
      <c r="F56" s="258">
        <f t="shared" si="10"/>
        <v>20</v>
      </c>
      <c r="G56" s="259">
        <f t="shared" si="12"/>
        <v>124.75</v>
      </c>
      <c r="H56" s="260">
        <f t="shared" si="3"/>
        <v>6.2375</v>
      </c>
      <c r="I56" s="261">
        <f t="shared" si="13"/>
        <v>101.75</v>
      </c>
      <c r="J56" s="260">
        <f t="shared" si="5"/>
        <v>5.0875</v>
      </c>
      <c r="K56" s="262">
        <f>MAX('Турнирная таблица по среднему б'!T56:BO56)</f>
        <v>16.5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95</v>
      </c>
      <c r="C57" s="270">
        <v>15.0</v>
      </c>
      <c r="D57" s="141">
        <v>46.25</v>
      </c>
      <c r="E57" s="141">
        <v>15.416666666666668</v>
      </c>
      <c r="F57" s="258">
        <f t="shared" si="10"/>
        <v>25</v>
      </c>
      <c r="G57" s="245">
        <f t="shared" si="12"/>
        <v>140.75</v>
      </c>
      <c r="H57" s="100">
        <f t="shared" si="3"/>
        <v>5.63</v>
      </c>
      <c r="I57" s="99">
        <f t="shared" si="13"/>
        <v>117.75</v>
      </c>
      <c r="J57" s="100">
        <f t="shared" si="5"/>
        <v>4.71</v>
      </c>
      <c r="K57" s="246">
        <f>MAX('Турнирная таблица по среднему б'!T57:BO57)</f>
        <v>16.75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80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187</v>
      </c>
      <c r="H58" s="260">
        <f t="shared" si="3"/>
        <v>4.675</v>
      </c>
      <c r="I58" s="261">
        <f t="shared" si="13"/>
        <v>164</v>
      </c>
      <c r="J58" s="260">
        <f t="shared" si="5"/>
        <v>4.1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83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187</v>
      </c>
      <c r="H59" s="100">
        <f t="shared" si="3"/>
        <v>4.675</v>
      </c>
      <c r="I59" s="99">
        <f t="shared" si="13"/>
        <v>164</v>
      </c>
      <c r="J59" s="100">
        <f t="shared" si="5"/>
        <v>4.1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84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187</v>
      </c>
      <c r="H60" s="260">
        <f t="shared" si="3"/>
        <v>4.675</v>
      </c>
      <c r="I60" s="261">
        <f t="shared" si="13"/>
        <v>164</v>
      </c>
      <c r="J60" s="260">
        <f t="shared" si="5"/>
        <v>4.1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93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187</v>
      </c>
      <c r="H61" s="100">
        <f t="shared" si="3"/>
        <v>4.675</v>
      </c>
      <c r="I61" s="99">
        <f t="shared" si="13"/>
        <v>164</v>
      </c>
      <c r="J61" s="100">
        <f t="shared" si="5"/>
        <v>4.1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100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187</v>
      </c>
      <c r="H62" s="260">
        <f t="shared" si="3"/>
        <v>4.675</v>
      </c>
      <c r="I62" s="261">
        <f t="shared" si="13"/>
        <v>164</v>
      </c>
      <c r="J62" s="260">
        <f t="shared" si="5"/>
        <v>4.1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109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187</v>
      </c>
      <c r="H63" s="100">
        <f t="shared" si="3"/>
        <v>4.675</v>
      </c>
      <c r="I63" s="99">
        <f t="shared" si="13"/>
        <v>164</v>
      </c>
      <c r="J63" s="100">
        <f t="shared" si="5"/>
        <v>4.1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113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187</v>
      </c>
      <c r="H64" s="260">
        <f t="shared" si="3"/>
        <v>4.675</v>
      </c>
      <c r="I64" s="261">
        <f t="shared" si="13"/>
        <v>164</v>
      </c>
      <c r="J64" s="260">
        <f t="shared" si="5"/>
        <v>4.1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114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187</v>
      </c>
      <c r="H65" s="100">
        <f t="shared" si="3"/>
        <v>4.675</v>
      </c>
      <c r="I65" s="99">
        <f t="shared" si="13"/>
        <v>164</v>
      </c>
      <c r="J65" s="100">
        <f t="shared" si="5"/>
        <v>4.1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115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187</v>
      </c>
      <c r="H66" s="260">
        <f t="shared" si="3"/>
        <v>4.675</v>
      </c>
      <c r="I66" s="261">
        <f t="shared" si="13"/>
        <v>164</v>
      </c>
      <c r="J66" s="260">
        <f t="shared" si="5"/>
        <v>4.1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121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187</v>
      </c>
      <c r="H67" s="100">
        <f t="shared" si="3"/>
        <v>4.675</v>
      </c>
      <c r="I67" s="99">
        <f t="shared" si="13"/>
        <v>164</v>
      </c>
      <c r="J67" s="100">
        <f t="shared" si="5"/>
        <v>4.1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130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187</v>
      </c>
      <c r="H68" s="289">
        <f t="shared" si="3"/>
        <v>4.675</v>
      </c>
      <c r="I68" s="309">
        <f t="shared" si="13"/>
        <v>164</v>
      </c>
      <c r="J68" s="310">
        <f t="shared" si="5"/>
        <v>4.1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23.375</v>
      </c>
      <c r="E79" s="323"/>
      <c r="F79" s="324" t="s">
        <v>141</v>
      </c>
      <c r="G79" s="183"/>
      <c r="H79" s="184"/>
      <c r="I79" s="325">
        <f>E25</f>
        <v>20.5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187</v>
      </c>
      <c r="E80" s="323"/>
      <c r="F80" s="320" t="s">
        <v>143</v>
      </c>
      <c r="G80" s="183"/>
      <c r="H80" s="184"/>
      <c r="I80" s="325">
        <f>(E25*8)</f>
        <v>164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 t="s">
        <v>249</v>
      </c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354"/>
      <c r="BM4" s="354"/>
    </row>
    <row r="5">
      <c r="A5" s="355" t="s">
        <v>79</v>
      </c>
      <c r="B5" s="356">
        <f t="shared" ref="B5:B64" si="1">SUM(K5:L5)</f>
        <v>10</v>
      </c>
      <c r="C5" s="357">
        <f>'Турнирная таблица по Алфавиту'!E7</f>
        <v>49.75</v>
      </c>
      <c r="D5" s="358">
        <f>'Турнирная таблица по Алфавиту'!F7</f>
        <v>24.875</v>
      </c>
      <c r="E5" s="359">
        <f>COUNTIFS('Все игры'!A$3:A1000,A5,'Все игры'!F$3:F1000,"=1")</f>
        <v>0</v>
      </c>
      <c r="F5" s="359">
        <f>COUNTIFS('Все игры'!A$3:A1000,A5,'Все игры'!F$3:F1000,"=0,50")</f>
        <v>1</v>
      </c>
      <c r="G5" s="359">
        <f>COUNTIFS('Все игры'!A$3:A1000,A5,'Все игры'!G$3:G1000,"&gt;0")</f>
        <v>1</v>
      </c>
      <c r="H5" s="360">
        <f t="shared" ref="H5:H64" si="2">IFERROR(G5/K5,0)</f>
        <v>0.1111111111</v>
      </c>
      <c r="I5" s="361">
        <f>COUNTIFS('Все игры'!A$3:A1000,A5,'Все игры'!E$3:E1000,"У/Победа")</f>
        <v>0</v>
      </c>
      <c r="J5" s="361">
        <f>COUNTIFS('Все игры'!A$3:A1000,A5,'Все игры'!E$3:E1000,"У/Проигрыш")</f>
        <v>0</v>
      </c>
      <c r="K5" s="362">
        <f t="shared" ref="K5:K64" si="3">O5+P5+S5+T5</f>
        <v>9</v>
      </c>
      <c r="L5" s="356">
        <f t="shared" ref="L5:L64" si="4">M5+N5+Q5+R5</f>
        <v>1</v>
      </c>
      <c r="M5" s="356">
        <f>COUNTIFS('Все игры'!A$3:A1000,A5,'Все игры'!C$3:C1000,"&gt;0",'Все игры'!B$3:B1000,"Мафия")</f>
        <v>0</v>
      </c>
      <c r="N5" s="356">
        <f>IFERROR(__xludf.DUMMYFUNCTION("COUNTBLANK(FILTER('Все игры'!A$3:C1000,'Все игры'!A$3:A1000=A5,'Все игры'!C$3:C1000 &lt; 1,'Все игры'!B$3:B1000=""Мафия""))"),0.0)</f>
        <v>0</v>
      </c>
      <c r="O5" s="356">
        <f>COUNTIFS('Все игры'!A$3:A1000,A5,'Все игры'!C$3:C1000,"&gt;0",'Все игры'!B$3:B1000,"Шериф")</f>
        <v>1</v>
      </c>
      <c r="P5" s="363">
        <f>IFERROR(__xludf.DUMMYFUNCTION("COUNTBLANK(FILTER('Все игры'!A$3:C1000,'Все игры'!A$3:A1000=A5,'Все игры'!C$3:C1000 &lt; 1,'Все игры'!B$3:B1000=""Шериф""))"),0.0)</f>
        <v>0</v>
      </c>
      <c r="Q5" s="356">
        <f>COUNTIFS('Все игры'!A$3:A1000,A5,'Все игры'!C$3:C1000,"&gt;0",'Все игры'!B$3:B1000,"Дон")</f>
        <v>1</v>
      </c>
      <c r="R5" s="356">
        <f>IFERROR(__xludf.DUMMYFUNCTION("COUNTBLANK(FILTER('Все игры'!A$3:C1000,'Все игры'!A$3:A1000=A5,'Все игры'!C$3:C1000 &lt; 1,'Все игры'!B$3:B1000=""Дон""))"),0.0)</f>
        <v>0</v>
      </c>
      <c r="S5" s="356">
        <f>COUNTIFS('Все игры'!A$3:A1000,A5,'Все игры'!C$3:C1000,"&gt;0",'Все игры'!B$3:B1000,"Мирный")</f>
        <v>5</v>
      </c>
      <c r="T5" s="364">
        <f>IFERROR(__xludf.DUMMYFUNCTION("COUNTBLANK(FILTER('Все игры'!A$3:C1000,'Все игры'!A$3:A1000=A5,'Все игры'!C$3:C1000 &lt; 1,'Все игры'!B$3:B1000=""Мирный""))"),3.0)</f>
        <v>3</v>
      </c>
      <c r="U5" s="365">
        <f>IFERROR((M5+O5+Q5+S5)/B5, )</f>
        <v>0.7</v>
      </c>
      <c r="V5" s="366">
        <f t="shared" ref="V5:V64" si="5">IFERROR(((O5+S5)/K5),0)</f>
        <v>0.6666666667</v>
      </c>
      <c r="W5" s="366">
        <f t="shared" ref="W5:W64" si="6">IFERROR(((M5+Q5)/L5),0)</f>
        <v>1</v>
      </c>
      <c r="X5" s="366">
        <f t="shared" ref="X5:X64" si="7">IFERROR((M5/(M5+N5)),0)</f>
        <v>0</v>
      </c>
      <c r="Y5" s="366">
        <f t="shared" ref="Y5:Y64" si="8">IFERROR((O5/(O5+P5)),0)</f>
        <v>1</v>
      </c>
      <c r="Z5" s="366">
        <f t="shared" ref="Z5:Z64" si="9">IFERROR((Q5/(Q5+R5)),0)</f>
        <v>1</v>
      </c>
      <c r="AA5" s="367">
        <f t="shared" ref="AA5:AA64" si="10">IFERROR((S5/(S5+T5)),0)</f>
        <v>0.625</v>
      </c>
      <c r="AB5" s="357">
        <f>SUMIFS('Все игры'!D$3:D1000,'Все игры'!A$3:A1000,A5)</f>
        <v>31.25</v>
      </c>
      <c r="AC5" s="357">
        <f>SUMIFS('Все игры'!D$3:D1000,'Все игры'!A$3:A1000,A5,'Все игры'!B$3:B1000,"Мафия")</f>
        <v>0</v>
      </c>
      <c r="AD5" s="368">
        <f>SUMIFS('Все игры'!D$3:D1000,'Все игры'!A$3:A1000,A5,'Все игры'!B$3:B1000,"Шериф")</f>
        <v>3.75</v>
      </c>
      <c r="AE5" s="357">
        <f>SUMIFS('Все игры'!D$3:D1000,'Все игры'!A$3:A1000,A5,'Все игры'!B$3:B1000,"Дон")</f>
        <v>2</v>
      </c>
      <c r="AF5" s="358">
        <f>SUMIFS('Все игры'!D$3:D1000,'Все игры'!A$3:A1000,A5,'Все игры'!B$3:B1000,"Мирный")</f>
        <v>25.5</v>
      </c>
      <c r="AG5" s="357">
        <f t="shared" ref="AG5:AG64" si="11">IFERROR(AB5/B5,0)</f>
        <v>3.125</v>
      </c>
      <c r="AH5" s="357">
        <f t="shared" ref="AH5:AH64" si="12">IFERROR(AC5/(M5+N5),0)</f>
        <v>0</v>
      </c>
      <c r="AI5" s="357">
        <f t="shared" ref="AI5:AI64" si="13">IFERROR(AD5/(O5+P5),0)</f>
        <v>3.75</v>
      </c>
      <c r="AJ5" s="357">
        <f t="shared" ref="AJ5:AJ64" si="14">IFERROR(AE5/(Q5+R5),0)</f>
        <v>2</v>
      </c>
      <c r="AK5" s="357">
        <f t="shared" ref="AK5:AK64" si="15">IFERROR(AF5/(S5+T5),0)</f>
        <v>3.1875</v>
      </c>
      <c r="AL5" s="357">
        <f>MAX('Турнирная таблица по Алфавиту'!T7:CA7)</f>
        <v>27</v>
      </c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</row>
    <row r="6">
      <c r="A6" s="369" t="s">
        <v>80</v>
      </c>
      <c r="B6" s="370">
        <f t="shared" si="1"/>
        <v>0</v>
      </c>
      <c r="C6" s="371">
        <f>'Турнирная таблица по Алфавиту'!E8</f>
        <v>0</v>
      </c>
      <c r="D6" s="372" t="str">
        <f>'Турнирная таблица по Алфавиту'!F8</f>
        <v/>
      </c>
      <c r="E6" s="373">
        <f>COUNTIFS('Все игры'!A$3:A1000,A6,'Все игры'!F$3:F1000,"=1")</f>
        <v>0</v>
      </c>
      <c r="F6" s="373">
        <f>COUNTIFS('Все игры'!A$3:A1000,A6,'Все игры'!F$3:F1000,"=0,50")</f>
        <v>0</v>
      </c>
      <c r="G6" s="373">
        <f>COUNTIFS('Все игры'!A$3:A1000,A6,'Все игры'!G$3:G1000,"&gt;0")</f>
        <v>0</v>
      </c>
      <c r="H6" s="374">
        <f t="shared" si="2"/>
        <v>0</v>
      </c>
      <c r="I6" s="375">
        <f>COUNTIFS('Все игры'!A$3:A1000,A6,'Все игры'!E$3:E1000,"У/Победа")</f>
        <v>0</v>
      </c>
      <c r="J6" s="375">
        <f>COUNTIFS('Все игры'!A$3:A1000,A6,'Все игры'!E$3:E1000,"У/Проигрыш")</f>
        <v>0</v>
      </c>
      <c r="K6" s="376">
        <f t="shared" si="3"/>
        <v>0</v>
      </c>
      <c r="L6" s="370">
        <f t="shared" si="4"/>
        <v>0</v>
      </c>
      <c r="M6" s="370">
        <f>COUNTIFS('Все игры'!A$3:A1000,A6,'Все игры'!C$3:C1000,"&gt;0",'Все игры'!B$3:B1000,"Мафия")</f>
        <v>0</v>
      </c>
      <c r="N6" s="370">
        <f>IFERROR(__xludf.DUMMYFUNCTION("COUNTBLANK(FILTER('Все игры'!A$3:C1000,'Все игры'!A$3:A1000=A6,'Все игры'!C$3:C1000 &lt; 1,'Все игры'!B$3:B1000=""Мафия""))"),0.0)</f>
        <v>0</v>
      </c>
      <c r="O6" s="370">
        <f>COUNTIFS('Все игры'!A$3:A1000,A6,'Все игры'!C$3:C1000,"&gt;0",'Все игры'!B$3:B1000,"Шериф")</f>
        <v>0</v>
      </c>
      <c r="P6" s="377">
        <f>IFERROR(__xludf.DUMMYFUNCTION("COUNTBLANK(FILTER('Все игры'!A$3:C1000,'Все игры'!A$3:A1000=A6,'Все игры'!C$3:C1000 &lt; 1,'Все игры'!B$3:B1000=""Шериф""))"),0.0)</f>
        <v>0</v>
      </c>
      <c r="Q6" s="370">
        <f>COUNTIFS('Все игры'!A$3:A1000,A6,'Все игры'!C$3:C1000,"&gt;0",'Все игры'!B$3:B1000,"Дон")</f>
        <v>0</v>
      </c>
      <c r="R6" s="370">
        <f>IFERROR(__xludf.DUMMYFUNCTION("COUNTBLANK(FILTER('Все игры'!A$3:C1000,'Все игры'!A$3:A1000=A6,'Все игры'!C$3:C1000 &lt; 1,'Все игры'!B$3:B1000=""Дон""))"),0.0)</f>
        <v>0</v>
      </c>
      <c r="S6" s="370">
        <f>COUNTIFS('Все игры'!A$3:A1000,A6,'Все игры'!C$3:C1000,"&gt;0",'Все игры'!B$3:B1000,"Мирный")</f>
        <v>0</v>
      </c>
      <c r="T6" s="378">
        <f>IFERROR(__xludf.DUMMYFUNCTION("COUNTBLANK(FILTER('Все игры'!A$3:C1000,'Все игры'!A$3:A1000=A6,'Все игры'!C$3:C1000 &lt; 1,'Все игры'!B$3:B1000=""Мирный""))"),0.0)</f>
        <v>0</v>
      </c>
      <c r="U6" s="379">
        <f t="shared" ref="U6:U64" si="16">IFERROR((M6+O6+Q6+S6)/B6,0)</f>
        <v>0</v>
      </c>
      <c r="V6" s="380">
        <f t="shared" si="5"/>
        <v>0</v>
      </c>
      <c r="W6" s="380">
        <f t="shared" si="6"/>
        <v>0</v>
      </c>
      <c r="X6" s="380">
        <f t="shared" si="7"/>
        <v>0</v>
      </c>
      <c r="Y6" s="380">
        <f t="shared" si="8"/>
        <v>0</v>
      </c>
      <c r="Z6" s="380">
        <f t="shared" si="9"/>
        <v>0</v>
      </c>
      <c r="AA6" s="381">
        <f t="shared" si="10"/>
        <v>0</v>
      </c>
      <c r="AB6" s="371">
        <f>SUMIFS('Все игры'!D$3:D1000,'Все игры'!A$3:A1000,A6)</f>
        <v>0</v>
      </c>
      <c r="AC6" s="371">
        <f>SUMIFS('Все игры'!D$3:D1000,'Все игры'!A$3:A1000,A6,'Все игры'!B$3:B1000,"Мафия")</f>
        <v>0</v>
      </c>
      <c r="AD6" s="382">
        <f>SUMIFS('Все игры'!D$3:D1000,'Все игры'!A$3:A1000,A6,'Все игры'!B$3:B1000,"Шериф")</f>
        <v>0</v>
      </c>
      <c r="AE6" s="371">
        <f>SUMIFS('Все игры'!D$3:D1000,'Все игры'!A$3:A1000,A6,'Все игры'!B$3:B1000,"Дон")</f>
        <v>0</v>
      </c>
      <c r="AF6" s="372">
        <f>SUMIFS('Все игры'!D$3:D1000,'Все игры'!A$3:A1000,A6,'Все игры'!B$3:B1000,"Мирный")</f>
        <v>0</v>
      </c>
      <c r="AG6" s="371">
        <f t="shared" si="11"/>
        <v>0</v>
      </c>
      <c r="AH6" s="371">
        <f t="shared" si="12"/>
        <v>0</v>
      </c>
      <c r="AI6" s="371">
        <f t="shared" si="13"/>
        <v>0</v>
      </c>
      <c r="AJ6" s="371">
        <f t="shared" si="14"/>
        <v>0</v>
      </c>
      <c r="AK6" s="371">
        <f t="shared" si="15"/>
        <v>0</v>
      </c>
      <c r="AL6" s="357">
        <f>MAX('Турнирная таблица по Алфавиту'!T8:CA8)</f>
        <v>0</v>
      </c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/>
      <c r="BI6" s="357"/>
      <c r="BJ6" s="357"/>
      <c r="BK6" s="357"/>
      <c r="BL6" s="357"/>
      <c r="BM6" s="357"/>
    </row>
    <row r="7">
      <c r="A7" s="369" t="s">
        <v>81</v>
      </c>
      <c r="B7" s="356">
        <f t="shared" si="1"/>
        <v>15</v>
      </c>
      <c r="C7" s="357">
        <f>'Турнирная таблица по Алфавиту'!E9</f>
        <v>67</v>
      </c>
      <c r="D7" s="358">
        <f>'Турнирная таблица по Алфавиту'!F9</f>
        <v>22.33333333</v>
      </c>
      <c r="E7" s="359">
        <f>COUNTIFS('Все игры'!A$3:A1000,A7,'Все игры'!F$3:F1000,"=1")</f>
        <v>0</v>
      </c>
      <c r="F7" s="359">
        <f>COUNTIFS('Все игры'!A$3:A1000,A7,'Все игры'!F$3:F1000,"=0,50")</f>
        <v>1</v>
      </c>
      <c r="G7" s="359">
        <f>COUNTIFS('Все игры'!A$3:A1000,A7,'Все игры'!G$3:G1000,"&gt;0")</f>
        <v>2</v>
      </c>
      <c r="H7" s="360">
        <f t="shared" si="2"/>
        <v>0.1818181818</v>
      </c>
      <c r="I7" s="361">
        <f>COUNTIFS('Все игры'!A$3:A1000,A7,'Все игры'!E$3:E1000,"У/Победа")</f>
        <v>1</v>
      </c>
      <c r="J7" s="361">
        <f>COUNTIFS('Все игры'!A$3:A1000,A7,'Все игры'!E$3:E1000,"У/Проигрыш")</f>
        <v>2</v>
      </c>
      <c r="K7" s="362">
        <f t="shared" si="3"/>
        <v>11</v>
      </c>
      <c r="L7" s="356">
        <f t="shared" si="4"/>
        <v>4</v>
      </c>
      <c r="M7" s="356">
        <f>COUNTIFS('Все игры'!A$3:A1000,A7,'Все игры'!C$3:C1000,"&gt;0",'Все игры'!B$3:B1000,"Мафия")</f>
        <v>0</v>
      </c>
      <c r="N7" s="356">
        <f>IFERROR(__xludf.DUMMYFUNCTION("COUNTBLANK(FILTER('Все игры'!A$3:C1000,'Все игры'!A$3:A1000=A7,'Все игры'!C$3:C1000 &lt; 1,'Все игры'!B$3:B1000=""Мафия""))"),1.0)</f>
        <v>1</v>
      </c>
      <c r="O7" s="356">
        <f>COUNTIFS('Все игры'!A$3:A1000,A7,'Все игры'!C$3:C1000,"&gt;0",'Все игры'!B$3:B1000,"Шериф")</f>
        <v>0</v>
      </c>
      <c r="P7" s="363">
        <f>IFERROR(__xludf.DUMMYFUNCTION("COUNTBLANK(FILTER('Все игры'!A$3:C1000,'Все игры'!A$3:A1000=A7,'Все игры'!C$3:C1000 &lt; 1,'Все игры'!B$3:B1000=""Шериф""))"),0.0)</f>
        <v>0</v>
      </c>
      <c r="Q7" s="356">
        <f>COUNTIFS('Все игры'!A$3:A1000,A7,'Все игры'!C$3:C1000,"&gt;0",'Все игры'!B$3:B1000,"Дон")</f>
        <v>2</v>
      </c>
      <c r="R7" s="356">
        <f>IFERROR(__xludf.DUMMYFUNCTION("COUNTBLANK(FILTER('Все игры'!A$3:C1000,'Все игры'!A$3:A1000=A7,'Все игры'!C$3:C1000 &lt; 1,'Все игры'!B$3:B1000=""Дон""))"),1.0)</f>
        <v>1</v>
      </c>
      <c r="S7" s="356">
        <f>COUNTIFS('Все игры'!A$3:A1000,A7,'Все игры'!C$3:C1000,"&gt;0",'Все игры'!B$3:B1000,"Мирный")</f>
        <v>8</v>
      </c>
      <c r="T7" s="364">
        <f>IFERROR(__xludf.DUMMYFUNCTION("COUNTBLANK(FILTER('Все игры'!A$3:C1000,'Все игры'!A$3:A1000=A7,'Все игры'!C$3:C1000 &lt; 1,'Все игры'!B$3:B1000=""Мирный""))"),3.0)</f>
        <v>3</v>
      </c>
      <c r="U7" s="365">
        <f t="shared" si="16"/>
        <v>0.6666666667</v>
      </c>
      <c r="V7" s="366">
        <f t="shared" si="5"/>
        <v>0.7272727273</v>
      </c>
      <c r="W7" s="366">
        <f t="shared" si="6"/>
        <v>0.5</v>
      </c>
      <c r="X7" s="366">
        <f t="shared" si="7"/>
        <v>0</v>
      </c>
      <c r="Y7" s="366">
        <f t="shared" si="8"/>
        <v>0</v>
      </c>
      <c r="Z7" s="366">
        <f t="shared" si="9"/>
        <v>0.6666666667</v>
      </c>
      <c r="AA7" s="367">
        <f t="shared" si="10"/>
        <v>0.7272727273</v>
      </c>
      <c r="AB7" s="357">
        <f>SUMIFS('Все игры'!D$3:D1000,'Все игры'!A$3:A1000,A7)</f>
        <v>40</v>
      </c>
      <c r="AC7" s="357">
        <f>SUMIFS('Все игры'!D$3:D1000,'Все игры'!A$3:A1000,A7,'Все игры'!B$3:B1000,"Мафия")</f>
        <v>2.5</v>
      </c>
      <c r="AD7" s="368">
        <f>SUMIFS('Все игры'!D$3:D1000,'Все игры'!A$3:A1000,A7,'Все игры'!B$3:B1000,"Шериф")</f>
        <v>0</v>
      </c>
      <c r="AE7" s="357">
        <f>SUMIFS('Все игры'!D$3:D1000,'Все игры'!A$3:A1000,A7,'Все игры'!B$3:B1000,"Дон")</f>
        <v>8.5</v>
      </c>
      <c r="AF7" s="358">
        <f>SUMIFS('Все игры'!D$3:D1000,'Все игры'!A$3:A1000,A7,'Все игры'!B$3:B1000,"Мирный")</f>
        <v>29</v>
      </c>
      <c r="AG7" s="357">
        <f t="shared" si="11"/>
        <v>2.666666667</v>
      </c>
      <c r="AH7" s="357">
        <f t="shared" si="12"/>
        <v>2.5</v>
      </c>
      <c r="AI7" s="357">
        <f t="shared" si="13"/>
        <v>0</v>
      </c>
      <c r="AJ7" s="357">
        <f t="shared" si="14"/>
        <v>2.833333333</v>
      </c>
      <c r="AK7" s="357">
        <f t="shared" si="15"/>
        <v>2.636363636</v>
      </c>
      <c r="AL7" s="357">
        <f>MAX('Турнирная таблица по Алфавиту'!T9:CA9)</f>
        <v>25</v>
      </c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</row>
    <row r="8">
      <c r="A8" s="369" t="s">
        <v>82</v>
      </c>
      <c r="B8" s="370">
        <f t="shared" si="1"/>
        <v>20</v>
      </c>
      <c r="C8" s="371">
        <f>'Турнирная таблица по Алфавиту'!E10</f>
        <v>99.75</v>
      </c>
      <c r="D8" s="372">
        <f>'Турнирная таблица по Алфавиту'!F10</f>
        <v>24.9375</v>
      </c>
      <c r="E8" s="373">
        <f>COUNTIFS('Все игры'!A$3:A1000,A8,'Все игры'!F$3:F1000,"=1")</f>
        <v>0</v>
      </c>
      <c r="F8" s="373">
        <f>COUNTIFS('Все игры'!A$3:A1000,A8,'Все игры'!F$3:F1000,"=0,50")</f>
        <v>2</v>
      </c>
      <c r="G8" s="373">
        <f>COUNTIFS('Все игры'!A$3:A1000,A8,'Все игры'!G$3:G1000,"&gt;0")</f>
        <v>6</v>
      </c>
      <c r="H8" s="374">
        <f t="shared" si="2"/>
        <v>0.3333333333</v>
      </c>
      <c r="I8" s="375">
        <f>COUNTIFS('Все игры'!A$3:A1000,A8,'Все игры'!E$3:E1000,"У/Победа")</f>
        <v>1</v>
      </c>
      <c r="J8" s="375">
        <f>COUNTIFS('Все игры'!A$3:A1000,A8,'Все игры'!E$3:E1000,"У/Проигрыш")</f>
        <v>0</v>
      </c>
      <c r="K8" s="376">
        <f t="shared" si="3"/>
        <v>18</v>
      </c>
      <c r="L8" s="370">
        <f t="shared" si="4"/>
        <v>2</v>
      </c>
      <c r="M8" s="370">
        <f>COUNTIFS('Все игры'!A$3:A1000,A8,'Все игры'!C$3:C1000,"&gt;0",'Все игры'!B$3:B1000,"Мафия")</f>
        <v>2</v>
      </c>
      <c r="N8" s="370">
        <f>IFERROR(__xludf.DUMMYFUNCTION("COUNTBLANK(FILTER('Все игры'!A$3:C1000,'Все игры'!A$3:A1000=A8,'Все игры'!C$3:C1000 &lt; 1,'Все игры'!B$3:B1000=""Мафия""))"),0.0)</f>
        <v>0</v>
      </c>
      <c r="O8" s="370">
        <f>COUNTIFS('Все игры'!A$3:A1000,A8,'Все игры'!C$3:C1000,"&gt;0",'Все игры'!B$3:B1000,"Шериф")</f>
        <v>4</v>
      </c>
      <c r="P8" s="377">
        <f>IFERROR(__xludf.DUMMYFUNCTION("COUNTBLANK(FILTER('Все игры'!A$3:C1000,'Все игры'!A$3:A1000=A8,'Все игры'!C$3:C1000 &lt; 1,'Все игры'!B$3:B1000=""Шериф""))"),1.0)</f>
        <v>1</v>
      </c>
      <c r="Q8" s="370">
        <f>COUNTIFS('Все игры'!A$3:A1000,A8,'Все игры'!C$3:C1000,"&gt;0",'Все игры'!B$3:B1000,"Дон")</f>
        <v>0</v>
      </c>
      <c r="R8" s="370">
        <f>IFERROR(__xludf.DUMMYFUNCTION("COUNTBLANK(FILTER('Все игры'!A$3:C1000,'Все игры'!A$3:A1000=A8,'Все игры'!C$3:C1000 &lt; 1,'Все игры'!B$3:B1000=""Дон""))"),0.0)</f>
        <v>0</v>
      </c>
      <c r="S8" s="370">
        <f>COUNTIFS('Все игры'!A$3:A1000,A8,'Все игры'!C$3:C1000,"&gt;0",'Все игры'!B$3:B1000,"Мирный")</f>
        <v>7</v>
      </c>
      <c r="T8" s="378">
        <f>IFERROR(__xludf.DUMMYFUNCTION("COUNTBLANK(FILTER('Все игры'!A$3:C1000,'Все игры'!A$3:A1000=A8,'Все игры'!C$3:C1000 &lt; 1,'Все игры'!B$3:B1000=""Мирный""))"),6.0)</f>
        <v>6</v>
      </c>
      <c r="U8" s="379">
        <f t="shared" si="16"/>
        <v>0.65</v>
      </c>
      <c r="V8" s="380">
        <f t="shared" si="5"/>
        <v>0.6111111111</v>
      </c>
      <c r="W8" s="380">
        <f t="shared" si="6"/>
        <v>1</v>
      </c>
      <c r="X8" s="380">
        <f t="shared" si="7"/>
        <v>1</v>
      </c>
      <c r="Y8" s="380">
        <f t="shared" si="8"/>
        <v>0.8</v>
      </c>
      <c r="Z8" s="380">
        <f t="shared" si="9"/>
        <v>0</v>
      </c>
      <c r="AA8" s="381">
        <f t="shared" si="10"/>
        <v>0.5384615385</v>
      </c>
      <c r="AB8" s="371">
        <f>SUMIFS('Все игры'!D$3:D1000,'Все игры'!A$3:A1000,A8)</f>
        <v>62.25</v>
      </c>
      <c r="AC8" s="371">
        <f>SUMIFS('Все игры'!D$3:D1000,'Все игры'!A$3:A1000,A8,'Все игры'!B$3:B1000,"Мафия")</f>
        <v>7.25</v>
      </c>
      <c r="AD8" s="382">
        <f>SUMIFS('Все игры'!D$3:D1000,'Все игры'!A$3:A1000,A8,'Все игры'!B$3:B1000,"Шериф")</f>
        <v>19</v>
      </c>
      <c r="AE8" s="371">
        <f>SUMIFS('Все игры'!D$3:D1000,'Все игры'!A$3:A1000,A8,'Все игры'!B$3:B1000,"Дон")</f>
        <v>0</v>
      </c>
      <c r="AF8" s="372">
        <f>SUMIFS('Все игры'!D$3:D1000,'Все игры'!A$3:A1000,A8,'Все игры'!B$3:B1000,"Мирный")</f>
        <v>36</v>
      </c>
      <c r="AG8" s="371">
        <f t="shared" si="11"/>
        <v>3.1125</v>
      </c>
      <c r="AH8" s="371">
        <f t="shared" si="12"/>
        <v>3.625</v>
      </c>
      <c r="AI8" s="371">
        <f t="shared" si="13"/>
        <v>3.8</v>
      </c>
      <c r="AJ8" s="371">
        <f t="shared" si="14"/>
        <v>0</v>
      </c>
      <c r="AK8" s="371">
        <f t="shared" si="15"/>
        <v>2.769230769</v>
      </c>
      <c r="AL8" s="357">
        <f>MAX('Турнирная таблица по Алфавиту'!T10:CA10)</f>
        <v>29.25</v>
      </c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</row>
    <row r="9">
      <c r="A9" s="369" t="s">
        <v>83</v>
      </c>
      <c r="B9" s="356">
        <f t="shared" si="1"/>
        <v>0</v>
      </c>
      <c r="C9" s="357">
        <f>'Турнирная таблица по Алфавиту'!E11</f>
        <v>0</v>
      </c>
      <c r="D9" s="358" t="str">
        <f>'Турнирная таблица по Алфавиту'!F11</f>
        <v/>
      </c>
      <c r="E9" s="359">
        <f>COUNTIFS('Все игры'!A$3:A1000,A9,'Все игры'!F$3:F1000,"=1")</f>
        <v>0</v>
      </c>
      <c r="F9" s="359">
        <f>COUNTIFS('Все игры'!A$3:A1000,A9,'Все игры'!F$3:F1000,"=0,50")</f>
        <v>0</v>
      </c>
      <c r="G9" s="359">
        <f>COUNTIFS('Все игры'!A$3:A1000,A9,'Все игры'!G$3:G1000,"&gt;0")</f>
        <v>0</v>
      </c>
      <c r="H9" s="360">
        <f t="shared" si="2"/>
        <v>0</v>
      </c>
      <c r="I9" s="361">
        <f>COUNTIFS('Все игры'!A$3:A1000,A9,'Все игры'!E$3:E1000,"У/Победа")</f>
        <v>0</v>
      </c>
      <c r="J9" s="361">
        <f>COUNTIFS('Все игры'!A$3:A1000,A9,'Все игры'!E$3:E1000,"У/Проигрыш")</f>
        <v>0</v>
      </c>
      <c r="K9" s="362">
        <f t="shared" si="3"/>
        <v>0</v>
      </c>
      <c r="L9" s="356">
        <f t="shared" si="4"/>
        <v>0</v>
      </c>
      <c r="M9" s="356">
        <f>COUNTIFS('Все игры'!A$3:A1000,A9,'Все игры'!C$3:C1000,"&gt;0",'Все игры'!B$3:B1000,"Мафия")</f>
        <v>0</v>
      </c>
      <c r="N9" s="356">
        <f>IFERROR(__xludf.DUMMYFUNCTION("COUNTBLANK(FILTER('Все игры'!A$3:C1000,'Все игры'!A$3:A1000=A9,'Все игры'!C$3:C1000 &lt; 1,'Все игры'!B$3:B1000=""Мафия""))"),0.0)</f>
        <v>0</v>
      </c>
      <c r="O9" s="356">
        <f>COUNTIFS('Все игры'!A$3:A1000,A9,'Все игры'!C$3:C1000,"&gt;0",'Все игры'!B$3:B1000,"Шериф")</f>
        <v>0</v>
      </c>
      <c r="P9" s="363">
        <f>IFERROR(__xludf.DUMMYFUNCTION("COUNTBLANK(FILTER('Все игры'!A$3:C1000,'Все игры'!A$3:A1000=A9,'Все игры'!C$3:C1000 &lt; 1,'Все игры'!B$3:B1000=""Шериф""))"),0.0)</f>
        <v>0</v>
      </c>
      <c r="Q9" s="356">
        <f>COUNTIFS('Все игры'!A$3:A1000,A9,'Все игры'!C$3:C1000,"&gt;0",'Все игры'!B$3:B1000,"Дон")</f>
        <v>0</v>
      </c>
      <c r="R9" s="356">
        <f>IFERROR(__xludf.DUMMYFUNCTION("COUNTBLANK(FILTER('Все игры'!A$3:C1000,'Все игры'!A$3:A1000=A9,'Все игры'!C$3:C1000 &lt; 1,'Все игры'!B$3:B1000=""Дон""))"),0.0)</f>
        <v>0</v>
      </c>
      <c r="S9" s="356">
        <f>COUNTIFS('Все игры'!A$3:A1000,A9,'Все игры'!C$3:C1000,"&gt;0",'Все игры'!B$3:B1000,"Мирный")</f>
        <v>0</v>
      </c>
      <c r="T9" s="364">
        <f>IFERROR(__xludf.DUMMYFUNCTION("COUNTBLANK(FILTER('Все игры'!A$3:C1000,'Все игры'!A$3:A1000=A9,'Все игры'!C$3:C1000 &lt; 1,'Все игры'!B$3:B1000=""Мирный""))"),0.0)</f>
        <v>0</v>
      </c>
      <c r="U9" s="365">
        <f t="shared" si="16"/>
        <v>0</v>
      </c>
      <c r="V9" s="366">
        <f t="shared" si="5"/>
        <v>0</v>
      </c>
      <c r="W9" s="366">
        <f t="shared" si="6"/>
        <v>0</v>
      </c>
      <c r="X9" s="366">
        <f t="shared" si="7"/>
        <v>0</v>
      </c>
      <c r="Y9" s="366">
        <f t="shared" si="8"/>
        <v>0</v>
      </c>
      <c r="Z9" s="366">
        <f t="shared" si="9"/>
        <v>0</v>
      </c>
      <c r="AA9" s="367">
        <f t="shared" si="10"/>
        <v>0</v>
      </c>
      <c r="AB9" s="357">
        <f>SUMIFS('Все игры'!D$3:D1000,'Все игры'!A$3:A1000,A9)</f>
        <v>0</v>
      </c>
      <c r="AC9" s="357">
        <f>SUMIFS('Все игры'!D$3:D1000,'Все игры'!A$3:A1000,A9,'Все игры'!B$3:B1000,"Мафия")</f>
        <v>0</v>
      </c>
      <c r="AD9" s="368">
        <f>SUMIFS('Все игры'!D$3:D1000,'Все игры'!A$3:A1000,A9,'Все игры'!B$3:B1000,"Шериф")</f>
        <v>0</v>
      </c>
      <c r="AE9" s="357">
        <f>SUMIFS('Все игры'!D$3:D1000,'Все игры'!A$3:A1000,A9,'Все игры'!B$3:B1000,"Дон")</f>
        <v>0</v>
      </c>
      <c r="AF9" s="358">
        <f>SUMIFS('Все игры'!D$3:D1000,'Все игры'!A$3:A1000,A9,'Все игры'!B$3:B1000,"Мирный")</f>
        <v>0</v>
      </c>
      <c r="AG9" s="357">
        <f t="shared" si="11"/>
        <v>0</v>
      </c>
      <c r="AH9" s="357">
        <f t="shared" si="12"/>
        <v>0</v>
      </c>
      <c r="AI9" s="357">
        <f t="shared" si="13"/>
        <v>0</v>
      </c>
      <c r="AJ9" s="357">
        <f t="shared" si="14"/>
        <v>0</v>
      </c>
      <c r="AK9" s="357">
        <f t="shared" si="15"/>
        <v>0</v>
      </c>
      <c r="AL9" s="357">
        <f>MAX('Турнирная таблица по Алфавиту'!T11:CA11)</f>
        <v>0</v>
      </c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</row>
    <row r="10">
      <c r="A10" s="369" t="s">
        <v>84</v>
      </c>
      <c r="B10" s="370">
        <f t="shared" si="1"/>
        <v>0</v>
      </c>
      <c r="C10" s="371">
        <f>'Турнирная таблица по Алфавиту'!E12</f>
        <v>0</v>
      </c>
      <c r="D10" s="372" t="str">
        <f>'Турнирная таблица по Алфавиту'!F12</f>
        <v/>
      </c>
      <c r="E10" s="373">
        <f>COUNTIFS('Все игры'!A$3:A1000,A10,'Все игры'!F$3:F1000,"=1")</f>
        <v>0</v>
      </c>
      <c r="F10" s="373">
        <f>COUNTIFS('Все игры'!A$3:A1000,A10,'Все игры'!F$3:F1000,"=0,50")</f>
        <v>0</v>
      </c>
      <c r="G10" s="373">
        <f>COUNTIFS('Все игры'!A$3:A1000,A10,'Все игры'!G$3:G1000,"&gt;0")</f>
        <v>0</v>
      </c>
      <c r="H10" s="374">
        <f t="shared" si="2"/>
        <v>0</v>
      </c>
      <c r="I10" s="375">
        <f>COUNTIFS('Все игры'!A$3:A1000,A10,'Все игры'!E$3:E1000,"У/Победа")</f>
        <v>0</v>
      </c>
      <c r="J10" s="375">
        <f>COUNTIFS('Все игры'!A$3:A1000,A10,'Все игры'!E$3:E1000,"У/Проигрыш")</f>
        <v>0</v>
      </c>
      <c r="K10" s="376">
        <f t="shared" si="3"/>
        <v>0</v>
      </c>
      <c r="L10" s="370">
        <f t="shared" si="4"/>
        <v>0</v>
      </c>
      <c r="M10" s="370">
        <f>COUNTIFS('Все игры'!A$3:A1000,A10,'Все игры'!C$3:C1000,"&gt;0",'Все игры'!B$3:B1000,"Мафия")</f>
        <v>0</v>
      </c>
      <c r="N10" s="370">
        <f>IFERROR(__xludf.DUMMYFUNCTION("COUNTBLANK(FILTER('Все игры'!A$3:C1000,'Все игры'!A$3:A1000=A10,'Все игры'!C$3:C1000 &lt; 1,'Все игры'!B$3:B1000=""Мафия""))"),0.0)</f>
        <v>0</v>
      </c>
      <c r="O10" s="370">
        <f>COUNTIFS('Все игры'!A$3:A1000,A10,'Все игры'!C$3:C1000,"&gt;0",'Все игры'!B$3:B1000,"Шериф")</f>
        <v>0</v>
      </c>
      <c r="P10" s="377">
        <f>IFERROR(__xludf.DUMMYFUNCTION("COUNTBLANK(FILTER('Все игры'!A$3:C1000,'Все игры'!A$3:A1000=A10,'Все игры'!C$3:C1000 &lt; 1,'Все игры'!B$3:B1000=""Шериф""))"),0.0)</f>
        <v>0</v>
      </c>
      <c r="Q10" s="370">
        <f>COUNTIFS('Все игры'!A$3:A1000,A10,'Все игры'!C$3:C1000,"&gt;0",'Все игры'!B$3:B1000,"Дон")</f>
        <v>0</v>
      </c>
      <c r="R10" s="370">
        <f>IFERROR(__xludf.DUMMYFUNCTION("COUNTBLANK(FILTER('Все игры'!A$3:C1000,'Все игры'!A$3:A1000=A10,'Все игры'!C$3:C1000 &lt; 1,'Все игры'!B$3:B1000=""Дон""))"),0.0)</f>
        <v>0</v>
      </c>
      <c r="S10" s="370">
        <f>COUNTIFS('Все игры'!A$3:A1000,A10,'Все игры'!C$3:C1000,"&gt;0",'Все игры'!B$3:B1000,"Мирный")</f>
        <v>0</v>
      </c>
      <c r="T10" s="378">
        <f>IFERROR(__xludf.DUMMYFUNCTION("COUNTBLANK(FILTER('Все игры'!A$3:C1000,'Все игры'!A$3:A1000=A10,'Все игры'!C$3:C1000 &lt; 1,'Все игры'!B$3:B1000=""Мирный""))"),0.0)</f>
        <v>0</v>
      </c>
      <c r="U10" s="379">
        <f t="shared" si="16"/>
        <v>0</v>
      </c>
      <c r="V10" s="380">
        <f t="shared" si="5"/>
        <v>0</v>
      </c>
      <c r="W10" s="380">
        <f t="shared" si="6"/>
        <v>0</v>
      </c>
      <c r="X10" s="380">
        <f t="shared" si="7"/>
        <v>0</v>
      </c>
      <c r="Y10" s="380">
        <f t="shared" si="8"/>
        <v>0</v>
      </c>
      <c r="Z10" s="380">
        <f t="shared" si="9"/>
        <v>0</v>
      </c>
      <c r="AA10" s="381">
        <f t="shared" si="10"/>
        <v>0</v>
      </c>
      <c r="AB10" s="371">
        <f>SUMIFS('Все игры'!D$3:D1000,'Все игры'!A$3:A1000,A10)</f>
        <v>0</v>
      </c>
      <c r="AC10" s="371">
        <f>SUMIFS('Все игры'!D$3:D1000,'Все игры'!A$3:A1000,A10,'Все игры'!B$3:B1000,"Мафия")</f>
        <v>0</v>
      </c>
      <c r="AD10" s="382">
        <f>SUMIFS('Все игры'!D$3:D1000,'Все игры'!A$3:A1000,A10,'Все игры'!B$3:B1000,"Шериф")</f>
        <v>0</v>
      </c>
      <c r="AE10" s="371">
        <f>SUMIFS('Все игры'!D$3:D1000,'Все игры'!A$3:A1000,A10,'Все игры'!B$3:B1000,"Дон")</f>
        <v>0</v>
      </c>
      <c r="AF10" s="372">
        <f>SUMIFS('Все игры'!D$3:D1000,'Все игры'!A$3:A1000,A10,'Все игры'!B$3:B1000,"Мирный")</f>
        <v>0</v>
      </c>
      <c r="AG10" s="371">
        <f t="shared" si="11"/>
        <v>0</v>
      </c>
      <c r="AH10" s="371">
        <f t="shared" si="12"/>
        <v>0</v>
      </c>
      <c r="AI10" s="371">
        <f t="shared" si="13"/>
        <v>0</v>
      </c>
      <c r="AJ10" s="371">
        <f t="shared" si="14"/>
        <v>0</v>
      </c>
      <c r="AK10" s="371">
        <f t="shared" si="15"/>
        <v>0</v>
      </c>
      <c r="AL10" s="357">
        <f>MAX('Турнирная таблица по Алфавиту'!T12:CA12)</f>
        <v>0</v>
      </c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</row>
    <row r="11">
      <c r="A11" s="369" t="s">
        <v>85</v>
      </c>
      <c r="B11" s="370">
        <f t="shared" si="1"/>
        <v>20</v>
      </c>
      <c r="C11" s="371">
        <f>'Турнирная таблица по Алфавиту'!E13</f>
        <v>62.25</v>
      </c>
      <c r="D11" s="372">
        <f>'Турнирная таблица по Алфавиту'!F13</f>
        <v>15.5625</v>
      </c>
      <c r="E11" s="373">
        <f>COUNTIFS('Все игры'!A$3:A1000,A11,'Все игры'!F$3:F1000,"=1")</f>
        <v>0</v>
      </c>
      <c r="F11" s="373">
        <f>COUNTIFS('Все игры'!A$3:A1000,A11,'Все игры'!F$3:F1000,"=0,50")</f>
        <v>0</v>
      </c>
      <c r="G11" s="373">
        <f>COUNTIFS('Все игры'!A$3:A1000,A11,'Все игры'!G$3:G1000,"&gt;0")</f>
        <v>0</v>
      </c>
      <c r="H11" s="374">
        <f t="shared" si="2"/>
        <v>0</v>
      </c>
      <c r="I11" s="375">
        <f>COUNTIFS('Все игры'!A$3:A1000,A11,'Все игры'!E$3:E1000,"У/Победа")</f>
        <v>0</v>
      </c>
      <c r="J11" s="375">
        <f>COUNTIFS('Все игры'!A$3:A1000,A11,'Все игры'!E$3:E1000,"У/Проигрыш")</f>
        <v>1</v>
      </c>
      <c r="K11" s="376">
        <f t="shared" si="3"/>
        <v>13</v>
      </c>
      <c r="L11" s="370">
        <f t="shared" si="4"/>
        <v>7</v>
      </c>
      <c r="M11" s="370">
        <f>COUNTIFS('Все игры'!A$3:A1000,A11,'Все игры'!C$3:C1000,"&gt;0",'Все игры'!B$3:B1000,"Мафия")</f>
        <v>0</v>
      </c>
      <c r="N11" s="370">
        <f>IFERROR(__xludf.DUMMYFUNCTION("COUNTBLANK(FILTER('Все игры'!A$3:C1000,'Все игры'!A$3:A1000=A11,'Все игры'!C$3:C1000 &lt; 1,'Все игры'!B$3:B1000=""Мафия""))"),4.0)</f>
        <v>4</v>
      </c>
      <c r="O11" s="370">
        <f>COUNTIFS('Все игры'!A$3:A1000,A11,'Все игры'!C$3:C1000,"&gt;0",'Все игры'!B$3:B1000,"Шериф")</f>
        <v>1</v>
      </c>
      <c r="P11" s="377">
        <f>IFERROR(__xludf.DUMMYFUNCTION("COUNTBLANK(FILTER('Все игры'!A$3:C1000,'Все игры'!A$3:A1000=A11,'Все игры'!C$3:C1000 &lt; 1,'Все игры'!B$3:B1000=""Шериф""))"),0.0)</f>
        <v>0</v>
      </c>
      <c r="Q11" s="370">
        <f>COUNTIFS('Все игры'!A$3:A1000,A11,'Все игры'!C$3:C1000,"&gt;0",'Все игры'!B$3:B1000,"Дон")</f>
        <v>1</v>
      </c>
      <c r="R11" s="370">
        <f>IFERROR(__xludf.DUMMYFUNCTION("COUNTBLANK(FILTER('Все игры'!A$3:C1000,'Все игры'!A$3:A1000=A11,'Все игры'!C$3:C1000 &lt; 1,'Все игры'!B$3:B1000=""Дон""))"),2.0)</f>
        <v>2</v>
      </c>
      <c r="S11" s="370">
        <f>COUNTIFS('Все игры'!A$3:A1000,A11,'Все игры'!C$3:C1000,"&gt;0",'Все игры'!B$3:B1000,"Мирный")</f>
        <v>3</v>
      </c>
      <c r="T11" s="378">
        <f>IFERROR(__xludf.DUMMYFUNCTION("COUNTBLANK(FILTER('Все игры'!A$3:C1000,'Все игры'!A$3:A1000=A11,'Все игры'!C$3:C1000 &lt; 1,'Все игры'!B$3:B1000=""Мирный""))"),9.0)</f>
        <v>9</v>
      </c>
      <c r="U11" s="379">
        <f t="shared" si="16"/>
        <v>0.25</v>
      </c>
      <c r="V11" s="380">
        <f t="shared" si="5"/>
        <v>0.3076923077</v>
      </c>
      <c r="W11" s="380">
        <f t="shared" si="6"/>
        <v>0.1428571429</v>
      </c>
      <c r="X11" s="380">
        <f t="shared" si="7"/>
        <v>0</v>
      </c>
      <c r="Y11" s="380">
        <f t="shared" si="8"/>
        <v>1</v>
      </c>
      <c r="Z11" s="380">
        <f t="shared" si="9"/>
        <v>0.3333333333</v>
      </c>
      <c r="AA11" s="381">
        <f t="shared" si="10"/>
        <v>0.25</v>
      </c>
      <c r="AB11" s="371">
        <f>SUMIFS('Все игры'!D$3:D1000,'Все игры'!A$3:A1000,A11)</f>
        <v>49.75</v>
      </c>
      <c r="AC11" s="371">
        <f>SUMIFS('Все игры'!D$3:D1000,'Все игры'!A$3:A1000,A11,'Все игры'!B$3:B1000,"Мафия")</f>
        <v>9.5</v>
      </c>
      <c r="AD11" s="382">
        <f>SUMIFS('Все игры'!D$3:D1000,'Все игры'!A$3:A1000,A11,'Все игры'!B$3:B1000,"Шериф")</f>
        <v>4</v>
      </c>
      <c r="AE11" s="371">
        <f>SUMIFS('Все игры'!D$3:D1000,'Все игры'!A$3:A1000,A11,'Все игры'!B$3:B1000,"Дон")</f>
        <v>6</v>
      </c>
      <c r="AF11" s="372">
        <f>SUMIFS('Все игры'!D$3:D1000,'Все игры'!A$3:A1000,A11,'Все игры'!B$3:B1000,"Мирный")</f>
        <v>30.25</v>
      </c>
      <c r="AG11" s="371">
        <f t="shared" si="11"/>
        <v>2.4875</v>
      </c>
      <c r="AH11" s="371">
        <f t="shared" si="12"/>
        <v>2.375</v>
      </c>
      <c r="AI11" s="371">
        <f t="shared" si="13"/>
        <v>4</v>
      </c>
      <c r="AJ11" s="371">
        <f t="shared" si="14"/>
        <v>2</v>
      </c>
      <c r="AK11" s="371">
        <f t="shared" si="15"/>
        <v>2.520833333</v>
      </c>
      <c r="AL11" s="357">
        <f>MAX('Турнирная таблица по Алфавиту'!T13:CA13)</f>
        <v>16.5</v>
      </c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</row>
    <row r="12">
      <c r="A12" s="369" t="s">
        <v>86</v>
      </c>
      <c r="B12" s="356">
        <f t="shared" si="1"/>
        <v>15</v>
      </c>
      <c r="C12" s="357">
        <f>'Турнирная таблица по Алфавиту'!E14</f>
        <v>53.25</v>
      </c>
      <c r="D12" s="358">
        <f>'Турнирная таблица по Алфавиту'!F14</f>
        <v>17.75</v>
      </c>
      <c r="E12" s="359">
        <f>COUNTIFS('Все игры'!A$3:A1000,A12,'Все игры'!F$3:F1000,"=1")</f>
        <v>0</v>
      </c>
      <c r="F12" s="359">
        <f>COUNTIFS('Все игры'!A$3:A1000,A12,'Все игры'!F$3:F1000,"=0,50")</f>
        <v>0</v>
      </c>
      <c r="G12" s="359">
        <f>COUNTIFS('Все игры'!A$3:A1000,A12,'Все игры'!G$3:G1000,"&gt;0")</f>
        <v>1</v>
      </c>
      <c r="H12" s="360">
        <f t="shared" si="2"/>
        <v>0.1</v>
      </c>
      <c r="I12" s="361">
        <f>COUNTIFS('Все игры'!A$3:A1000,A12,'Все игры'!E$3:E1000,"У/Победа")</f>
        <v>3</v>
      </c>
      <c r="J12" s="361">
        <f>COUNTIFS('Все игры'!A$3:A1000,A12,'Все игры'!E$3:E1000,"У/Проигрыш")</f>
        <v>1</v>
      </c>
      <c r="K12" s="362">
        <f t="shared" si="3"/>
        <v>10</v>
      </c>
      <c r="L12" s="356">
        <f t="shared" si="4"/>
        <v>5</v>
      </c>
      <c r="M12" s="356">
        <f>COUNTIFS('Все игры'!A$3:A1000,A12,'Все игры'!C$3:C1000,"&gt;0",'Все игры'!B$3:B1000,"Мафия")</f>
        <v>1</v>
      </c>
      <c r="N12" s="356">
        <f>IFERROR(__xludf.DUMMYFUNCTION("COUNTBLANK(FILTER('Все игры'!A$3:C1000,'Все игры'!A$3:A1000=A12,'Все игры'!C$3:C1000 &lt; 1,'Все игры'!B$3:B1000=""Мафия""))"),0.0)</f>
        <v>0</v>
      </c>
      <c r="O12" s="356">
        <f>COUNTIFS('Все игры'!A$3:A1000,A12,'Все игры'!C$3:C1000,"&gt;0",'Все игры'!B$3:B1000,"Шериф")</f>
        <v>0</v>
      </c>
      <c r="P12" s="363">
        <f>IFERROR(__xludf.DUMMYFUNCTION("COUNTBLANK(FILTER('Все игры'!A$3:C1000,'Все игры'!A$3:A1000=A12,'Все игры'!C$3:C1000 &lt; 1,'Все игры'!B$3:B1000=""Шериф""))"),1.0)</f>
        <v>1</v>
      </c>
      <c r="Q12" s="356">
        <f>COUNTIFS('Все игры'!A$3:A1000,A12,'Все игры'!C$3:C1000,"&gt;0",'Все игры'!B$3:B1000,"Дон")</f>
        <v>3</v>
      </c>
      <c r="R12" s="356">
        <f>IFERROR(__xludf.DUMMYFUNCTION("COUNTBLANK(FILTER('Все игры'!A$3:C1000,'Все игры'!A$3:A1000=A12,'Все игры'!C$3:C1000 &lt; 1,'Все игры'!B$3:B1000=""Дон""))"),1.0)</f>
        <v>1</v>
      </c>
      <c r="S12" s="356">
        <f>COUNTIFS('Все игры'!A$3:A1000,A12,'Все игры'!C$3:C1000,"&gt;0",'Все игры'!B$3:B1000,"Мирный")</f>
        <v>2</v>
      </c>
      <c r="T12" s="364">
        <f>IFERROR(__xludf.DUMMYFUNCTION("COUNTBLANK(FILTER('Все игры'!A$3:C1000,'Все игры'!A$3:A1000=A12,'Все игры'!C$3:C1000 &lt; 1,'Все игры'!B$3:B1000=""Мирный""))"),7.0)</f>
        <v>7</v>
      </c>
      <c r="U12" s="365">
        <f t="shared" si="16"/>
        <v>0.4</v>
      </c>
      <c r="V12" s="366">
        <f t="shared" si="5"/>
        <v>0.2</v>
      </c>
      <c r="W12" s="366">
        <f t="shared" si="6"/>
        <v>0.8</v>
      </c>
      <c r="X12" s="366">
        <f t="shared" si="7"/>
        <v>1</v>
      </c>
      <c r="Y12" s="366">
        <f t="shared" si="8"/>
        <v>0</v>
      </c>
      <c r="Z12" s="366">
        <f t="shared" si="9"/>
        <v>0.75</v>
      </c>
      <c r="AA12" s="367">
        <f t="shared" si="10"/>
        <v>0.2222222222</v>
      </c>
      <c r="AB12" s="357">
        <f>SUMIFS('Все игры'!D$3:D1000,'Все игры'!A$3:A1000,A12)</f>
        <v>37.75</v>
      </c>
      <c r="AC12" s="357">
        <f>SUMIFS('Все игры'!D$3:D1000,'Все игры'!A$3:A1000,A12,'Все игры'!B$3:B1000,"Мафия")</f>
        <v>3.5</v>
      </c>
      <c r="AD12" s="368">
        <f>SUMIFS('Все игры'!D$3:D1000,'Все игры'!A$3:A1000,A12,'Все игры'!B$3:B1000,"Шериф")</f>
        <v>2</v>
      </c>
      <c r="AE12" s="357">
        <f>SUMIFS('Все игры'!D$3:D1000,'Все игры'!A$3:A1000,A12,'Все игры'!B$3:B1000,"Дон")</f>
        <v>13.75</v>
      </c>
      <c r="AF12" s="358">
        <f>SUMIFS('Все игры'!D$3:D1000,'Все игры'!A$3:A1000,A12,'Все игры'!B$3:B1000,"Мирный")</f>
        <v>18.5</v>
      </c>
      <c r="AG12" s="357">
        <f t="shared" si="11"/>
        <v>2.516666667</v>
      </c>
      <c r="AH12" s="357">
        <f t="shared" si="12"/>
        <v>3.5</v>
      </c>
      <c r="AI12" s="357">
        <f t="shared" si="13"/>
        <v>2</v>
      </c>
      <c r="AJ12" s="357">
        <f t="shared" si="14"/>
        <v>3.4375</v>
      </c>
      <c r="AK12" s="357">
        <f t="shared" si="15"/>
        <v>2.055555556</v>
      </c>
      <c r="AL12" s="357">
        <f>MAX('Турнирная таблица по Алфавиту'!T14:CA14)</f>
        <v>21.75</v>
      </c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</row>
    <row r="13">
      <c r="A13" s="369" t="s">
        <v>87</v>
      </c>
      <c r="B13" s="370">
        <f t="shared" si="1"/>
        <v>25</v>
      </c>
      <c r="C13" s="371">
        <f>'Турнирная таблица по Алфавиту'!E15</f>
        <v>113.75</v>
      </c>
      <c r="D13" s="372">
        <f>'Турнирная таблица по Алфавиту'!F15</f>
        <v>22.75</v>
      </c>
      <c r="E13" s="373">
        <f>COUNTIFS('Все игры'!A$3:A1000,A13,'Все игры'!F$3:F1000,"=1")</f>
        <v>0</v>
      </c>
      <c r="F13" s="373">
        <f>COUNTIFS('Все игры'!A$3:A1000,A13,'Все игры'!F$3:F1000,"=0,50")</f>
        <v>0</v>
      </c>
      <c r="G13" s="373">
        <f>COUNTIFS('Все игры'!A$3:A1000,A13,'Все игры'!G$3:G1000,"&gt;0")</f>
        <v>5</v>
      </c>
      <c r="H13" s="374">
        <f t="shared" si="2"/>
        <v>0.2631578947</v>
      </c>
      <c r="I13" s="375">
        <f>COUNTIFS('Все игры'!A$3:A1000,A13,'Все игры'!E$3:E1000,"У/Победа")</f>
        <v>1</v>
      </c>
      <c r="J13" s="375">
        <f>COUNTIFS('Все игры'!A$3:A1000,A13,'Все игры'!E$3:E1000,"У/Проигрыш")</f>
        <v>4</v>
      </c>
      <c r="K13" s="376">
        <f t="shared" si="3"/>
        <v>19</v>
      </c>
      <c r="L13" s="370">
        <f t="shared" si="4"/>
        <v>6</v>
      </c>
      <c r="M13" s="370">
        <f>COUNTIFS('Все игры'!A$3:A1000,A13,'Все игры'!C$3:C1000,"&gt;0",'Все игры'!B$3:B1000,"Мафия")</f>
        <v>2</v>
      </c>
      <c r="N13" s="370">
        <f>IFERROR(__xludf.DUMMYFUNCTION("COUNTBLANK(FILTER('Все игры'!A$3:C1000,'Все игры'!A$3:A1000=A13,'Все игры'!C$3:C1000 &lt; 1,'Все игры'!B$3:B1000=""Мафия""))"),3.0)</f>
        <v>3</v>
      </c>
      <c r="O13" s="370">
        <f>COUNTIFS('Все игры'!A$3:A1000,A13,'Все игры'!C$3:C1000,"&gt;0",'Все игры'!B$3:B1000,"Шериф")</f>
        <v>1</v>
      </c>
      <c r="P13" s="377">
        <f>IFERROR(__xludf.DUMMYFUNCTION("COUNTBLANK(FILTER('Все игры'!A$3:C1000,'Все игры'!A$3:A1000=A13,'Все игры'!C$3:C1000 &lt; 1,'Все игры'!B$3:B1000=""Шериф""))"),0.0)</f>
        <v>0</v>
      </c>
      <c r="Q13" s="370">
        <f>COUNTIFS('Все игры'!A$3:A1000,A13,'Все игры'!C$3:C1000,"&gt;0",'Все игры'!B$3:B1000,"Дон")</f>
        <v>1</v>
      </c>
      <c r="R13" s="370">
        <f>IFERROR(__xludf.DUMMYFUNCTION("COUNTBLANK(FILTER('Все игры'!A$3:C1000,'Все игры'!A$3:A1000=A13,'Все игры'!C$3:C1000 &lt; 1,'Все игры'!B$3:B1000=""Дон""))"),0.0)</f>
        <v>0</v>
      </c>
      <c r="S13" s="370">
        <f>COUNTIFS('Все игры'!A$3:A1000,A13,'Все игры'!C$3:C1000,"&gt;0",'Все игры'!B$3:B1000,"Мирный")</f>
        <v>9</v>
      </c>
      <c r="T13" s="378">
        <f>IFERROR(__xludf.DUMMYFUNCTION("COUNTBLANK(FILTER('Все игры'!A$3:C1000,'Все игры'!A$3:A1000=A13,'Все игры'!C$3:C1000 &lt; 1,'Все игры'!B$3:B1000=""Мирный""))"),9.0)</f>
        <v>9</v>
      </c>
      <c r="U13" s="379">
        <f t="shared" si="16"/>
        <v>0.52</v>
      </c>
      <c r="V13" s="380">
        <f t="shared" si="5"/>
        <v>0.5263157895</v>
      </c>
      <c r="W13" s="380">
        <f t="shared" si="6"/>
        <v>0.5</v>
      </c>
      <c r="X13" s="380">
        <f t="shared" si="7"/>
        <v>0.4</v>
      </c>
      <c r="Y13" s="380">
        <f t="shared" si="8"/>
        <v>1</v>
      </c>
      <c r="Z13" s="380">
        <f t="shared" si="9"/>
        <v>1</v>
      </c>
      <c r="AA13" s="381">
        <f t="shared" si="10"/>
        <v>0.5</v>
      </c>
      <c r="AB13" s="371">
        <f>SUMIFS('Все игры'!D$3:D1000,'Все игры'!A$3:A1000,A13)</f>
        <v>78.25</v>
      </c>
      <c r="AC13" s="371">
        <f>SUMIFS('Все игры'!D$3:D1000,'Все игры'!A$3:A1000,A13,'Все игры'!B$3:B1000,"Мафия")</f>
        <v>14.75</v>
      </c>
      <c r="AD13" s="382">
        <f>SUMIFS('Все игры'!D$3:D1000,'Все игры'!A$3:A1000,A13,'Все игры'!B$3:B1000,"Шериф")</f>
        <v>4.25</v>
      </c>
      <c r="AE13" s="371">
        <f>SUMIFS('Все игры'!D$3:D1000,'Все игры'!A$3:A1000,A13,'Все игры'!B$3:B1000,"Дон")</f>
        <v>4</v>
      </c>
      <c r="AF13" s="372">
        <f>SUMIFS('Все игры'!D$3:D1000,'Все игры'!A$3:A1000,A13,'Все игры'!B$3:B1000,"Мирный")</f>
        <v>55.25</v>
      </c>
      <c r="AG13" s="371">
        <f t="shared" si="11"/>
        <v>3.13</v>
      </c>
      <c r="AH13" s="371">
        <f t="shared" si="12"/>
        <v>2.95</v>
      </c>
      <c r="AI13" s="371">
        <f t="shared" si="13"/>
        <v>4.25</v>
      </c>
      <c r="AJ13" s="371">
        <f t="shared" si="14"/>
        <v>4</v>
      </c>
      <c r="AK13" s="371">
        <f t="shared" si="15"/>
        <v>3.069444444</v>
      </c>
      <c r="AL13" s="357">
        <f>MAX('Турнирная таблица по Алфавиту'!T15:CA15)</f>
        <v>28</v>
      </c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</row>
    <row r="14">
      <c r="A14" s="369" t="s">
        <v>88</v>
      </c>
      <c r="B14" s="356">
        <f t="shared" si="1"/>
        <v>25</v>
      </c>
      <c r="C14" s="357">
        <f>'Турнирная таблица по Алфавиту'!E16</f>
        <v>101.75</v>
      </c>
      <c r="D14" s="358">
        <f>'Турнирная таблица по Алфавиту'!F16</f>
        <v>20.35</v>
      </c>
      <c r="E14" s="359">
        <f>COUNTIFS('Все игры'!A$3:A1000,A14,'Все игры'!F$3:F1000,"=1")</f>
        <v>0</v>
      </c>
      <c r="F14" s="359">
        <f>COUNTIFS('Все игры'!A$3:A1000,A14,'Все игры'!F$3:F1000,"=0,50")</f>
        <v>0</v>
      </c>
      <c r="G14" s="359">
        <f>COUNTIFS('Все игры'!A$3:A1000,A14,'Все игры'!G$3:G1000,"&gt;0")</f>
        <v>1</v>
      </c>
      <c r="H14" s="360">
        <f t="shared" si="2"/>
        <v>0.0625</v>
      </c>
      <c r="I14" s="361">
        <f>COUNTIFS('Все игры'!A$3:A1000,A14,'Все игры'!E$3:E1000,"У/Победа")</f>
        <v>4</v>
      </c>
      <c r="J14" s="361">
        <f>COUNTIFS('Все игры'!A$3:A1000,A14,'Все игры'!E$3:E1000,"У/Проигрыш")</f>
        <v>1</v>
      </c>
      <c r="K14" s="362">
        <f t="shared" si="3"/>
        <v>16</v>
      </c>
      <c r="L14" s="356">
        <f t="shared" si="4"/>
        <v>9</v>
      </c>
      <c r="M14" s="356">
        <f>COUNTIFS('Все игры'!A$3:A1000,A14,'Все игры'!C$3:C1000,"&gt;0",'Все игры'!B$3:B1000,"Мафия")</f>
        <v>3</v>
      </c>
      <c r="N14" s="356">
        <f>IFERROR(__xludf.DUMMYFUNCTION("COUNTBLANK(FILTER('Все игры'!A$3:C1000,'Все игры'!A$3:A1000=A14,'Все игры'!C$3:C1000 &lt; 1,'Все игры'!B$3:B1000=""Мафия""))"),3.0)</f>
        <v>3</v>
      </c>
      <c r="O14" s="356">
        <f>COUNTIFS('Все игры'!A$3:A1000,A14,'Все игры'!C$3:C1000,"&gt;0",'Все игры'!B$3:B1000,"Шериф")</f>
        <v>0</v>
      </c>
      <c r="P14" s="363">
        <f>IFERROR(__xludf.DUMMYFUNCTION("COUNTBLANK(FILTER('Все игры'!A$3:C1000,'Все игры'!A$3:A1000=A14,'Все игры'!C$3:C1000 &lt; 1,'Все игры'!B$3:B1000=""Шериф""))"),1.0)</f>
        <v>1</v>
      </c>
      <c r="Q14" s="356">
        <f>COUNTIFS('Все игры'!A$3:A1000,A14,'Все игры'!C$3:C1000,"&gt;0",'Все игры'!B$3:B1000,"Дон")</f>
        <v>3</v>
      </c>
      <c r="R14" s="356">
        <f>IFERROR(__xludf.DUMMYFUNCTION("COUNTBLANK(FILTER('Все игры'!A$3:C1000,'Все игры'!A$3:A1000=A14,'Все игры'!C$3:C1000 &lt; 1,'Все игры'!B$3:B1000=""Дон""))"),0.0)</f>
        <v>0</v>
      </c>
      <c r="S14" s="356">
        <f>COUNTIFS('Все игры'!A$3:A1000,A14,'Все игры'!C$3:C1000,"&gt;0",'Все игры'!B$3:B1000,"Мирный")</f>
        <v>8</v>
      </c>
      <c r="T14" s="364">
        <f>IFERROR(__xludf.DUMMYFUNCTION("COUNTBLANK(FILTER('Все игры'!A$3:C1000,'Все игры'!A$3:A1000=A14,'Все игры'!C$3:C1000 &lt; 1,'Все игры'!B$3:B1000=""Мирный""))"),7.0)</f>
        <v>7</v>
      </c>
      <c r="U14" s="365">
        <f t="shared" si="16"/>
        <v>0.56</v>
      </c>
      <c r="V14" s="366">
        <f t="shared" si="5"/>
        <v>0.5</v>
      </c>
      <c r="W14" s="366">
        <f t="shared" si="6"/>
        <v>0.6666666667</v>
      </c>
      <c r="X14" s="366">
        <f t="shared" si="7"/>
        <v>0.5</v>
      </c>
      <c r="Y14" s="366">
        <f t="shared" si="8"/>
        <v>0</v>
      </c>
      <c r="Z14" s="366">
        <f t="shared" si="9"/>
        <v>1</v>
      </c>
      <c r="AA14" s="367">
        <f t="shared" si="10"/>
        <v>0.5333333333</v>
      </c>
      <c r="AB14" s="357">
        <f>SUMIFS('Все игры'!D$3:D1000,'Все игры'!A$3:A1000,A14)</f>
        <v>66.25</v>
      </c>
      <c r="AC14" s="357">
        <f>SUMIFS('Все игры'!D$3:D1000,'Все игры'!A$3:A1000,A14,'Все игры'!B$3:B1000,"Мафия")</f>
        <v>13.75</v>
      </c>
      <c r="AD14" s="368">
        <f>SUMIFS('Все игры'!D$3:D1000,'Все игры'!A$3:A1000,A14,'Все игры'!B$3:B1000,"Шериф")</f>
        <v>1.75</v>
      </c>
      <c r="AE14" s="357">
        <f>SUMIFS('Все игры'!D$3:D1000,'Все игры'!A$3:A1000,A14,'Все игры'!B$3:B1000,"Дон")</f>
        <v>8.75</v>
      </c>
      <c r="AF14" s="358">
        <f>SUMIFS('Все игры'!D$3:D1000,'Все игры'!A$3:A1000,A14,'Все игры'!B$3:B1000,"Мирный")</f>
        <v>42</v>
      </c>
      <c r="AG14" s="357">
        <f t="shared" si="11"/>
        <v>2.65</v>
      </c>
      <c r="AH14" s="357">
        <f t="shared" si="12"/>
        <v>2.291666667</v>
      </c>
      <c r="AI14" s="357">
        <f t="shared" si="13"/>
        <v>1.75</v>
      </c>
      <c r="AJ14" s="357">
        <f t="shared" si="14"/>
        <v>2.916666667</v>
      </c>
      <c r="AK14" s="357">
        <f t="shared" si="15"/>
        <v>2.8</v>
      </c>
      <c r="AL14" s="357">
        <f>MAX('Турнирная таблица по Алфавиту'!T16:CA16)</f>
        <v>27.75</v>
      </c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</row>
    <row r="15">
      <c r="A15" s="369" t="s">
        <v>89</v>
      </c>
      <c r="B15" s="370">
        <f t="shared" si="1"/>
        <v>20</v>
      </c>
      <c r="C15" s="371">
        <f>'Турнирная таблица по Алфавиту'!E17</f>
        <v>85.5</v>
      </c>
      <c r="D15" s="372">
        <f>'Турнирная таблица по Алфавиту'!F17</f>
        <v>21.375</v>
      </c>
      <c r="E15" s="373">
        <f>COUNTIFS('Все игры'!A$3:A1000,A15,'Все игры'!F$3:F1000,"=1")</f>
        <v>0</v>
      </c>
      <c r="F15" s="373">
        <f>COUNTIFS('Все игры'!A$3:A1000,A15,'Все игры'!F$3:F1000,"=0,50")</f>
        <v>0</v>
      </c>
      <c r="G15" s="373">
        <f>COUNTIFS('Все игры'!A$3:A1000,A15,'Все игры'!G$3:G1000,"&gt;0")</f>
        <v>2</v>
      </c>
      <c r="H15" s="374">
        <f t="shared" si="2"/>
        <v>0.1666666667</v>
      </c>
      <c r="I15" s="375">
        <f>COUNTIFS('Все игры'!A$3:A1000,A15,'Все игры'!E$3:E1000,"У/Победа")</f>
        <v>1</v>
      </c>
      <c r="J15" s="375">
        <f>COUNTIFS('Все игры'!A$3:A1000,A15,'Все игры'!E$3:E1000,"У/Проигрыш")</f>
        <v>0</v>
      </c>
      <c r="K15" s="376">
        <f t="shared" si="3"/>
        <v>12</v>
      </c>
      <c r="L15" s="370">
        <f t="shared" si="4"/>
        <v>8</v>
      </c>
      <c r="M15" s="370">
        <f>COUNTIFS('Все игры'!A$3:A1000,A15,'Все игры'!C$3:C1000,"&gt;0",'Все игры'!B$3:B1000,"Мафия")</f>
        <v>4</v>
      </c>
      <c r="N15" s="370">
        <f>IFERROR(__xludf.DUMMYFUNCTION("COUNTBLANK(FILTER('Все игры'!A$3:C1000,'Все игры'!A$3:A1000=A15,'Все игры'!C$3:C1000 &lt; 1,'Все игры'!B$3:B1000=""Мафия""))"),2.0)</f>
        <v>2</v>
      </c>
      <c r="O15" s="370">
        <f>COUNTIFS('Все игры'!A$3:A1000,A15,'Все игры'!C$3:C1000,"&gt;0",'Все игры'!B$3:B1000,"Шериф")</f>
        <v>0</v>
      </c>
      <c r="P15" s="377">
        <f>IFERROR(__xludf.DUMMYFUNCTION("COUNTBLANK(FILTER('Все игры'!A$3:C1000,'Все игры'!A$3:A1000=A15,'Все игры'!C$3:C1000 &lt; 1,'Все игры'!B$3:B1000=""Шериф""))"),2.0)</f>
        <v>2</v>
      </c>
      <c r="Q15" s="370">
        <f>COUNTIFS('Все игры'!A$3:A1000,A15,'Все игры'!C$3:C1000,"&gt;0",'Все игры'!B$3:B1000,"Дон")</f>
        <v>1</v>
      </c>
      <c r="R15" s="370">
        <f>IFERROR(__xludf.DUMMYFUNCTION("COUNTBLANK(FILTER('Все игры'!A$3:C1000,'Все игры'!A$3:A1000=A15,'Все игры'!C$3:C1000 &lt; 1,'Все игры'!B$3:B1000=""Дон""))"),1.0)</f>
        <v>1</v>
      </c>
      <c r="S15" s="370">
        <f>COUNTIFS('Все игры'!A$3:A1000,A15,'Все игры'!C$3:C1000,"&gt;0",'Все игры'!B$3:B1000,"Мирный")</f>
        <v>7</v>
      </c>
      <c r="T15" s="378">
        <f>IFERROR(__xludf.DUMMYFUNCTION("COUNTBLANK(FILTER('Все игры'!A$3:C1000,'Все игры'!A$3:A1000=A15,'Все игры'!C$3:C1000 &lt; 1,'Все игры'!B$3:B1000=""Мирный""))"),3.0)</f>
        <v>3</v>
      </c>
      <c r="U15" s="379">
        <f t="shared" si="16"/>
        <v>0.6</v>
      </c>
      <c r="V15" s="380">
        <f t="shared" si="5"/>
        <v>0.5833333333</v>
      </c>
      <c r="W15" s="380">
        <f t="shared" si="6"/>
        <v>0.625</v>
      </c>
      <c r="X15" s="380">
        <f t="shared" si="7"/>
        <v>0.6666666667</v>
      </c>
      <c r="Y15" s="380">
        <f t="shared" si="8"/>
        <v>0</v>
      </c>
      <c r="Z15" s="380">
        <f t="shared" si="9"/>
        <v>0.5</v>
      </c>
      <c r="AA15" s="381">
        <f t="shared" si="10"/>
        <v>0.7</v>
      </c>
      <c r="AB15" s="371">
        <f>SUMIFS('Все игры'!D$3:D1000,'Все игры'!A$3:A1000,A15)</f>
        <v>54.5</v>
      </c>
      <c r="AC15" s="371">
        <f>SUMIFS('Все игры'!D$3:D1000,'Все игры'!A$3:A1000,A15,'Все игры'!B$3:B1000,"Мафия")</f>
        <v>17.75</v>
      </c>
      <c r="AD15" s="382">
        <f>SUMIFS('Все игры'!D$3:D1000,'Все игры'!A$3:A1000,A15,'Все игры'!B$3:B1000,"Шериф")</f>
        <v>5.25</v>
      </c>
      <c r="AE15" s="371">
        <f>SUMIFS('Все игры'!D$3:D1000,'Все игры'!A$3:A1000,A15,'Все игры'!B$3:B1000,"Дон")</f>
        <v>5</v>
      </c>
      <c r="AF15" s="372">
        <f>SUMIFS('Все игры'!D$3:D1000,'Все игры'!A$3:A1000,A15,'Все игры'!B$3:B1000,"Мирный")</f>
        <v>26.5</v>
      </c>
      <c r="AG15" s="371">
        <f t="shared" si="11"/>
        <v>2.725</v>
      </c>
      <c r="AH15" s="371">
        <f t="shared" si="12"/>
        <v>2.958333333</v>
      </c>
      <c r="AI15" s="371">
        <f t="shared" si="13"/>
        <v>2.625</v>
      </c>
      <c r="AJ15" s="371">
        <f t="shared" si="14"/>
        <v>2.5</v>
      </c>
      <c r="AK15" s="371">
        <f t="shared" si="15"/>
        <v>2.65</v>
      </c>
      <c r="AL15" s="357">
        <f>MAX('Турнирная таблица по Алфавиту'!T17:CA17)</f>
        <v>24</v>
      </c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</row>
    <row r="16">
      <c r="A16" s="369" t="s">
        <v>90</v>
      </c>
      <c r="B16" s="356">
        <f t="shared" si="1"/>
        <v>10</v>
      </c>
      <c r="C16" s="357">
        <f>'Турнирная таблица по Алфавиту'!E18</f>
        <v>47</v>
      </c>
      <c r="D16" s="358">
        <f>'Турнирная таблица по Алфавиту'!F18</f>
        <v>23.5</v>
      </c>
      <c r="E16" s="359">
        <f>COUNTIFS('Все игры'!A$3:A1000,A16,'Все игры'!F$3:F1000,"=1")</f>
        <v>0</v>
      </c>
      <c r="F16" s="359">
        <f>COUNTIFS('Все игры'!A$3:A1000,A16,'Все игры'!F$3:F1000,"=0,50")</f>
        <v>0</v>
      </c>
      <c r="G16" s="359">
        <f>COUNTIFS('Все игры'!A$3:A1000,A16,'Все игры'!G$3:G1000,"&gt;0")</f>
        <v>1</v>
      </c>
      <c r="H16" s="360">
        <f t="shared" si="2"/>
        <v>0.1666666667</v>
      </c>
      <c r="I16" s="361">
        <f>COUNTIFS('Все игры'!A$3:A1000,A16,'Все игры'!E$3:E1000,"У/Победа")</f>
        <v>0</v>
      </c>
      <c r="J16" s="361">
        <f>COUNTIFS('Все игры'!A$3:A1000,A16,'Все игры'!E$3:E1000,"У/Проигрыш")</f>
        <v>0</v>
      </c>
      <c r="K16" s="362">
        <f t="shared" si="3"/>
        <v>6</v>
      </c>
      <c r="L16" s="356">
        <f t="shared" si="4"/>
        <v>4</v>
      </c>
      <c r="M16" s="356">
        <f>COUNTIFS('Все игры'!A$3:A1000,A16,'Все игры'!C$3:C1000,"&gt;0",'Все игры'!B$3:B1000,"Мафия")</f>
        <v>2</v>
      </c>
      <c r="N16" s="356">
        <f>IFERROR(__xludf.DUMMYFUNCTION("COUNTBLANK(FILTER('Все игры'!A$3:C1000,'Все игры'!A$3:A1000=A16,'Все игры'!C$3:C1000 &lt; 1,'Все игры'!B$3:B1000=""Мафия""))"),2.0)</f>
        <v>2</v>
      </c>
      <c r="O16" s="356">
        <f>COUNTIFS('Все игры'!A$3:A1000,A16,'Все игры'!C$3:C1000,"&gt;0",'Все игры'!B$3:B1000,"Шериф")</f>
        <v>0</v>
      </c>
      <c r="P16" s="363">
        <f>IFERROR(__xludf.DUMMYFUNCTION("COUNTBLANK(FILTER('Все игры'!A$3:C1000,'Все игры'!A$3:A1000=A16,'Все игры'!C$3:C1000 &lt; 1,'Все игры'!B$3:B1000=""Шериф""))"),0.0)</f>
        <v>0</v>
      </c>
      <c r="Q16" s="356">
        <f>COUNTIFS('Все игры'!A$3:A1000,A16,'Все игры'!C$3:C1000,"&gt;0",'Все игры'!B$3:B1000,"Дон")</f>
        <v>0</v>
      </c>
      <c r="R16" s="356">
        <f>IFERROR(__xludf.DUMMYFUNCTION("COUNTBLANK(FILTER('Все игры'!A$3:C1000,'Все игры'!A$3:A1000=A16,'Все игры'!C$3:C1000 &lt; 1,'Все игры'!B$3:B1000=""Дон""))"),0.0)</f>
        <v>0</v>
      </c>
      <c r="S16" s="356">
        <f>COUNTIFS('Все игры'!A$3:A1000,A16,'Все игры'!C$3:C1000,"&gt;0",'Все игры'!B$3:B1000,"Мирный")</f>
        <v>5</v>
      </c>
      <c r="T16" s="364">
        <f>IFERROR(__xludf.DUMMYFUNCTION("COUNTBLANK(FILTER('Все игры'!A$3:C1000,'Все игры'!A$3:A1000=A16,'Все игры'!C$3:C1000 &lt; 1,'Все игры'!B$3:B1000=""Мирный""))"),1.0)</f>
        <v>1</v>
      </c>
      <c r="U16" s="365">
        <f t="shared" si="16"/>
        <v>0.7</v>
      </c>
      <c r="V16" s="366">
        <f t="shared" si="5"/>
        <v>0.8333333333</v>
      </c>
      <c r="W16" s="366">
        <f t="shared" si="6"/>
        <v>0.5</v>
      </c>
      <c r="X16" s="366">
        <f t="shared" si="7"/>
        <v>0.5</v>
      </c>
      <c r="Y16" s="366">
        <f t="shared" si="8"/>
        <v>0</v>
      </c>
      <c r="Z16" s="366">
        <f t="shared" si="9"/>
        <v>0</v>
      </c>
      <c r="AA16" s="367">
        <f t="shared" si="10"/>
        <v>0.8333333333</v>
      </c>
      <c r="AB16" s="357">
        <f>SUMIFS('Все игры'!D$3:D1000,'Все игры'!A$3:A1000,A16)</f>
        <v>29</v>
      </c>
      <c r="AC16" s="357">
        <f>SUMIFS('Все игры'!D$3:D1000,'Все игры'!A$3:A1000,A16,'Все игры'!B$3:B1000,"Мафия")</f>
        <v>11</v>
      </c>
      <c r="AD16" s="368">
        <f>SUMIFS('Все игры'!D$3:D1000,'Все игры'!A$3:A1000,A16,'Все игры'!B$3:B1000,"Шериф")</f>
        <v>0</v>
      </c>
      <c r="AE16" s="357">
        <f>SUMIFS('Все игры'!D$3:D1000,'Все игры'!A$3:A1000,A16,'Все игры'!B$3:B1000,"Дон")</f>
        <v>0</v>
      </c>
      <c r="AF16" s="358">
        <f>SUMIFS('Все игры'!D$3:D1000,'Все игры'!A$3:A1000,A16,'Все игры'!B$3:B1000,"Мирный")</f>
        <v>18</v>
      </c>
      <c r="AG16" s="357">
        <f t="shared" si="11"/>
        <v>2.9</v>
      </c>
      <c r="AH16" s="357">
        <f t="shared" si="12"/>
        <v>2.75</v>
      </c>
      <c r="AI16" s="357">
        <f t="shared" si="13"/>
        <v>0</v>
      </c>
      <c r="AJ16" s="357">
        <f t="shared" si="14"/>
        <v>0</v>
      </c>
      <c r="AK16" s="357">
        <f t="shared" si="15"/>
        <v>3</v>
      </c>
      <c r="AL16" s="357">
        <f>MAX('Турнирная таблица по Алфавиту'!T18:CA18)</f>
        <v>25</v>
      </c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</row>
    <row r="17">
      <c r="A17" s="369" t="s">
        <v>91</v>
      </c>
      <c r="B17" s="370">
        <f t="shared" si="1"/>
        <v>15</v>
      </c>
      <c r="C17" s="371">
        <f>'Турнирная таблица по Алфавиту'!E19</f>
        <v>65.75</v>
      </c>
      <c r="D17" s="372">
        <f>'Турнирная таблица по Алфавиту'!F19</f>
        <v>21.91666667</v>
      </c>
      <c r="E17" s="373">
        <f>COUNTIFS('Все игры'!A$3:A1000,A17,'Все игры'!F$3:F1000,"=1")</f>
        <v>0</v>
      </c>
      <c r="F17" s="373">
        <f>COUNTIFS('Все игры'!A$3:A1000,A17,'Все игры'!F$3:F1000,"=0,50")</f>
        <v>0</v>
      </c>
      <c r="G17" s="373">
        <f>COUNTIFS('Все игры'!A$3:A1000,A17,'Все игры'!G$3:G1000,"&gt;0")</f>
        <v>2</v>
      </c>
      <c r="H17" s="374">
        <f t="shared" si="2"/>
        <v>0.2</v>
      </c>
      <c r="I17" s="375">
        <f>COUNTIFS('Все игры'!A$3:A1000,A17,'Все игры'!E$3:E1000,"У/Победа")</f>
        <v>3</v>
      </c>
      <c r="J17" s="375">
        <f>COUNTIFS('Все игры'!A$3:A1000,A17,'Все игры'!E$3:E1000,"У/Проигрыш")</f>
        <v>0</v>
      </c>
      <c r="K17" s="376">
        <f t="shared" si="3"/>
        <v>10</v>
      </c>
      <c r="L17" s="370">
        <f t="shared" si="4"/>
        <v>5</v>
      </c>
      <c r="M17" s="370">
        <f>COUNTIFS('Все игры'!A$3:A1000,A17,'Все игры'!C$3:C1000,"&gt;0",'Все игры'!B$3:B1000,"Мафия")</f>
        <v>3</v>
      </c>
      <c r="N17" s="370">
        <f>IFERROR(__xludf.DUMMYFUNCTION("COUNTBLANK(FILTER('Все игры'!A$3:C1000,'Все игры'!A$3:A1000=A17,'Все игры'!C$3:C1000 &lt; 1,'Все игры'!B$3:B1000=""Мафия""))"),0.0)</f>
        <v>0</v>
      </c>
      <c r="O17" s="370">
        <f>COUNTIFS('Все игры'!A$3:A1000,A17,'Все игры'!C$3:C1000,"&gt;0",'Все игры'!B$3:B1000,"Шериф")</f>
        <v>0</v>
      </c>
      <c r="P17" s="377">
        <f>IFERROR(__xludf.DUMMYFUNCTION("COUNTBLANK(FILTER('Все игры'!A$3:C1000,'Все игры'!A$3:A1000=A17,'Все игры'!C$3:C1000 &lt; 1,'Все игры'!B$3:B1000=""Шериф""))"),0.0)</f>
        <v>0</v>
      </c>
      <c r="Q17" s="370">
        <f>COUNTIFS('Все игры'!A$3:A1000,A17,'Все игры'!C$3:C1000,"&gt;0",'Все игры'!B$3:B1000,"Дон")</f>
        <v>1</v>
      </c>
      <c r="R17" s="370">
        <f>IFERROR(__xludf.DUMMYFUNCTION("COUNTBLANK(FILTER('Все игры'!A$3:C1000,'Все игры'!A$3:A1000=A17,'Все игры'!C$3:C1000 &lt; 1,'Все игры'!B$3:B1000=""Дон""))"),1.0)</f>
        <v>1</v>
      </c>
      <c r="S17" s="370">
        <f>COUNTIFS('Все игры'!A$3:A1000,A17,'Все игры'!C$3:C1000,"&gt;0",'Все игры'!B$3:B1000,"Мирный")</f>
        <v>5</v>
      </c>
      <c r="T17" s="378">
        <f>IFERROR(__xludf.DUMMYFUNCTION("COUNTBLANK(FILTER('Все игры'!A$3:C1000,'Все игры'!A$3:A1000=A17,'Все игры'!C$3:C1000 &lt; 1,'Все игры'!B$3:B1000=""Мирный""))"),5.0)</f>
        <v>5</v>
      </c>
      <c r="U17" s="379">
        <f t="shared" si="16"/>
        <v>0.6</v>
      </c>
      <c r="V17" s="380">
        <f t="shared" si="5"/>
        <v>0.5</v>
      </c>
      <c r="W17" s="380">
        <f t="shared" si="6"/>
        <v>0.8</v>
      </c>
      <c r="X17" s="380">
        <f t="shared" si="7"/>
        <v>1</v>
      </c>
      <c r="Y17" s="380">
        <f t="shared" si="8"/>
        <v>0</v>
      </c>
      <c r="Z17" s="380">
        <f t="shared" si="9"/>
        <v>0.5</v>
      </c>
      <c r="AA17" s="381">
        <f t="shared" si="10"/>
        <v>0.5</v>
      </c>
      <c r="AB17" s="371">
        <f>SUMIFS('Все игры'!D$3:D1000,'Все игры'!A$3:A1000,A17)</f>
        <v>42.25</v>
      </c>
      <c r="AC17" s="371">
        <f>SUMIFS('Все игры'!D$3:D1000,'Все игры'!A$3:A1000,A17,'Все игры'!B$3:B1000,"Мафия")</f>
        <v>11</v>
      </c>
      <c r="AD17" s="382">
        <f>SUMIFS('Все игры'!D$3:D1000,'Все игры'!A$3:A1000,A17,'Все игры'!B$3:B1000,"Шериф")</f>
        <v>0</v>
      </c>
      <c r="AE17" s="371">
        <f>SUMIFS('Все игры'!D$3:D1000,'Все игры'!A$3:A1000,A17,'Все игры'!B$3:B1000,"Дон")</f>
        <v>4.25</v>
      </c>
      <c r="AF17" s="372">
        <f>SUMIFS('Все игры'!D$3:D1000,'Все игры'!A$3:A1000,A17,'Все игры'!B$3:B1000,"Мирный")</f>
        <v>27</v>
      </c>
      <c r="AG17" s="371">
        <f t="shared" si="11"/>
        <v>2.816666667</v>
      </c>
      <c r="AH17" s="371">
        <f t="shared" si="12"/>
        <v>3.666666667</v>
      </c>
      <c r="AI17" s="371">
        <f t="shared" si="13"/>
        <v>0</v>
      </c>
      <c r="AJ17" s="371">
        <f t="shared" si="14"/>
        <v>2.125</v>
      </c>
      <c r="AK17" s="371">
        <f t="shared" si="15"/>
        <v>2.7</v>
      </c>
      <c r="AL17" s="357">
        <f>MAX('Турнирная таблица по Алфавиту'!T19:CA19)</f>
        <v>23.25</v>
      </c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</row>
    <row r="18">
      <c r="A18" s="355" t="s">
        <v>92</v>
      </c>
      <c r="B18" s="356">
        <f t="shared" si="1"/>
        <v>5</v>
      </c>
      <c r="C18" s="357">
        <f>'Турнирная таблица по Алфавиту'!E20</f>
        <v>24.5</v>
      </c>
      <c r="D18" s="358">
        <f>'Турнирная таблица по Алфавиту'!F20</f>
        <v>24.5</v>
      </c>
      <c r="E18" s="359">
        <f>COUNTIFS('Все игры'!A$3:A1000,A18,'Все игры'!F$3:F1000,"=1")</f>
        <v>0</v>
      </c>
      <c r="F18" s="359">
        <f>COUNTIFS('Все игры'!A$3:A1000,A18,'Все игры'!F$3:F1000,"=0,50")</f>
        <v>0</v>
      </c>
      <c r="G18" s="359">
        <f>COUNTIFS('Все игры'!A$3:A1000,A18,'Все игры'!G$3:G1000,"&gt;0")</f>
        <v>0</v>
      </c>
      <c r="H18" s="360">
        <f t="shared" si="2"/>
        <v>0</v>
      </c>
      <c r="I18" s="361">
        <f>COUNTIFS('Все игры'!A$3:A1000,A18,'Все игры'!E$3:E1000,"У/Победа")</f>
        <v>0</v>
      </c>
      <c r="J18" s="361">
        <f>COUNTIFS('Все игры'!A$3:A1000,A18,'Все игры'!E$3:E1000,"У/Проигрыш")</f>
        <v>0</v>
      </c>
      <c r="K18" s="362">
        <f t="shared" si="3"/>
        <v>4</v>
      </c>
      <c r="L18" s="356">
        <f t="shared" si="4"/>
        <v>1</v>
      </c>
      <c r="M18" s="356">
        <f>COUNTIFS('Все игры'!A$3:A1000,A18,'Все игры'!C$3:C1000,"&gt;0",'Все игры'!B$3:B1000,"Мафия")</f>
        <v>0</v>
      </c>
      <c r="N18" s="356">
        <f>IFERROR(__xludf.DUMMYFUNCTION("COUNTBLANK(FILTER('Все игры'!A$3:C1000,'Все игры'!A$3:A1000=A18,'Все игры'!C$3:C1000 &lt; 1,'Все игры'!B$3:B1000=""Мафия""))"),0.0)</f>
        <v>0</v>
      </c>
      <c r="O18" s="356">
        <f>COUNTIFS('Все игры'!A$3:A1000,A18,'Все игры'!C$3:C1000,"&gt;0",'Все игры'!B$3:B1000,"Шериф")</f>
        <v>0</v>
      </c>
      <c r="P18" s="363">
        <f>IFERROR(__xludf.DUMMYFUNCTION("COUNTBLANK(FILTER('Все игры'!A$3:C1000,'Все игры'!A$3:A1000=A18,'Все игры'!C$3:C1000 &lt; 1,'Все игры'!B$3:B1000=""Шериф""))"),0.0)</f>
        <v>0</v>
      </c>
      <c r="Q18" s="356">
        <f>COUNTIFS('Все игры'!A$3:A1000,A18,'Все игры'!C$3:C1000,"&gt;0",'Все игры'!B$3:B1000,"Дон")</f>
        <v>1</v>
      </c>
      <c r="R18" s="356">
        <f>IFERROR(__xludf.DUMMYFUNCTION("COUNTBLANK(FILTER('Все игры'!A$3:C1000,'Все игры'!A$3:A1000=A18,'Все игры'!C$3:C1000 &lt; 1,'Все игры'!B$3:B1000=""Дон""))"),0.0)</f>
        <v>0</v>
      </c>
      <c r="S18" s="356">
        <f>COUNTIFS('Все игры'!A$3:A1000,A18,'Все игры'!C$3:C1000,"&gt;0",'Все игры'!B$3:B1000,"Мирный")</f>
        <v>3</v>
      </c>
      <c r="T18" s="364">
        <f>IFERROR(__xludf.DUMMYFUNCTION("COUNTBLANK(FILTER('Все игры'!A$3:C1000,'Все игры'!A$3:A1000=A18,'Все игры'!C$3:C1000 &lt; 1,'Все игры'!B$3:B1000=""Мирный""))"),1.0)</f>
        <v>1</v>
      </c>
      <c r="U18" s="365">
        <f t="shared" si="16"/>
        <v>0.8</v>
      </c>
      <c r="V18" s="366">
        <f t="shared" si="5"/>
        <v>0.75</v>
      </c>
      <c r="W18" s="366">
        <f t="shared" si="6"/>
        <v>1</v>
      </c>
      <c r="X18" s="366">
        <f t="shared" si="7"/>
        <v>0</v>
      </c>
      <c r="Y18" s="366">
        <f t="shared" si="8"/>
        <v>0</v>
      </c>
      <c r="Z18" s="366">
        <f t="shared" si="9"/>
        <v>1</v>
      </c>
      <c r="AA18" s="367">
        <f t="shared" si="10"/>
        <v>0.75</v>
      </c>
      <c r="AB18" s="357">
        <f>SUMIFS('Все игры'!D$3:D1000,'Все игры'!A$3:A1000,A18)</f>
        <v>14.5</v>
      </c>
      <c r="AC18" s="357">
        <f>SUMIFS('Все игры'!D$3:D1000,'Все игры'!A$3:A1000,A18,'Все игры'!B$3:B1000,"Мафия")</f>
        <v>0</v>
      </c>
      <c r="AD18" s="368">
        <f>SUMIFS('Все игры'!D$3:D1000,'Все игры'!A$3:A1000,A18,'Все игры'!B$3:B1000,"Шериф")</f>
        <v>0</v>
      </c>
      <c r="AE18" s="357">
        <f>SUMIFS('Все игры'!D$3:D1000,'Все игры'!A$3:A1000,A18,'Все игры'!B$3:B1000,"Дон")</f>
        <v>3</v>
      </c>
      <c r="AF18" s="358">
        <f>SUMIFS('Все игры'!D$3:D1000,'Все игры'!A$3:A1000,A18,'Все игры'!B$3:B1000,"Мирный")</f>
        <v>11.5</v>
      </c>
      <c r="AG18" s="357">
        <f t="shared" si="11"/>
        <v>2.9</v>
      </c>
      <c r="AH18" s="357">
        <f t="shared" si="12"/>
        <v>0</v>
      </c>
      <c r="AI18" s="357">
        <f t="shared" si="13"/>
        <v>0</v>
      </c>
      <c r="AJ18" s="357">
        <f t="shared" si="14"/>
        <v>3</v>
      </c>
      <c r="AK18" s="357">
        <f t="shared" si="15"/>
        <v>2.875</v>
      </c>
      <c r="AL18" s="357">
        <f>MAX('Турнирная таблица по Алфавиту'!T20:CA20)</f>
        <v>24.5</v>
      </c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</row>
    <row r="19">
      <c r="A19" s="355" t="s">
        <v>93</v>
      </c>
      <c r="B19" s="370">
        <f t="shared" si="1"/>
        <v>0</v>
      </c>
      <c r="C19" s="371">
        <f>'Турнирная таблица по Алфавиту'!E21</f>
        <v>0</v>
      </c>
      <c r="D19" s="372" t="str">
        <f>'Турнирная таблица по Алфавиту'!F21</f>
        <v/>
      </c>
      <c r="E19" s="373">
        <f>COUNTIFS('Все игры'!A$3:A1000,A19,'Все игры'!F$3:F1000,"=1")</f>
        <v>0</v>
      </c>
      <c r="F19" s="373">
        <f>COUNTIFS('Все игры'!A$3:A1000,A19,'Все игры'!F$3:F1000,"=0,50")</f>
        <v>0</v>
      </c>
      <c r="G19" s="373">
        <f>COUNTIFS('Все игры'!A$3:A1000,A19,'Все игры'!G$3:G1000,"&gt;0")</f>
        <v>0</v>
      </c>
      <c r="H19" s="374">
        <f t="shared" si="2"/>
        <v>0</v>
      </c>
      <c r="I19" s="375">
        <f>COUNTIFS('Все игры'!A$3:A1000,A19,'Все игры'!E$3:E1000,"У/Победа")</f>
        <v>0</v>
      </c>
      <c r="J19" s="375">
        <f>COUNTIFS('Все игры'!A$3:A1000,A19,'Все игры'!E$3:E1000,"У/Проигрыш")</f>
        <v>0</v>
      </c>
      <c r="K19" s="376">
        <f t="shared" si="3"/>
        <v>0</v>
      </c>
      <c r="L19" s="370">
        <f t="shared" si="4"/>
        <v>0</v>
      </c>
      <c r="M19" s="370">
        <f>COUNTIFS('Все игры'!A$3:A1000,A19,'Все игры'!C$3:C1000,"&gt;0",'Все игры'!B$3:B1000,"Мафия")</f>
        <v>0</v>
      </c>
      <c r="N19" s="370">
        <f>IFERROR(__xludf.DUMMYFUNCTION("COUNTBLANK(FILTER('Все игры'!A$3:C1000,'Все игры'!A$3:A1000=A19,'Все игры'!C$3:C1000 &lt; 1,'Все игры'!B$3:B1000=""Мафия""))"),0.0)</f>
        <v>0</v>
      </c>
      <c r="O19" s="370">
        <f>COUNTIFS('Все игры'!A$3:A1000,A19,'Все игры'!C$3:C1000,"&gt;0",'Все игры'!B$3:B1000,"Шериф")</f>
        <v>0</v>
      </c>
      <c r="P19" s="377">
        <f>IFERROR(__xludf.DUMMYFUNCTION("COUNTBLANK(FILTER('Все игры'!A$3:C1000,'Все игры'!A$3:A1000=A19,'Все игры'!C$3:C1000 &lt; 1,'Все игры'!B$3:B1000=""Шериф""))"),0.0)</f>
        <v>0</v>
      </c>
      <c r="Q19" s="370">
        <f>COUNTIFS('Все игры'!A$3:A1000,A19,'Все игры'!C$3:C1000,"&gt;0",'Все игры'!B$3:B1000,"Дон")</f>
        <v>0</v>
      </c>
      <c r="R19" s="370">
        <f>IFERROR(__xludf.DUMMYFUNCTION("COUNTBLANK(FILTER('Все игры'!A$3:C1000,'Все игры'!A$3:A1000=A19,'Все игры'!C$3:C1000 &lt; 1,'Все игры'!B$3:B1000=""Дон""))"),0.0)</f>
        <v>0</v>
      </c>
      <c r="S19" s="370">
        <f>COUNTIFS('Все игры'!A$3:A1000,A19,'Все игры'!C$3:C1000,"&gt;0",'Все игры'!B$3:B1000,"Мирный")</f>
        <v>0</v>
      </c>
      <c r="T19" s="378">
        <f>IFERROR(__xludf.DUMMYFUNCTION("COUNTBLANK(FILTER('Все игры'!A$3:C1000,'Все игры'!A$3:A1000=A19,'Все игры'!C$3:C1000 &lt; 1,'Все игры'!B$3:B1000=""Мирный""))"),0.0)</f>
        <v>0</v>
      </c>
      <c r="U19" s="379">
        <f t="shared" si="16"/>
        <v>0</v>
      </c>
      <c r="V19" s="380">
        <f t="shared" si="5"/>
        <v>0</v>
      </c>
      <c r="W19" s="380">
        <f t="shared" si="6"/>
        <v>0</v>
      </c>
      <c r="X19" s="380">
        <f t="shared" si="7"/>
        <v>0</v>
      </c>
      <c r="Y19" s="380">
        <f t="shared" si="8"/>
        <v>0</v>
      </c>
      <c r="Z19" s="380">
        <f t="shared" si="9"/>
        <v>0</v>
      </c>
      <c r="AA19" s="381">
        <f t="shared" si="10"/>
        <v>0</v>
      </c>
      <c r="AB19" s="371">
        <f>SUMIFS('Все игры'!D$3:D1000,'Все игры'!A$3:A1000,A19)</f>
        <v>0</v>
      </c>
      <c r="AC19" s="371">
        <f>SUMIFS('Все игры'!D$3:D1000,'Все игры'!A$3:A1000,A19,'Все игры'!B$3:B1000,"Мафия")</f>
        <v>0</v>
      </c>
      <c r="AD19" s="382">
        <f>SUMIFS('Все игры'!D$3:D1000,'Все игры'!A$3:A1000,A19,'Все игры'!B$3:B1000,"Шериф")</f>
        <v>0</v>
      </c>
      <c r="AE19" s="371">
        <f>SUMIFS('Все игры'!D$3:D1000,'Все игры'!A$3:A1000,A19,'Все игры'!B$3:B1000,"Дон")</f>
        <v>0</v>
      </c>
      <c r="AF19" s="372">
        <f>SUMIFS('Все игры'!D$3:D1000,'Все игры'!A$3:A1000,A19,'Все игры'!B$3:B1000,"Мирный")</f>
        <v>0</v>
      </c>
      <c r="AG19" s="371">
        <f t="shared" si="11"/>
        <v>0</v>
      </c>
      <c r="AH19" s="371">
        <f t="shared" si="12"/>
        <v>0</v>
      </c>
      <c r="AI19" s="371">
        <f t="shared" si="13"/>
        <v>0</v>
      </c>
      <c r="AJ19" s="371">
        <f t="shared" si="14"/>
        <v>0</v>
      </c>
      <c r="AK19" s="371">
        <f t="shared" si="15"/>
        <v>0</v>
      </c>
      <c r="AL19" s="357">
        <f>MAX('Турнирная таблица по Алфавиту'!T21:CA21)</f>
        <v>0</v>
      </c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</row>
    <row r="20">
      <c r="A20" s="369" t="s">
        <v>94</v>
      </c>
      <c r="B20" s="356">
        <f t="shared" si="1"/>
        <v>15</v>
      </c>
      <c r="C20" s="357">
        <f>'Турнирная таблица по Алфавиту'!E22</f>
        <v>49</v>
      </c>
      <c r="D20" s="358">
        <f>'Турнирная таблица по Алфавиту'!F22</f>
        <v>16.33333333</v>
      </c>
      <c r="E20" s="359">
        <f>COUNTIFS('Все игры'!A$3:A1000,A20,'Все игры'!F$3:F1000,"=1")</f>
        <v>0</v>
      </c>
      <c r="F20" s="359">
        <f>COUNTIFS('Все игры'!A$3:A1000,A20,'Все игры'!F$3:F1000,"=0,50")</f>
        <v>0</v>
      </c>
      <c r="G20" s="359">
        <f>COUNTIFS('Все игры'!A$3:A1000,A20,'Все игры'!G$3:G1000,"&gt;0")</f>
        <v>0</v>
      </c>
      <c r="H20" s="360">
        <f t="shared" si="2"/>
        <v>0</v>
      </c>
      <c r="I20" s="361">
        <f>COUNTIFS('Все игры'!A$3:A1000,A20,'Все игры'!E$3:E1000,"У/Победа")</f>
        <v>0</v>
      </c>
      <c r="J20" s="361">
        <f>COUNTIFS('Все игры'!A$3:A1000,A20,'Все игры'!E$3:E1000,"У/Проигрыш")</f>
        <v>0</v>
      </c>
      <c r="K20" s="362">
        <f t="shared" si="3"/>
        <v>7</v>
      </c>
      <c r="L20" s="356">
        <f t="shared" si="4"/>
        <v>8</v>
      </c>
      <c r="M20" s="356">
        <f>COUNTIFS('Все игры'!A$3:A1000,A20,'Все игры'!C$3:C1000,"&gt;0",'Все игры'!B$3:B1000,"Мафия")</f>
        <v>3</v>
      </c>
      <c r="N20" s="356">
        <f>IFERROR(__xludf.DUMMYFUNCTION("COUNTBLANK(FILTER('Все игры'!A$3:C1000,'Все игры'!A$3:A1000=A20,'Все игры'!C$3:C1000 &lt; 1,'Все игры'!B$3:B1000=""Мафия""))"),5.0)</f>
        <v>5</v>
      </c>
      <c r="O20" s="356">
        <f>COUNTIFS('Все игры'!A$3:A1000,A20,'Все игры'!C$3:C1000,"&gt;0",'Все игры'!B$3:B1000,"Шериф")</f>
        <v>0</v>
      </c>
      <c r="P20" s="363">
        <f>IFERROR(__xludf.DUMMYFUNCTION("COUNTBLANK(FILTER('Все игры'!A$3:C1000,'Все игры'!A$3:A1000=A20,'Все игры'!C$3:C1000 &lt; 1,'Все игры'!B$3:B1000=""Шериф""))"),2.0)</f>
        <v>2</v>
      </c>
      <c r="Q20" s="356">
        <f>COUNTIFS('Все игры'!A$3:A1000,A20,'Все игры'!C$3:C1000,"&gt;0",'Все игры'!B$3:B1000,"Дон")</f>
        <v>0</v>
      </c>
      <c r="R20" s="356">
        <f>IFERROR(__xludf.DUMMYFUNCTION("COUNTBLANK(FILTER('Все игры'!A$3:C1000,'Все игры'!A$3:A1000=A20,'Все игры'!C$3:C1000 &lt; 1,'Все игры'!B$3:B1000=""Дон""))"),0.0)</f>
        <v>0</v>
      </c>
      <c r="S20" s="356">
        <f>COUNTIFS('Все игры'!A$3:A1000,A20,'Все игры'!C$3:C1000,"&gt;0",'Все игры'!B$3:B1000,"Мирный")</f>
        <v>2</v>
      </c>
      <c r="T20" s="364">
        <f>IFERROR(__xludf.DUMMYFUNCTION("COUNTBLANK(FILTER('Все игры'!A$3:C1000,'Все игры'!A$3:A1000=A20,'Все игры'!C$3:C1000 &lt; 1,'Все игры'!B$3:B1000=""Мирный""))"),3.0)</f>
        <v>3</v>
      </c>
      <c r="U20" s="365">
        <f t="shared" si="16"/>
        <v>0.3333333333</v>
      </c>
      <c r="V20" s="366">
        <f t="shared" si="5"/>
        <v>0.2857142857</v>
      </c>
      <c r="W20" s="366">
        <f t="shared" si="6"/>
        <v>0.375</v>
      </c>
      <c r="X20" s="366">
        <f t="shared" si="7"/>
        <v>0.375</v>
      </c>
      <c r="Y20" s="366">
        <f t="shared" si="8"/>
        <v>0</v>
      </c>
      <c r="Z20" s="366">
        <f t="shared" si="9"/>
        <v>0</v>
      </c>
      <c r="AA20" s="367">
        <f t="shared" si="10"/>
        <v>0.4</v>
      </c>
      <c r="AB20" s="357">
        <f>SUMIFS('Все игры'!D$3:D1000,'Все игры'!A$3:A1000,A20)</f>
        <v>36.5</v>
      </c>
      <c r="AC20" s="357">
        <f>SUMIFS('Все игры'!D$3:D1000,'Все игры'!A$3:A1000,A20,'Все игры'!B$3:B1000,"Мафия")</f>
        <v>19.75</v>
      </c>
      <c r="AD20" s="368">
        <f>SUMIFS('Все игры'!D$3:D1000,'Все игры'!A$3:A1000,A20,'Все игры'!B$3:B1000,"Шериф")</f>
        <v>5.25</v>
      </c>
      <c r="AE20" s="357">
        <f>SUMIFS('Все игры'!D$3:D1000,'Все игры'!A$3:A1000,A20,'Все игры'!B$3:B1000,"Дон")</f>
        <v>0</v>
      </c>
      <c r="AF20" s="358">
        <f>SUMIFS('Все игры'!D$3:D1000,'Все игры'!A$3:A1000,A20,'Все игры'!B$3:B1000,"Мирный")</f>
        <v>11.5</v>
      </c>
      <c r="AG20" s="357">
        <f t="shared" si="11"/>
        <v>2.433333333</v>
      </c>
      <c r="AH20" s="357">
        <f t="shared" si="12"/>
        <v>2.46875</v>
      </c>
      <c r="AI20" s="357">
        <f t="shared" si="13"/>
        <v>2.625</v>
      </c>
      <c r="AJ20" s="357">
        <f t="shared" si="14"/>
        <v>0</v>
      </c>
      <c r="AK20" s="357">
        <f t="shared" si="15"/>
        <v>2.3</v>
      </c>
      <c r="AL20" s="357">
        <f>MAX('Турнирная таблица по Алфавиту'!T22:CA22)</f>
        <v>18.25</v>
      </c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</row>
    <row r="21">
      <c r="A21" s="369" t="s">
        <v>95</v>
      </c>
      <c r="B21" s="370">
        <f t="shared" si="1"/>
        <v>15</v>
      </c>
      <c r="C21" s="371">
        <f>'Турнирная таблица по Алфавиту'!E23</f>
        <v>46.25</v>
      </c>
      <c r="D21" s="372">
        <f>'Турнирная таблица по Алфавиту'!F23</f>
        <v>15.41666667</v>
      </c>
      <c r="E21" s="373">
        <f>COUNTIFS('Все игры'!A$3:A1000,A21,'Все игры'!F$3:F1000,"=1")</f>
        <v>0</v>
      </c>
      <c r="F21" s="373">
        <f>COUNTIFS('Все игры'!A$3:A1000,A21,'Все игры'!F$3:F1000,"=0,50")</f>
        <v>1</v>
      </c>
      <c r="G21" s="373">
        <f>COUNTIFS('Все игры'!A$3:A1000,A21,'Все игры'!G$3:G1000,"&gt;0")</f>
        <v>2</v>
      </c>
      <c r="H21" s="374">
        <f t="shared" si="2"/>
        <v>0.25</v>
      </c>
      <c r="I21" s="375">
        <f>COUNTIFS('Все игры'!A$3:A1000,A21,'Все игры'!E$3:E1000,"У/Победа")</f>
        <v>0</v>
      </c>
      <c r="J21" s="375">
        <f>COUNTIFS('Все игры'!A$3:A1000,A21,'Все игры'!E$3:E1000,"У/Проигрыш")</f>
        <v>1</v>
      </c>
      <c r="K21" s="376">
        <f t="shared" si="3"/>
        <v>8</v>
      </c>
      <c r="L21" s="370">
        <f t="shared" si="4"/>
        <v>7</v>
      </c>
      <c r="M21" s="370">
        <f>COUNTIFS('Все игры'!A$3:A1000,A21,'Все игры'!C$3:C1000,"&gt;0",'Все игры'!B$3:B1000,"Мафия")</f>
        <v>1</v>
      </c>
      <c r="N21" s="370">
        <f>IFERROR(__xludf.DUMMYFUNCTION("COUNTBLANK(FILTER('Все игры'!A$3:C1000,'Все игры'!A$3:A1000=A21,'Все игры'!C$3:C1000 &lt; 1,'Все игры'!B$3:B1000=""Мафия""))"),2.0)</f>
        <v>2</v>
      </c>
      <c r="O21" s="370">
        <f>COUNTIFS('Все игры'!A$3:A1000,A21,'Все игры'!C$3:C1000,"&gt;0",'Все игры'!B$3:B1000,"Шериф")</f>
        <v>0</v>
      </c>
      <c r="P21" s="377">
        <f>IFERROR(__xludf.DUMMYFUNCTION("COUNTBLANK(FILTER('Все игры'!A$3:C1000,'Все игры'!A$3:A1000=A21,'Все игры'!C$3:C1000 &lt; 1,'Все игры'!B$3:B1000=""Шериф""))"),3.0)</f>
        <v>3</v>
      </c>
      <c r="Q21" s="370">
        <f>COUNTIFS('Все игры'!A$3:A1000,A21,'Все игры'!C$3:C1000,"&gt;0",'Все игры'!B$3:B1000,"Дон")</f>
        <v>1</v>
      </c>
      <c r="R21" s="370">
        <f>IFERROR(__xludf.DUMMYFUNCTION("COUNTBLANK(FILTER('Все игры'!A$3:C1000,'Все игры'!A$3:A1000=A21,'Все игры'!C$3:C1000 &lt; 1,'Все игры'!B$3:B1000=""Дон""))"),3.0)</f>
        <v>3</v>
      </c>
      <c r="S21" s="370">
        <f>COUNTIFS('Все игры'!A$3:A1000,A21,'Все игры'!C$3:C1000,"&gt;0",'Все игры'!B$3:B1000,"Мирный")</f>
        <v>1</v>
      </c>
      <c r="T21" s="378">
        <f>IFERROR(__xludf.DUMMYFUNCTION("COUNTBLANK(FILTER('Все игры'!A$3:C1000,'Все игры'!A$3:A1000=A21,'Все игры'!C$3:C1000 &lt; 1,'Все игры'!B$3:B1000=""Мирный""))"),4.0)</f>
        <v>4</v>
      </c>
      <c r="U21" s="379">
        <f t="shared" si="16"/>
        <v>0.2</v>
      </c>
      <c r="V21" s="380">
        <f t="shared" si="5"/>
        <v>0.125</v>
      </c>
      <c r="W21" s="380">
        <f t="shared" si="6"/>
        <v>0.2857142857</v>
      </c>
      <c r="X21" s="380">
        <f t="shared" si="7"/>
        <v>0.3333333333</v>
      </c>
      <c r="Y21" s="380">
        <f t="shared" si="8"/>
        <v>0</v>
      </c>
      <c r="Z21" s="380">
        <f t="shared" si="9"/>
        <v>0.25</v>
      </c>
      <c r="AA21" s="381">
        <f t="shared" si="10"/>
        <v>0.2</v>
      </c>
      <c r="AB21" s="371">
        <f>SUMIFS('Все игры'!D$3:D1000,'Все игры'!A$3:A1000,A21)</f>
        <v>37.25</v>
      </c>
      <c r="AC21" s="371">
        <f>SUMIFS('Все игры'!D$3:D1000,'Все игры'!A$3:A1000,A21,'Все игры'!B$3:B1000,"Мафия")</f>
        <v>7.75</v>
      </c>
      <c r="AD21" s="382">
        <f>SUMIFS('Все игры'!D$3:D1000,'Все игры'!A$3:A1000,A21,'Все игры'!B$3:B1000,"Шериф")</f>
        <v>8.25</v>
      </c>
      <c r="AE21" s="371">
        <f>SUMIFS('Все игры'!D$3:D1000,'Все игры'!A$3:A1000,A21,'Все игры'!B$3:B1000,"Дон")</f>
        <v>10.5</v>
      </c>
      <c r="AF21" s="372">
        <f>SUMIFS('Все игры'!D$3:D1000,'Все игры'!A$3:A1000,A21,'Все игры'!B$3:B1000,"Мирный")</f>
        <v>10.75</v>
      </c>
      <c r="AG21" s="371">
        <f t="shared" si="11"/>
        <v>2.483333333</v>
      </c>
      <c r="AH21" s="371">
        <f t="shared" si="12"/>
        <v>2.583333333</v>
      </c>
      <c r="AI21" s="371">
        <f t="shared" si="13"/>
        <v>2.75</v>
      </c>
      <c r="AJ21" s="371">
        <f t="shared" si="14"/>
        <v>2.625</v>
      </c>
      <c r="AK21" s="371">
        <f t="shared" si="15"/>
        <v>2.15</v>
      </c>
      <c r="AL21" s="357">
        <f>MAX('Турнирная таблица по Алфавиту'!T23:CA23)</f>
        <v>16.75</v>
      </c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</row>
    <row r="22">
      <c r="A22" s="369" t="s">
        <v>96</v>
      </c>
      <c r="B22" s="356">
        <f t="shared" si="1"/>
        <v>15</v>
      </c>
      <c r="C22" s="357">
        <f>'Турнирная таблица по Алфавиту'!E24</f>
        <v>58.25</v>
      </c>
      <c r="D22" s="358">
        <f>'Турнирная таблица по Алфавиту'!F24</f>
        <v>19.41666667</v>
      </c>
      <c r="E22" s="359">
        <f>COUNTIFS('Все игры'!A$3:A1000,A22,'Все игры'!F$3:F1000,"=1")</f>
        <v>0</v>
      </c>
      <c r="F22" s="359">
        <f>COUNTIFS('Все игры'!A$3:A1000,A22,'Все игры'!F$3:F1000,"=0,50")</f>
        <v>0</v>
      </c>
      <c r="G22" s="359">
        <f>COUNTIFS('Все игры'!A$3:A1000,A22,'Все игры'!G$3:G1000,"&gt;0")</f>
        <v>1</v>
      </c>
      <c r="H22" s="360">
        <f t="shared" si="2"/>
        <v>0.07692307692</v>
      </c>
      <c r="I22" s="361">
        <f>COUNTIFS('Все игры'!A$3:A1000,A22,'Все игры'!E$3:E1000,"У/Победа")</f>
        <v>2</v>
      </c>
      <c r="J22" s="361">
        <f>COUNTIFS('Все игры'!A$3:A1000,A22,'Все игры'!E$3:E1000,"У/Проигрыш")</f>
        <v>0</v>
      </c>
      <c r="K22" s="362">
        <f t="shared" si="3"/>
        <v>13</v>
      </c>
      <c r="L22" s="356">
        <f t="shared" si="4"/>
        <v>2</v>
      </c>
      <c r="M22" s="356">
        <f>COUNTIFS('Все игры'!A$3:A1000,A22,'Все игры'!C$3:C1000,"&gt;0",'Все игры'!B$3:B1000,"Мафия")</f>
        <v>2</v>
      </c>
      <c r="N22" s="356">
        <f>IFERROR(__xludf.DUMMYFUNCTION("COUNTBLANK(FILTER('Все игры'!A$3:C1000,'Все игры'!A$3:A1000=A22,'Все игры'!C$3:C1000 &lt; 1,'Все игры'!B$3:B1000=""Мафия""))"),0.0)</f>
        <v>0</v>
      </c>
      <c r="O22" s="356">
        <f>COUNTIFS('Все игры'!A$3:A1000,A22,'Все игры'!C$3:C1000,"&gt;0",'Все игры'!B$3:B1000,"Шериф")</f>
        <v>1</v>
      </c>
      <c r="P22" s="363">
        <f>IFERROR(__xludf.DUMMYFUNCTION("COUNTBLANK(FILTER('Все игры'!A$3:C1000,'Все игры'!A$3:A1000=A22,'Все игры'!C$3:C1000 &lt; 1,'Все игры'!B$3:B1000=""Шериф""))"),0.0)</f>
        <v>0</v>
      </c>
      <c r="Q22" s="356">
        <f>COUNTIFS('Все игры'!A$3:A1000,A22,'Все игры'!C$3:C1000,"&gt;0",'Все игры'!B$3:B1000,"Дон")</f>
        <v>0</v>
      </c>
      <c r="R22" s="356">
        <f>IFERROR(__xludf.DUMMYFUNCTION("COUNTBLANK(FILTER('Все игры'!A$3:C1000,'Все игры'!A$3:A1000=A22,'Все игры'!C$3:C1000 &lt; 1,'Все игры'!B$3:B1000=""Дон""))"),0.0)</f>
        <v>0</v>
      </c>
      <c r="S22" s="356">
        <f>COUNTIFS('Все игры'!A$3:A1000,A22,'Все игры'!C$3:C1000,"&gt;0",'Все игры'!B$3:B1000,"Мирный")</f>
        <v>6</v>
      </c>
      <c r="T22" s="364">
        <f>IFERROR(__xludf.DUMMYFUNCTION("COUNTBLANK(FILTER('Все игры'!A$3:C1000,'Все игры'!A$3:A1000=A22,'Все игры'!C$3:C1000 &lt; 1,'Все игры'!B$3:B1000=""Мирный""))"),6.0)</f>
        <v>6</v>
      </c>
      <c r="U22" s="365">
        <f t="shared" si="16"/>
        <v>0.6</v>
      </c>
      <c r="V22" s="366">
        <f t="shared" si="5"/>
        <v>0.5384615385</v>
      </c>
      <c r="W22" s="366">
        <f t="shared" si="6"/>
        <v>1</v>
      </c>
      <c r="X22" s="366">
        <f t="shared" si="7"/>
        <v>1</v>
      </c>
      <c r="Y22" s="366">
        <f t="shared" si="8"/>
        <v>1</v>
      </c>
      <c r="Z22" s="366">
        <f t="shared" si="9"/>
        <v>0</v>
      </c>
      <c r="AA22" s="367">
        <f t="shared" si="10"/>
        <v>0.5</v>
      </c>
      <c r="AB22" s="357">
        <f>SUMIFS('Все игры'!D$3:D1000,'Все игры'!A$3:A1000,A22)</f>
        <v>35.25</v>
      </c>
      <c r="AC22" s="357">
        <f>SUMIFS('Все игры'!D$3:D1000,'Все игры'!A$3:A1000,A22,'Все игры'!B$3:B1000,"Мафия")</f>
        <v>5.25</v>
      </c>
      <c r="AD22" s="368">
        <f>SUMIFS('Все игры'!D$3:D1000,'Все игры'!A$3:A1000,A22,'Все игры'!B$3:B1000,"Шериф")</f>
        <v>3.25</v>
      </c>
      <c r="AE22" s="357">
        <f>SUMIFS('Все игры'!D$3:D1000,'Все игры'!A$3:A1000,A22,'Все игры'!B$3:B1000,"Дон")</f>
        <v>0</v>
      </c>
      <c r="AF22" s="358">
        <f>SUMIFS('Все игры'!D$3:D1000,'Все игры'!A$3:A1000,A22,'Все игры'!B$3:B1000,"Мирный")</f>
        <v>26.75</v>
      </c>
      <c r="AG22" s="357">
        <f t="shared" si="11"/>
        <v>2.35</v>
      </c>
      <c r="AH22" s="357">
        <f t="shared" si="12"/>
        <v>2.625</v>
      </c>
      <c r="AI22" s="357">
        <f t="shared" si="13"/>
        <v>3.25</v>
      </c>
      <c r="AJ22" s="357">
        <f t="shared" si="14"/>
        <v>0</v>
      </c>
      <c r="AK22" s="357">
        <f t="shared" si="15"/>
        <v>2.229166667</v>
      </c>
      <c r="AL22" s="357">
        <f>MAX('Турнирная таблица по Алфавиту'!T24:CA24)</f>
        <v>22.5</v>
      </c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</row>
    <row r="23">
      <c r="A23" s="369" t="s">
        <v>97</v>
      </c>
      <c r="B23" s="370">
        <f t="shared" si="1"/>
        <v>10</v>
      </c>
      <c r="C23" s="371">
        <f>'Турнирная таблица по Алфавиту'!E25</f>
        <v>45.25</v>
      </c>
      <c r="D23" s="372">
        <f>'Турнирная таблица по Алфавиту'!F25</f>
        <v>22.625</v>
      </c>
      <c r="E23" s="373">
        <f>COUNTIFS('Все игры'!A$3:A1000,A23,'Все игры'!F$3:F1000,"=1")</f>
        <v>0</v>
      </c>
      <c r="F23" s="373">
        <f>COUNTIFS('Все игры'!A$3:A1000,A23,'Все игры'!F$3:F1000,"=0,50")</f>
        <v>0</v>
      </c>
      <c r="G23" s="373">
        <f>COUNTIFS('Все игры'!A$3:A1000,A23,'Все игры'!G$3:G1000,"&gt;0")</f>
        <v>0</v>
      </c>
      <c r="H23" s="374">
        <f t="shared" si="2"/>
        <v>0</v>
      </c>
      <c r="I23" s="375">
        <f>COUNTIFS('Все игры'!A$3:A1000,A23,'Все игры'!E$3:E1000,"У/Победа")</f>
        <v>1</v>
      </c>
      <c r="J23" s="375">
        <f>COUNTIFS('Все игры'!A$3:A1000,A23,'Все игры'!E$3:E1000,"У/Проигрыш")</f>
        <v>1</v>
      </c>
      <c r="K23" s="376">
        <f t="shared" si="3"/>
        <v>6</v>
      </c>
      <c r="L23" s="370">
        <f t="shared" si="4"/>
        <v>4</v>
      </c>
      <c r="M23" s="370">
        <f>COUNTIFS('Все игры'!A$3:A1000,A23,'Все игры'!C$3:C1000,"&gt;0",'Все игры'!B$3:B1000,"Мафия")</f>
        <v>3</v>
      </c>
      <c r="N23" s="370">
        <f>IFERROR(__xludf.DUMMYFUNCTION("COUNTBLANK(FILTER('Все игры'!A$3:C1000,'Все игры'!A$3:A1000=A23,'Все игры'!C$3:C1000 &lt; 1,'Все игры'!B$3:B1000=""Мафия""))"),0.0)</f>
        <v>0</v>
      </c>
      <c r="O23" s="370">
        <f>COUNTIFS('Все игры'!A$3:A1000,A23,'Все игры'!C$3:C1000,"&gt;0",'Все игры'!B$3:B1000,"Шериф")</f>
        <v>0</v>
      </c>
      <c r="P23" s="377">
        <f>IFERROR(__xludf.DUMMYFUNCTION("COUNTBLANK(FILTER('Все игры'!A$3:C1000,'Все игры'!A$3:A1000=A23,'Все игры'!C$3:C1000 &lt; 1,'Все игры'!B$3:B1000=""Шериф""))"),0.0)</f>
        <v>0</v>
      </c>
      <c r="Q23" s="370">
        <f>COUNTIFS('Все игры'!A$3:A1000,A23,'Все игры'!C$3:C1000,"&gt;0",'Все игры'!B$3:B1000,"Дон")</f>
        <v>0</v>
      </c>
      <c r="R23" s="370">
        <f>IFERROR(__xludf.DUMMYFUNCTION("COUNTBLANK(FILTER('Все игры'!A$3:C1000,'Все игры'!A$3:A1000=A23,'Все игры'!C$3:C1000 &lt; 1,'Все игры'!B$3:B1000=""Дон""))"),1.0)</f>
        <v>1</v>
      </c>
      <c r="S23" s="370">
        <f>COUNTIFS('Все игры'!A$3:A1000,A23,'Все игры'!C$3:C1000,"&gt;0",'Все игры'!B$3:B1000,"Мирный")</f>
        <v>3</v>
      </c>
      <c r="T23" s="378">
        <f>IFERROR(__xludf.DUMMYFUNCTION("COUNTBLANK(FILTER('Все игры'!A$3:C1000,'Все игры'!A$3:A1000=A23,'Все игры'!C$3:C1000 &lt; 1,'Все игры'!B$3:B1000=""Мирный""))"),3.0)</f>
        <v>3</v>
      </c>
      <c r="U23" s="379">
        <f t="shared" si="16"/>
        <v>0.6</v>
      </c>
      <c r="V23" s="380">
        <f t="shared" si="5"/>
        <v>0.5</v>
      </c>
      <c r="W23" s="380">
        <f t="shared" si="6"/>
        <v>0.75</v>
      </c>
      <c r="X23" s="380">
        <f t="shared" si="7"/>
        <v>1</v>
      </c>
      <c r="Y23" s="380">
        <f t="shared" si="8"/>
        <v>0</v>
      </c>
      <c r="Z23" s="380">
        <f t="shared" si="9"/>
        <v>0</v>
      </c>
      <c r="AA23" s="381">
        <f t="shared" si="10"/>
        <v>0.5</v>
      </c>
      <c r="AB23" s="371">
        <f>SUMIFS('Все игры'!D$3:D1000,'Все игры'!A$3:A1000,A23)</f>
        <v>30.25</v>
      </c>
      <c r="AC23" s="371">
        <f>SUMIFS('Все игры'!D$3:D1000,'Все игры'!A$3:A1000,A23,'Все игры'!B$3:B1000,"Мафия")</f>
        <v>10</v>
      </c>
      <c r="AD23" s="382">
        <f>SUMIFS('Все игры'!D$3:D1000,'Все игры'!A$3:A1000,A23,'Все игры'!B$3:B1000,"Шериф")</f>
        <v>0</v>
      </c>
      <c r="AE23" s="371">
        <f>SUMIFS('Все игры'!D$3:D1000,'Все игры'!A$3:A1000,A23,'Все игры'!B$3:B1000,"Дон")</f>
        <v>2.75</v>
      </c>
      <c r="AF23" s="372">
        <f>SUMIFS('Все игры'!D$3:D1000,'Все игры'!A$3:A1000,A23,'Все игры'!B$3:B1000,"Мирный")</f>
        <v>17.5</v>
      </c>
      <c r="AG23" s="371">
        <f t="shared" si="11"/>
        <v>3.025</v>
      </c>
      <c r="AH23" s="371">
        <f t="shared" si="12"/>
        <v>3.333333333</v>
      </c>
      <c r="AI23" s="371">
        <f t="shared" si="13"/>
        <v>0</v>
      </c>
      <c r="AJ23" s="371">
        <f t="shared" si="14"/>
        <v>2.75</v>
      </c>
      <c r="AK23" s="371">
        <f t="shared" si="15"/>
        <v>2.916666667</v>
      </c>
      <c r="AL23" s="357">
        <f>MAX('Турнирная таблица по Алфавиту'!T25:CA25)</f>
        <v>26.75</v>
      </c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</row>
    <row r="24">
      <c r="A24" s="369" t="s">
        <v>98</v>
      </c>
      <c r="B24" s="356">
        <f t="shared" si="1"/>
        <v>15</v>
      </c>
      <c r="C24" s="357">
        <f>'Турнирная таблица по Алфавиту'!E26</f>
        <v>57.5</v>
      </c>
      <c r="D24" s="358">
        <f>'Турнирная таблица по Алфавиту'!F26</f>
        <v>19.16666667</v>
      </c>
      <c r="E24" s="359">
        <f>COUNTIFS('Все игры'!A$3:A1000,A24,'Все игры'!F$3:F1000,"=1")</f>
        <v>0</v>
      </c>
      <c r="F24" s="359">
        <f>COUNTIFS('Все игры'!A$3:A1000,A24,'Все игры'!F$3:F1000,"=0,50")</f>
        <v>1</v>
      </c>
      <c r="G24" s="359">
        <f>COUNTIFS('Все игры'!A$3:A1000,A24,'Все игры'!G$3:G1000,"&gt;0")</f>
        <v>2</v>
      </c>
      <c r="H24" s="360">
        <f t="shared" si="2"/>
        <v>0.1538461538</v>
      </c>
      <c r="I24" s="361">
        <f>COUNTIFS('Все игры'!A$3:A1000,A24,'Все игры'!E$3:E1000,"У/Победа")</f>
        <v>1</v>
      </c>
      <c r="J24" s="361">
        <f>COUNTIFS('Все игры'!A$3:A1000,A24,'Все игры'!E$3:E1000,"У/Проигрыш")</f>
        <v>1</v>
      </c>
      <c r="K24" s="362">
        <f t="shared" si="3"/>
        <v>13</v>
      </c>
      <c r="L24" s="356">
        <f t="shared" si="4"/>
        <v>2</v>
      </c>
      <c r="M24" s="356">
        <f>COUNTIFS('Все игры'!A$3:A1000,A24,'Все игры'!C$3:C1000,"&gt;0",'Все игры'!B$3:B1000,"Мафия")</f>
        <v>1</v>
      </c>
      <c r="N24" s="356">
        <f>IFERROR(__xludf.DUMMYFUNCTION("COUNTBLANK(FILTER('Все игры'!A$3:C1000,'Все игры'!A$3:A1000=A24,'Все игры'!C$3:C1000 &lt; 1,'Все игры'!B$3:B1000=""Мафия""))"),0.0)</f>
        <v>0</v>
      </c>
      <c r="O24" s="356">
        <f>COUNTIFS('Все игры'!A$3:A1000,A24,'Все игры'!C$3:C1000,"&gt;0",'Все игры'!B$3:B1000,"Шериф")</f>
        <v>2</v>
      </c>
      <c r="P24" s="363">
        <f>IFERROR(__xludf.DUMMYFUNCTION("COUNTBLANK(FILTER('Все игры'!A$3:C1000,'Все игры'!A$3:A1000=A24,'Все игры'!C$3:C1000 &lt; 1,'Все игры'!B$3:B1000=""Шериф""))"),2.0)</f>
        <v>2</v>
      </c>
      <c r="Q24" s="356">
        <f>COUNTIFS('Все игры'!A$3:A1000,A24,'Все игры'!C$3:C1000,"&gt;0",'Все игры'!B$3:B1000,"Дон")</f>
        <v>1</v>
      </c>
      <c r="R24" s="356">
        <f>IFERROR(__xludf.DUMMYFUNCTION("COUNTBLANK(FILTER('Все игры'!A$3:C1000,'Все игры'!A$3:A1000=A24,'Все игры'!C$3:C1000 &lt; 1,'Все игры'!B$3:B1000=""Дон""))"),0.0)</f>
        <v>0</v>
      </c>
      <c r="S24" s="356">
        <f>COUNTIFS('Все игры'!A$3:A1000,A24,'Все игры'!C$3:C1000,"&gt;0",'Все игры'!B$3:B1000,"Мирный")</f>
        <v>2</v>
      </c>
      <c r="T24" s="364">
        <f>IFERROR(__xludf.DUMMYFUNCTION("COUNTBLANK(FILTER('Все игры'!A$3:C1000,'Все игры'!A$3:A1000=A24,'Все игры'!C$3:C1000 &lt; 1,'Все игры'!B$3:B1000=""Мирный""))"),7.0)</f>
        <v>7</v>
      </c>
      <c r="U24" s="365">
        <f t="shared" si="16"/>
        <v>0.4</v>
      </c>
      <c r="V24" s="366">
        <f t="shared" si="5"/>
        <v>0.3076923077</v>
      </c>
      <c r="W24" s="366">
        <f t="shared" si="6"/>
        <v>1</v>
      </c>
      <c r="X24" s="366">
        <f t="shared" si="7"/>
        <v>1</v>
      </c>
      <c r="Y24" s="366">
        <f t="shared" si="8"/>
        <v>0.5</v>
      </c>
      <c r="Z24" s="366">
        <f t="shared" si="9"/>
        <v>1</v>
      </c>
      <c r="AA24" s="367">
        <f t="shared" si="10"/>
        <v>0.2222222222</v>
      </c>
      <c r="AB24" s="357">
        <f>SUMIFS('Все игры'!D$3:D1000,'Все игры'!A$3:A1000,A24)</f>
        <v>41</v>
      </c>
      <c r="AC24" s="357">
        <f>SUMIFS('Все игры'!D$3:D1000,'Все игры'!A$3:A1000,A24,'Все игры'!B$3:B1000,"Мафия")</f>
        <v>2.75</v>
      </c>
      <c r="AD24" s="368">
        <f>SUMIFS('Все игры'!D$3:D1000,'Все игры'!A$3:A1000,A24,'Все игры'!B$3:B1000,"Шериф")</f>
        <v>10.5</v>
      </c>
      <c r="AE24" s="357">
        <f>SUMIFS('Все игры'!D$3:D1000,'Все игры'!A$3:A1000,A24,'Все игры'!B$3:B1000,"Дон")</f>
        <v>4.5</v>
      </c>
      <c r="AF24" s="358">
        <f>SUMIFS('Все игры'!D$3:D1000,'Все игры'!A$3:A1000,A24,'Все игры'!B$3:B1000,"Мирный")</f>
        <v>23.25</v>
      </c>
      <c r="AG24" s="357">
        <f t="shared" si="11"/>
        <v>2.733333333</v>
      </c>
      <c r="AH24" s="357">
        <f t="shared" si="12"/>
        <v>2.75</v>
      </c>
      <c r="AI24" s="357">
        <f t="shared" si="13"/>
        <v>2.625</v>
      </c>
      <c r="AJ24" s="357">
        <f t="shared" si="14"/>
        <v>4.5</v>
      </c>
      <c r="AK24" s="357">
        <f t="shared" si="15"/>
        <v>2.583333333</v>
      </c>
      <c r="AL24" s="357">
        <f>MAX('Турнирная таблица по Алфавиту'!T26:CA26)</f>
        <v>22.25</v>
      </c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</row>
    <row r="25">
      <c r="A25" s="369" t="s">
        <v>99</v>
      </c>
      <c r="B25" s="370">
        <f t="shared" si="1"/>
        <v>10</v>
      </c>
      <c r="C25" s="371">
        <f>'Турнирная таблица по Алфавиту'!E27</f>
        <v>38.25</v>
      </c>
      <c r="D25" s="372">
        <f>'Турнирная таблица по Алфавиту'!F27</f>
        <v>19.125</v>
      </c>
      <c r="E25" s="373">
        <f>COUNTIFS('Все игры'!A$3:A1000,A25,'Все игры'!F$3:F1000,"=1")</f>
        <v>0</v>
      </c>
      <c r="F25" s="373">
        <f>COUNTIFS('Все игры'!A$3:A1000,A25,'Все игры'!F$3:F1000,"=0,50")</f>
        <v>0</v>
      </c>
      <c r="G25" s="373">
        <f>COUNTIFS('Все игры'!A$3:A1000,A25,'Все игры'!G$3:G1000,"&gt;0")</f>
        <v>0</v>
      </c>
      <c r="H25" s="374">
        <f t="shared" si="2"/>
        <v>0</v>
      </c>
      <c r="I25" s="375">
        <f>COUNTIFS('Все игры'!A$3:A1000,A25,'Все игры'!E$3:E1000,"У/Победа")</f>
        <v>0</v>
      </c>
      <c r="J25" s="375">
        <f>COUNTIFS('Все игры'!A$3:A1000,A25,'Все игры'!E$3:E1000,"У/Проигрыш")</f>
        <v>1</v>
      </c>
      <c r="K25" s="376">
        <f t="shared" si="3"/>
        <v>8</v>
      </c>
      <c r="L25" s="370">
        <f t="shared" si="4"/>
        <v>2</v>
      </c>
      <c r="M25" s="370">
        <f>COUNTIFS('Все игры'!A$3:A1000,A25,'Все игры'!C$3:C1000,"&gt;0",'Все игры'!B$3:B1000,"Мафия")</f>
        <v>0</v>
      </c>
      <c r="N25" s="370">
        <f>IFERROR(__xludf.DUMMYFUNCTION("COUNTBLANK(FILTER('Все игры'!A$3:C1000,'Все игры'!A$3:A1000=A25,'Все игры'!C$3:C1000 &lt; 1,'Все игры'!B$3:B1000=""Мафия""))"),1.0)</f>
        <v>1</v>
      </c>
      <c r="O25" s="370">
        <f>COUNTIFS('Все игры'!A$3:A1000,A25,'Все игры'!C$3:C1000,"&gt;0",'Все игры'!B$3:B1000,"Шериф")</f>
        <v>0</v>
      </c>
      <c r="P25" s="377">
        <f>IFERROR(__xludf.DUMMYFUNCTION("COUNTBLANK(FILTER('Все игры'!A$3:C1000,'Все игры'!A$3:A1000=A25,'Все игры'!C$3:C1000 &lt; 1,'Все игры'!B$3:B1000=""Шериф""))"),2.0)</f>
        <v>2</v>
      </c>
      <c r="Q25" s="370">
        <f>COUNTIFS('Все игры'!A$3:A1000,A25,'Все игры'!C$3:C1000,"&gt;0",'Все игры'!B$3:B1000,"Дон")</f>
        <v>1</v>
      </c>
      <c r="R25" s="370">
        <f>IFERROR(__xludf.DUMMYFUNCTION("COUNTBLANK(FILTER('Все игры'!A$3:C1000,'Все игры'!A$3:A1000=A25,'Все игры'!C$3:C1000 &lt; 1,'Все игры'!B$3:B1000=""Дон""))"),0.0)</f>
        <v>0</v>
      </c>
      <c r="S25" s="370">
        <f>COUNTIFS('Все игры'!A$3:A1000,A25,'Все игры'!C$3:C1000,"&gt;0",'Все игры'!B$3:B1000,"Мирный")</f>
        <v>3</v>
      </c>
      <c r="T25" s="378">
        <f>IFERROR(__xludf.DUMMYFUNCTION("COUNTBLANK(FILTER('Все игры'!A$3:C1000,'Все игры'!A$3:A1000=A25,'Все игры'!C$3:C1000 &lt; 1,'Все игры'!B$3:B1000=""Мирный""))"),3.0)</f>
        <v>3</v>
      </c>
      <c r="U25" s="379">
        <f t="shared" si="16"/>
        <v>0.4</v>
      </c>
      <c r="V25" s="380">
        <f t="shared" si="5"/>
        <v>0.375</v>
      </c>
      <c r="W25" s="380">
        <f t="shared" si="6"/>
        <v>0.5</v>
      </c>
      <c r="X25" s="380">
        <f t="shared" si="7"/>
        <v>0</v>
      </c>
      <c r="Y25" s="380">
        <f t="shared" si="8"/>
        <v>0</v>
      </c>
      <c r="Z25" s="380">
        <f t="shared" si="9"/>
        <v>1</v>
      </c>
      <c r="AA25" s="381">
        <f t="shared" si="10"/>
        <v>0.5</v>
      </c>
      <c r="AB25" s="371">
        <f>SUMIFS('Все игры'!D$3:D1000,'Все игры'!A$3:A1000,A25)</f>
        <v>28.25</v>
      </c>
      <c r="AC25" s="371">
        <f>SUMIFS('Все игры'!D$3:D1000,'Все игры'!A$3:A1000,A25,'Все игры'!B$3:B1000,"Мафия")</f>
        <v>2.5</v>
      </c>
      <c r="AD25" s="382">
        <f>SUMIFS('Все игры'!D$3:D1000,'Все игры'!A$3:A1000,A25,'Все игры'!B$3:B1000,"Шериф")</f>
        <v>5.5</v>
      </c>
      <c r="AE25" s="371">
        <f>SUMIFS('Все игры'!D$3:D1000,'Все игры'!A$3:A1000,A25,'Все игры'!B$3:B1000,"Дон")</f>
        <v>2.5</v>
      </c>
      <c r="AF25" s="372">
        <f>SUMIFS('Все игры'!D$3:D1000,'Все игры'!A$3:A1000,A25,'Все игры'!B$3:B1000,"Мирный")</f>
        <v>17.75</v>
      </c>
      <c r="AG25" s="371">
        <f t="shared" si="11"/>
        <v>2.825</v>
      </c>
      <c r="AH25" s="371">
        <f t="shared" si="12"/>
        <v>2.5</v>
      </c>
      <c r="AI25" s="371">
        <f t="shared" si="13"/>
        <v>2.75</v>
      </c>
      <c r="AJ25" s="371">
        <f t="shared" si="14"/>
        <v>2.5</v>
      </c>
      <c r="AK25" s="371">
        <f t="shared" si="15"/>
        <v>2.958333333</v>
      </c>
      <c r="AL25" s="357">
        <f>MAX('Турнирная таблица по Алфавиту'!T27:CA27)</f>
        <v>23</v>
      </c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</row>
    <row r="26">
      <c r="A26" s="369" t="s">
        <v>100</v>
      </c>
      <c r="B26" s="356">
        <f t="shared" si="1"/>
        <v>0</v>
      </c>
      <c r="C26" s="357">
        <f>'Турнирная таблица по Алфавиту'!E28</f>
        <v>0</v>
      </c>
      <c r="D26" s="358" t="str">
        <f>'Турнирная таблица по Алфавиту'!F28</f>
        <v/>
      </c>
      <c r="E26" s="359">
        <f>COUNTIFS('Все игры'!A$3:A1000,A26,'Все игры'!F$3:F1000,"=1")</f>
        <v>0</v>
      </c>
      <c r="F26" s="359">
        <f>COUNTIFS('Все игры'!A$3:A1000,A26,'Все игры'!F$3:F1000,"=0,50")</f>
        <v>0</v>
      </c>
      <c r="G26" s="359">
        <f>COUNTIFS('Все игры'!A$3:A1000,A26,'Все игры'!G$3:G1000,"&gt;0")</f>
        <v>0</v>
      </c>
      <c r="H26" s="360">
        <f t="shared" si="2"/>
        <v>0</v>
      </c>
      <c r="I26" s="361">
        <f>COUNTIFS('Все игры'!A$3:A1000,A26,'Все игры'!E$3:E1000,"У/Победа")</f>
        <v>0</v>
      </c>
      <c r="J26" s="361">
        <f>COUNTIFS('Все игры'!A$3:A1000,A26,'Все игры'!E$3:E1000,"У/Проигрыш")</f>
        <v>0</v>
      </c>
      <c r="K26" s="362">
        <f t="shared" si="3"/>
        <v>0</v>
      </c>
      <c r="L26" s="356">
        <f t="shared" si="4"/>
        <v>0</v>
      </c>
      <c r="M26" s="356">
        <f>COUNTIFS('Все игры'!A$3:A1000,A26,'Все игры'!C$3:C1000,"&gt;0",'Все игры'!B$3:B1000,"Мафия")</f>
        <v>0</v>
      </c>
      <c r="N26" s="356">
        <f>IFERROR(__xludf.DUMMYFUNCTION("COUNTBLANK(FILTER('Все игры'!A$3:C1000,'Все игры'!A$3:A1000=A26,'Все игры'!C$3:C1000 &lt; 1,'Все игры'!B$3:B1000=""Мафия""))"),0.0)</f>
        <v>0</v>
      </c>
      <c r="O26" s="356">
        <f>COUNTIFS('Все игры'!A$3:A1000,A26,'Все игры'!C$3:C1000,"&gt;0",'Все игры'!B$3:B1000,"Шериф")</f>
        <v>0</v>
      </c>
      <c r="P26" s="363">
        <f>IFERROR(__xludf.DUMMYFUNCTION("COUNTBLANK(FILTER('Все игры'!A$3:C1000,'Все игры'!A$3:A1000=A26,'Все игры'!C$3:C1000 &lt; 1,'Все игры'!B$3:B1000=""Шериф""))"),0.0)</f>
        <v>0</v>
      </c>
      <c r="Q26" s="356">
        <f>COUNTIFS('Все игры'!A$3:A1000,A26,'Все игры'!C$3:C1000,"&gt;0",'Все игры'!B$3:B1000,"Дон")</f>
        <v>0</v>
      </c>
      <c r="R26" s="356">
        <f>IFERROR(__xludf.DUMMYFUNCTION("COUNTBLANK(FILTER('Все игры'!A$3:C1000,'Все игры'!A$3:A1000=A26,'Все игры'!C$3:C1000 &lt; 1,'Все игры'!B$3:B1000=""Дон""))"),0.0)</f>
        <v>0</v>
      </c>
      <c r="S26" s="356">
        <f>COUNTIFS('Все игры'!A$3:A1000,A26,'Все игры'!C$3:C1000,"&gt;0",'Все игры'!B$3:B1000,"Мирный")</f>
        <v>0</v>
      </c>
      <c r="T26" s="364">
        <f>IFERROR(__xludf.DUMMYFUNCTION("COUNTBLANK(FILTER('Все игры'!A$3:C1000,'Все игры'!A$3:A1000=A26,'Все игры'!C$3:C1000 &lt; 1,'Все игры'!B$3:B1000=""Мирный""))"),0.0)</f>
        <v>0</v>
      </c>
      <c r="U26" s="365">
        <f t="shared" si="16"/>
        <v>0</v>
      </c>
      <c r="V26" s="366">
        <f t="shared" si="5"/>
        <v>0</v>
      </c>
      <c r="W26" s="366">
        <f t="shared" si="6"/>
        <v>0</v>
      </c>
      <c r="X26" s="366">
        <f t="shared" si="7"/>
        <v>0</v>
      </c>
      <c r="Y26" s="366">
        <f t="shared" si="8"/>
        <v>0</v>
      </c>
      <c r="Z26" s="366">
        <f t="shared" si="9"/>
        <v>0</v>
      </c>
      <c r="AA26" s="367">
        <f t="shared" si="10"/>
        <v>0</v>
      </c>
      <c r="AB26" s="357">
        <f>SUMIFS('Все игры'!D$3:D1000,'Все игры'!A$3:A1000,A26)</f>
        <v>0</v>
      </c>
      <c r="AC26" s="357">
        <f>SUMIFS('Все игры'!D$3:D1000,'Все игры'!A$3:A1000,A26,'Все игры'!B$3:B1000,"Мафия")</f>
        <v>0</v>
      </c>
      <c r="AD26" s="368">
        <f>SUMIFS('Все игры'!D$3:D1000,'Все игры'!A$3:A1000,A26,'Все игры'!B$3:B1000,"Шериф")</f>
        <v>0</v>
      </c>
      <c r="AE26" s="357">
        <f>SUMIFS('Все игры'!D$3:D1000,'Все игры'!A$3:A1000,A26,'Все игры'!B$3:B1000,"Дон")</f>
        <v>0</v>
      </c>
      <c r="AF26" s="358">
        <f>SUMIFS('Все игры'!D$3:D1000,'Все игры'!A$3:A1000,A26,'Все игры'!B$3:B1000,"Мирный")</f>
        <v>0</v>
      </c>
      <c r="AG26" s="357">
        <f t="shared" si="11"/>
        <v>0</v>
      </c>
      <c r="AH26" s="357">
        <f t="shared" si="12"/>
        <v>0</v>
      </c>
      <c r="AI26" s="357">
        <f t="shared" si="13"/>
        <v>0</v>
      </c>
      <c r="AJ26" s="357">
        <f t="shared" si="14"/>
        <v>0</v>
      </c>
      <c r="AK26" s="357">
        <f t="shared" si="15"/>
        <v>0</v>
      </c>
      <c r="AL26" s="357">
        <f>MAX('Турнирная таблица по Алфавиту'!T28:CA28)</f>
        <v>0</v>
      </c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</row>
    <row r="27">
      <c r="A27" s="369" t="s">
        <v>101</v>
      </c>
      <c r="B27" s="370">
        <f t="shared" si="1"/>
        <v>20</v>
      </c>
      <c r="C27" s="371">
        <f>'Турнирная таблица по Алфавиту'!E29</f>
        <v>75.25</v>
      </c>
      <c r="D27" s="372">
        <f>'Турнирная таблица по Алфавиту'!F29</f>
        <v>18.8125</v>
      </c>
      <c r="E27" s="373">
        <f>COUNTIFS('Все игры'!A$3:A1000,A27,'Все игры'!F$3:F1000,"=1")</f>
        <v>0</v>
      </c>
      <c r="F27" s="373">
        <f>COUNTIFS('Все игры'!A$3:A1000,A27,'Все игры'!F$3:F1000,"=0,50")</f>
        <v>0</v>
      </c>
      <c r="G27" s="373">
        <f>COUNTIFS('Все игры'!A$3:A1000,A27,'Все игры'!G$3:G1000,"&gt;0")</f>
        <v>2</v>
      </c>
      <c r="H27" s="374">
        <f t="shared" si="2"/>
        <v>0.1428571429</v>
      </c>
      <c r="I27" s="375">
        <f>COUNTIFS('Все игры'!A$3:A1000,A27,'Все игры'!E$3:E1000,"У/Победа")</f>
        <v>1</v>
      </c>
      <c r="J27" s="375">
        <f>COUNTIFS('Все игры'!A$3:A1000,A27,'Все игры'!E$3:E1000,"У/Проигрыш")</f>
        <v>2</v>
      </c>
      <c r="K27" s="376">
        <f t="shared" si="3"/>
        <v>14</v>
      </c>
      <c r="L27" s="370">
        <f t="shared" si="4"/>
        <v>6</v>
      </c>
      <c r="M27" s="370">
        <f>COUNTIFS('Все игры'!A$3:A1000,A27,'Все игры'!C$3:C1000,"&gt;0",'Все игры'!B$3:B1000,"Мафия")</f>
        <v>4</v>
      </c>
      <c r="N27" s="370">
        <f>IFERROR(__xludf.DUMMYFUNCTION("COUNTBLANK(FILTER('Все игры'!A$3:C1000,'Все игры'!A$3:A1000=A27,'Все игры'!C$3:C1000 &lt; 1,'Все игры'!B$3:B1000=""Мафия""))"),1.0)</f>
        <v>1</v>
      </c>
      <c r="O27" s="370">
        <f>COUNTIFS('Все игры'!A$3:A1000,A27,'Все игры'!C$3:C1000,"&gt;0",'Все игры'!B$3:B1000,"Шериф")</f>
        <v>0</v>
      </c>
      <c r="P27" s="377">
        <f>IFERROR(__xludf.DUMMYFUNCTION("COUNTBLANK(FILTER('Все игры'!A$3:C1000,'Все игры'!A$3:A1000=A27,'Все игры'!C$3:C1000 &lt; 1,'Все игры'!B$3:B1000=""Шериф""))"),1.0)</f>
        <v>1</v>
      </c>
      <c r="Q27" s="370">
        <f>COUNTIFS('Все игры'!A$3:A1000,A27,'Все игры'!C$3:C1000,"&gt;0",'Все игры'!B$3:B1000,"Дон")</f>
        <v>0</v>
      </c>
      <c r="R27" s="370">
        <f>IFERROR(__xludf.DUMMYFUNCTION("COUNTBLANK(FILTER('Все игры'!A$3:C1000,'Все игры'!A$3:A1000=A27,'Все игры'!C$3:C1000 &lt; 1,'Все игры'!B$3:B1000=""Дон""))"),1.0)</f>
        <v>1</v>
      </c>
      <c r="S27" s="370">
        <f>COUNTIFS('Все игры'!A$3:A1000,A27,'Все игры'!C$3:C1000,"&gt;0",'Все игры'!B$3:B1000,"Мирный")</f>
        <v>6</v>
      </c>
      <c r="T27" s="378">
        <f>IFERROR(__xludf.DUMMYFUNCTION("COUNTBLANK(FILTER('Все игры'!A$3:C1000,'Все игры'!A$3:A1000=A27,'Все игры'!C$3:C1000 &lt; 1,'Все игры'!B$3:B1000=""Мирный""))"),7.0)</f>
        <v>7</v>
      </c>
      <c r="U27" s="379">
        <f t="shared" si="16"/>
        <v>0.5</v>
      </c>
      <c r="V27" s="380">
        <f t="shared" si="5"/>
        <v>0.4285714286</v>
      </c>
      <c r="W27" s="380">
        <f t="shared" si="6"/>
        <v>0.6666666667</v>
      </c>
      <c r="X27" s="380">
        <f t="shared" si="7"/>
        <v>0.8</v>
      </c>
      <c r="Y27" s="380">
        <f t="shared" si="8"/>
        <v>0</v>
      </c>
      <c r="Z27" s="380">
        <f t="shared" si="9"/>
        <v>0</v>
      </c>
      <c r="AA27" s="381">
        <f t="shared" si="10"/>
        <v>0.4615384615</v>
      </c>
      <c r="AB27" s="371">
        <f>SUMIFS('Все игры'!D$3:D1000,'Все игры'!A$3:A1000,A27)</f>
        <v>49.25</v>
      </c>
      <c r="AC27" s="371">
        <f>SUMIFS('Все игры'!D$3:D1000,'Все игры'!A$3:A1000,A27,'Все игры'!B$3:B1000,"Мафия")</f>
        <v>12.25</v>
      </c>
      <c r="AD27" s="382">
        <f>SUMIFS('Все игры'!D$3:D1000,'Все игры'!A$3:A1000,A27,'Все игры'!B$3:B1000,"Шериф")</f>
        <v>2</v>
      </c>
      <c r="AE27" s="371">
        <f>SUMIFS('Все игры'!D$3:D1000,'Все игры'!A$3:A1000,A27,'Все игры'!B$3:B1000,"Дон")</f>
        <v>2.5</v>
      </c>
      <c r="AF27" s="372">
        <f>SUMIFS('Все игры'!D$3:D1000,'Все игры'!A$3:A1000,A27,'Все игры'!B$3:B1000,"Мирный")</f>
        <v>32.5</v>
      </c>
      <c r="AG27" s="371">
        <f t="shared" si="11"/>
        <v>2.4625</v>
      </c>
      <c r="AH27" s="371">
        <f t="shared" si="12"/>
        <v>2.45</v>
      </c>
      <c r="AI27" s="371">
        <f t="shared" si="13"/>
        <v>2</v>
      </c>
      <c r="AJ27" s="371">
        <f t="shared" si="14"/>
        <v>2.5</v>
      </c>
      <c r="AK27" s="371">
        <f t="shared" si="15"/>
        <v>2.5</v>
      </c>
      <c r="AL27" s="357">
        <f>MAX('Турнирная таблица по Алфавиту'!T29:CA29)</f>
        <v>21</v>
      </c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</row>
    <row r="28">
      <c r="A28" s="369" t="s">
        <v>102</v>
      </c>
      <c r="B28" s="356">
        <f t="shared" si="1"/>
        <v>15</v>
      </c>
      <c r="C28" s="357">
        <f>'Турнирная таблица по Алфавиту'!E30</f>
        <v>64.75</v>
      </c>
      <c r="D28" s="358">
        <f>'Турнирная таблица по Алфавиту'!F30</f>
        <v>21.58333333</v>
      </c>
      <c r="E28" s="359">
        <f>COUNTIFS('Все игры'!A$3:A1000,A28,'Все игры'!F$3:F1000,"=1")</f>
        <v>0</v>
      </c>
      <c r="F28" s="359">
        <f>COUNTIFS('Все игры'!A$3:A1000,A28,'Все игры'!F$3:F1000,"=0,50")</f>
        <v>1</v>
      </c>
      <c r="G28" s="359">
        <f>COUNTIFS('Все игры'!A$3:A1000,A28,'Все игры'!G$3:G1000,"&gt;0")</f>
        <v>2</v>
      </c>
      <c r="H28" s="360">
        <f t="shared" si="2"/>
        <v>0.2222222222</v>
      </c>
      <c r="I28" s="361">
        <f>COUNTIFS('Все игры'!A$3:A1000,A28,'Все игры'!E$3:E1000,"У/Победа")</f>
        <v>0</v>
      </c>
      <c r="J28" s="361">
        <f>COUNTIFS('Все игры'!A$3:A1000,A28,'Все игры'!E$3:E1000,"У/Проигрыш")</f>
        <v>2</v>
      </c>
      <c r="K28" s="362">
        <f t="shared" si="3"/>
        <v>9</v>
      </c>
      <c r="L28" s="356">
        <f t="shared" si="4"/>
        <v>6</v>
      </c>
      <c r="M28" s="356">
        <f>COUNTIFS('Все игры'!A$3:A1000,A28,'Все игры'!C$3:C1000,"&gt;0",'Все игры'!B$3:B1000,"Мафия")</f>
        <v>0</v>
      </c>
      <c r="N28" s="356">
        <f>IFERROR(__xludf.DUMMYFUNCTION("COUNTBLANK(FILTER('Все игры'!A$3:C1000,'Все игры'!A$3:A1000=A28,'Все игры'!C$3:C1000 &lt; 1,'Все игры'!B$3:B1000=""Мафия""))"),2.0)</f>
        <v>2</v>
      </c>
      <c r="O28" s="356">
        <f>COUNTIFS('Все игры'!A$3:A1000,A28,'Все игры'!C$3:C1000,"&gt;0",'Все игры'!B$3:B1000,"Шериф")</f>
        <v>0</v>
      </c>
      <c r="P28" s="363">
        <f>IFERROR(__xludf.DUMMYFUNCTION("COUNTBLANK(FILTER('Все игры'!A$3:C1000,'Все игры'!A$3:A1000=A28,'Все игры'!C$3:C1000 &lt; 1,'Все игры'!B$3:B1000=""Шериф""))"),0.0)</f>
        <v>0</v>
      </c>
      <c r="Q28" s="356">
        <f>COUNTIFS('Все игры'!A$3:A1000,A28,'Все игры'!C$3:C1000,"&gt;0",'Все игры'!B$3:B1000,"Дон")</f>
        <v>3</v>
      </c>
      <c r="R28" s="356">
        <f>IFERROR(__xludf.DUMMYFUNCTION("COUNTBLANK(FILTER('Все игры'!A$3:C1000,'Все игры'!A$3:A1000=A28,'Все игры'!C$3:C1000 &lt; 1,'Все игры'!B$3:B1000=""Дон""))"),1.0)</f>
        <v>1</v>
      </c>
      <c r="S28" s="356">
        <f>COUNTIFS('Все игры'!A$3:A1000,A28,'Все игры'!C$3:C1000,"&gt;0",'Все игры'!B$3:B1000,"Мирный")</f>
        <v>4</v>
      </c>
      <c r="T28" s="364">
        <f>IFERROR(__xludf.DUMMYFUNCTION("COUNTBLANK(FILTER('Все игры'!A$3:C1000,'Все игры'!A$3:A1000=A28,'Все игры'!C$3:C1000 &lt; 1,'Все игры'!B$3:B1000=""Мирный""))"),5.0)</f>
        <v>5</v>
      </c>
      <c r="U28" s="365">
        <f t="shared" si="16"/>
        <v>0.4666666667</v>
      </c>
      <c r="V28" s="366">
        <f t="shared" si="5"/>
        <v>0.4444444444</v>
      </c>
      <c r="W28" s="366">
        <f t="shared" si="6"/>
        <v>0.5</v>
      </c>
      <c r="X28" s="366">
        <f t="shared" si="7"/>
        <v>0</v>
      </c>
      <c r="Y28" s="366">
        <f t="shared" si="8"/>
        <v>0</v>
      </c>
      <c r="Z28" s="366">
        <f t="shared" si="9"/>
        <v>0.75</v>
      </c>
      <c r="AA28" s="367">
        <f t="shared" si="10"/>
        <v>0.4444444444</v>
      </c>
      <c r="AB28" s="357">
        <f>SUMIFS('Все игры'!D$3:D1000,'Все игры'!A$3:A1000,A28)</f>
        <v>45.75</v>
      </c>
      <c r="AC28" s="357">
        <f>SUMIFS('Все игры'!D$3:D1000,'Все игры'!A$3:A1000,A28,'Все игры'!B$3:B1000,"Мафия")</f>
        <v>4.5</v>
      </c>
      <c r="AD28" s="368">
        <f>SUMIFS('Все игры'!D$3:D1000,'Все игры'!A$3:A1000,A28,'Все игры'!B$3:B1000,"Шериф")</f>
        <v>0</v>
      </c>
      <c r="AE28" s="357">
        <f>SUMIFS('Все игры'!D$3:D1000,'Все игры'!A$3:A1000,A28,'Все игры'!B$3:B1000,"Дон")</f>
        <v>13</v>
      </c>
      <c r="AF28" s="358">
        <f>SUMIFS('Все игры'!D$3:D1000,'Все игры'!A$3:A1000,A28,'Все игры'!B$3:B1000,"Мирный")</f>
        <v>28.25</v>
      </c>
      <c r="AG28" s="357">
        <f t="shared" si="11"/>
        <v>3.05</v>
      </c>
      <c r="AH28" s="357">
        <f t="shared" si="12"/>
        <v>2.25</v>
      </c>
      <c r="AI28" s="357">
        <f t="shared" si="13"/>
        <v>0</v>
      </c>
      <c r="AJ28" s="357">
        <f t="shared" si="14"/>
        <v>3.25</v>
      </c>
      <c r="AK28" s="357">
        <f t="shared" si="15"/>
        <v>3.138888889</v>
      </c>
      <c r="AL28" s="357">
        <f>MAX('Турнирная таблица по Алфавиту'!T30:CA30)</f>
        <v>23</v>
      </c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</row>
    <row r="29">
      <c r="A29" s="369" t="s">
        <v>103</v>
      </c>
      <c r="B29" s="370">
        <f t="shared" si="1"/>
        <v>15</v>
      </c>
      <c r="C29" s="371">
        <f>'Турнирная таблица по Алфавиту'!E31</f>
        <v>56</v>
      </c>
      <c r="D29" s="372">
        <f>'Турнирная таблица по Алфавиту'!F31</f>
        <v>18.66666667</v>
      </c>
      <c r="E29" s="373">
        <f>COUNTIFS('Все игры'!A$3:A1000,A29,'Все игры'!F$3:F1000,"=1")</f>
        <v>0</v>
      </c>
      <c r="F29" s="373">
        <f>COUNTIFS('Все игры'!A$3:A1000,A29,'Все игры'!F$3:F1000,"=0,50")</f>
        <v>0</v>
      </c>
      <c r="G29" s="373">
        <f>COUNTIFS('Все игры'!A$3:A1000,A29,'Все игры'!G$3:G1000,"&gt;0")</f>
        <v>0</v>
      </c>
      <c r="H29" s="374">
        <f t="shared" si="2"/>
        <v>0</v>
      </c>
      <c r="I29" s="375">
        <f>COUNTIFS('Все игры'!A$3:A1000,A29,'Все игры'!E$3:E1000,"У/Победа")</f>
        <v>2</v>
      </c>
      <c r="J29" s="375">
        <f>COUNTIFS('Все игры'!A$3:A1000,A29,'Все игры'!E$3:E1000,"У/Проигрыш")</f>
        <v>3</v>
      </c>
      <c r="K29" s="376">
        <f t="shared" si="3"/>
        <v>11</v>
      </c>
      <c r="L29" s="370">
        <f t="shared" si="4"/>
        <v>4</v>
      </c>
      <c r="M29" s="370">
        <f>COUNTIFS('Все игры'!A$3:A1000,A29,'Все игры'!C$3:C1000,"&gt;0",'Все игры'!B$3:B1000,"Мафия")</f>
        <v>1</v>
      </c>
      <c r="N29" s="370">
        <f>IFERROR(__xludf.DUMMYFUNCTION("COUNTBLANK(FILTER('Все игры'!A$3:C1000,'Все игры'!A$3:A1000=A29,'Все игры'!C$3:C1000 &lt; 1,'Все игры'!B$3:B1000=""Мафия""))"),1.0)</f>
        <v>1</v>
      </c>
      <c r="O29" s="370">
        <f>COUNTIFS('Все игры'!A$3:A1000,A29,'Все игры'!C$3:C1000,"&gt;0",'Все игры'!B$3:B1000,"Шериф")</f>
        <v>1</v>
      </c>
      <c r="P29" s="377">
        <f>IFERROR(__xludf.DUMMYFUNCTION("COUNTBLANK(FILTER('Все игры'!A$3:C1000,'Все игры'!A$3:A1000=A29,'Все игры'!C$3:C1000 &lt; 1,'Все игры'!B$3:B1000=""Шериф""))"),1.0)</f>
        <v>1</v>
      </c>
      <c r="Q29" s="370">
        <f>COUNTIFS('Все игры'!A$3:A1000,A29,'Все игры'!C$3:C1000,"&gt;0",'Все игры'!B$3:B1000,"Дон")</f>
        <v>1</v>
      </c>
      <c r="R29" s="370">
        <f>IFERROR(__xludf.DUMMYFUNCTION("COUNTBLANK(FILTER('Все игры'!A$3:C1000,'Все игры'!A$3:A1000=A29,'Все игры'!C$3:C1000 &lt; 1,'Все игры'!B$3:B1000=""Дон""))"),1.0)</f>
        <v>1</v>
      </c>
      <c r="S29" s="370">
        <f>COUNTIFS('Все игры'!A$3:A1000,A29,'Все игры'!C$3:C1000,"&gt;0",'Все игры'!B$3:B1000,"Мирный")</f>
        <v>5</v>
      </c>
      <c r="T29" s="378">
        <f>IFERROR(__xludf.DUMMYFUNCTION("COUNTBLANK(FILTER('Все игры'!A$3:C1000,'Все игры'!A$3:A1000=A29,'Все игры'!C$3:C1000 &lt; 1,'Все игры'!B$3:B1000=""Мирный""))"),4.0)</f>
        <v>4</v>
      </c>
      <c r="U29" s="379">
        <f t="shared" si="16"/>
        <v>0.5333333333</v>
      </c>
      <c r="V29" s="380">
        <f t="shared" si="5"/>
        <v>0.5454545455</v>
      </c>
      <c r="W29" s="380">
        <f t="shared" si="6"/>
        <v>0.5</v>
      </c>
      <c r="X29" s="380">
        <f t="shared" si="7"/>
        <v>0.5</v>
      </c>
      <c r="Y29" s="380">
        <f t="shared" si="8"/>
        <v>0.5</v>
      </c>
      <c r="Z29" s="380">
        <f t="shared" si="9"/>
        <v>0.5</v>
      </c>
      <c r="AA29" s="381">
        <f t="shared" si="10"/>
        <v>0.5555555556</v>
      </c>
      <c r="AB29" s="371">
        <f>SUMIFS('Все игры'!D$3:D1000,'Все игры'!A$3:A1000,A29)</f>
        <v>36</v>
      </c>
      <c r="AC29" s="371">
        <f>SUMIFS('Все игры'!D$3:D1000,'Все игры'!A$3:A1000,A29,'Все игры'!B$3:B1000,"Мафия")</f>
        <v>4.5</v>
      </c>
      <c r="AD29" s="382">
        <f>SUMIFS('Все игры'!D$3:D1000,'Все игры'!A$3:A1000,A29,'Все игры'!B$3:B1000,"Шериф")</f>
        <v>3.25</v>
      </c>
      <c r="AE29" s="371">
        <f>SUMIFS('Все игры'!D$3:D1000,'Все игры'!A$3:A1000,A29,'Все игры'!B$3:B1000,"Дон")</f>
        <v>5.75</v>
      </c>
      <c r="AF29" s="372">
        <f>SUMIFS('Все игры'!D$3:D1000,'Все игры'!A$3:A1000,A29,'Все игры'!B$3:B1000,"Мирный")</f>
        <v>22.5</v>
      </c>
      <c r="AG29" s="371">
        <f t="shared" si="11"/>
        <v>2.4</v>
      </c>
      <c r="AH29" s="371">
        <f t="shared" si="12"/>
        <v>2.25</v>
      </c>
      <c r="AI29" s="371">
        <f t="shared" si="13"/>
        <v>1.625</v>
      </c>
      <c r="AJ29" s="371">
        <f t="shared" si="14"/>
        <v>2.875</v>
      </c>
      <c r="AK29" s="371">
        <f t="shared" si="15"/>
        <v>2.5</v>
      </c>
      <c r="AL29" s="357">
        <f>MAX('Турнирная таблица по Алфавиту'!T31:CA31)</f>
        <v>22.5</v>
      </c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</row>
    <row r="30">
      <c r="A30" s="369" t="s">
        <v>104</v>
      </c>
      <c r="B30" s="356">
        <f t="shared" si="1"/>
        <v>15</v>
      </c>
      <c r="C30" s="357">
        <f>'Турнирная таблица по Алфавиту'!E32</f>
        <v>61.5</v>
      </c>
      <c r="D30" s="358">
        <f>'Турнирная таблица по Алфавиту'!F32</f>
        <v>20.5</v>
      </c>
      <c r="E30" s="359">
        <f>COUNTIFS('Все игры'!A$3:A1000,A30,'Все игры'!F$3:F1000,"=1")</f>
        <v>0</v>
      </c>
      <c r="F30" s="359">
        <f>COUNTIFS('Все игры'!A$3:A1000,A30,'Все игры'!F$3:F1000,"=0,50")</f>
        <v>1</v>
      </c>
      <c r="G30" s="359">
        <f>COUNTIFS('Все игры'!A$3:A1000,A30,'Все игры'!G$3:G1000,"&gt;0")</f>
        <v>2</v>
      </c>
      <c r="H30" s="360">
        <f t="shared" si="2"/>
        <v>0.1666666667</v>
      </c>
      <c r="I30" s="361">
        <f>COUNTIFS('Все игры'!A$3:A1000,A30,'Все игры'!E$3:E1000,"У/Победа")</f>
        <v>1</v>
      </c>
      <c r="J30" s="361">
        <f>COUNTIFS('Все игры'!A$3:A1000,A30,'Все игры'!E$3:E1000,"У/Проигрыш")</f>
        <v>1</v>
      </c>
      <c r="K30" s="362">
        <f t="shared" si="3"/>
        <v>12</v>
      </c>
      <c r="L30" s="356">
        <f t="shared" si="4"/>
        <v>3</v>
      </c>
      <c r="M30" s="356">
        <f>COUNTIFS('Все игры'!A$3:A1000,A30,'Все игры'!C$3:C1000,"&gt;0",'Все игры'!B$3:B1000,"Мафия")</f>
        <v>2</v>
      </c>
      <c r="N30" s="356">
        <f>IFERROR(__xludf.DUMMYFUNCTION("COUNTBLANK(FILTER('Все игры'!A$3:C1000,'Все игры'!A$3:A1000=A30,'Все игры'!C$3:C1000 &lt; 1,'Все игры'!B$3:B1000=""Мафия""))"),0.0)</f>
        <v>0</v>
      </c>
      <c r="O30" s="356">
        <f>COUNTIFS('Все игры'!A$3:A1000,A30,'Все игры'!C$3:C1000,"&gt;0",'Все игры'!B$3:B1000,"Шериф")</f>
        <v>3</v>
      </c>
      <c r="P30" s="363">
        <f>IFERROR(__xludf.DUMMYFUNCTION("COUNTBLANK(FILTER('Все игры'!A$3:C1000,'Все игры'!A$3:A1000=A30,'Все игры'!C$3:C1000 &lt; 1,'Все игры'!B$3:B1000=""Шериф""))"),1.0)</f>
        <v>1</v>
      </c>
      <c r="Q30" s="356">
        <f>COUNTIFS('Все игры'!A$3:A1000,A30,'Все игры'!C$3:C1000,"&gt;0",'Все игры'!B$3:B1000,"Дон")</f>
        <v>0</v>
      </c>
      <c r="R30" s="356">
        <f>IFERROR(__xludf.DUMMYFUNCTION("COUNTBLANK(FILTER('Все игры'!A$3:C1000,'Все игры'!A$3:A1000=A30,'Все игры'!C$3:C1000 &lt; 1,'Все игры'!B$3:B1000=""Дон""))"),1.0)</f>
        <v>1</v>
      </c>
      <c r="S30" s="356">
        <f>COUNTIFS('Все игры'!A$3:A1000,A30,'Все игры'!C$3:C1000,"&gt;0",'Все игры'!B$3:B1000,"Мирный")</f>
        <v>3</v>
      </c>
      <c r="T30" s="364">
        <f>IFERROR(__xludf.DUMMYFUNCTION("COUNTBLANK(FILTER('Все игры'!A$3:C1000,'Все игры'!A$3:A1000=A30,'Все игры'!C$3:C1000 &lt; 1,'Все игры'!B$3:B1000=""Мирный""))"),5.0)</f>
        <v>5</v>
      </c>
      <c r="U30" s="365">
        <f t="shared" si="16"/>
        <v>0.5333333333</v>
      </c>
      <c r="V30" s="366">
        <f t="shared" si="5"/>
        <v>0.5</v>
      </c>
      <c r="W30" s="366">
        <f t="shared" si="6"/>
        <v>0.6666666667</v>
      </c>
      <c r="X30" s="366">
        <f t="shared" si="7"/>
        <v>1</v>
      </c>
      <c r="Y30" s="366">
        <f t="shared" si="8"/>
        <v>0.75</v>
      </c>
      <c r="Z30" s="366">
        <f t="shared" si="9"/>
        <v>0</v>
      </c>
      <c r="AA30" s="367">
        <f t="shared" si="10"/>
        <v>0.375</v>
      </c>
      <c r="AB30" s="357">
        <f>SUMIFS('Все игры'!D$3:D1000,'Все игры'!A$3:A1000,A30)</f>
        <v>40</v>
      </c>
      <c r="AC30" s="357">
        <f>SUMIFS('Все игры'!D$3:D1000,'Все игры'!A$3:A1000,A30,'Все игры'!B$3:B1000,"Мафия")</f>
        <v>5</v>
      </c>
      <c r="AD30" s="368">
        <f>SUMIFS('Все игры'!D$3:D1000,'Все игры'!A$3:A1000,A30,'Все игры'!B$3:B1000,"Шериф")</f>
        <v>11</v>
      </c>
      <c r="AE30" s="357">
        <f>SUMIFS('Все игры'!D$3:D1000,'Все игры'!A$3:A1000,A30,'Все игры'!B$3:B1000,"Дон")</f>
        <v>2.5</v>
      </c>
      <c r="AF30" s="358">
        <f>SUMIFS('Все игры'!D$3:D1000,'Все игры'!A$3:A1000,A30,'Все игры'!B$3:B1000,"Мирный")</f>
        <v>21.5</v>
      </c>
      <c r="AG30" s="357">
        <f t="shared" si="11"/>
        <v>2.666666667</v>
      </c>
      <c r="AH30" s="357">
        <f t="shared" si="12"/>
        <v>2.5</v>
      </c>
      <c r="AI30" s="357">
        <f t="shared" si="13"/>
        <v>2.75</v>
      </c>
      <c r="AJ30" s="357">
        <f t="shared" si="14"/>
        <v>2.5</v>
      </c>
      <c r="AK30" s="357">
        <f t="shared" si="15"/>
        <v>2.6875</v>
      </c>
      <c r="AL30" s="357">
        <f>MAX('Турнирная таблица по Алфавиту'!T32:CA32)</f>
        <v>24.75</v>
      </c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</row>
    <row r="31">
      <c r="A31" s="369" t="s">
        <v>105</v>
      </c>
      <c r="B31" s="370">
        <f t="shared" si="1"/>
        <v>15</v>
      </c>
      <c r="C31" s="371">
        <f>'Турнирная таблица по Алфавиту'!E33</f>
        <v>48</v>
      </c>
      <c r="D31" s="372">
        <f>'Турнирная таблица по Алфавиту'!F33</f>
        <v>16</v>
      </c>
      <c r="E31" s="373">
        <f>COUNTIFS('Все игры'!A$3:A1000,A31,'Все игры'!F$3:F1000,"=1")</f>
        <v>0</v>
      </c>
      <c r="F31" s="373">
        <f>COUNTIFS('Все игры'!A$3:A1000,A31,'Все игры'!F$3:F1000,"=0,50")</f>
        <v>0</v>
      </c>
      <c r="G31" s="373">
        <f>COUNTIFS('Все игры'!A$3:A1000,A31,'Все игры'!G$3:G1000,"&gt;0")</f>
        <v>1</v>
      </c>
      <c r="H31" s="374">
        <f t="shared" si="2"/>
        <v>0.1111111111</v>
      </c>
      <c r="I31" s="375">
        <f>COUNTIFS('Все игры'!A$3:A1000,A31,'Все игры'!E$3:E1000,"У/Победа")</f>
        <v>0</v>
      </c>
      <c r="J31" s="375">
        <f>COUNTIFS('Все игры'!A$3:A1000,A31,'Все игры'!E$3:E1000,"У/Проигрыш")</f>
        <v>0</v>
      </c>
      <c r="K31" s="376">
        <f t="shared" si="3"/>
        <v>9</v>
      </c>
      <c r="L31" s="370">
        <f t="shared" si="4"/>
        <v>6</v>
      </c>
      <c r="M31" s="370">
        <f>COUNTIFS('Все игры'!A$3:A1000,A31,'Все игры'!C$3:C1000,"&gt;0",'Все игры'!B$3:B1000,"Мафия")</f>
        <v>1</v>
      </c>
      <c r="N31" s="370">
        <f>IFERROR(__xludf.DUMMYFUNCTION("COUNTBLANK(FILTER('Все игры'!A$3:C1000,'Все игры'!A$3:A1000=A31,'Все игры'!C$3:C1000 &lt; 1,'Все игры'!B$3:B1000=""Мафия""))"),2.0)</f>
        <v>2</v>
      </c>
      <c r="O31" s="370">
        <f>COUNTIFS('Все игры'!A$3:A1000,A31,'Все игры'!C$3:C1000,"&gt;0",'Все игры'!B$3:B1000,"Шериф")</f>
        <v>0</v>
      </c>
      <c r="P31" s="377">
        <f>IFERROR(__xludf.DUMMYFUNCTION("COUNTBLANK(FILTER('Все игры'!A$3:C1000,'Все игры'!A$3:A1000=A31,'Все игры'!C$3:C1000 &lt; 1,'Все игры'!B$3:B1000=""Шериф""))"),2.0)</f>
        <v>2</v>
      </c>
      <c r="Q31" s="370">
        <f>COUNTIFS('Все игры'!A$3:A1000,A31,'Все игры'!C$3:C1000,"&gt;0",'Все игры'!B$3:B1000,"Дон")</f>
        <v>1</v>
      </c>
      <c r="R31" s="370">
        <f>IFERROR(__xludf.DUMMYFUNCTION("COUNTBLANK(FILTER('Все игры'!A$3:C1000,'Все игры'!A$3:A1000=A31,'Все игры'!C$3:C1000 &lt; 1,'Все игры'!B$3:B1000=""Дон""))"),2.0)</f>
        <v>2</v>
      </c>
      <c r="S31" s="370">
        <f>COUNTIFS('Все игры'!A$3:A1000,A31,'Все игры'!C$3:C1000,"&gt;0",'Все игры'!B$3:B1000,"Мирный")</f>
        <v>3</v>
      </c>
      <c r="T31" s="378">
        <f>IFERROR(__xludf.DUMMYFUNCTION("COUNTBLANK(FILTER('Все игры'!A$3:C1000,'Все игры'!A$3:A1000=A31,'Все игры'!C$3:C1000 &lt; 1,'Все игры'!B$3:B1000=""Мирный""))"),4.0)</f>
        <v>4</v>
      </c>
      <c r="U31" s="379">
        <f t="shared" si="16"/>
        <v>0.3333333333</v>
      </c>
      <c r="V31" s="380">
        <f t="shared" si="5"/>
        <v>0.3333333333</v>
      </c>
      <c r="W31" s="380">
        <f t="shared" si="6"/>
        <v>0.3333333333</v>
      </c>
      <c r="X31" s="380">
        <f t="shared" si="7"/>
        <v>0.3333333333</v>
      </c>
      <c r="Y31" s="380">
        <f t="shared" si="8"/>
        <v>0</v>
      </c>
      <c r="Z31" s="380">
        <f t="shared" si="9"/>
        <v>0.3333333333</v>
      </c>
      <c r="AA31" s="381">
        <f t="shared" si="10"/>
        <v>0.4285714286</v>
      </c>
      <c r="AB31" s="371">
        <f>SUMIFS('Все игры'!D$3:D1000,'Все игры'!A$3:A1000,A31)</f>
        <v>35</v>
      </c>
      <c r="AC31" s="371">
        <f>SUMIFS('Все игры'!D$3:D1000,'Все игры'!A$3:A1000,A31,'Все игры'!B$3:B1000,"Мафия")</f>
        <v>6</v>
      </c>
      <c r="AD31" s="382">
        <f>SUMIFS('Все игры'!D$3:D1000,'Все игры'!A$3:A1000,A31,'Все игры'!B$3:B1000,"Шериф")</f>
        <v>3.75</v>
      </c>
      <c r="AE31" s="371">
        <f>SUMIFS('Все игры'!D$3:D1000,'Все игры'!A$3:A1000,A31,'Все игры'!B$3:B1000,"Дон")</f>
        <v>7.25</v>
      </c>
      <c r="AF31" s="372">
        <f>SUMIFS('Все игры'!D$3:D1000,'Все игры'!A$3:A1000,A31,'Все игры'!B$3:B1000,"Мирный")</f>
        <v>18</v>
      </c>
      <c r="AG31" s="371">
        <f t="shared" si="11"/>
        <v>2.333333333</v>
      </c>
      <c r="AH31" s="371">
        <f t="shared" si="12"/>
        <v>2</v>
      </c>
      <c r="AI31" s="371">
        <f t="shared" si="13"/>
        <v>1.875</v>
      </c>
      <c r="AJ31" s="371">
        <f t="shared" si="14"/>
        <v>2.416666667</v>
      </c>
      <c r="AK31" s="371">
        <f t="shared" si="15"/>
        <v>2.571428571</v>
      </c>
      <c r="AL31" s="357">
        <f>MAX('Турнирная таблица по Алфавиту'!T33:CA33)</f>
        <v>22.5</v>
      </c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</row>
    <row r="32">
      <c r="A32" s="369" t="s">
        <v>106</v>
      </c>
      <c r="B32" s="356">
        <f t="shared" si="1"/>
        <v>15</v>
      </c>
      <c r="C32" s="357">
        <f>'Турнирная таблица по Алфавиту'!E34</f>
        <v>57.5</v>
      </c>
      <c r="D32" s="358">
        <f>'Турнирная таблица по Алфавиту'!F34</f>
        <v>19.16666667</v>
      </c>
      <c r="E32" s="359">
        <f>COUNTIFS('Все игры'!A$3:A1000,A32,'Все игры'!F$3:F1000,"=1")</f>
        <v>0</v>
      </c>
      <c r="F32" s="359">
        <f>COUNTIFS('Все игры'!A$3:A1000,A32,'Все игры'!F$3:F1000,"=0,50")</f>
        <v>0</v>
      </c>
      <c r="G32" s="359">
        <f>COUNTIFS('Все игры'!A$3:A1000,A32,'Все игры'!G$3:G1000,"&gt;0")</f>
        <v>1</v>
      </c>
      <c r="H32" s="360">
        <f t="shared" si="2"/>
        <v>0.125</v>
      </c>
      <c r="I32" s="361">
        <f>COUNTIFS('Все игры'!A$3:A1000,A32,'Все игры'!E$3:E1000,"У/Победа")</f>
        <v>0</v>
      </c>
      <c r="J32" s="361">
        <f>COUNTIFS('Все игры'!A$3:A1000,A32,'Все игры'!E$3:E1000,"У/Проигрыш")</f>
        <v>1</v>
      </c>
      <c r="K32" s="362">
        <f t="shared" si="3"/>
        <v>8</v>
      </c>
      <c r="L32" s="356">
        <f t="shared" si="4"/>
        <v>7</v>
      </c>
      <c r="M32" s="356">
        <f>COUNTIFS('Все игры'!A$3:A1000,A32,'Все игры'!C$3:C1000,"&gt;0",'Все игры'!B$3:B1000,"Мафия")</f>
        <v>3</v>
      </c>
      <c r="N32" s="356">
        <f>IFERROR(__xludf.DUMMYFUNCTION("COUNTBLANK(FILTER('Все игры'!A$3:C1000,'Все игры'!A$3:A1000=A32,'Все игры'!C$3:C1000 &lt; 1,'Все игры'!B$3:B1000=""Мафия""))"),4.0)</f>
        <v>4</v>
      </c>
      <c r="O32" s="356">
        <f>COUNTIFS('Все игры'!A$3:A1000,A32,'Все игры'!C$3:C1000,"&gt;0",'Все игры'!B$3:B1000,"Шериф")</f>
        <v>2</v>
      </c>
      <c r="P32" s="363">
        <f>IFERROR(__xludf.DUMMYFUNCTION("COUNTBLANK(FILTER('Все игры'!A$3:C1000,'Все игры'!A$3:A1000=A32,'Все игры'!C$3:C1000 &lt; 1,'Все игры'!B$3:B1000=""Шериф""))"),0.0)</f>
        <v>0</v>
      </c>
      <c r="Q32" s="356">
        <f>COUNTIFS('Все игры'!A$3:A1000,A32,'Все игры'!C$3:C1000,"&gt;0",'Все игры'!B$3:B1000,"Дон")</f>
        <v>0</v>
      </c>
      <c r="R32" s="356">
        <f>IFERROR(__xludf.DUMMYFUNCTION("COUNTBLANK(FILTER('Все игры'!A$3:C1000,'Все игры'!A$3:A1000=A32,'Все игры'!C$3:C1000 &lt; 1,'Все игры'!B$3:B1000=""Дон""))"),0.0)</f>
        <v>0</v>
      </c>
      <c r="S32" s="356">
        <f>COUNTIFS('Все игры'!A$3:A1000,A32,'Все игры'!C$3:C1000,"&gt;0",'Все игры'!B$3:B1000,"Мирный")</f>
        <v>2</v>
      </c>
      <c r="T32" s="364">
        <f>IFERROR(__xludf.DUMMYFUNCTION("COUNTBLANK(FILTER('Все игры'!A$3:C1000,'Все игры'!A$3:A1000=A32,'Все игры'!C$3:C1000 &lt; 1,'Все игры'!B$3:B1000=""Мирный""))"),4.0)</f>
        <v>4</v>
      </c>
      <c r="U32" s="365">
        <f t="shared" si="16"/>
        <v>0.4666666667</v>
      </c>
      <c r="V32" s="366">
        <f t="shared" si="5"/>
        <v>0.5</v>
      </c>
      <c r="W32" s="366">
        <f t="shared" si="6"/>
        <v>0.4285714286</v>
      </c>
      <c r="X32" s="366">
        <f t="shared" si="7"/>
        <v>0.4285714286</v>
      </c>
      <c r="Y32" s="366">
        <f t="shared" si="8"/>
        <v>1</v>
      </c>
      <c r="Z32" s="366">
        <f t="shared" si="9"/>
        <v>0</v>
      </c>
      <c r="AA32" s="367">
        <f t="shared" si="10"/>
        <v>0.3333333333</v>
      </c>
      <c r="AB32" s="357">
        <f>SUMIFS('Все игры'!D$3:D1000,'Все игры'!A$3:A1000,A32)</f>
        <v>39.5</v>
      </c>
      <c r="AC32" s="357">
        <f>SUMIFS('Все игры'!D$3:D1000,'Все игры'!A$3:A1000,A32,'Все игры'!B$3:B1000,"Мафия")</f>
        <v>16.25</v>
      </c>
      <c r="AD32" s="368">
        <f>SUMIFS('Все игры'!D$3:D1000,'Все игры'!A$3:A1000,A32,'Все игры'!B$3:B1000,"Шериф")</f>
        <v>7.75</v>
      </c>
      <c r="AE32" s="357">
        <f>SUMIFS('Все игры'!D$3:D1000,'Все игры'!A$3:A1000,A32,'Все игры'!B$3:B1000,"Дон")</f>
        <v>0</v>
      </c>
      <c r="AF32" s="358">
        <f>SUMIFS('Все игры'!D$3:D1000,'Все игры'!A$3:A1000,A32,'Все игры'!B$3:B1000,"Мирный")</f>
        <v>15.5</v>
      </c>
      <c r="AG32" s="357">
        <f t="shared" si="11"/>
        <v>2.633333333</v>
      </c>
      <c r="AH32" s="357">
        <f t="shared" si="12"/>
        <v>2.321428571</v>
      </c>
      <c r="AI32" s="357">
        <f t="shared" si="13"/>
        <v>3.875</v>
      </c>
      <c r="AJ32" s="357">
        <f t="shared" si="14"/>
        <v>0</v>
      </c>
      <c r="AK32" s="357">
        <f t="shared" si="15"/>
        <v>2.583333333</v>
      </c>
      <c r="AL32" s="357">
        <f>MAX('Турнирная таблица по Алфавиту'!T34:CA34)</f>
        <v>20</v>
      </c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W32" s="357"/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</row>
    <row r="33">
      <c r="A33" s="369" t="s">
        <v>107</v>
      </c>
      <c r="B33" s="370">
        <f t="shared" si="1"/>
        <v>30</v>
      </c>
      <c r="C33" s="371">
        <f>'Турнирная таблица по Алфавиту'!E35</f>
        <v>139.75</v>
      </c>
      <c r="D33" s="372">
        <f>'Турнирная таблица по Алфавиту'!F35</f>
        <v>23.29166667</v>
      </c>
      <c r="E33" s="373">
        <f>COUNTIFS('Все игры'!A$3:A1000,A33,'Все игры'!F$3:F1000,"=1")</f>
        <v>1</v>
      </c>
      <c r="F33" s="373">
        <f>COUNTIFS('Все игры'!A$3:A1000,A33,'Все игры'!F$3:F1000,"=0,50")</f>
        <v>2</v>
      </c>
      <c r="G33" s="373">
        <f>COUNTIFS('Все игры'!A$3:A1000,A33,'Все игры'!G$3:G1000,"&gt;0")</f>
        <v>8</v>
      </c>
      <c r="H33" s="374">
        <f t="shared" si="2"/>
        <v>0.3333333333</v>
      </c>
      <c r="I33" s="375">
        <f>COUNTIFS('Все игры'!A$3:A1000,A33,'Все игры'!E$3:E1000,"У/Победа")</f>
        <v>3</v>
      </c>
      <c r="J33" s="375">
        <f>COUNTIFS('Все игры'!A$3:A1000,A33,'Все игры'!E$3:E1000,"У/Проигрыш")</f>
        <v>0</v>
      </c>
      <c r="K33" s="376">
        <f t="shared" si="3"/>
        <v>24</v>
      </c>
      <c r="L33" s="370">
        <f t="shared" si="4"/>
        <v>6</v>
      </c>
      <c r="M33" s="370">
        <f>COUNTIFS('Все игры'!A$3:A1000,A33,'Все игры'!C$3:C1000,"&gt;0",'Все игры'!B$3:B1000,"Мафия")</f>
        <v>1</v>
      </c>
      <c r="N33" s="370">
        <f>IFERROR(__xludf.DUMMYFUNCTION("COUNTBLANK(FILTER('Все игры'!A$3:C1000,'Все игры'!A$3:A1000=A33,'Все игры'!C$3:C1000 &lt; 1,'Все игры'!B$3:B1000=""Мафия""))"),1.0)</f>
        <v>1</v>
      </c>
      <c r="O33" s="370">
        <f>COUNTIFS('Все игры'!A$3:A1000,A33,'Все игры'!C$3:C1000,"&gt;0",'Все игры'!B$3:B1000,"Шериф")</f>
        <v>3</v>
      </c>
      <c r="P33" s="377">
        <f>IFERROR(__xludf.DUMMYFUNCTION("COUNTBLANK(FILTER('Все игры'!A$3:C1000,'Все игры'!A$3:A1000=A33,'Все игры'!C$3:C1000 &lt; 1,'Все игры'!B$3:B1000=""Шериф""))"),1.0)</f>
        <v>1</v>
      </c>
      <c r="Q33" s="370">
        <f>COUNTIFS('Все игры'!A$3:A1000,A33,'Все игры'!C$3:C1000,"&gt;0",'Все игры'!B$3:B1000,"Дон")</f>
        <v>3</v>
      </c>
      <c r="R33" s="370">
        <f>IFERROR(__xludf.DUMMYFUNCTION("COUNTBLANK(FILTER('Все игры'!A$3:C1000,'Все игры'!A$3:A1000=A33,'Все игры'!C$3:C1000 &lt; 1,'Все игры'!B$3:B1000=""Дон""))"),1.0)</f>
        <v>1</v>
      </c>
      <c r="S33" s="370">
        <f>COUNTIFS('Все игры'!A$3:A1000,A33,'Все игры'!C$3:C1000,"&gt;0",'Все игры'!B$3:B1000,"Мирный")</f>
        <v>10</v>
      </c>
      <c r="T33" s="378">
        <f>IFERROR(__xludf.DUMMYFUNCTION("COUNTBLANK(FILTER('Все игры'!A$3:C1000,'Все игры'!A$3:A1000=A33,'Все игры'!C$3:C1000 &lt; 1,'Все игры'!B$3:B1000=""Мирный""))"),10.0)</f>
        <v>10</v>
      </c>
      <c r="U33" s="379">
        <f t="shared" si="16"/>
        <v>0.5666666667</v>
      </c>
      <c r="V33" s="380">
        <f t="shared" si="5"/>
        <v>0.5416666667</v>
      </c>
      <c r="W33" s="380">
        <f t="shared" si="6"/>
        <v>0.6666666667</v>
      </c>
      <c r="X33" s="380">
        <f t="shared" si="7"/>
        <v>0.5</v>
      </c>
      <c r="Y33" s="380">
        <f t="shared" si="8"/>
        <v>0.75</v>
      </c>
      <c r="Z33" s="380">
        <f t="shared" si="9"/>
        <v>0.75</v>
      </c>
      <c r="AA33" s="381">
        <f t="shared" si="10"/>
        <v>0.5</v>
      </c>
      <c r="AB33" s="371">
        <f>SUMIFS('Все игры'!D$3:D1000,'Все игры'!A$3:A1000,A33)</f>
        <v>89.75</v>
      </c>
      <c r="AC33" s="371">
        <f>SUMIFS('Все игры'!D$3:D1000,'Все игры'!A$3:A1000,A33,'Все игры'!B$3:B1000,"Мафия")</f>
        <v>4.25</v>
      </c>
      <c r="AD33" s="382">
        <f>SUMIFS('Все игры'!D$3:D1000,'Все игры'!A$3:A1000,A33,'Все игры'!B$3:B1000,"Шериф")</f>
        <v>13.25</v>
      </c>
      <c r="AE33" s="371">
        <f>SUMIFS('Все игры'!D$3:D1000,'Все игры'!A$3:A1000,A33,'Все игры'!B$3:B1000,"Дон")</f>
        <v>13</v>
      </c>
      <c r="AF33" s="372">
        <f>SUMIFS('Все игры'!D$3:D1000,'Все игры'!A$3:A1000,A33,'Все игры'!B$3:B1000,"Мирный")</f>
        <v>59.25</v>
      </c>
      <c r="AG33" s="371">
        <f t="shared" si="11"/>
        <v>2.991666667</v>
      </c>
      <c r="AH33" s="371">
        <f t="shared" si="12"/>
        <v>2.125</v>
      </c>
      <c r="AI33" s="371">
        <f t="shared" si="13"/>
        <v>3.3125</v>
      </c>
      <c r="AJ33" s="371">
        <f t="shared" si="14"/>
        <v>3.25</v>
      </c>
      <c r="AK33" s="371">
        <f t="shared" si="15"/>
        <v>2.9625</v>
      </c>
      <c r="AL33" s="357">
        <f>MAX('Турнирная таблица по Алфавиту'!T35:CA35)</f>
        <v>30.75</v>
      </c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</row>
    <row r="34">
      <c r="A34" s="369" t="s">
        <v>108</v>
      </c>
      <c r="B34" s="356">
        <f t="shared" si="1"/>
        <v>10</v>
      </c>
      <c r="C34" s="357">
        <f>'Турнирная таблица по Алфавиту'!E36</f>
        <v>34.25</v>
      </c>
      <c r="D34" s="358">
        <f>'Турнирная таблица по Алфавиту'!F36</f>
        <v>17.125</v>
      </c>
      <c r="E34" s="359">
        <f>COUNTIFS('Все игры'!A$3:A1000,A34,'Все игры'!F$3:F1000,"=1")</f>
        <v>0</v>
      </c>
      <c r="F34" s="359">
        <f>COUNTIFS('Все игры'!A$3:A1000,A34,'Все игры'!F$3:F1000,"=0,50")</f>
        <v>1</v>
      </c>
      <c r="G34" s="359">
        <f>COUNTIFS('Все игры'!A$3:A1000,A34,'Все игры'!G$3:G1000,"&gt;0")</f>
        <v>2</v>
      </c>
      <c r="H34" s="360">
        <f t="shared" si="2"/>
        <v>0.2222222222</v>
      </c>
      <c r="I34" s="361">
        <f>COUNTIFS('Все игры'!A$3:A1000,A34,'Все игры'!E$3:E1000,"У/Победа")</f>
        <v>0</v>
      </c>
      <c r="J34" s="361">
        <f>COUNTIFS('Все игры'!A$3:A1000,A34,'Все игры'!E$3:E1000,"У/Проигрыш")</f>
        <v>0</v>
      </c>
      <c r="K34" s="362">
        <f t="shared" si="3"/>
        <v>9</v>
      </c>
      <c r="L34" s="356">
        <f t="shared" si="4"/>
        <v>1</v>
      </c>
      <c r="M34" s="356">
        <f>COUNTIFS('Все игры'!A$3:A1000,A34,'Все игры'!C$3:C1000,"&gt;0",'Все игры'!B$3:B1000,"Мафия")</f>
        <v>0</v>
      </c>
      <c r="N34" s="356">
        <f>IFERROR(__xludf.DUMMYFUNCTION("COUNTBLANK(FILTER('Все игры'!A$3:C1000,'Все игры'!A$3:A1000=A34,'Все игры'!C$3:C1000 &lt; 1,'Все игры'!B$3:B1000=""Мафия""))"),0.0)</f>
        <v>0</v>
      </c>
      <c r="O34" s="356">
        <f>COUNTIFS('Все игры'!A$3:A1000,A34,'Все игры'!C$3:C1000,"&gt;0",'Все игры'!B$3:B1000,"Шериф")</f>
        <v>0</v>
      </c>
      <c r="P34" s="363">
        <f>IFERROR(__xludf.DUMMYFUNCTION("COUNTBLANK(FILTER('Все игры'!A$3:C1000,'Все игры'!A$3:A1000=A34,'Все игры'!C$3:C1000 &lt; 1,'Все игры'!B$3:B1000=""Шериф""))"),3.0)</f>
        <v>3</v>
      </c>
      <c r="Q34" s="356">
        <f>COUNTIFS('Все игры'!A$3:A1000,A34,'Все игры'!C$3:C1000,"&gt;0",'Все игры'!B$3:B1000,"Дон")</f>
        <v>1</v>
      </c>
      <c r="R34" s="356">
        <f>IFERROR(__xludf.DUMMYFUNCTION("COUNTBLANK(FILTER('Все игры'!A$3:C1000,'Все игры'!A$3:A1000=A34,'Все игры'!C$3:C1000 &lt; 1,'Все игры'!B$3:B1000=""Дон""))"),0.0)</f>
        <v>0</v>
      </c>
      <c r="S34" s="356">
        <f>COUNTIFS('Все игры'!A$3:A1000,A34,'Все игры'!C$3:C1000,"&gt;0",'Все игры'!B$3:B1000,"Мирный")</f>
        <v>2</v>
      </c>
      <c r="T34" s="364">
        <f>IFERROR(__xludf.DUMMYFUNCTION("COUNTBLANK(FILTER('Все игры'!A$3:C1000,'Все игры'!A$3:A1000=A34,'Все игры'!C$3:C1000 &lt; 1,'Все игры'!B$3:B1000=""Мирный""))"),4.0)</f>
        <v>4</v>
      </c>
      <c r="U34" s="365">
        <f t="shared" si="16"/>
        <v>0.3</v>
      </c>
      <c r="V34" s="366">
        <f t="shared" si="5"/>
        <v>0.2222222222</v>
      </c>
      <c r="W34" s="366">
        <f t="shared" si="6"/>
        <v>1</v>
      </c>
      <c r="X34" s="366">
        <f t="shared" si="7"/>
        <v>0</v>
      </c>
      <c r="Y34" s="366">
        <f t="shared" si="8"/>
        <v>0</v>
      </c>
      <c r="Z34" s="366">
        <f t="shared" si="9"/>
        <v>1</v>
      </c>
      <c r="AA34" s="367">
        <f t="shared" si="10"/>
        <v>0.3333333333</v>
      </c>
      <c r="AB34" s="357">
        <f>SUMIFS('Все игры'!D$3:D1000,'Все игры'!A$3:A1000,A34)</f>
        <v>25.25</v>
      </c>
      <c r="AC34" s="357">
        <f>SUMIFS('Все игры'!D$3:D1000,'Все игры'!A$3:A1000,A34,'Все игры'!B$3:B1000,"Мафия")</f>
        <v>0</v>
      </c>
      <c r="AD34" s="368">
        <f>SUMIFS('Все игры'!D$3:D1000,'Все игры'!A$3:A1000,A34,'Все игры'!B$3:B1000,"Шериф")</f>
        <v>7</v>
      </c>
      <c r="AE34" s="357">
        <f>SUMIFS('Все игры'!D$3:D1000,'Все игры'!A$3:A1000,A34,'Все игры'!B$3:B1000,"Дон")</f>
        <v>3.75</v>
      </c>
      <c r="AF34" s="358">
        <f>SUMIFS('Все игры'!D$3:D1000,'Все игры'!A$3:A1000,A34,'Все игры'!B$3:B1000,"Мирный")</f>
        <v>14.5</v>
      </c>
      <c r="AG34" s="357">
        <f t="shared" si="11"/>
        <v>2.525</v>
      </c>
      <c r="AH34" s="357">
        <f t="shared" si="12"/>
        <v>0</v>
      </c>
      <c r="AI34" s="357">
        <f t="shared" si="13"/>
        <v>2.333333333</v>
      </c>
      <c r="AJ34" s="357">
        <f t="shared" si="14"/>
        <v>3.75</v>
      </c>
      <c r="AK34" s="357">
        <f t="shared" si="15"/>
        <v>2.416666667</v>
      </c>
      <c r="AL34" s="357">
        <f>MAX('Турнирная таблица по Алфавиту'!T36:CA36)</f>
        <v>19</v>
      </c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</row>
    <row r="35">
      <c r="A35" s="369" t="s">
        <v>109</v>
      </c>
      <c r="B35" s="370">
        <f t="shared" si="1"/>
        <v>0</v>
      </c>
      <c r="C35" s="371">
        <f>'Турнирная таблица по Алфавиту'!E37</f>
        <v>0</v>
      </c>
      <c r="D35" s="372" t="str">
        <f>'Турнирная таблица по Алфавиту'!F37</f>
        <v/>
      </c>
      <c r="E35" s="373">
        <f>COUNTIFS('Все игры'!A$3:A1000,A35,'Все игры'!F$3:F1000,"=1")</f>
        <v>0</v>
      </c>
      <c r="F35" s="373">
        <f>COUNTIFS('Все игры'!A$3:A1000,A35,'Все игры'!F$3:F1000,"=0,50")</f>
        <v>0</v>
      </c>
      <c r="G35" s="373">
        <f>COUNTIFS('Все игры'!A$3:A1000,A35,'Все игры'!G$3:G1000,"&gt;0")</f>
        <v>0</v>
      </c>
      <c r="H35" s="374">
        <f t="shared" si="2"/>
        <v>0</v>
      </c>
      <c r="I35" s="375">
        <f>COUNTIFS('Все игры'!A$3:A1000,A35,'Все игры'!E$3:E1000,"У/Победа")</f>
        <v>0</v>
      </c>
      <c r="J35" s="375">
        <f>COUNTIFS('Все игры'!A$3:A1000,A35,'Все игры'!E$3:E1000,"У/Проигрыш")</f>
        <v>0</v>
      </c>
      <c r="K35" s="376">
        <f t="shared" si="3"/>
        <v>0</v>
      </c>
      <c r="L35" s="370">
        <f t="shared" si="4"/>
        <v>0</v>
      </c>
      <c r="M35" s="370">
        <f>COUNTIFS('Все игры'!A$3:A1000,A35,'Все игры'!C$3:C1000,"&gt;0",'Все игры'!B$3:B1000,"Мафия")</f>
        <v>0</v>
      </c>
      <c r="N35" s="370">
        <f>IFERROR(__xludf.DUMMYFUNCTION("COUNTBLANK(FILTER('Все игры'!A$3:C1000,'Все игры'!A$3:A1000=A35,'Все игры'!C$3:C1000 &lt; 1,'Все игры'!B$3:B1000=""Мафия""))"),0.0)</f>
        <v>0</v>
      </c>
      <c r="O35" s="370">
        <f>COUNTIFS('Все игры'!A$3:A1000,A35,'Все игры'!C$3:C1000,"&gt;0",'Все игры'!B$3:B1000,"Шериф")</f>
        <v>0</v>
      </c>
      <c r="P35" s="377">
        <f>IFERROR(__xludf.DUMMYFUNCTION("COUNTBLANK(FILTER('Все игры'!A$3:C1000,'Все игры'!A$3:A1000=A35,'Все игры'!C$3:C1000 &lt; 1,'Все игры'!B$3:B1000=""Шериф""))"),0.0)</f>
        <v>0</v>
      </c>
      <c r="Q35" s="370">
        <f>COUNTIFS('Все игры'!A$3:A1000,A35,'Все игры'!C$3:C1000,"&gt;0",'Все игры'!B$3:B1000,"Дон")</f>
        <v>0</v>
      </c>
      <c r="R35" s="370">
        <f>IFERROR(__xludf.DUMMYFUNCTION("COUNTBLANK(FILTER('Все игры'!A$3:C1000,'Все игры'!A$3:A1000=A35,'Все игры'!C$3:C1000 &lt; 1,'Все игры'!B$3:B1000=""Дон""))"),0.0)</f>
        <v>0</v>
      </c>
      <c r="S35" s="370">
        <f>COUNTIFS('Все игры'!A$3:A1000,A35,'Все игры'!C$3:C1000,"&gt;0",'Все игры'!B$3:B1000,"Мирный")</f>
        <v>0</v>
      </c>
      <c r="T35" s="378">
        <f>IFERROR(__xludf.DUMMYFUNCTION("COUNTBLANK(FILTER('Все игры'!A$3:C1000,'Все игры'!A$3:A1000=A35,'Все игры'!C$3:C1000 &lt; 1,'Все игры'!B$3:B1000=""Мирный""))"),0.0)</f>
        <v>0</v>
      </c>
      <c r="U35" s="379">
        <f t="shared" si="16"/>
        <v>0</v>
      </c>
      <c r="V35" s="380">
        <f t="shared" si="5"/>
        <v>0</v>
      </c>
      <c r="W35" s="380">
        <f t="shared" si="6"/>
        <v>0</v>
      </c>
      <c r="X35" s="380">
        <f t="shared" si="7"/>
        <v>0</v>
      </c>
      <c r="Y35" s="380">
        <f t="shared" si="8"/>
        <v>0</v>
      </c>
      <c r="Z35" s="380">
        <f t="shared" si="9"/>
        <v>0</v>
      </c>
      <c r="AA35" s="381">
        <f t="shared" si="10"/>
        <v>0</v>
      </c>
      <c r="AB35" s="371">
        <f>SUMIFS('Все игры'!D$3:D1000,'Все игры'!A$3:A1000,A35)</f>
        <v>0</v>
      </c>
      <c r="AC35" s="371">
        <f>SUMIFS('Все игры'!D$3:D1000,'Все игры'!A$3:A1000,A35,'Все игры'!B$3:B1000,"Мафия")</f>
        <v>0</v>
      </c>
      <c r="AD35" s="382">
        <f>SUMIFS('Все игры'!D$3:D1000,'Все игры'!A$3:A1000,A35,'Все игры'!B$3:B1000,"Шериф")</f>
        <v>0</v>
      </c>
      <c r="AE35" s="371">
        <f>SUMIFS('Все игры'!D$3:D1000,'Все игры'!A$3:A1000,A35,'Все игры'!B$3:B1000,"Дон")</f>
        <v>0</v>
      </c>
      <c r="AF35" s="372">
        <f>SUMIFS('Все игры'!D$3:D1000,'Все игры'!A$3:A1000,A35,'Все игры'!B$3:B1000,"Мирный")</f>
        <v>0</v>
      </c>
      <c r="AG35" s="371">
        <f t="shared" si="11"/>
        <v>0</v>
      </c>
      <c r="AH35" s="371">
        <f t="shared" si="12"/>
        <v>0</v>
      </c>
      <c r="AI35" s="371">
        <f t="shared" si="13"/>
        <v>0</v>
      </c>
      <c r="AJ35" s="371">
        <f t="shared" si="14"/>
        <v>0</v>
      </c>
      <c r="AK35" s="371">
        <f t="shared" si="15"/>
        <v>0</v>
      </c>
      <c r="AL35" s="357">
        <f>MAX('Турнирная таблица по Алфавиту'!T37:CA37)</f>
        <v>0</v>
      </c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</row>
    <row r="36">
      <c r="A36" s="355" t="s">
        <v>110</v>
      </c>
      <c r="B36" s="356">
        <f t="shared" si="1"/>
        <v>15</v>
      </c>
      <c r="C36" s="357">
        <f>'Турнирная таблица по Алфавиту'!E38</f>
        <v>61</v>
      </c>
      <c r="D36" s="358">
        <f>'Турнирная таблица по Алфавиту'!F38</f>
        <v>20.33333333</v>
      </c>
      <c r="E36" s="359">
        <f>COUNTIFS('Все игры'!A$3:A1000,A36,'Все игры'!F$3:F1000,"=1")</f>
        <v>0</v>
      </c>
      <c r="F36" s="359">
        <f>COUNTIFS('Все игры'!A$3:A1000,A36,'Все игры'!F$3:F1000,"=0,50")</f>
        <v>1</v>
      </c>
      <c r="G36" s="359">
        <f>COUNTIFS('Все игры'!A$3:A1000,A36,'Все игры'!G$3:G1000,"&gt;0")</f>
        <v>2</v>
      </c>
      <c r="H36" s="360">
        <f t="shared" si="2"/>
        <v>0.1818181818</v>
      </c>
      <c r="I36" s="361">
        <f>COUNTIFS('Все игры'!A$3:A1000,A36,'Все игры'!E$3:E1000,"У/Победа")</f>
        <v>2</v>
      </c>
      <c r="J36" s="361">
        <f>COUNTIFS('Все игры'!A$3:A1000,A36,'Все игры'!E$3:E1000,"У/Проигрыш")</f>
        <v>0</v>
      </c>
      <c r="K36" s="362">
        <f t="shared" si="3"/>
        <v>11</v>
      </c>
      <c r="L36" s="356">
        <f t="shared" si="4"/>
        <v>4</v>
      </c>
      <c r="M36" s="356">
        <f>COUNTIFS('Все игры'!A$3:A1000,A36,'Все игры'!C$3:C1000,"&gt;0",'Все игры'!B$3:B1000,"Мафия")</f>
        <v>2</v>
      </c>
      <c r="N36" s="356">
        <f>IFERROR(__xludf.DUMMYFUNCTION("COUNTBLANK(FILTER('Все игры'!A$3:C1000,'Все игры'!A$3:A1000=A36,'Все игры'!C$3:C1000 &lt; 1,'Все игры'!B$3:B1000=""Мафия""))"),2.0)</f>
        <v>2</v>
      </c>
      <c r="O36" s="356">
        <f>COUNTIFS('Все игры'!A$3:A1000,A36,'Все игры'!C$3:C1000,"&gt;0",'Все игры'!B$3:B1000,"Шериф")</f>
        <v>1</v>
      </c>
      <c r="P36" s="363">
        <f>IFERROR(__xludf.DUMMYFUNCTION("COUNTBLANK(FILTER('Все игры'!A$3:C1000,'Все игры'!A$3:A1000=A36,'Все игры'!C$3:C1000 &lt; 1,'Все игры'!B$3:B1000=""Шериф""))"),1.0)</f>
        <v>1</v>
      </c>
      <c r="Q36" s="356">
        <f>COUNTIFS('Все игры'!A$3:A1000,A36,'Все игры'!C$3:C1000,"&gt;0",'Все игры'!B$3:B1000,"Дон")</f>
        <v>0</v>
      </c>
      <c r="R36" s="356">
        <f>IFERROR(__xludf.DUMMYFUNCTION("COUNTBLANK(FILTER('Все игры'!A$3:C1000,'Все игры'!A$3:A1000=A36,'Все игры'!C$3:C1000 &lt; 1,'Все игры'!B$3:B1000=""Дон""))"),0.0)</f>
        <v>0</v>
      </c>
      <c r="S36" s="356">
        <f>COUNTIFS('Все игры'!A$3:A1000,A36,'Все игры'!C$3:C1000,"&gt;0",'Все игры'!B$3:B1000,"Мирный")</f>
        <v>5</v>
      </c>
      <c r="T36" s="364">
        <f>IFERROR(__xludf.DUMMYFUNCTION("COUNTBLANK(FILTER('Все игры'!A$3:C1000,'Все игры'!A$3:A1000=A36,'Все игры'!C$3:C1000 &lt; 1,'Все игры'!B$3:B1000=""Мирный""))"),4.0)</f>
        <v>4</v>
      </c>
      <c r="U36" s="365">
        <f t="shared" si="16"/>
        <v>0.5333333333</v>
      </c>
      <c r="V36" s="366">
        <f t="shared" si="5"/>
        <v>0.5454545455</v>
      </c>
      <c r="W36" s="366">
        <f t="shared" si="6"/>
        <v>0.5</v>
      </c>
      <c r="X36" s="366">
        <f t="shared" si="7"/>
        <v>0.5</v>
      </c>
      <c r="Y36" s="366">
        <f t="shared" si="8"/>
        <v>0.5</v>
      </c>
      <c r="Z36" s="366">
        <f t="shared" si="9"/>
        <v>0</v>
      </c>
      <c r="AA36" s="367">
        <f t="shared" si="10"/>
        <v>0.5555555556</v>
      </c>
      <c r="AB36" s="357">
        <f>SUMIFS('Все игры'!D$3:D1000,'Все игры'!A$3:A1000,A36)</f>
        <v>39</v>
      </c>
      <c r="AC36" s="357">
        <f>SUMIFS('Все игры'!D$3:D1000,'Все игры'!A$3:A1000,A36,'Все игры'!B$3:B1000,"Мафия")</f>
        <v>11.75</v>
      </c>
      <c r="AD36" s="368">
        <f>SUMIFS('Все игры'!D$3:D1000,'Все игры'!A$3:A1000,A36,'Все игры'!B$3:B1000,"Шериф")</f>
        <v>5.5</v>
      </c>
      <c r="AE36" s="357">
        <f>SUMIFS('Все игры'!D$3:D1000,'Все игры'!A$3:A1000,A36,'Все игры'!B$3:B1000,"Дон")</f>
        <v>0</v>
      </c>
      <c r="AF36" s="358">
        <f>SUMIFS('Все игры'!D$3:D1000,'Все игры'!A$3:A1000,A36,'Все игры'!B$3:B1000,"Мирный")</f>
        <v>21.75</v>
      </c>
      <c r="AG36" s="357">
        <f t="shared" si="11"/>
        <v>2.6</v>
      </c>
      <c r="AH36" s="357">
        <f t="shared" si="12"/>
        <v>2.9375</v>
      </c>
      <c r="AI36" s="357">
        <f t="shared" si="13"/>
        <v>2.75</v>
      </c>
      <c r="AJ36" s="357">
        <f t="shared" si="14"/>
        <v>0</v>
      </c>
      <c r="AK36" s="357">
        <f t="shared" si="15"/>
        <v>2.416666667</v>
      </c>
      <c r="AL36" s="357">
        <f>MAX('Турнирная таблица по Алфавиту'!T38:CA38)</f>
        <v>25.25</v>
      </c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</row>
    <row r="37">
      <c r="A37" s="369" t="s">
        <v>111</v>
      </c>
      <c r="B37" s="370">
        <f t="shared" si="1"/>
        <v>15</v>
      </c>
      <c r="C37" s="371">
        <f>'Турнирная таблица по Алфавиту'!E39</f>
        <v>57.25</v>
      </c>
      <c r="D37" s="372">
        <f>'Турнирная таблица по Алфавиту'!F39</f>
        <v>19.08333333</v>
      </c>
      <c r="E37" s="373">
        <f>COUNTIFS('Все игры'!A$3:A1000,A37,'Все игры'!F$3:F1000,"=1")</f>
        <v>0</v>
      </c>
      <c r="F37" s="373">
        <f>COUNTIFS('Все игры'!A$3:A1000,A37,'Все игры'!F$3:F1000,"=0,50")</f>
        <v>0</v>
      </c>
      <c r="G37" s="373">
        <f>COUNTIFS('Все игры'!A$3:A1000,A37,'Все игры'!G$3:G1000,"&gt;0")</f>
        <v>1</v>
      </c>
      <c r="H37" s="374">
        <f t="shared" si="2"/>
        <v>0.125</v>
      </c>
      <c r="I37" s="375">
        <f>COUNTIFS('Все игры'!A$3:A1000,A37,'Все игры'!E$3:E1000,"У/Победа")</f>
        <v>1</v>
      </c>
      <c r="J37" s="375">
        <f>COUNTIFS('Все игры'!A$3:A1000,A37,'Все игры'!E$3:E1000,"У/Проигрыш")</f>
        <v>0</v>
      </c>
      <c r="K37" s="376">
        <f t="shared" si="3"/>
        <v>8</v>
      </c>
      <c r="L37" s="370">
        <f t="shared" si="4"/>
        <v>7</v>
      </c>
      <c r="M37" s="370">
        <f>COUNTIFS('Все игры'!A$3:A1000,A37,'Все игры'!C$3:C1000,"&gt;0",'Все игры'!B$3:B1000,"Мафия")</f>
        <v>1</v>
      </c>
      <c r="N37" s="370">
        <f>IFERROR(__xludf.DUMMYFUNCTION("COUNTBLANK(FILTER('Все игры'!A$3:C1000,'Все игры'!A$3:A1000=A37,'Все игры'!C$3:C1000 &lt; 1,'Все игры'!B$3:B1000=""Мафия""))"),1.0)</f>
        <v>1</v>
      </c>
      <c r="O37" s="370">
        <f>COUNTIFS('Все игры'!A$3:A1000,A37,'Все игры'!C$3:C1000,"&gt;0",'Все игры'!B$3:B1000,"Шериф")</f>
        <v>0</v>
      </c>
      <c r="P37" s="377">
        <f>IFERROR(__xludf.DUMMYFUNCTION("COUNTBLANK(FILTER('Все игры'!A$3:C1000,'Все игры'!A$3:A1000=A37,'Все игры'!C$3:C1000 &lt; 1,'Все игры'!B$3:B1000=""Шериф""))"),0.0)</f>
        <v>0</v>
      </c>
      <c r="Q37" s="370">
        <f>COUNTIFS('Все игры'!A$3:A1000,A37,'Все игры'!C$3:C1000,"&gt;0",'Все игры'!B$3:B1000,"Дон")</f>
        <v>2</v>
      </c>
      <c r="R37" s="370">
        <f>IFERROR(__xludf.DUMMYFUNCTION("COUNTBLANK(FILTER('Все игры'!A$3:C1000,'Все игры'!A$3:A1000=A37,'Все игры'!C$3:C1000 &lt; 1,'Все игры'!B$3:B1000=""Дон""))"),3.0)</f>
        <v>3</v>
      </c>
      <c r="S37" s="370">
        <f>COUNTIFS('Все игры'!A$3:A1000,A37,'Все игры'!C$3:C1000,"&gt;0",'Все игры'!B$3:B1000,"Мирный")</f>
        <v>4</v>
      </c>
      <c r="T37" s="378">
        <f>IFERROR(__xludf.DUMMYFUNCTION("COUNTBLANK(FILTER('Все игры'!A$3:C1000,'Все игры'!A$3:A1000=A37,'Все игры'!C$3:C1000 &lt; 1,'Все игры'!B$3:B1000=""Мирный""))"),4.0)</f>
        <v>4</v>
      </c>
      <c r="U37" s="379">
        <f t="shared" si="16"/>
        <v>0.4666666667</v>
      </c>
      <c r="V37" s="380">
        <f t="shared" si="5"/>
        <v>0.5</v>
      </c>
      <c r="W37" s="380">
        <f t="shared" si="6"/>
        <v>0.4285714286</v>
      </c>
      <c r="X37" s="380">
        <f t="shared" si="7"/>
        <v>0.5</v>
      </c>
      <c r="Y37" s="380">
        <f t="shared" si="8"/>
        <v>0</v>
      </c>
      <c r="Z37" s="380">
        <f t="shared" si="9"/>
        <v>0.4</v>
      </c>
      <c r="AA37" s="381">
        <f t="shared" si="10"/>
        <v>0.5</v>
      </c>
      <c r="AB37" s="371">
        <f>SUMIFS('Все игры'!D$3:D1000,'Все игры'!A$3:A1000,A37)</f>
        <v>39.25</v>
      </c>
      <c r="AC37" s="371">
        <f>SUMIFS('Все игры'!D$3:D1000,'Все игры'!A$3:A1000,A37,'Все игры'!B$3:B1000,"Мафия")</f>
        <v>6</v>
      </c>
      <c r="AD37" s="382">
        <f>SUMIFS('Все игры'!D$3:D1000,'Все игры'!A$3:A1000,A37,'Все игры'!B$3:B1000,"Шериф")</f>
        <v>0</v>
      </c>
      <c r="AE37" s="371">
        <f>SUMIFS('Все игры'!D$3:D1000,'Все игры'!A$3:A1000,A37,'Все игры'!B$3:B1000,"Дон")</f>
        <v>12</v>
      </c>
      <c r="AF37" s="372">
        <f>SUMIFS('Все игры'!D$3:D1000,'Все игры'!A$3:A1000,A37,'Все игры'!B$3:B1000,"Мирный")</f>
        <v>21.25</v>
      </c>
      <c r="AG37" s="371">
        <f t="shared" si="11"/>
        <v>2.616666667</v>
      </c>
      <c r="AH37" s="371">
        <f t="shared" si="12"/>
        <v>3</v>
      </c>
      <c r="AI37" s="371">
        <f t="shared" si="13"/>
        <v>0</v>
      </c>
      <c r="AJ37" s="371">
        <f t="shared" si="14"/>
        <v>2.4</v>
      </c>
      <c r="AK37" s="371">
        <f t="shared" si="15"/>
        <v>2.65625</v>
      </c>
      <c r="AL37" s="357">
        <f>MAX('Турнирная таблица по Алфавиту'!T39:CA39)</f>
        <v>25.5</v>
      </c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</row>
    <row r="38">
      <c r="A38" s="369" t="s">
        <v>112</v>
      </c>
      <c r="B38" s="356">
        <f t="shared" si="1"/>
        <v>10</v>
      </c>
      <c r="C38" s="357">
        <f>'Турнирная таблица по Алфавиту'!E40</f>
        <v>35.25</v>
      </c>
      <c r="D38" s="358">
        <f>'Турнирная таблица по Алфавиту'!F40</f>
        <v>17.625</v>
      </c>
      <c r="E38" s="359">
        <f>COUNTIFS('Все игры'!A$3:A1000,A38,'Все игры'!F$3:F1000,"=1")</f>
        <v>0</v>
      </c>
      <c r="F38" s="359">
        <f>COUNTIFS('Все игры'!A$3:A1000,A38,'Все игры'!F$3:F1000,"=0,50")</f>
        <v>0</v>
      </c>
      <c r="G38" s="359">
        <f>COUNTIFS('Все игры'!A$3:A1000,A38,'Все игры'!G$3:G1000,"&gt;0")</f>
        <v>0</v>
      </c>
      <c r="H38" s="360">
        <f t="shared" si="2"/>
        <v>0</v>
      </c>
      <c r="I38" s="361">
        <f>COUNTIFS('Все игры'!A$3:A1000,A38,'Все игры'!E$3:E1000,"У/Победа")</f>
        <v>0</v>
      </c>
      <c r="J38" s="361">
        <f>COUNTIFS('Все игры'!A$3:A1000,A38,'Все игры'!E$3:E1000,"У/Проигрыш")</f>
        <v>0</v>
      </c>
      <c r="K38" s="362">
        <f t="shared" si="3"/>
        <v>6</v>
      </c>
      <c r="L38" s="356">
        <f t="shared" si="4"/>
        <v>4</v>
      </c>
      <c r="M38" s="356">
        <f>COUNTIFS('Все игры'!A$3:A1000,A38,'Все игры'!C$3:C1000,"&gt;0",'Все игры'!B$3:B1000,"Мафия")</f>
        <v>2</v>
      </c>
      <c r="N38" s="356">
        <f>IFERROR(__xludf.DUMMYFUNCTION("COUNTBLANK(FILTER('Все игры'!A$3:C1000,'Все игры'!A$3:A1000=A38,'Все игры'!C$3:C1000 &lt; 1,'Все игры'!B$3:B1000=""Мафия""))"),1.0)</f>
        <v>1</v>
      </c>
      <c r="O38" s="356">
        <f>COUNTIFS('Все игры'!A$3:A1000,A38,'Все игры'!C$3:C1000,"&gt;0",'Все игры'!B$3:B1000,"Шериф")</f>
        <v>0</v>
      </c>
      <c r="P38" s="363">
        <f>IFERROR(__xludf.DUMMYFUNCTION("COUNTBLANK(FILTER('Все игры'!A$3:C1000,'Все игры'!A$3:A1000=A38,'Все игры'!C$3:C1000 &lt; 1,'Все игры'!B$3:B1000=""Шериф""))"),2.0)</f>
        <v>2</v>
      </c>
      <c r="Q38" s="356">
        <f>COUNTIFS('Все игры'!A$3:A1000,A38,'Все игры'!C$3:C1000,"&gt;0",'Все игры'!B$3:B1000,"Дон")</f>
        <v>0</v>
      </c>
      <c r="R38" s="356">
        <f>IFERROR(__xludf.DUMMYFUNCTION("COUNTBLANK(FILTER('Все игры'!A$3:C1000,'Все игры'!A$3:A1000=A38,'Все игры'!C$3:C1000 &lt; 1,'Все игры'!B$3:B1000=""Дон""))"),1.0)</f>
        <v>1</v>
      </c>
      <c r="S38" s="356">
        <f>COUNTIFS('Все игры'!A$3:A1000,A38,'Все игры'!C$3:C1000,"&gt;0",'Все игры'!B$3:B1000,"Мирный")</f>
        <v>2</v>
      </c>
      <c r="T38" s="364">
        <f>IFERROR(__xludf.DUMMYFUNCTION("COUNTBLANK(FILTER('Все игры'!A$3:C1000,'Все игры'!A$3:A1000=A38,'Все игры'!C$3:C1000 &lt; 1,'Все игры'!B$3:B1000=""Мирный""))"),2.0)</f>
        <v>2</v>
      </c>
      <c r="U38" s="365">
        <f t="shared" si="16"/>
        <v>0.4</v>
      </c>
      <c r="V38" s="366">
        <f t="shared" si="5"/>
        <v>0.3333333333</v>
      </c>
      <c r="W38" s="366">
        <f t="shared" si="6"/>
        <v>0.5</v>
      </c>
      <c r="X38" s="366">
        <f t="shared" si="7"/>
        <v>0.6666666667</v>
      </c>
      <c r="Y38" s="366">
        <f t="shared" si="8"/>
        <v>0</v>
      </c>
      <c r="Z38" s="366">
        <f t="shared" si="9"/>
        <v>0</v>
      </c>
      <c r="AA38" s="367">
        <f t="shared" si="10"/>
        <v>0.5</v>
      </c>
      <c r="AB38" s="357">
        <f>SUMIFS('Все игры'!D$3:D1000,'Все игры'!A$3:A1000,A38)</f>
        <v>25.25</v>
      </c>
      <c r="AC38" s="357">
        <f>SUMIFS('Все игры'!D$3:D1000,'Все игры'!A$3:A1000,A38,'Все игры'!B$3:B1000,"Мафия")</f>
        <v>7.75</v>
      </c>
      <c r="AD38" s="368">
        <f>SUMIFS('Все игры'!D$3:D1000,'Все игры'!A$3:A1000,A38,'Все игры'!B$3:B1000,"Шериф")</f>
        <v>4.25</v>
      </c>
      <c r="AE38" s="357">
        <f>SUMIFS('Все игры'!D$3:D1000,'Все игры'!A$3:A1000,A38,'Все игры'!B$3:B1000,"Дон")</f>
        <v>2</v>
      </c>
      <c r="AF38" s="358">
        <f>SUMIFS('Все игры'!D$3:D1000,'Все игры'!A$3:A1000,A38,'Все игры'!B$3:B1000,"Мирный")</f>
        <v>11.25</v>
      </c>
      <c r="AG38" s="357">
        <f t="shared" si="11"/>
        <v>2.525</v>
      </c>
      <c r="AH38" s="357">
        <f t="shared" si="12"/>
        <v>2.583333333</v>
      </c>
      <c r="AI38" s="357">
        <f t="shared" si="13"/>
        <v>2.125</v>
      </c>
      <c r="AJ38" s="357">
        <f t="shared" si="14"/>
        <v>2</v>
      </c>
      <c r="AK38" s="357">
        <f t="shared" si="15"/>
        <v>2.8125</v>
      </c>
      <c r="AL38" s="357">
        <f>MAX('Турнирная таблица по Алфавиту'!T40:CA40)</f>
        <v>17.75</v>
      </c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</row>
    <row r="39">
      <c r="A39" s="369" t="s">
        <v>113</v>
      </c>
      <c r="B39" s="370">
        <f t="shared" si="1"/>
        <v>0</v>
      </c>
      <c r="C39" s="371">
        <f>'Турнирная таблица по Алфавиту'!E41</f>
        <v>0</v>
      </c>
      <c r="D39" s="372" t="str">
        <f>'Турнирная таблица по Алфавиту'!F41</f>
        <v/>
      </c>
      <c r="E39" s="373">
        <f>COUNTIFS('Все игры'!A$3:A1000,A39,'Все игры'!F$3:F1000,"=1")</f>
        <v>0</v>
      </c>
      <c r="F39" s="373">
        <f>COUNTIFS('Все игры'!A$3:A1000,A39,'Все игры'!F$3:F1000,"=0,50")</f>
        <v>0</v>
      </c>
      <c r="G39" s="373">
        <f>COUNTIFS('Все игры'!A$3:A1000,A39,'Все игры'!G$3:G1000,"&gt;0")</f>
        <v>0</v>
      </c>
      <c r="H39" s="374">
        <f t="shared" si="2"/>
        <v>0</v>
      </c>
      <c r="I39" s="375">
        <f>COUNTIFS('Все игры'!A$3:A1000,A39,'Все игры'!E$3:E1000,"У/Победа")</f>
        <v>0</v>
      </c>
      <c r="J39" s="375">
        <f>COUNTIFS('Все игры'!A$3:A1000,A39,'Все игры'!E$3:E1000,"У/Проигрыш")</f>
        <v>0</v>
      </c>
      <c r="K39" s="376">
        <f t="shared" si="3"/>
        <v>0</v>
      </c>
      <c r="L39" s="370">
        <f t="shared" si="4"/>
        <v>0</v>
      </c>
      <c r="M39" s="370">
        <f>COUNTIFS('Все игры'!A$3:A1000,A39,'Все игры'!C$3:C1000,"&gt;0",'Все игры'!B$3:B1000,"Мафия")</f>
        <v>0</v>
      </c>
      <c r="N39" s="370">
        <f>IFERROR(__xludf.DUMMYFUNCTION("COUNTBLANK(FILTER('Все игры'!A$3:C1000,'Все игры'!A$3:A1000=A39,'Все игры'!C$3:C1000 &lt; 1,'Все игры'!B$3:B1000=""Мафия""))"),0.0)</f>
        <v>0</v>
      </c>
      <c r="O39" s="370">
        <f>COUNTIFS('Все игры'!A$3:A1000,A39,'Все игры'!C$3:C1000,"&gt;0",'Все игры'!B$3:B1000,"Шериф")</f>
        <v>0</v>
      </c>
      <c r="P39" s="377">
        <f>IFERROR(__xludf.DUMMYFUNCTION("COUNTBLANK(FILTER('Все игры'!A$3:C1000,'Все игры'!A$3:A1000=A39,'Все игры'!C$3:C1000 &lt; 1,'Все игры'!B$3:B1000=""Шериф""))"),0.0)</f>
        <v>0</v>
      </c>
      <c r="Q39" s="370">
        <f>COUNTIFS('Все игры'!A$3:A1000,A39,'Все игры'!C$3:C1000,"&gt;0",'Все игры'!B$3:B1000,"Дон")</f>
        <v>0</v>
      </c>
      <c r="R39" s="370">
        <f>IFERROR(__xludf.DUMMYFUNCTION("COUNTBLANK(FILTER('Все игры'!A$3:C1000,'Все игры'!A$3:A1000=A39,'Все игры'!C$3:C1000 &lt; 1,'Все игры'!B$3:B1000=""Дон""))"),0.0)</f>
        <v>0</v>
      </c>
      <c r="S39" s="370">
        <f>COUNTIFS('Все игры'!A$3:A1000,A39,'Все игры'!C$3:C1000,"&gt;0",'Все игры'!B$3:B1000,"Мирный")</f>
        <v>0</v>
      </c>
      <c r="T39" s="378">
        <f>IFERROR(__xludf.DUMMYFUNCTION("COUNTBLANK(FILTER('Все игры'!A$3:C1000,'Все игры'!A$3:A1000=A39,'Все игры'!C$3:C1000 &lt; 1,'Все игры'!B$3:B1000=""Мирный""))"),0.0)</f>
        <v>0</v>
      </c>
      <c r="U39" s="379">
        <f t="shared" si="16"/>
        <v>0</v>
      </c>
      <c r="V39" s="380">
        <f t="shared" si="5"/>
        <v>0</v>
      </c>
      <c r="W39" s="380">
        <f t="shared" si="6"/>
        <v>0</v>
      </c>
      <c r="X39" s="380">
        <f t="shared" si="7"/>
        <v>0</v>
      </c>
      <c r="Y39" s="380">
        <f t="shared" si="8"/>
        <v>0</v>
      </c>
      <c r="Z39" s="380">
        <f t="shared" si="9"/>
        <v>0</v>
      </c>
      <c r="AA39" s="381">
        <f t="shared" si="10"/>
        <v>0</v>
      </c>
      <c r="AB39" s="371">
        <f>SUMIFS('Все игры'!D$3:D1000,'Все игры'!A$3:A1000,A39)</f>
        <v>0</v>
      </c>
      <c r="AC39" s="371">
        <f>SUMIFS('Все игры'!D$3:D1000,'Все игры'!A$3:A1000,A39,'Все игры'!B$3:B1000,"Мафия")</f>
        <v>0</v>
      </c>
      <c r="AD39" s="382">
        <f>SUMIFS('Все игры'!D$3:D1000,'Все игры'!A$3:A1000,A39,'Все игры'!B$3:B1000,"Шериф")</f>
        <v>0</v>
      </c>
      <c r="AE39" s="371">
        <f>SUMIFS('Все игры'!D$3:D1000,'Все игры'!A$3:A1000,A39,'Все игры'!B$3:B1000,"Дон")</f>
        <v>0</v>
      </c>
      <c r="AF39" s="372">
        <f>SUMIFS('Все игры'!D$3:D1000,'Все игры'!A$3:A1000,A39,'Все игры'!B$3:B1000,"Мирный")</f>
        <v>0</v>
      </c>
      <c r="AG39" s="371">
        <f t="shared" si="11"/>
        <v>0</v>
      </c>
      <c r="AH39" s="371">
        <f t="shared" si="12"/>
        <v>0</v>
      </c>
      <c r="AI39" s="371">
        <f t="shared" si="13"/>
        <v>0</v>
      </c>
      <c r="AJ39" s="371">
        <f t="shared" si="14"/>
        <v>0</v>
      </c>
      <c r="AK39" s="371">
        <f t="shared" si="15"/>
        <v>0</v>
      </c>
      <c r="AL39" s="357">
        <f>MAX('Турнирная таблица по Алфавиту'!T41:CA41)</f>
        <v>0</v>
      </c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</row>
    <row r="40">
      <c r="A40" s="383" t="s">
        <v>114</v>
      </c>
      <c r="B40" s="356">
        <f t="shared" si="1"/>
        <v>0</v>
      </c>
      <c r="C40" s="357">
        <f>'Турнирная таблица по Алфавиту'!E42</f>
        <v>0</v>
      </c>
      <c r="D40" s="358" t="str">
        <f>'Турнирная таблица по Алфавиту'!F42</f>
        <v/>
      </c>
      <c r="E40" s="359">
        <f>COUNTIFS('Все игры'!A$3:A1000,A40,'Все игры'!F$3:F1000,"=1")</f>
        <v>0</v>
      </c>
      <c r="F40" s="359">
        <f>COUNTIFS('Все игры'!A$3:A1000,A40,'Все игры'!F$3:F1000,"=0,50")</f>
        <v>0</v>
      </c>
      <c r="G40" s="359">
        <f>COUNTIFS('Все игры'!A$3:A1000,A40,'Все игры'!G$3:G1000,"&gt;0")</f>
        <v>0</v>
      </c>
      <c r="H40" s="360">
        <f t="shared" si="2"/>
        <v>0</v>
      </c>
      <c r="I40" s="361">
        <f>COUNTIFS('Все игры'!A$3:A1000,A40,'Все игры'!E$3:E1000,"У/Победа")</f>
        <v>0</v>
      </c>
      <c r="J40" s="361">
        <f>COUNTIFS('Все игры'!A$3:A1000,A40,'Все игры'!E$3:E1000,"У/Проигрыш")</f>
        <v>0</v>
      </c>
      <c r="K40" s="362">
        <f t="shared" si="3"/>
        <v>0</v>
      </c>
      <c r="L40" s="356">
        <f t="shared" si="4"/>
        <v>0</v>
      </c>
      <c r="M40" s="356">
        <f>COUNTIFS('Все игры'!A$3:A1000,A40,'Все игры'!C$3:C1000,"&gt;0",'Все игры'!B$3:B1000,"Мафия")</f>
        <v>0</v>
      </c>
      <c r="N40" s="356">
        <f>IFERROR(__xludf.DUMMYFUNCTION("COUNTBLANK(FILTER('Все игры'!A$3:C1000,'Все игры'!A$3:A1000=A40,'Все игры'!C$3:C1000 &lt; 1,'Все игры'!B$3:B1000=""Мафия""))"),0.0)</f>
        <v>0</v>
      </c>
      <c r="O40" s="356">
        <f>COUNTIFS('Все игры'!A$3:A1000,A40,'Все игры'!C$3:C1000,"&gt;0",'Все игры'!B$3:B1000,"Шериф")</f>
        <v>0</v>
      </c>
      <c r="P40" s="363">
        <f>IFERROR(__xludf.DUMMYFUNCTION("COUNTBLANK(FILTER('Все игры'!A$3:C1000,'Все игры'!A$3:A1000=A40,'Все игры'!C$3:C1000 &lt; 1,'Все игры'!B$3:B1000=""Шериф""))"),0.0)</f>
        <v>0</v>
      </c>
      <c r="Q40" s="356">
        <f>COUNTIFS('Все игры'!A$3:A1000,A40,'Все игры'!C$3:C1000,"&gt;0",'Все игры'!B$3:B1000,"Дон")</f>
        <v>0</v>
      </c>
      <c r="R40" s="356">
        <f>IFERROR(__xludf.DUMMYFUNCTION("COUNTBLANK(FILTER('Все игры'!A$3:C1000,'Все игры'!A$3:A1000=A40,'Все игры'!C$3:C1000 &lt; 1,'Все игры'!B$3:B1000=""Дон""))"),0.0)</f>
        <v>0</v>
      </c>
      <c r="S40" s="356">
        <f>COUNTIFS('Все игры'!A$3:A1000,A40,'Все игры'!C$3:C1000,"&gt;0",'Все игры'!B$3:B1000,"Мирный")</f>
        <v>0</v>
      </c>
      <c r="T40" s="364">
        <f>IFERROR(__xludf.DUMMYFUNCTION("COUNTBLANK(FILTER('Все игры'!A$3:C1000,'Все игры'!A$3:A1000=A40,'Все игры'!C$3:C1000 &lt; 1,'Все игры'!B$3:B1000=""Мирный""))"),0.0)</f>
        <v>0</v>
      </c>
      <c r="U40" s="365">
        <f t="shared" si="16"/>
        <v>0</v>
      </c>
      <c r="V40" s="366">
        <f t="shared" si="5"/>
        <v>0</v>
      </c>
      <c r="W40" s="366">
        <f t="shared" si="6"/>
        <v>0</v>
      </c>
      <c r="X40" s="366">
        <f t="shared" si="7"/>
        <v>0</v>
      </c>
      <c r="Y40" s="366">
        <f t="shared" si="8"/>
        <v>0</v>
      </c>
      <c r="Z40" s="366">
        <f t="shared" si="9"/>
        <v>0</v>
      </c>
      <c r="AA40" s="367">
        <f t="shared" si="10"/>
        <v>0</v>
      </c>
      <c r="AB40" s="357">
        <f>SUMIFS('Все игры'!D$3:D1000,'Все игры'!A$3:A1000,A40)</f>
        <v>0</v>
      </c>
      <c r="AC40" s="357">
        <f>SUMIFS('Все игры'!D$3:D1000,'Все игры'!A$3:A1000,A40,'Все игры'!B$3:B1000,"Мафия")</f>
        <v>0</v>
      </c>
      <c r="AD40" s="368">
        <f>SUMIFS('Все игры'!D$3:D1000,'Все игры'!A$3:A1000,A40,'Все игры'!B$3:B1000,"Шериф")</f>
        <v>0</v>
      </c>
      <c r="AE40" s="357">
        <f>SUMIFS('Все игры'!D$3:D1000,'Все игры'!A$3:A1000,A40,'Все игры'!B$3:B1000,"Дон")</f>
        <v>0</v>
      </c>
      <c r="AF40" s="358">
        <f>SUMIFS('Все игры'!D$3:D1000,'Все игры'!A$3:A1000,A40,'Все игры'!B$3:B1000,"Мирный")</f>
        <v>0</v>
      </c>
      <c r="AG40" s="357">
        <f t="shared" si="11"/>
        <v>0</v>
      </c>
      <c r="AH40" s="357">
        <f t="shared" si="12"/>
        <v>0</v>
      </c>
      <c r="AI40" s="357">
        <f t="shared" si="13"/>
        <v>0</v>
      </c>
      <c r="AJ40" s="357">
        <f t="shared" si="14"/>
        <v>0</v>
      </c>
      <c r="AK40" s="357">
        <f t="shared" si="15"/>
        <v>0</v>
      </c>
      <c r="AL40" s="357">
        <f>MAX('Турнирная таблица по Алфавиту'!T42:CA42)</f>
        <v>0</v>
      </c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</row>
    <row r="41">
      <c r="A41" s="369" t="s">
        <v>115</v>
      </c>
      <c r="B41" s="370">
        <f t="shared" si="1"/>
        <v>0</v>
      </c>
      <c r="C41" s="371">
        <f>'Турнирная таблица по Алфавиту'!E43</f>
        <v>0</v>
      </c>
      <c r="D41" s="372" t="str">
        <f>'Турнирная таблица по Алфавиту'!F43</f>
        <v/>
      </c>
      <c r="E41" s="373">
        <f>COUNTIFS('Все игры'!A$3:A1000,A41,'Все игры'!F$3:F1000,"=1")</f>
        <v>0</v>
      </c>
      <c r="F41" s="373">
        <f>COUNTIFS('Все игры'!A$3:A1000,A41,'Все игры'!F$3:F1000,"=0,50")</f>
        <v>0</v>
      </c>
      <c r="G41" s="373">
        <f>COUNTIFS('Все игры'!A$3:A1000,A41,'Все игры'!G$3:G1000,"&gt;0")</f>
        <v>0</v>
      </c>
      <c r="H41" s="374">
        <f t="shared" si="2"/>
        <v>0</v>
      </c>
      <c r="I41" s="375">
        <f>COUNTIFS('Все игры'!A$3:A1000,A41,'Все игры'!E$3:E1000,"У/Победа")</f>
        <v>0</v>
      </c>
      <c r="J41" s="375">
        <f>COUNTIFS('Все игры'!A$3:A1000,A41,'Все игры'!E$3:E1000,"У/Проигрыш")</f>
        <v>0</v>
      </c>
      <c r="K41" s="376">
        <f t="shared" si="3"/>
        <v>0</v>
      </c>
      <c r="L41" s="370">
        <f t="shared" si="4"/>
        <v>0</v>
      </c>
      <c r="M41" s="370">
        <f>COUNTIFS('Все игры'!A$3:A1000,A41,'Все игры'!C$3:C1000,"&gt;0",'Все игры'!B$3:B1000,"Мафия")</f>
        <v>0</v>
      </c>
      <c r="N41" s="370">
        <f>IFERROR(__xludf.DUMMYFUNCTION("COUNTBLANK(FILTER('Все игры'!A$3:C1000,'Все игры'!A$3:A1000=A41,'Все игры'!C$3:C1000 &lt; 1,'Все игры'!B$3:B1000=""Мафия""))"),0.0)</f>
        <v>0</v>
      </c>
      <c r="O41" s="370">
        <f>COUNTIFS('Все игры'!A$3:A1000,A41,'Все игры'!C$3:C1000,"&gt;0",'Все игры'!B$3:B1000,"Шериф")</f>
        <v>0</v>
      </c>
      <c r="P41" s="377">
        <f>IFERROR(__xludf.DUMMYFUNCTION("COUNTBLANK(FILTER('Все игры'!A$3:C1000,'Все игры'!A$3:A1000=A41,'Все игры'!C$3:C1000 &lt; 1,'Все игры'!B$3:B1000=""Шериф""))"),0.0)</f>
        <v>0</v>
      </c>
      <c r="Q41" s="370">
        <f>COUNTIFS('Все игры'!A$3:A1000,A41,'Все игры'!C$3:C1000,"&gt;0",'Все игры'!B$3:B1000,"Дон")</f>
        <v>0</v>
      </c>
      <c r="R41" s="370">
        <f>IFERROR(__xludf.DUMMYFUNCTION("COUNTBLANK(FILTER('Все игры'!A$3:C1000,'Все игры'!A$3:A1000=A41,'Все игры'!C$3:C1000 &lt; 1,'Все игры'!B$3:B1000=""Дон""))"),0.0)</f>
        <v>0</v>
      </c>
      <c r="S41" s="370">
        <f>COUNTIFS('Все игры'!A$3:A1000,A41,'Все игры'!C$3:C1000,"&gt;0",'Все игры'!B$3:B1000,"Мирный")</f>
        <v>0</v>
      </c>
      <c r="T41" s="378">
        <f>IFERROR(__xludf.DUMMYFUNCTION("COUNTBLANK(FILTER('Все игры'!A$3:C1000,'Все игры'!A$3:A1000=A41,'Все игры'!C$3:C1000 &lt; 1,'Все игры'!B$3:B1000=""Мирный""))"),0.0)</f>
        <v>0</v>
      </c>
      <c r="U41" s="379">
        <f t="shared" si="16"/>
        <v>0</v>
      </c>
      <c r="V41" s="380">
        <f t="shared" si="5"/>
        <v>0</v>
      </c>
      <c r="W41" s="380">
        <f t="shared" si="6"/>
        <v>0</v>
      </c>
      <c r="X41" s="380">
        <f t="shared" si="7"/>
        <v>0</v>
      </c>
      <c r="Y41" s="380">
        <f t="shared" si="8"/>
        <v>0</v>
      </c>
      <c r="Z41" s="380">
        <f t="shared" si="9"/>
        <v>0</v>
      </c>
      <c r="AA41" s="381">
        <f t="shared" si="10"/>
        <v>0</v>
      </c>
      <c r="AB41" s="371">
        <f>SUMIFS('Все игры'!D$3:D1000,'Все игры'!A$3:A1000,A41)</f>
        <v>0</v>
      </c>
      <c r="AC41" s="371">
        <f>SUMIFS('Все игры'!D$3:D1000,'Все игры'!A$3:A1000,A41,'Все игры'!B$3:B1000,"Мафия")</f>
        <v>0</v>
      </c>
      <c r="AD41" s="382">
        <f>SUMIFS('Все игры'!D$3:D1000,'Все игры'!A$3:A1000,A41,'Все игры'!B$3:B1000,"Шериф")</f>
        <v>0</v>
      </c>
      <c r="AE41" s="371">
        <f>SUMIFS('Все игры'!D$3:D1000,'Все игры'!A$3:A1000,A41,'Все игры'!B$3:B1000,"Дон")</f>
        <v>0</v>
      </c>
      <c r="AF41" s="372">
        <f>SUMIFS('Все игры'!D$3:D1000,'Все игры'!A$3:A1000,A41,'Все игры'!B$3:B1000,"Мирный")</f>
        <v>0</v>
      </c>
      <c r="AG41" s="371">
        <f t="shared" si="11"/>
        <v>0</v>
      </c>
      <c r="AH41" s="371">
        <f t="shared" si="12"/>
        <v>0</v>
      </c>
      <c r="AI41" s="371">
        <f t="shared" si="13"/>
        <v>0</v>
      </c>
      <c r="AJ41" s="371">
        <f t="shared" si="14"/>
        <v>0</v>
      </c>
      <c r="AK41" s="371">
        <f t="shared" si="15"/>
        <v>0</v>
      </c>
      <c r="AL41" s="357">
        <f>MAX('Турнирная таблица по Алфавиту'!T43:CA43)</f>
        <v>0</v>
      </c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</row>
    <row r="42">
      <c r="A42" s="369" t="s">
        <v>116</v>
      </c>
      <c r="B42" s="356">
        <f t="shared" si="1"/>
        <v>20</v>
      </c>
      <c r="C42" s="357">
        <f>'Турнирная таблица по Алфавиту'!E44</f>
        <v>93.5</v>
      </c>
      <c r="D42" s="358">
        <f>'Турнирная таблица по Алфавиту'!F44</f>
        <v>23.375</v>
      </c>
      <c r="E42" s="359">
        <f>COUNTIFS('Все игры'!A$3:A1000,A42,'Все игры'!F$3:F1000,"=1")</f>
        <v>0</v>
      </c>
      <c r="F42" s="359">
        <f>COUNTIFS('Все игры'!A$3:A1000,A42,'Все игры'!F$3:F1000,"=0,50")</f>
        <v>1</v>
      </c>
      <c r="G42" s="359">
        <f>COUNTIFS('Все игры'!A$3:A1000,A42,'Все игры'!G$3:G1000,"&gt;0")</f>
        <v>1</v>
      </c>
      <c r="H42" s="360">
        <f t="shared" si="2"/>
        <v>0.08333333333</v>
      </c>
      <c r="I42" s="361">
        <f>COUNTIFS('Все игры'!A$3:A1000,A42,'Все игры'!E$3:E1000,"У/Победа")</f>
        <v>0</v>
      </c>
      <c r="J42" s="361">
        <f>COUNTIFS('Все игры'!A$3:A1000,A42,'Все игры'!E$3:E1000,"У/Проигрыш")</f>
        <v>3</v>
      </c>
      <c r="K42" s="362">
        <f t="shared" si="3"/>
        <v>12</v>
      </c>
      <c r="L42" s="356">
        <f t="shared" si="4"/>
        <v>8</v>
      </c>
      <c r="M42" s="356">
        <f>COUNTIFS('Все игры'!A$3:A1000,A42,'Все игры'!C$3:C1000,"&gt;0",'Все игры'!B$3:B1000,"Мафия")</f>
        <v>5</v>
      </c>
      <c r="N42" s="356">
        <f>IFERROR(__xludf.DUMMYFUNCTION("COUNTBLANK(FILTER('Все игры'!A$3:C1000,'Все игры'!A$3:A1000=A42,'Все игры'!C$3:C1000 &lt; 1,'Все игры'!B$3:B1000=""Мафия""))"),0.0)</f>
        <v>0</v>
      </c>
      <c r="O42" s="356">
        <f>COUNTIFS('Все игры'!A$3:A1000,A42,'Все игры'!C$3:C1000,"&gt;0",'Все игры'!B$3:B1000,"Шериф")</f>
        <v>0</v>
      </c>
      <c r="P42" s="363">
        <f>IFERROR(__xludf.DUMMYFUNCTION("COUNTBLANK(FILTER('Все игры'!A$3:C1000,'Все игры'!A$3:A1000=A42,'Все игры'!C$3:C1000 &lt; 1,'Все игры'!B$3:B1000=""Шериф""))"),1.0)</f>
        <v>1</v>
      </c>
      <c r="Q42" s="356">
        <f>COUNTIFS('Все игры'!A$3:A1000,A42,'Все игры'!C$3:C1000,"&gt;0",'Все игры'!B$3:B1000,"Дон")</f>
        <v>3</v>
      </c>
      <c r="R42" s="356">
        <f>IFERROR(__xludf.DUMMYFUNCTION("COUNTBLANK(FILTER('Все игры'!A$3:C1000,'Все игры'!A$3:A1000=A42,'Все игры'!C$3:C1000 &lt; 1,'Все игры'!B$3:B1000=""Дон""))"),0.0)</f>
        <v>0</v>
      </c>
      <c r="S42" s="356">
        <f>COUNTIFS('Все игры'!A$3:A1000,A42,'Все игры'!C$3:C1000,"&gt;0",'Все игры'!B$3:B1000,"Мирный")</f>
        <v>5</v>
      </c>
      <c r="T42" s="364">
        <f>IFERROR(__xludf.DUMMYFUNCTION("COUNTBLANK(FILTER('Все игры'!A$3:C1000,'Все игры'!A$3:A1000=A42,'Все игры'!C$3:C1000 &lt; 1,'Все игры'!B$3:B1000=""Мирный""))"),6.0)</f>
        <v>6</v>
      </c>
      <c r="U42" s="365">
        <f t="shared" si="16"/>
        <v>0.65</v>
      </c>
      <c r="V42" s="366">
        <f t="shared" si="5"/>
        <v>0.4166666667</v>
      </c>
      <c r="W42" s="366">
        <f t="shared" si="6"/>
        <v>1</v>
      </c>
      <c r="X42" s="366">
        <f t="shared" si="7"/>
        <v>1</v>
      </c>
      <c r="Y42" s="366">
        <f t="shared" si="8"/>
        <v>0</v>
      </c>
      <c r="Z42" s="366">
        <f t="shared" si="9"/>
        <v>1</v>
      </c>
      <c r="AA42" s="367">
        <f t="shared" si="10"/>
        <v>0.4545454545</v>
      </c>
      <c r="AB42" s="357">
        <f>SUMIFS('Все игры'!D$3:D1000,'Все игры'!A$3:A1000,A42)</f>
        <v>60</v>
      </c>
      <c r="AC42" s="357">
        <f>SUMIFS('Все игры'!D$3:D1000,'Все игры'!A$3:A1000,A42,'Все игры'!B$3:B1000,"Мафия")</f>
        <v>17.25</v>
      </c>
      <c r="AD42" s="368">
        <f>SUMIFS('Все игры'!D$3:D1000,'Все игры'!A$3:A1000,A42,'Все игры'!B$3:B1000,"Шериф")</f>
        <v>2.5</v>
      </c>
      <c r="AE42" s="357">
        <f>SUMIFS('Все игры'!D$3:D1000,'Все игры'!A$3:A1000,A42,'Все игры'!B$3:B1000,"Дон")</f>
        <v>9.25</v>
      </c>
      <c r="AF42" s="358">
        <f>SUMIFS('Все игры'!D$3:D1000,'Все игры'!A$3:A1000,A42,'Все игры'!B$3:B1000,"Мирный")</f>
        <v>31</v>
      </c>
      <c r="AG42" s="357">
        <f t="shared" si="11"/>
        <v>3</v>
      </c>
      <c r="AH42" s="357">
        <f t="shared" si="12"/>
        <v>3.45</v>
      </c>
      <c r="AI42" s="357">
        <f t="shared" si="13"/>
        <v>2.5</v>
      </c>
      <c r="AJ42" s="357">
        <f t="shared" si="14"/>
        <v>3.083333333</v>
      </c>
      <c r="AK42" s="357">
        <f t="shared" si="15"/>
        <v>2.818181818</v>
      </c>
      <c r="AL42" s="357">
        <f>MAX('Турнирная таблица по Алфавиту'!T44:CA44)</f>
        <v>29</v>
      </c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/>
      <c r="BI42" s="357"/>
      <c r="BJ42" s="357"/>
      <c r="BK42" s="357"/>
      <c r="BL42" s="357"/>
      <c r="BM42" s="357"/>
    </row>
    <row r="43">
      <c r="A43" s="369" t="s">
        <v>117</v>
      </c>
      <c r="B43" s="370">
        <f t="shared" si="1"/>
        <v>10</v>
      </c>
      <c r="C43" s="371">
        <f>'Турнирная таблица по Алфавиту'!E45</f>
        <v>35</v>
      </c>
      <c r="D43" s="372">
        <f>'Турнирная таблица по Алфавиту'!F45</f>
        <v>17.5</v>
      </c>
      <c r="E43" s="373">
        <f>COUNTIFS('Все игры'!A$3:A1000,A43,'Все игры'!F$3:F1000,"=1")</f>
        <v>0</v>
      </c>
      <c r="F43" s="373">
        <f>COUNTIFS('Все игры'!A$3:A1000,A43,'Все игры'!F$3:F1000,"=0,50")</f>
        <v>1</v>
      </c>
      <c r="G43" s="373">
        <f>COUNTIFS('Все игры'!A$3:A1000,A43,'Все игры'!G$3:G1000,"&gt;0")</f>
        <v>1</v>
      </c>
      <c r="H43" s="374">
        <f t="shared" si="2"/>
        <v>0.1</v>
      </c>
      <c r="I43" s="375">
        <f>COUNTIFS('Все игры'!A$3:A1000,A43,'Все игры'!E$3:E1000,"У/Победа")</f>
        <v>0</v>
      </c>
      <c r="J43" s="375">
        <f>COUNTIFS('Все игры'!A$3:A1000,A43,'Все игры'!E$3:E1000,"У/Проигрыш")</f>
        <v>1</v>
      </c>
      <c r="K43" s="376">
        <f t="shared" si="3"/>
        <v>10</v>
      </c>
      <c r="L43" s="370">
        <f t="shared" si="4"/>
        <v>0</v>
      </c>
      <c r="M43" s="370">
        <f>COUNTIFS('Все игры'!A$3:A1000,A43,'Все игры'!C$3:C1000,"&gt;0",'Все игры'!B$3:B1000,"Мафия")</f>
        <v>0</v>
      </c>
      <c r="N43" s="370">
        <f>IFERROR(__xludf.DUMMYFUNCTION("COUNTBLANK(FILTER('Все игры'!A$3:C1000,'Все игры'!A$3:A1000=A43,'Все игры'!C$3:C1000 &lt; 1,'Все игры'!B$3:B1000=""Мафия""))"),0.0)</f>
        <v>0</v>
      </c>
      <c r="O43" s="370">
        <f>COUNTIFS('Все игры'!A$3:A1000,A43,'Все игры'!C$3:C1000,"&gt;0",'Все игры'!B$3:B1000,"Шериф")</f>
        <v>0</v>
      </c>
      <c r="P43" s="377">
        <f>IFERROR(__xludf.DUMMYFUNCTION("COUNTBLANK(FILTER('Все игры'!A$3:C1000,'Все игры'!A$3:A1000=A43,'Все игры'!C$3:C1000 &lt; 1,'Все игры'!B$3:B1000=""Шериф""))"),0.0)</f>
        <v>0</v>
      </c>
      <c r="Q43" s="370">
        <f>COUNTIFS('Все игры'!A$3:A1000,A43,'Все игры'!C$3:C1000,"&gt;0",'Все игры'!B$3:B1000,"Дон")</f>
        <v>0</v>
      </c>
      <c r="R43" s="370">
        <f>IFERROR(__xludf.DUMMYFUNCTION("COUNTBLANK(FILTER('Все игры'!A$3:C1000,'Все игры'!A$3:A1000=A43,'Все игры'!C$3:C1000 &lt; 1,'Все игры'!B$3:B1000=""Дон""))"),0.0)</f>
        <v>0</v>
      </c>
      <c r="S43" s="370">
        <f>COUNTIFS('Все игры'!A$3:A1000,A43,'Все игры'!C$3:C1000,"&gt;0",'Все игры'!B$3:B1000,"Мирный")</f>
        <v>4</v>
      </c>
      <c r="T43" s="378">
        <f>IFERROR(__xludf.DUMMYFUNCTION("COUNTBLANK(FILTER('Все игры'!A$3:C1000,'Все игры'!A$3:A1000=A43,'Все игры'!C$3:C1000 &lt; 1,'Все игры'!B$3:B1000=""Мирный""))"),6.0)</f>
        <v>6</v>
      </c>
      <c r="U43" s="379">
        <f t="shared" si="16"/>
        <v>0.4</v>
      </c>
      <c r="V43" s="380">
        <f t="shared" si="5"/>
        <v>0.4</v>
      </c>
      <c r="W43" s="380">
        <f t="shared" si="6"/>
        <v>0</v>
      </c>
      <c r="X43" s="380">
        <f t="shared" si="7"/>
        <v>0</v>
      </c>
      <c r="Y43" s="380">
        <f t="shared" si="8"/>
        <v>0</v>
      </c>
      <c r="Z43" s="380">
        <f t="shared" si="9"/>
        <v>0</v>
      </c>
      <c r="AA43" s="381">
        <f t="shared" si="10"/>
        <v>0.4</v>
      </c>
      <c r="AB43" s="371">
        <f>SUMIFS('Все игры'!D$3:D1000,'Все игры'!A$3:A1000,A43)</f>
        <v>24</v>
      </c>
      <c r="AC43" s="371">
        <f>SUMIFS('Все игры'!D$3:D1000,'Все игры'!A$3:A1000,A43,'Все игры'!B$3:B1000,"Мафия")</f>
        <v>0</v>
      </c>
      <c r="AD43" s="382">
        <f>SUMIFS('Все игры'!D$3:D1000,'Все игры'!A$3:A1000,A43,'Все игры'!B$3:B1000,"Шериф")</f>
        <v>0</v>
      </c>
      <c r="AE43" s="371">
        <f>SUMIFS('Все игры'!D$3:D1000,'Все игры'!A$3:A1000,A43,'Все игры'!B$3:B1000,"Дон")</f>
        <v>0</v>
      </c>
      <c r="AF43" s="372">
        <f>SUMIFS('Все игры'!D$3:D1000,'Все игры'!A$3:A1000,A43,'Все игры'!B$3:B1000,"Мирный")</f>
        <v>24</v>
      </c>
      <c r="AG43" s="371">
        <f t="shared" si="11"/>
        <v>2.4</v>
      </c>
      <c r="AH43" s="371">
        <f t="shared" si="12"/>
        <v>0</v>
      </c>
      <c r="AI43" s="371">
        <f t="shared" si="13"/>
        <v>0</v>
      </c>
      <c r="AJ43" s="371">
        <f t="shared" si="14"/>
        <v>0</v>
      </c>
      <c r="AK43" s="371">
        <f t="shared" si="15"/>
        <v>2.4</v>
      </c>
      <c r="AL43" s="357">
        <f>MAX('Турнирная таблица по Алфавиту'!T45:CA45)</f>
        <v>20.5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</row>
    <row r="44">
      <c r="A44" s="355" t="s">
        <v>118</v>
      </c>
      <c r="B44" s="356">
        <f t="shared" si="1"/>
        <v>30</v>
      </c>
      <c r="C44" s="357">
        <f>'Турнирная таблица по Алфавиту'!E46</f>
        <v>114.75</v>
      </c>
      <c r="D44" s="358">
        <f>'Турнирная таблица по Алфавиту'!F46</f>
        <v>19.125</v>
      </c>
      <c r="E44" s="359">
        <f>COUNTIFS('Все игры'!A$3:A1000,A44,'Все игры'!F$3:F1000,"=1")</f>
        <v>0</v>
      </c>
      <c r="F44" s="359">
        <f>COUNTIFS('Все игры'!A$3:A1000,A44,'Все игры'!F$3:F1000,"=0,50")</f>
        <v>0</v>
      </c>
      <c r="G44" s="359">
        <f>COUNTIFS('Все игры'!A$3:A1000,A44,'Все игры'!G$3:G1000,"&gt;0")</f>
        <v>1</v>
      </c>
      <c r="H44" s="360">
        <f t="shared" si="2"/>
        <v>0.05555555556</v>
      </c>
      <c r="I44" s="361">
        <f>COUNTIFS('Все игры'!A$3:A1000,A44,'Все игры'!E$3:E1000,"У/Победа")</f>
        <v>1</v>
      </c>
      <c r="J44" s="361">
        <f>COUNTIFS('Все игры'!A$3:A1000,A44,'Все игры'!E$3:E1000,"У/Проигрыш")</f>
        <v>3</v>
      </c>
      <c r="K44" s="362">
        <f t="shared" si="3"/>
        <v>18</v>
      </c>
      <c r="L44" s="356">
        <f t="shared" si="4"/>
        <v>12</v>
      </c>
      <c r="M44" s="356">
        <f>COUNTIFS('Все игры'!A$3:A1000,A44,'Все игры'!C$3:C1000,"&gt;0",'Все игры'!B$3:B1000,"Мафия")</f>
        <v>4</v>
      </c>
      <c r="N44" s="356">
        <f>IFERROR(__xludf.DUMMYFUNCTION("COUNTBLANK(FILTER('Все игры'!A$3:C1000,'Все игры'!A$3:A1000=A44,'Все игры'!C$3:C1000 &lt; 1,'Все игры'!B$3:B1000=""Мафия""))"),6.0)</f>
        <v>6</v>
      </c>
      <c r="O44" s="356">
        <f>COUNTIFS('Все игры'!A$3:A1000,A44,'Все игры'!C$3:C1000,"&gt;0",'Все игры'!B$3:B1000,"Шериф")</f>
        <v>2</v>
      </c>
      <c r="P44" s="363">
        <f>IFERROR(__xludf.DUMMYFUNCTION("COUNTBLANK(FILTER('Все игры'!A$3:C1000,'Все игры'!A$3:A1000=A44,'Все игры'!C$3:C1000 &lt; 1,'Все игры'!B$3:B1000=""Шериф""))"),1.0)</f>
        <v>1</v>
      </c>
      <c r="Q44" s="356">
        <f>COUNTIFS('Все игры'!A$3:A1000,A44,'Все игры'!C$3:C1000,"&gt;0",'Все игры'!B$3:B1000,"Дон")</f>
        <v>1</v>
      </c>
      <c r="R44" s="356">
        <f>IFERROR(__xludf.DUMMYFUNCTION("COUNTBLANK(FILTER('Все игры'!A$3:C1000,'Все игры'!A$3:A1000=A44,'Все игры'!C$3:C1000 &lt; 1,'Все игры'!B$3:B1000=""Дон""))"),1.0)</f>
        <v>1</v>
      </c>
      <c r="S44" s="356">
        <f>COUNTIFS('Все игры'!A$3:A1000,A44,'Все игры'!C$3:C1000,"&gt;0",'Все игры'!B$3:B1000,"Мирный")</f>
        <v>7</v>
      </c>
      <c r="T44" s="364">
        <f>IFERROR(__xludf.DUMMYFUNCTION("COUNTBLANK(FILTER('Все игры'!A$3:C1000,'Все игры'!A$3:A1000=A44,'Все игры'!C$3:C1000 &lt; 1,'Все игры'!B$3:B1000=""Мирный""))"),8.0)</f>
        <v>8</v>
      </c>
      <c r="U44" s="365">
        <f t="shared" si="16"/>
        <v>0.4666666667</v>
      </c>
      <c r="V44" s="366">
        <f t="shared" si="5"/>
        <v>0.5</v>
      </c>
      <c r="W44" s="366">
        <f t="shared" si="6"/>
        <v>0.4166666667</v>
      </c>
      <c r="X44" s="366">
        <f t="shared" si="7"/>
        <v>0.4</v>
      </c>
      <c r="Y44" s="366">
        <f t="shared" si="8"/>
        <v>0.6666666667</v>
      </c>
      <c r="Z44" s="366">
        <f t="shared" si="9"/>
        <v>0.5</v>
      </c>
      <c r="AA44" s="367">
        <f t="shared" si="10"/>
        <v>0.4666666667</v>
      </c>
      <c r="AB44" s="357">
        <f>SUMIFS('Все игры'!D$3:D1000,'Все игры'!A$3:A1000,A44)</f>
        <v>79.25</v>
      </c>
      <c r="AC44" s="357">
        <f>SUMIFS('Все игры'!D$3:D1000,'Все игры'!A$3:A1000,A44,'Все игры'!B$3:B1000,"Мафия")</f>
        <v>25.5</v>
      </c>
      <c r="AD44" s="368">
        <f>SUMIFS('Все игры'!D$3:D1000,'Все игры'!A$3:A1000,A44,'Все игры'!B$3:B1000,"Шериф")</f>
        <v>9.25</v>
      </c>
      <c r="AE44" s="357">
        <f>SUMIFS('Все игры'!D$3:D1000,'Все игры'!A$3:A1000,A44,'Все игры'!B$3:B1000,"Дон")</f>
        <v>4.5</v>
      </c>
      <c r="AF44" s="358">
        <f>SUMIFS('Все игры'!D$3:D1000,'Все игры'!A$3:A1000,A44,'Все игры'!B$3:B1000,"Мирный")</f>
        <v>40</v>
      </c>
      <c r="AG44" s="357">
        <f t="shared" si="11"/>
        <v>2.641666667</v>
      </c>
      <c r="AH44" s="357">
        <f t="shared" si="12"/>
        <v>2.55</v>
      </c>
      <c r="AI44" s="357">
        <f t="shared" si="13"/>
        <v>3.083333333</v>
      </c>
      <c r="AJ44" s="357">
        <f t="shared" si="14"/>
        <v>2.25</v>
      </c>
      <c r="AK44" s="357">
        <f t="shared" si="15"/>
        <v>2.666666667</v>
      </c>
      <c r="AL44" s="357">
        <f>MAX('Турнирная таблица по Алфавиту'!T46:CA46)</f>
        <v>23.5</v>
      </c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</row>
    <row r="45">
      <c r="A45" s="369" t="s">
        <v>119</v>
      </c>
      <c r="B45" s="370">
        <f t="shared" si="1"/>
        <v>20</v>
      </c>
      <c r="C45" s="371">
        <f>'Турнирная таблица по Алфавиту'!E47</f>
        <v>69</v>
      </c>
      <c r="D45" s="372">
        <f>'Турнирная таблица по Алфавиту'!F47</f>
        <v>17.25</v>
      </c>
      <c r="E45" s="373">
        <f>COUNTIFS('Все игры'!A$3:A1000,A45,'Все игры'!F$3:F1000,"=1")</f>
        <v>1</v>
      </c>
      <c r="F45" s="373">
        <f>COUNTIFS('Все игры'!A$3:A1000,A45,'Все игры'!F$3:F1000,"=0,50")</f>
        <v>1</v>
      </c>
      <c r="G45" s="373">
        <f>COUNTIFS('Все игры'!A$3:A1000,A45,'Все игры'!G$3:G1000,"&gt;0")</f>
        <v>2</v>
      </c>
      <c r="H45" s="374">
        <f t="shared" si="2"/>
        <v>0.1428571429</v>
      </c>
      <c r="I45" s="375">
        <f>COUNTIFS('Все игры'!A$3:A1000,A45,'Все игры'!E$3:E1000,"У/Победа")</f>
        <v>0</v>
      </c>
      <c r="J45" s="375">
        <f>COUNTIFS('Все игры'!A$3:A1000,A45,'Все игры'!E$3:E1000,"У/Проигрыш")</f>
        <v>1</v>
      </c>
      <c r="K45" s="376">
        <f t="shared" si="3"/>
        <v>14</v>
      </c>
      <c r="L45" s="370">
        <f t="shared" si="4"/>
        <v>6</v>
      </c>
      <c r="M45" s="370">
        <f>COUNTIFS('Все игры'!A$3:A1000,A45,'Все игры'!C$3:C1000,"&gt;0",'Все игры'!B$3:B1000,"Мафия")</f>
        <v>3</v>
      </c>
      <c r="N45" s="370">
        <f>IFERROR(__xludf.DUMMYFUNCTION("COUNTBLANK(FILTER('Все игры'!A$3:C1000,'Все игры'!A$3:A1000=A45,'Все игры'!C$3:C1000 &lt; 1,'Все игры'!B$3:B1000=""Мафия""))"),2.0)</f>
        <v>2</v>
      </c>
      <c r="O45" s="370">
        <f>COUNTIFS('Все игры'!A$3:A1000,A45,'Все игры'!C$3:C1000,"&gt;0",'Все игры'!B$3:B1000,"Шериф")</f>
        <v>0</v>
      </c>
      <c r="P45" s="377">
        <f>IFERROR(__xludf.DUMMYFUNCTION("COUNTBLANK(FILTER('Все игры'!A$3:C1000,'Все игры'!A$3:A1000=A45,'Все игры'!C$3:C1000 &lt; 1,'Все игры'!B$3:B1000=""Шериф""))"),0.0)</f>
        <v>0</v>
      </c>
      <c r="Q45" s="370">
        <f>COUNTIFS('Все игры'!A$3:A1000,A45,'Все игры'!C$3:C1000,"&gt;0",'Все игры'!B$3:B1000,"Дон")</f>
        <v>0</v>
      </c>
      <c r="R45" s="370">
        <f>IFERROR(__xludf.DUMMYFUNCTION("COUNTBLANK(FILTER('Все игры'!A$3:C1000,'Все игры'!A$3:A1000=A45,'Все игры'!C$3:C1000 &lt; 1,'Все игры'!B$3:B1000=""Дон""))"),1.0)</f>
        <v>1</v>
      </c>
      <c r="S45" s="370">
        <f>COUNTIFS('Все игры'!A$3:A1000,A45,'Все игры'!C$3:C1000,"&gt;0",'Все игры'!B$3:B1000,"Мирный")</f>
        <v>5</v>
      </c>
      <c r="T45" s="378">
        <f>IFERROR(__xludf.DUMMYFUNCTION("COUNTBLANK(FILTER('Все игры'!A$3:C1000,'Все игры'!A$3:A1000=A45,'Все игры'!C$3:C1000 &lt; 1,'Все игры'!B$3:B1000=""Мирный""))"),9.0)</f>
        <v>9</v>
      </c>
      <c r="U45" s="379">
        <f t="shared" si="16"/>
        <v>0.4</v>
      </c>
      <c r="V45" s="380">
        <f t="shared" si="5"/>
        <v>0.3571428571</v>
      </c>
      <c r="W45" s="380">
        <f t="shared" si="6"/>
        <v>0.5</v>
      </c>
      <c r="X45" s="380">
        <f t="shared" si="7"/>
        <v>0.6</v>
      </c>
      <c r="Y45" s="380">
        <f t="shared" si="8"/>
        <v>0</v>
      </c>
      <c r="Z45" s="380">
        <f t="shared" si="9"/>
        <v>0</v>
      </c>
      <c r="AA45" s="381">
        <f t="shared" si="10"/>
        <v>0.3571428571</v>
      </c>
      <c r="AB45" s="371">
        <f>SUMIFS('Все игры'!D$3:D1000,'Все игры'!A$3:A1000,A45)</f>
        <v>46.5</v>
      </c>
      <c r="AC45" s="371">
        <f>SUMIFS('Все игры'!D$3:D1000,'Все игры'!A$3:A1000,A45,'Все игры'!B$3:B1000,"Мафия")</f>
        <v>8.25</v>
      </c>
      <c r="AD45" s="382">
        <f>SUMIFS('Все игры'!D$3:D1000,'Все игры'!A$3:A1000,A45,'Все игры'!B$3:B1000,"Шериф")</f>
        <v>0</v>
      </c>
      <c r="AE45" s="371">
        <f>SUMIFS('Все игры'!D$3:D1000,'Все игры'!A$3:A1000,A45,'Все игры'!B$3:B1000,"Дон")</f>
        <v>2</v>
      </c>
      <c r="AF45" s="372">
        <f>SUMIFS('Все игры'!D$3:D1000,'Все игры'!A$3:A1000,A45,'Все игры'!B$3:B1000,"Мирный")</f>
        <v>36.25</v>
      </c>
      <c r="AG45" s="371">
        <f t="shared" si="11"/>
        <v>2.325</v>
      </c>
      <c r="AH45" s="371">
        <f t="shared" si="12"/>
        <v>1.65</v>
      </c>
      <c r="AI45" s="371">
        <f t="shared" si="13"/>
        <v>0</v>
      </c>
      <c r="AJ45" s="371">
        <f t="shared" si="14"/>
        <v>2</v>
      </c>
      <c r="AK45" s="371">
        <f t="shared" si="15"/>
        <v>2.589285714</v>
      </c>
      <c r="AL45" s="357">
        <f>MAX('Турнирная таблица по Алфавиту'!T47:CA47)</f>
        <v>21.25</v>
      </c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</row>
    <row r="46">
      <c r="A46" s="369" t="s">
        <v>120</v>
      </c>
      <c r="B46" s="356">
        <f t="shared" si="1"/>
        <v>10</v>
      </c>
      <c r="C46" s="357">
        <f>'Турнирная таблица по Алфавиту'!E48</f>
        <v>36</v>
      </c>
      <c r="D46" s="358">
        <f>'Турнирная таблица по Алфавиту'!F48</f>
        <v>18</v>
      </c>
      <c r="E46" s="359">
        <f>COUNTIFS('Все игры'!A$3:A1000,A46,'Все игры'!F$3:F1000,"=1")</f>
        <v>0</v>
      </c>
      <c r="F46" s="359">
        <f>COUNTIFS('Все игры'!A$3:A1000,A46,'Все игры'!F$3:F1000,"=0,50")</f>
        <v>0</v>
      </c>
      <c r="G46" s="359">
        <f>COUNTIFS('Все игры'!A$3:A1000,A46,'Все игры'!G$3:G1000,"&gt;0")</f>
        <v>1</v>
      </c>
      <c r="H46" s="360">
        <f t="shared" si="2"/>
        <v>0.1428571429</v>
      </c>
      <c r="I46" s="361">
        <f>COUNTIFS('Все игры'!A$3:A1000,A46,'Все игры'!E$3:E1000,"У/Победа")</f>
        <v>0</v>
      </c>
      <c r="J46" s="361">
        <f>COUNTIFS('Все игры'!A$3:A1000,A46,'Все игры'!E$3:E1000,"У/Проигрыш")</f>
        <v>1</v>
      </c>
      <c r="K46" s="362">
        <f t="shared" si="3"/>
        <v>7</v>
      </c>
      <c r="L46" s="356">
        <f t="shared" si="4"/>
        <v>3</v>
      </c>
      <c r="M46" s="356">
        <f>COUNTIFS('Все игры'!A$3:A1000,A46,'Все игры'!C$3:C1000,"&gt;0",'Все игры'!B$3:B1000,"Мафия")</f>
        <v>0</v>
      </c>
      <c r="N46" s="356">
        <f>IFERROR(__xludf.DUMMYFUNCTION("COUNTBLANK(FILTER('Все игры'!A$3:C1000,'Все игры'!A$3:A1000=A46,'Все игры'!C$3:C1000 &lt; 1,'Все игры'!B$3:B1000=""Мафия""))"),2.0)</f>
        <v>2</v>
      </c>
      <c r="O46" s="356">
        <f>COUNTIFS('Все игры'!A$3:A1000,A46,'Все игры'!C$3:C1000,"&gt;0",'Все игры'!B$3:B1000,"Шериф")</f>
        <v>2</v>
      </c>
      <c r="P46" s="363">
        <f>IFERROR(__xludf.DUMMYFUNCTION("COUNTBLANK(FILTER('Все игры'!A$3:C1000,'Все игры'!A$3:A1000=A46,'Все игры'!C$3:C1000 &lt; 1,'Все игры'!B$3:B1000=""Шериф""))"),0.0)</f>
        <v>0</v>
      </c>
      <c r="Q46" s="356">
        <f>COUNTIFS('Все игры'!A$3:A1000,A46,'Все игры'!C$3:C1000,"&gt;0",'Все игры'!B$3:B1000,"Дон")</f>
        <v>0</v>
      </c>
      <c r="R46" s="356">
        <f>IFERROR(__xludf.DUMMYFUNCTION("COUNTBLANK(FILTER('Все игры'!A$3:C1000,'Все игры'!A$3:A1000=A46,'Все игры'!C$3:C1000 &lt; 1,'Все игры'!B$3:B1000=""Дон""))"),1.0)</f>
        <v>1</v>
      </c>
      <c r="S46" s="356">
        <f>COUNTIFS('Все игры'!A$3:A1000,A46,'Все игры'!C$3:C1000,"&gt;0",'Все игры'!B$3:B1000,"Мирный")</f>
        <v>2</v>
      </c>
      <c r="T46" s="364">
        <f>IFERROR(__xludf.DUMMYFUNCTION("COUNTBLANK(FILTER('Все игры'!A$3:C1000,'Все игры'!A$3:A1000=A46,'Все игры'!C$3:C1000 &lt; 1,'Все игры'!B$3:B1000=""Мирный""))"),3.0)</f>
        <v>3</v>
      </c>
      <c r="U46" s="365">
        <f t="shared" si="16"/>
        <v>0.4</v>
      </c>
      <c r="V46" s="366">
        <f t="shared" si="5"/>
        <v>0.5714285714</v>
      </c>
      <c r="W46" s="366">
        <f t="shared" si="6"/>
        <v>0</v>
      </c>
      <c r="X46" s="366">
        <f t="shared" si="7"/>
        <v>0</v>
      </c>
      <c r="Y46" s="366">
        <f t="shared" si="8"/>
        <v>1</v>
      </c>
      <c r="Z46" s="366">
        <f t="shared" si="9"/>
        <v>0</v>
      </c>
      <c r="AA46" s="367">
        <f t="shared" si="10"/>
        <v>0.4</v>
      </c>
      <c r="AB46" s="357">
        <f>SUMIFS('Все игры'!D$3:D1000,'Все игры'!A$3:A1000,A46)</f>
        <v>25.5</v>
      </c>
      <c r="AC46" s="357">
        <f>SUMIFS('Все игры'!D$3:D1000,'Все игры'!A$3:A1000,A46,'Все игры'!B$3:B1000,"Мафия")</f>
        <v>3.25</v>
      </c>
      <c r="AD46" s="368">
        <f>SUMIFS('Все игры'!D$3:D1000,'Все игры'!A$3:A1000,A46,'Все игры'!B$3:B1000,"Шериф")</f>
        <v>5.75</v>
      </c>
      <c r="AE46" s="357">
        <f>SUMIFS('Все игры'!D$3:D1000,'Все игры'!A$3:A1000,A46,'Все игры'!B$3:B1000,"Дон")</f>
        <v>2</v>
      </c>
      <c r="AF46" s="358">
        <f>SUMIFS('Все игры'!D$3:D1000,'Все игры'!A$3:A1000,A46,'Все игры'!B$3:B1000,"Мирный")</f>
        <v>14.5</v>
      </c>
      <c r="AG46" s="357">
        <f t="shared" si="11"/>
        <v>2.55</v>
      </c>
      <c r="AH46" s="357">
        <f t="shared" si="12"/>
        <v>1.625</v>
      </c>
      <c r="AI46" s="357">
        <f t="shared" si="13"/>
        <v>2.875</v>
      </c>
      <c r="AJ46" s="357">
        <f t="shared" si="14"/>
        <v>2</v>
      </c>
      <c r="AK46" s="357">
        <f t="shared" si="15"/>
        <v>2.9</v>
      </c>
      <c r="AL46" s="357">
        <f>MAX('Турнирная таблица по Алфавиту'!T48:CA48)</f>
        <v>22.5</v>
      </c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</row>
    <row r="47">
      <c r="A47" s="369" t="s">
        <v>121</v>
      </c>
      <c r="B47" s="370">
        <f t="shared" si="1"/>
        <v>0</v>
      </c>
      <c r="C47" s="371">
        <f>'Турнирная таблица по Алфавиту'!E49</f>
        <v>0</v>
      </c>
      <c r="D47" s="372" t="str">
        <f>'Турнирная таблица по Алфавиту'!F49</f>
        <v/>
      </c>
      <c r="E47" s="373">
        <f>COUNTIFS('Все игры'!A$3:A1000,A47,'Все игры'!F$3:F1000,"=1")</f>
        <v>0</v>
      </c>
      <c r="F47" s="373">
        <f>COUNTIFS('Все игры'!A$3:A1000,A47,'Все игры'!F$3:F1000,"=0,50")</f>
        <v>0</v>
      </c>
      <c r="G47" s="373">
        <f>COUNTIFS('Все игры'!A$3:A1000,A47,'Все игры'!G$3:G1000,"&gt;0")</f>
        <v>0</v>
      </c>
      <c r="H47" s="374">
        <f t="shared" si="2"/>
        <v>0</v>
      </c>
      <c r="I47" s="375">
        <f>COUNTIFS('Все игры'!A$3:A1000,A47,'Все игры'!E$3:E1000,"У/Победа")</f>
        <v>0</v>
      </c>
      <c r="J47" s="375">
        <f>COUNTIFS('Все игры'!A$3:A1000,A47,'Все игры'!E$3:E1000,"У/Проигрыш")</f>
        <v>0</v>
      </c>
      <c r="K47" s="376">
        <f t="shared" si="3"/>
        <v>0</v>
      </c>
      <c r="L47" s="370">
        <f t="shared" si="4"/>
        <v>0</v>
      </c>
      <c r="M47" s="370">
        <f>COUNTIFS('Все игры'!A$3:A1000,A47,'Все игры'!C$3:C1000,"&gt;0",'Все игры'!B$3:B1000,"Мафия")</f>
        <v>0</v>
      </c>
      <c r="N47" s="370">
        <f>IFERROR(__xludf.DUMMYFUNCTION("COUNTBLANK(FILTER('Все игры'!A$3:C1000,'Все игры'!A$3:A1000=A47,'Все игры'!C$3:C1000 &lt; 1,'Все игры'!B$3:B1000=""Мафия""))"),0.0)</f>
        <v>0</v>
      </c>
      <c r="O47" s="370">
        <f>COUNTIFS('Все игры'!A$3:A1000,A47,'Все игры'!C$3:C1000,"&gt;0",'Все игры'!B$3:B1000,"Шериф")</f>
        <v>0</v>
      </c>
      <c r="P47" s="377">
        <f>IFERROR(__xludf.DUMMYFUNCTION("COUNTBLANK(FILTER('Все игры'!A$3:C1000,'Все игры'!A$3:A1000=A47,'Все игры'!C$3:C1000 &lt; 1,'Все игры'!B$3:B1000=""Шериф""))"),0.0)</f>
        <v>0</v>
      </c>
      <c r="Q47" s="370">
        <f>COUNTIFS('Все игры'!A$3:A1000,A47,'Все игры'!C$3:C1000,"&gt;0",'Все игры'!B$3:B1000,"Дон")</f>
        <v>0</v>
      </c>
      <c r="R47" s="370">
        <f>IFERROR(__xludf.DUMMYFUNCTION("COUNTBLANK(FILTER('Все игры'!A$3:C1000,'Все игры'!A$3:A1000=A47,'Все игры'!C$3:C1000 &lt; 1,'Все игры'!B$3:B1000=""Дон""))"),0.0)</f>
        <v>0</v>
      </c>
      <c r="S47" s="370">
        <f>COUNTIFS('Все игры'!A$3:A1000,A47,'Все игры'!C$3:C1000,"&gt;0",'Все игры'!B$3:B1000,"Мирный")</f>
        <v>0</v>
      </c>
      <c r="T47" s="378">
        <f>IFERROR(__xludf.DUMMYFUNCTION("COUNTBLANK(FILTER('Все игры'!A$3:C1000,'Все игры'!A$3:A1000=A47,'Все игры'!C$3:C1000 &lt; 1,'Все игры'!B$3:B1000=""Мирный""))"),0.0)</f>
        <v>0</v>
      </c>
      <c r="U47" s="379">
        <f t="shared" si="16"/>
        <v>0</v>
      </c>
      <c r="V47" s="380">
        <f t="shared" si="5"/>
        <v>0</v>
      </c>
      <c r="W47" s="380">
        <f t="shared" si="6"/>
        <v>0</v>
      </c>
      <c r="X47" s="380">
        <f t="shared" si="7"/>
        <v>0</v>
      </c>
      <c r="Y47" s="380">
        <f t="shared" si="8"/>
        <v>0</v>
      </c>
      <c r="Z47" s="380">
        <f t="shared" si="9"/>
        <v>0</v>
      </c>
      <c r="AA47" s="381">
        <f t="shared" si="10"/>
        <v>0</v>
      </c>
      <c r="AB47" s="371">
        <f>SUMIFS('Все игры'!D$3:D1000,'Все игры'!A$3:A1000,A47)</f>
        <v>0</v>
      </c>
      <c r="AC47" s="371">
        <f>SUMIFS('Все игры'!D$3:D1000,'Все игры'!A$3:A1000,A47,'Все игры'!B$3:B1000,"Мафия")</f>
        <v>0</v>
      </c>
      <c r="AD47" s="382">
        <f>SUMIFS('Все игры'!D$3:D1000,'Все игры'!A$3:A1000,A47,'Все игры'!B$3:B1000,"Шериф")</f>
        <v>0</v>
      </c>
      <c r="AE47" s="371">
        <f>SUMIFS('Все игры'!D$3:D1000,'Все игры'!A$3:A1000,A47,'Все игры'!B$3:B1000,"Дон")</f>
        <v>0</v>
      </c>
      <c r="AF47" s="372">
        <f>SUMIFS('Все игры'!D$3:D1000,'Все игры'!A$3:A1000,A47,'Все игры'!B$3:B1000,"Мирный")</f>
        <v>0</v>
      </c>
      <c r="AG47" s="371">
        <f t="shared" si="11"/>
        <v>0</v>
      </c>
      <c r="AH47" s="371">
        <f t="shared" si="12"/>
        <v>0</v>
      </c>
      <c r="AI47" s="371">
        <f t="shared" si="13"/>
        <v>0</v>
      </c>
      <c r="AJ47" s="371">
        <f t="shared" si="14"/>
        <v>0</v>
      </c>
      <c r="AK47" s="371">
        <f t="shared" si="15"/>
        <v>0</v>
      </c>
      <c r="AL47" s="357">
        <f>MAX('Турнирная таблица по Алфавиту'!T49:CA49)</f>
        <v>0</v>
      </c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</row>
    <row r="48">
      <c r="A48" s="369" t="s">
        <v>122</v>
      </c>
      <c r="B48" s="356">
        <f t="shared" si="1"/>
        <v>10</v>
      </c>
      <c r="C48" s="357">
        <f>'Турнирная таблица по Алфавиту'!E50</f>
        <v>36</v>
      </c>
      <c r="D48" s="358">
        <f>'Турнирная таблица по Алфавиту'!F50</f>
        <v>18</v>
      </c>
      <c r="E48" s="359">
        <f>COUNTIFS('Все игры'!A$3:A1000,A48,'Все игры'!F$3:F1000,"=1")</f>
        <v>0</v>
      </c>
      <c r="F48" s="359">
        <f>COUNTIFS('Все игры'!A$3:A1000,A48,'Все игры'!F$3:F1000,"=0,50")</f>
        <v>0</v>
      </c>
      <c r="G48" s="359">
        <f>COUNTIFS('Все игры'!A$3:A1000,A48,'Все игры'!G$3:G1000,"&gt;0")</f>
        <v>1</v>
      </c>
      <c r="H48" s="360">
        <f t="shared" si="2"/>
        <v>0.1111111111</v>
      </c>
      <c r="I48" s="361">
        <f>COUNTIFS('Все игры'!A$3:A1000,A48,'Все игры'!E$3:E1000,"У/Победа")</f>
        <v>0</v>
      </c>
      <c r="J48" s="361">
        <f>COUNTIFS('Все игры'!A$3:A1000,A48,'Все игры'!E$3:E1000,"У/Проигрыш")</f>
        <v>1</v>
      </c>
      <c r="K48" s="362">
        <f t="shared" si="3"/>
        <v>9</v>
      </c>
      <c r="L48" s="356">
        <f t="shared" si="4"/>
        <v>1</v>
      </c>
      <c r="M48" s="356">
        <f>COUNTIFS('Все игры'!A$3:A1000,A48,'Все игры'!C$3:C1000,"&gt;0",'Все игры'!B$3:B1000,"Мафия")</f>
        <v>1</v>
      </c>
      <c r="N48" s="356">
        <f>IFERROR(__xludf.DUMMYFUNCTION("COUNTBLANK(FILTER('Все игры'!A$3:C1000,'Все игры'!A$3:A1000=A48,'Все игры'!C$3:C1000 &lt; 1,'Все игры'!B$3:B1000=""Мафия""))"),0.0)</f>
        <v>0</v>
      </c>
      <c r="O48" s="356">
        <f>COUNTIFS('Все игры'!A$3:A1000,A48,'Все игры'!C$3:C1000,"&gt;0",'Все игры'!B$3:B1000,"Шериф")</f>
        <v>0</v>
      </c>
      <c r="P48" s="363">
        <f>IFERROR(__xludf.DUMMYFUNCTION("COUNTBLANK(FILTER('Все игры'!A$3:C1000,'Все игры'!A$3:A1000=A48,'Все игры'!C$3:C1000 &lt; 1,'Все игры'!B$3:B1000=""Шериф""))"),1.0)</f>
        <v>1</v>
      </c>
      <c r="Q48" s="356">
        <f>COUNTIFS('Все игры'!A$3:A1000,A48,'Все игры'!C$3:C1000,"&gt;0",'Все игры'!B$3:B1000,"Дон")</f>
        <v>0</v>
      </c>
      <c r="R48" s="356">
        <f>IFERROR(__xludf.DUMMYFUNCTION("COUNTBLANK(FILTER('Все игры'!A$3:C1000,'Все игры'!A$3:A1000=A48,'Все игры'!C$3:C1000 &lt; 1,'Все игры'!B$3:B1000=""Дон""))"),0.0)</f>
        <v>0</v>
      </c>
      <c r="S48" s="356">
        <f>COUNTIFS('Все игры'!A$3:A1000,A48,'Все игры'!C$3:C1000,"&gt;0",'Все игры'!B$3:B1000,"Мирный")</f>
        <v>3</v>
      </c>
      <c r="T48" s="364">
        <f>IFERROR(__xludf.DUMMYFUNCTION("COUNTBLANK(FILTER('Все игры'!A$3:C1000,'Все игры'!A$3:A1000=A48,'Все игры'!C$3:C1000 &lt; 1,'Все игры'!B$3:B1000=""Мирный""))"),5.0)</f>
        <v>5</v>
      </c>
      <c r="U48" s="365">
        <f t="shared" si="16"/>
        <v>0.4</v>
      </c>
      <c r="V48" s="366">
        <f t="shared" si="5"/>
        <v>0.3333333333</v>
      </c>
      <c r="W48" s="366">
        <f t="shared" si="6"/>
        <v>1</v>
      </c>
      <c r="X48" s="366">
        <f t="shared" si="7"/>
        <v>1</v>
      </c>
      <c r="Y48" s="366">
        <f t="shared" si="8"/>
        <v>0</v>
      </c>
      <c r="Z48" s="366">
        <f t="shared" si="9"/>
        <v>0</v>
      </c>
      <c r="AA48" s="367">
        <f t="shared" si="10"/>
        <v>0.375</v>
      </c>
      <c r="AB48" s="357">
        <f>SUMIFS('Все игры'!D$3:D1000,'Все игры'!A$3:A1000,A48)</f>
        <v>25.5</v>
      </c>
      <c r="AC48" s="357">
        <f>SUMIFS('Все игры'!D$3:D1000,'Все игры'!A$3:A1000,A48,'Все игры'!B$3:B1000,"Мафия")</f>
        <v>2.5</v>
      </c>
      <c r="AD48" s="368">
        <f>SUMIFS('Все игры'!D$3:D1000,'Все игры'!A$3:A1000,A48,'Все игры'!B$3:B1000,"Шериф")</f>
        <v>2</v>
      </c>
      <c r="AE48" s="357">
        <f>SUMIFS('Все игры'!D$3:D1000,'Все игры'!A$3:A1000,A48,'Все игры'!B$3:B1000,"Дон")</f>
        <v>0</v>
      </c>
      <c r="AF48" s="358">
        <f>SUMIFS('Все игры'!D$3:D1000,'Все игры'!A$3:A1000,A48,'Все игры'!B$3:B1000,"Мирный")</f>
        <v>21</v>
      </c>
      <c r="AG48" s="357">
        <f t="shared" si="11"/>
        <v>2.55</v>
      </c>
      <c r="AH48" s="357">
        <f t="shared" si="12"/>
        <v>2.5</v>
      </c>
      <c r="AI48" s="357">
        <f t="shared" si="13"/>
        <v>2</v>
      </c>
      <c r="AJ48" s="357">
        <f t="shared" si="14"/>
        <v>0</v>
      </c>
      <c r="AK48" s="357">
        <f t="shared" si="15"/>
        <v>2.625</v>
      </c>
      <c r="AL48" s="357">
        <f>MAX('Турнирная таблица по Алфавиту'!T50:CA50)</f>
        <v>20.75</v>
      </c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/>
      <c r="BB48" s="357"/>
      <c r="BC48" s="357"/>
      <c r="BD48" s="357"/>
      <c r="BE48" s="357"/>
      <c r="BF48" s="357"/>
      <c r="BG48" s="357"/>
      <c r="BH48" s="357"/>
      <c r="BI48" s="357"/>
      <c r="BJ48" s="357"/>
      <c r="BK48" s="357"/>
      <c r="BL48" s="357"/>
      <c r="BM48" s="357"/>
    </row>
    <row r="49">
      <c r="A49" s="383" t="s">
        <v>123</v>
      </c>
      <c r="B49" s="370">
        <f t="shared" si="1"/>
        <v>15</v>
      </c>
      <c r="C49" s="371">
        <f>'Турнирная таблица по Алфавиту'!E51</f>
        <v>73</v>
      </c>
      <c r="D49" s="372">
        <f>'Турнирная таблица по Алфавиту'!F51</f>
        <v>24.33333333</v>
      </c>
      <c r="E49" s="373">
        <f>COUNTIFS('Все игры'!A$3:A1000,A49,'Все игры'!F$3:F1000,"=1")</f>
        <v>0</v>
      </c>
      <c r="F49" s="373">
        <f>COUNTIFS('Все игры'!A$3:A1000,A49,'Все игры'!F$3:F1000,"=0,50")</f>
        <v>0</v>
      </c>
      <c r="G49" s="373">
        <f>COUNTIFS('Все игры'!A$3:A1000,A49,'Все игры'!G$3:G1000,"&gt;0")</f>
        <v>2</v>
      </c>
      <c r="H49" s="374">
        <f t="shared" si="2"/>
        <v>0.2222222222</v>
      </c>
      <c r="I49" s="375">
        <f>COUNTIFS('Все игры'!A$3:A1000,A49,'Все игры'!E$3:E1000,"У/Победа")</f>
        <v>1</v>
      </c>
      <c r="J49" s="375">
        <f>COUNTIFS('Все игры'!A$3:A1000,A49,'Все игры'!E$3:E1000,"У/Проигрыш")</f>
        <v>0</v>
      </c>
      <c r="K49" s="376">
        <f t="shared" si="3"/>
        <v>9</v>
      </c>
      <c r="L49" s="370">
        <f t="shared" si="4"/>
        <v>6</v>
      </c>
      <c r="M49" s="370">
        <f>COUNTIFS('Все игры'!A$3:A1000,A49,'Все игры'!C$3:C1000,"&gt;0",'Все игры'!B$3:B1000,"Мафия")</f>
        <v>2</v>
      </c>
      <c r="N49" s="370">
        <f>IFERROR(__xludf.DUMMYFUNCTION("COUNTBLANK(FILTER('Все игры'!A$3:C1000,'Все игры'!A$3:A1000=A49,'Все игры'!C$3:C1000 &lt; 1,'Все игры'!B$3:B1000=""Мафия""))"),2.0)</f>
        <v>2</v>
      </c>
      <c r="O49" s="370">
        <f>COUNTIFS('Все игры'!A$3:A1000,A49,'Все игры'!C$3:C1000,"&gt;0",'Все игры'!B$3:B1000,"Шериф")</f>
        <v>2</v>
      </c>
      <c r="P49" s="377">
        <f>IFERROR(__xludf.DUMMYFUNCTION("COUNTBLANK(FILTER('Все игры'!A$3:C1000,'Все игры'!A$3:A1000=A49,'Все игры'!C$3:C1000 &lt; 1,'Все игры'!B$3:B1000=""Шериф""))"),0.0)</f>
        <v>0</v>
      </c>
      <c r="Q49" s="370">
        <f>COUNTIFS('Все игры'!A$3:A1000,A49,'Все игры'!C$3:C1000,"&gt;0",'Все игры'!B$3:B1000,"Дон")</f>
        <v>2</v>
      </c>
      <c r="R49" s="370">
        <f>IFERROR(__xludf.DUMMYFUNCTION("COUNTBLANK(FILTER('Все игры'!A$3:C1000,'Все игры'!A$3:A1000=A49,'Все игры'!C$3:C1000 &lt; 1,'Все игры'!B$3:B1000=""Дон""))"),0.0)</f>
        <v>0</v>
      </c>
      <c r="S49" s="370">
        <f>COUNTIFS('Все игры'!A$3:A1000,A49,'Все игры'!C$3:C1000,"&gt;0",'Все игры'!B$3:B1000,"Мирный")</f>
        <v>4</v>
      </c>
      <c r="T49" s="378">
        <f>IFERROR(__xludf.DUMMYFUNCTION("COUNTBLANK(FILTER('Все игры'!A$3:C1000,'Все игры'!A$3:A1000=A49,'Все игры'!C$3:C1000 &lt; 1,'Все игры'!B$3:B1000=""Мирный""))"),3.0)</f>
        <v>3</v>
      </c>
      <c r="U49" s="379">
        <f t="shared" si="16"/>
        <v>0.6666666667</v>
      </c>
      <c r="V49" s="380">
        <f t="shared" si="5"/>
        <v>0.6666666667</v>
      </c>
      <c r="W49" s="380">
        <f t="shared" si="6"/>
        <v>0.6666666667</v>
      </c>
      <c r="X49" s="380">
        <f t="shared" si="7"/>
        <v>0.5</v>
      </c>
      <c r="Y49" s="380">
        <f t="shared" si="8"/>
        <v>1</v>
      </c>
      <c r="Z49" s="380">
        <f t="shared" si="9"/>
        <v>1</v>
      </c>
      <c r="AA49" s="381">
        <f t="shared" si="10"/>
        <v>0.5714285714</v>
      </c>
      <c r="AB49" s="371">
        <f>SUMIFS('Все игры'!D$3:D1000,'Все игры'!A$3:A1000,A49)</f>
        <v>47</v>
      </c>
      <c r="AC49" s="371">
        <f>SUMIFS('Все игры'!D$3:D1000,'Все игры'!A$3:A1000,A49,'Все игры'!B$3:B1000,"Мафия")</f>
        <v>12.25</v>
      </c>
      <c r="AD49" s="382">
        <f>SUMIFS('Все игры'!D$3:D1000,'Все игры'!A$3:A1000,A49,'Все игры'!B$3:B1000,"Шериф")</f>
        <v>5</v>
      </c>
      <c r="AE49" s="371">
        <f>SUMIFS('Все игры'!D$3:D1000,'Все игры'!A$3:A1000,A49,'Все игры'!B$3:B1000,"Дон")</f>
        <v>7</v>
      </c>
      <c r="AF49" s="372">
        <f>SUMIFS('Все игры'!D$3:D1000,'Все игры'!A$3:A1000,A49,'Все игры'!B$3:B1000,"Мирный")</f>
        <v>22.75</v>
      </c>
      <c r="AG49" s="371">
        <f t="shared" si="11"/>
        <v>3.133333333</v>
      </c>
      <c r="AH49" s="371">
        <f t="shared" si="12"/>
        <v>3.0625</v>
      </c>
      <c r="AI49" s="371">
        <f t="shared" si="13"/>
        <v>2.5</v>
      </c>
      <c r="AJ49" s="371">
        <f t="shared" si="14"/>
        <v>3.5</v>
      </c>
      <c r="AK49" s="371">
        <f t="shared" si="15"/>
        <v>3.25</v>
      </c>
      <c r="AL49" s="357">
        <f>MAX('Турнирная таблица по Алфавиту'!T51:CA51)</f>
        <v>26.5</v>
      </c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AW49" s="357"/>
      <c r="AX49" s="357"/>
      <c r="AY49" s="357"/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</row>
    <row r="50">
      <c r="A50" s="369" t="s">
        <v>124</v>
      </c>
      <c r="B50" s="356">
        <f t="shared" si="1"/>
        <v>15</v>
      </c>
      <c r="C50" s="357">
        <f>'Турнирная таблица по Алфавиту'!E52</f>
        <v>71.5</v>
      </c>
      <c r="D50" s="358">
        <f>'Турнирная таблица по Алфавиту'!F52</f>
        <v>23.83333333</v>
      </c>
      <c r="E50" s="359">
        <f>COUNTIFS('Все игры'!A$3:A1000,A50,'Все игры'!F$3:F1000,"=1")</f>
        <v>0</v>
      </c>
      <c r="F50" s="359">
        <f>COUNTIFS('Все игры'!A$3:A1000,A50,'Все игры'!F$3:F1000,"=0,50")</f>
        <v>1</v>
      </c>
      <c r="G50" s="359">
        <f>COUNTIFS('Все игры'!A$3:A1000,A50,'Все игры'!G$3:G1000,"&gt;0")</f>
        <v>1</v>
      </c>
      <c r="H50" s="360">
        <f t="shared" si="2"/>
        <v>0.1</v>
      </c>
      <c r="I50" s="361">
        <f>COUNTIFS('Все игры'!A$3:A1000,A50,'Все игры'!E$3:E1000,"У/Победа")</f>
        <v>0</v>
      </c>
      <c r="J50" s="361">
        <f>COUNTIFS('Все игры'!A$3:A1000,A50,'Все игры'!E$3:E1000,"У/Проигрыш")</f>
        <v>1</v>
      </c>
      <c r="K50" s="362">
        <f t="shared" si="3"/>
        <v>10</v>
      </c>
      <c r="L50" s="356">
        <f t="shared" si="4"/>
        <v>5</v>
      </c>
      <c r="M50" s="356">
        <f>COUNTIFS('Все игры'!A$3:A1000,A50,'Все игры'!C$3:C1000,"&gt;0",'Все игры'!B$3:B1000,"Мафия")</f>
        <v>1</v>
      </c>
      <c r="N50" s="356">
        <f>IFERROR(__xludf.DUMMYFUNCTION("COUNTBLANK(FILTER('Все игры'!A$3:C1000,'Все игры'!A$3:A1000=A50,'Все игры'!C$3:C1000 &lt; 1,'Все игры'!B$3:B1000=""Мафия""))"),1.0)</f>
        <v>1</v>
      </c>
      <c r="O50" s="356">
        <f>COUNTIFS('Все игры'!A$3:A1000,A50,'Все игры'!C$3:C1000,"&gt;0",'Все игры'!B$3:B1000,"Шериф")</f>
        <v>1</v>
      </c>
      <c r="P50" s="363">
        <f>IFERROR(__xludf.DUMMYFUNCTION("COUNTBLANK(FILTER('Все игры'!A$3:C1000,'Все игры'!A$3:A1000=A50,'Все игры'!C$3:C1000 &lt; 1,'Все игры'!B$3:B1000=""Шериф""))"),0.0)</f>
        <v>0</v>
      </c>
      <c r="Q50" s="356">
        <f>COUNTIFS('Все игры'!A$3:A1000,A50,'Все игры'!C$3:C1000,"&gt;0",'Все игры'!B$3:B1000,"Дон")</f>
        <v>3</v>
      </c>
      <c r="R50" s="356">
        <f>IFERROR(__xludf.DUMMYFUNCTION("COUNTBLANK(FILTER('Все игры'!A$3:C1000,'Все игры'!A$3:A1000=A50,'Все игры'!C$3:C1000 &lt; 1,'Все игры'!B$3:B1000=""Дон""))"),0.0)</f>
        <v>0</v>
      </c>
      <c r="S50" s="356">
        <f>COUNTIFS('Все игры'!A$3:A1000,A50,'Все игры'!C$3:C1000,"&gt;0",'Все игры'!B$3:B1000,"Мирный")</f>
        <v>6</v>
      </c>
      <c r="T50" s="364">
        <f>IFERROR(__xludf.DUMMYFUNCTION("COUNTBLANK(FILTER('Все игры'!A$3:C1000,'Все игры'!A$3:A1000=A50,'Все игры'!C$3:C1000 &lt; 1,'Все игры'!B$3:B1000=""Мирный""))"),3.0)</f>
        <v>3</v>
      </c>
      <c r="U50" s="365">
        <f t="shared" si="16"/>
        <v>0.7333333333</v>
      </c>
      <c r="V50" s="366">
        <f t="shared" si="5"/>
        <v>0.7</v>
      </c>
      <c r="W50" s="366">
        <f t="shared" si="6"/>
        <v>0.8</v>
      </c>
      <c r="X50" s="366">
        <f t="shared" si="7"/>
        <v>0.5</v>
      </c>
      <c r="Y50" s="366">
        <f t="shared" si="8"/>
        <v>1</v>
      </c>
      <c r="Z50" s="366">
        <f t="shared" si="9"/>
        <v>1</v>
      </c>
      <c r="AA50" s="367">
        <f t="shared" si="10"/>
        <v>0.6666666667</v>
      </c>
      <c r="AB50" s="357">
        <f>SUMIFS('Все игры'!D$3:D1000,'Все игры'!A$3:A1000,A50)</f>
        <v>43</v>
      </c>
      <c r="AC50" s="357">
        <f>SUMIFS('Все игры'!D$3:D1000,'Все игры'!A$3:A1000,A50,'Все игры'!B$3:B1000,"Мафия")</f>
        <v>5.5</v>
      </c>
      <c r="AD50" s="368">
        <f>SUMIFS('Все игры'!D$3:D1000,'Все игры'!A$3:A1000,A50,'Все игры'!B$3:B1000,"Шериф")</f>
        <v>3.75</v>
      </c>
      <c r="AE50" s="357">
        <f>SUMIFS('Все игры'!D$3:D1000,'Все игры'!A$3:A1000,A50,'Все игры'!B$3:B1000,"Дон")</f>
        <v>11.5</v>
      </c>
      <c r="AF50" s="358">
        <f>SUMIFS('Все игры'!D$3:D1000,'Все игры'!A$3:A1000,A50,'Все игры'!B$3:B1000,"Мирный")</f>
        <v>22.25</v>
      </c>
      <c r="AG50" s="357">
        <f t="shared" si="11"/>
        <v>2.866666667</v>
      </c>
      <c r="AH50" s="357">
        <f t="shared" si="12"/>
        <v>2.75</v>
      </c>
      <c r="AI50" s="357">
        <f t="shared" si="13"/>
        <v>3.75</v>
      </c>
      <c r="AJ50" s="357">
        <f t="shared" si="14"/>
        <v>3.833333333</v>
      </c>
      <c r="AK50" s="357">
        <f t="shared" si="15"/>
        <v>2.472222222</v>
      </c>
      <c r="AL50" s="357">
        <f>MAX('Турнирная таблица по Алфавиту'!T52:CA52)</f>
        <v>28.75</v>
      </c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</row>
    <row r="51">
      <c r="A51" s="369" t="s">
        <v>125</v>
      </c>
      <c r="B51" s="370">
        <f t="shared" si="1"/>
        <v>25</v>
      </c>
      <c r="C51" s="371">
        <f>'Турнирная таблица по Алфавиту'!E53</f>
        <v>82.5</v>
      </c>
      <c r="D51" s="372">
        <f>'Турнирная таблица по Алфавиту'!F53</f>
        <v>16.5</v>
      </c>
      <c r="E51" s="373">
        <f>COUNTIFS('Все игры'!A$3:A1000,A51,'Все игры'!F$3:F1000,"=1")</f>
        <v>0</v>
      </c>
      <c r="F51" s="373">
        <f>COUNTIFS('Все игры'!A$3:A1000,A51,'Все игры'!F$3:F1000,"=0,50")</f>
        <v>0</v>
      </c>
      <c r="G51" s="373">
        <f>COUNTIFS('Все игры'!A$3:A1000,A51,'Все игры'!G$3:G1000,"&gt;0")</f>
        <v>1</v>
      </c>
      <c r="H51" s="374">
        <f t="shared" si="2"/>
        <v>0.05</v>
      </c>
      <c r="I51" s="375">
        <f>COUNTIFS('Все игры'!A$3:A1000,A51,'Все игры'!E$3:E1000,"У/Победа")</f>
        <v>3</v>
      </c>
      <c r="J51" s="375">
        <f>COUNTIFS('Все игры'!A$3:A1000,A51,'Все игры'!E$3:E1000,"У/Проигрыш")</f>
        <v>2</v>
      </c>
      <c r="K51" s="376">
        <f t="shared" si="3"/>
        <v>20</v>
      </c>
      <c r="L51" s="370">
        <f t="shared" si="4"/>
        <v>5</v>
      </c>
      <c r="M51" s="370">
        <f>COUNTIFS('Все игры'!A$3:A1000,A51,'Все игры'!C$3:C1000,"&gt;0",'Все игры'!B$3:B1000,"Мафия")</f>
        <v>1</v>
      </c>
      <c r="N51" s="370">
        <f>IFERROR(__xludf.DUMMYFUNCTION("COUNTBLANK(FILTER('Все игры'!A$3:C1000,'Все игры'!A$3:A1000=A51,'Все игры'!C$3:C1000 &lt; 1,'Все игры'!B$3:B1000=""Мафия""))"),2.0)</f>
        <v>2</v>
      </c>
      <c r="O51" s="370">
        <f>COUNTIFS('Все игры'!A$3:A1000,A51,'Все игры'!C$3:C1000,"&gt;0",'Все игры'!B$3:B1000,"Шериф")</f>
        <v>1</v>
      </c>
      <c r="P51" s="377">
        <f>IFERROR(__xludf.DUMMYFUNCTION("COUNTBLANK(FILTER('Все игры'!A$3:C1000,'Все игры'!A$3:A1000=A51,'Все игры'!C$3:C1000 &lt; 1,'Все игры'!B$3:B1000=""Шериф""))"),1.0)</f>
        <v>1</v>
      </c>
      <c r="Q51" s="370">
        <f>COUNTIFS('Все игры'!A$3:A1000,A51,'Все игры'!C$3:C1000,"&gt;0",'Все игры'!B$3:B1000,"Дон")</f>
        <v>0</v>
      </c>
      <c r="R51" s="370">
        <f>IFERROR(__xludf.DUMMYFUNCTION("COUNTBLANK(FILTER('Все игры'!A$3:C1000,'Все игры'!A$3:A1000=A51,'Все игры'!C$3:C1000 &lt; 1,'Все игры'!B$3:B1000=""Дон""))"),2.0)</f>
        <v>2</v>
      </c>
      <c r="S51" s="370">
        <f>COUNTIFS('Все игры'!A$3:A1000,A51,'Все игры'!C$3:C1000,"&gt;0",'Все игры'!B$3:B1000,"Мирный")</f>
        <v>7</v>
      </c>
      <c r="T51" s="378">
        <f>IFERROR(__xludf.DUMMYFUNCTION("COUNTBLANK(FILTER('Все игры'!A$3:C1000,'Все игры'!A$3:A1000=A51,'Все игры'!C$3:C1000 &lt; 1,'Все игры'!B$3:B1000=""Мирный""))"),11.0)</f>
        <v>11</v>
      </c>
      <c r="U51" s="379">
        <f t="shared" si="16"/>
        <v>0.36</v>
      </c>
      <c r="V51" s="380">
        <f t="shared" si="5"/>
        <v>0.4</v>
      </c>
      <c r="W51" s="380">
        <f t="shared" si="6"/>
        <v>0.2</v>
      </c>
      <c r="X51" s="380">
        <f t="shared" si="7"/>
        <v>0.3333333333</v>
      </c>
      <c r="Y51" s="380">
        <f t="shared" si="8"/>
        <v>0.5</v>
      </c>
      <c r="Z51" s="380">
        <f t="shared" si="9"/>
        <v>0</v>
      </c>
      <c r="AA51" s="381">
        <f t="shared" si="10"/>
        <v>0.3888888889</v>
      </c>
      <c r="AB51" s="371">
        <f>SUMIFS('Все игры'!D$3:D1000,'Все игры'!A$3:A1000,A51)</f>
        <v>59.5</v>
      </c>
      <c r="AC51" s="371">
        <f>SUMIFS('Все игры'!D$3:D1000,'Все игры'!A$3:A1000,A51,'Все игры'!B$3:B1000,"Мафия")</f>
        <v>7</v>
      </c>
      <c r="AD51" s="382">
        <f>SUMIFS('Все игры'!D$3:D1000,'Все игры'!A$3:A1000,A51,'Все игры'!B$3:B1000,"Шериф")</f>
        <v>5</v>
      </c>
      <c r="AE51" s="371">
        <f>SUMIFS('Все игры'!D$3:D1000,'Все игры'!A$3:A1000,A51,'Все игры'!B$3:B1000,"Дон")</f>
        <v>3.5</v>
      </c>
      <c r="AF51" s="372">
        <f>SUMIFS('Все игры'!D$3:D1000,'Все игры'!A$3:A1000,A51,'Все игры'!B$3:B1000,"Мирный")</f>
        <v>44</v>
      </c>
      <c r="AG51" s="371">
        <f t="shared" si="11"/>
        <v>2.38</v>
      </c>
      <c r="AH51" s="371">
        <f t="shared" si="12"/>
        <v>2.333333333</v>
      </c>
      <c r="AI51" s="371">
        <f t="shared" si="13"/>
        <v>2.5</v>
      </c>
      <c r="AJ51" s="371">
        <f t="shared" si="14"/>
        <v>1.75</v>
      </c>
      <c r="AK51" s="371">
        <f t="shared" si="15"/>
        <v>2.444444444</v>
      </c>
      <c r="AL51" s="357">
        <f>MAX('Турнирная таблица по Алфавиту'!T53:CA53)</f>
        <v>20.75</v>
      </c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</row>
    <row r="52">
      <c r="A52" s="369" t="s">
        <v>126</v>
      </c>
      <c r="B52" s="356">
        <f t="shared" si="1"/>
        <v>15</v>
      </c>
      <c r="C52" s="357">
        <f>'Турнирная таблица по Алфавиту'!E54</f>
        <v>57</v>
      </c>
      <c r="D52" s="358">
        <f>'Турнирная таблица по Алфавиту'!F54</f>
        <v>19</v>
      </c>
      <c r="E52" s="359">
        <f>COUNTIFS('Все игры'!A$3:A1000,A52,'Все игры'!F$3:F1000,"=1")</f>
        <v>0</v>
      </c>
      <c r="F52" s="359">
        <f>COUNTIFS('Все игры'!A$3:A1000,A52,'Все игры'!F$3:F1000,"=0,50")</f>
        <v>0</v>
      </c>
      <c r="G52" s="359">
        <f>COUNTIFS('Все игры'!A$3:A1000,A52,'Все игры'!G$3:G1000,"&gt;0")</f>
        <v>0</v>
      </c>
      <c r="H52" s="360">
        <f t="shared" si="2"/>
        <v>0</v>
      </c>
      <c r="I52" s="361">
        <f>COUNTIFS('Все игры'!A$3:A1000,A52,'Все игры'!E$3:E1000,"У/Победа")</f>
        <v>1</v>
      </c>
      <c r="J52" s="361">
        <f>COUNTIFS('Все игры'!A$3:A1000,A52,'Все игры'!E$3:E1000,"У/Проигрыш")</f>
        <v>1</v>
      </c>
      <c r="K52" s="362">
        <f t="shared" si="3"/>
        <v>9</v>
      </c>
      <c r="L52" s="356">
        <f t="shared" si="4"/>
        <v>6</v>
      </c>
      <c r="M52" s="356">
        <f>COUNTIFS('Все игры'!A$3:A1000,A52,'Все игры'!C$3:C1000,"&gt;0",'Все игры'!B$3:B1000,"Мафия")</f>
        <v>3</v>
      </c>
      <c r="N52" s="356">
        <f>IFERROR(__xludf.DUMMYFUNCTION("COUNTBLANK(FILTER('Все игры'!A$3:C1000,'Все игры'!A$3:A1000=A52,'Все игры'!C$3:C1000 &lt; 1,'Все игры'!B$3:B1000=""Мафия""))"),1.0)</f>
        <v>1</v>
      </c>
      <c r="O52" s="356">
        <f>COUNTIFS('Все игры'!A$3:A1000,A52,'Все игры'!C$3:C1000,"&gt;0",'Все игры'!B$3:B1000,"Шериф")</f>
        <v>1</v>
      </c>
      <c r="P52" s="363">
        <f>IFERROR(__xludf.DUMMYFUNCTION("COUNTBLANK(FILTER('Все игры'!A$3:C1000,'Все игры'!A$3:A1000=A52,'Все игры'!C$3:C1000 &lt; 1,'Все игры'!B$3:B1000=""Шериф""))"),2.0)</f>
        <v>2</v>
      </c>
      <c r="Q52" s="356">
        <f>COUNTIFS('Все игры'!A$3:A1000,A52,'Все игры'!C$3:C1000,"&gt;0",'Все игры'!B$3:B1000,"Дон")</f>
        <v>1</v>
      </c>
      <c r="R52" s="356">
        <f>IFERROR(__xludf.DUMMYFUNCTION("COUNTBLANK(FILTER('Все игры'!A$3:C1000,'Все игры'!A$3:A1000=A52,'Все игры'!C$3:C1000 &lt; 1,'Все игры'!B$3:B1000=""Дон""))"),1.0)</f>
        <v>1</v>
      </c>
      <c r="S52" s="356">
        <f>COUNTIFS('Все игры'!A$3:A1000,A52,'Все игры'!C$3:C1000,"&gt;0",'Все игры'!B$3:B1000,"Мирный")</f>
        <v>2</v>
      </c>
      <c r="T52" s="364">
        <f>IFERROR(__xludf.DUMMYFUNCTION("COUNTBLANK(FILTER('Все игры'!A$3:C1000,'Все игры'!A$3:A1000=A52,'Все игры'!C$3:C1000 &lt; 1,'Все игры'!B$3:B1000=""Мирный""))"),4.0)</f>
        <v>4</v>
      </c>
      <c r="U52" s="365">
        <f t="shared" si="16"/>
        <v>0.4666666667</v>
      </c>
      <c r="V52" s="366">
        <f t="shared" si="5"/>
        <v>0.3333333333</v>
      </c>
      <c r="W52" s="366">
        <f t="shared" si="6"/>
        <v>0.6666666667</v>
      </c>
      <c r="X52" s="366">
        <f t="shared" si="7"/>
        <v>0.75</v>
      </c>
      <c r="Y52" s="366">
        <f t="shared" si="8"/>
        <v>0.3333333333</v>
      </c>
      <c r="Z52" s="366">
        <f t="shared" si="9"/>
        <v>0.5</v>
      </c>
      <c r="AA52" s="367">
        <f t="shared" si="10"/>
        <v>0.3333333333</v>
      </c>
      <c r="AB52" s="357">
        <f>SUMIFS('Все игры'!D$3:D1000,'Все игры'!A$3:A1000,A52)</f>
        <v>39.5</v>
      </c>
      <c r="AC52" s="357">
        <f>SUMIFS('Все игры'!D$3:D1000,'Все игры'!A$3:A1000,A52,'Все игры'!B$3:B1000,"Мафия")</f>
        <v>11.25</v>
      </c>
      <c r="AD52" s="368">
        <f>SUMIFS('Все игры'!D$3:D1000,'Все игры'!A$3:A1000,A52,'Все игры'!B$3:B1000,"Шериф")</f>
        <v>7.5</v>
      </c>
      <c r="AE52" s="357">
        <f>SUMIFS('Все игры'!D$3:D1000,'Все игры'!A$3:A1000,A52,'Все игры'!B$3:B1000,"Дон")</f>
        <v>6.75</v>
      </c>
      <c r="AF52" s="358">
        <f>SUMIFS('Все игры'!D$3:D1000,'Все игры'!A$3:A1000,A52,'Все игры'!B$3:B1000,"Мирный")</f>
        <v>14</v>
      </c>
      <c r="AG52" s="357">
        <f t="shared" si="11"/>
        <v>2.633333333</v>
      </c>
      <c r="AH52" s="357">
        <f t="shared" si="12"/>
        <v>2.8125</v>
      </c>
      <c r="AI52" s="357">
        <f t="shared" si="13"/>
        <v>2.5</v>
      </c>
      <c r="AJ52" s="357">
        <f t="shared" si="14"/>
        <v>3.375</v>
      </c>
      <c r="AK52" s="357">
        <f t="shared" si="15"/>
        <v>2.333333333</v>
      </c>
      <c r="AL52" s="357">
        <f>MAX('Турнирная таблица по Алфавиту'!T54:CA54)</f>
        <v>20.5</v>
      </c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/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</row>
    <row r="53">
      <c r="A53" s="369" t="s">
        <v>127</v>
      </c>
      <c r="B53" s="370">
        <f t="shared" si="1"/>
        <v>10</v>
      </c>
      <c r="C53" s="371">
        <f>'Турнирная таблица по Алфавиту'!E55</f>
        <v>39.75</v>
      </c>
      <c r="D53" s="372">
        <f>'Турнирная таблица по Алфавиту'!F55</f>
        <v>19.875</v>
      </c>
      <c r="E53" s="373">
        <f>COUNTIFS('Все игры'!A$3:A1000,A53,'Все игры'!F$3:F1000,"=1")</f>
        <v>0</v>
      </c>
      <c r="F53" s="373">
        <f>COUNTIFS('Все игры'!A$3:A1000,A53,'Все игры'!F$3:F1000,"=0,50")</f>
        <v>1</v>
      </c>
      <c r="G53" s="373">
        <f>COUNTIFS('Все игры'!A$3:A1000,A53,'Все игры'!G$3:G1000,"&gt;0")</f>
        <v>3</v>
      </c>
      <c r="H53" s="374">
        <f t="shared" si="2"/>
        <v>0.4285714286</v>
      </c>
      <c r="I53" s="375">
        <f>COUNTIFS('Все игры'!A$3:A1000,A53,'Все игры'!E$3:E1000,"У/Победа")</f>
        <v>1</v>
      </c>
      <c r="J53" s="375">
        <f>COUNTIFS('Все игры'!A$3:A1000,A53,'Все игры'!E$3:E1000,"У/Проигрыш")</f>
        <v>0</v>
      </c>
      <c r="K53" s="376">
        <f t="shared" si="3"/>
        <v>7</v>
      </c>
      <c r="L53" s="370">
        <f t="shared" si="4"/>
        <v>3</v>
      </c>
      <c r="M53" s="370">
        <f>COUNTIFS('Все игры'!A$3:A1000,A53,'Все игры'!C$3:C1000,"&gt;0",'Все игры'!B$3:B1000,"Мафия")</f>
        <v>1</v>
      </c>
      <c r="N53" s="370">
        <f>IFERROR(__xludf.DUMMYFUNCTION("COUNTBLANK(FILTER('Все игры'!A$3:C1000,'Все игры'!A$3:A1000=A53,'Все игры'!C$3:C1000 &lt; 1,'Все игры'!B$3:B1000=""Мафия""))"),1.0)</f>
        <v>1</v>
      </c>
      <c r="O53" s="370">
        <f>COUNTIFS('Все игры'!A$3:A1000,A53,'Все игры'!C$3:C1000,"&gt;0",'Все игры'!B$3:B1000,"Шериф")</f>
        <v>1</v>
      </c>
      <c r="P53" s="377">
        <f>IFERROR(__xludf.DUMMYFUNCTION("COUNTBLANK(FILTER('Все игры'!A$3:C1000,'Все игры'!A$3:A1000=A53,'Все игры'!C$3:C1000 &lt; 1,'Все игры'!B$3:B1000=""Шериф""))"),1.0)</f>
        <v>1</v>
      </c>
      <c r="Q53" s="370">
        <f>COUNTIFS('Все игры'!A$3:A1000,A53,'Все игры'!C$3:C1000,"&gt;0",'Все игры'!B$3:B1000,"Дон")</f>
        <v>0</v>
      </c>
      <c r="R53" s="370">
        <f>IFERROR(__xludf.DUMMYFUNCTION("COUNTBLANK(FILTER('Все игры'!A$3:C1000,'Все игры'!A$3:A1000=A53,'Все игры'!C$3:C1000 &lt; 1,'Все игры'!B$3:B1000=""Дон""))"),1.0)</f>
        <v>1</v>
      </c>
      <c r="S53" s="370">
        <f>COUNTIFS('Все игры'!A$3:A1000,A53,'Все игры'!C$3:C1000,"&gt;0",'Все игры'!B$3:B1000,"Мирный")</f>
        <v>3</v>
      </c>
      <c r="T53" s="378">
        <f>IFERROR(__xludf.DUMMYFUNCTION("COUNTBLANK(FILTER('Все игры'!A$3:C1000,'Все игры'!A$3:A1000=A53,'Все игры'!C$3:C1000 &lt; 1,'Все игры'!B$3:B1000=""Мирный""))"),2.0)</f>
        <v>2</v>
      </c>
      <c r="U53" s="379">
        <f t="shared" si="16"/>
        <v>0.5</v>
      </c>
      <c r="V53" s="380">
        <f t="shared" si="5"/>
        <v>0.5714285714</v>
      </c>
      <c r="W53" s="380">
        <f t="shared" si="6"/>
        <v>0.3333333333</v>
      </c>
      <c r="X53" s="380">
        <f t="shared" si="7"/>
        <v>0.5</v>
      </c>
      <c r="Y53" s="380">
        <f t="shared" si="8"/>
        <v>0.5</v>
      </c>
      <c r="Z53" s="380">
        <f t="shared" si="9"/>
        <v>0</v>
      </c>
      <c r="AA53" s="381">
        <f t="shared" si="10"/>
        <v>0.6</v>
      </c>
      <c r="AB53" s="371">
        <f>SUMIFS('Все игры'!D$3:D1000,'Все игры'!A$3:A1000,A53)</f>
        <v>24.75</v>
      </c>
      <c r="AC53" s="371">
        <f>SUMIFS('Все игры'!D$3:D1000,'Все игры'!A$3:A1000,A53,'Все игры'!B$3:B1000,"Мафия")</f>
        <v>5.75</v>
      </c>
      <c r="AD53" s="382">
        <f>SUMIFS('Все игры'!D$3:D1000,'Все игры'!A$3:A1000,A53,'Все игры'!B$3:B1000,"Шериф")</f>
        <v>5.5</v>
      </c>
      <c r="AE53" s="371">
        <f>SUMIFS('Все игры'!D$3:D1000,'Все игры'!A$3:A1000,A53,'Все игры'!B$3:B1000,"Дон")</f>
        <v>2.25</v>
      </c>
      <c r="AF53" s="372">
        <f>SUMIFS('Все игры'!D$3:D1000,'Все игры'!A$3:A1000,A53,'Все игры'!B$3:B1000,"Мирный")</f>
        <v>11.25</v>
      </c>
      <c r="AG53" s="371">
        <f t="shared" si="11"/>
        <v>2.475</v>
      </c>
      <c r="AH53" s="371">
        <f t="shared" si="12"/>
        <v>2.875</v>
      </c>
      <c r="AI53" s="371">
        <f t="shared" si="13"/>
        <v>2.75</v>
      </c>
      <c r="AJ53" s="371">
        <f t="shared" si="14"/>
        <v>2.25</v>
      </c>
      <c r="AK53" s="371">
        <f t="shared" si="15"/>
        <v>2.25</v>
      </c>
      <c r="AL53" s="357">
        <f>MAX('Турнирная таблица по Алфавиту'!T55:CA55)</f>
        <v>21</v>
      </c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</row>
    <row r="54">
      <c r="A54" s="369" t="s">
        <v>128</v>
      </c>
      <c r="B54" s="356">
        <f t="shared" si="1"/>
        <v>15</v>
      </c>
      <c r="C54" s="357">
        <f>'Турнирная таблица по Алфавиту'!E56</f>
        <v>57.75</v>
      </c>
      <c r="D54" s="358">
        <f>'Турнирная таблица по Алфавиту'!F56</f>
        <v>19.25</v>
      </c>
      <c r="E54" s="359">
        <f>COUNTIFS('Все игры'!A$3:A1000,A54,'Все игры'!F$3:F1000,"=1")</f>
        <v>0</v>
      </c>
      <c r="F54" s="359">
        <f>COUNTIFS('Все игры'!A$3:A1000,A54,'Все игры'!F$3:F1000,"=0,50")</f>
        <v>1</v>
      </c>
      <c r="G54" s="359">
        <f>COUNTIFS('Все игры'!A$3:A1000,A54,'Все игры'!G$3:G1000,"&gt;0")</f>
        <v>1</v>
      </c>
      <c r="H54" s="360">
        <f t="shared" si="2"/>
        <v>0.1111111111</v>
      </c>
      <c r="I54" s="361">
        <f>COUNTIFS('Все игры'!A$3:A1000,A54,'Все игры'!E$3:E1000,"У/Победа")</f>
        <v>2</v>
      </c>
      <c r="J54" s="361">
        <f>COUNTIFS('Все игры'!A$3:A1000,A54,'Все игры'!E$3:E1000,"У/Проигрыш")</f>
        <v>3</v>
      </c>
      <c r="K54" s="362">
        <f t="shared" si="3"/>
        <v>9</v>
      </c>
      <c r="L54" s="356">
        <f t="shared" si="4"/>
        <v>6</v>
      </c>
      <c r="M54" s="356">
        <f>COUNTIFS('Все игры'!A$3:A1000,A54,'Все игры'!C$3:C1000,"&gt;0",'Все игры'!B$3:B1000,"Мафия")</f>
        <v>1</v>
      </c>
      <c r="N54" s="356">
        <f>IFERROR(__xludf.DUMMYFUNCTION("COUNTBLANK(FILTER('Все игры'!A$3:C1000,'Все игры'!A$3:A1000=A54,'Все игры'!C$3:C1000 &lt; 1,'Все игры'!B$3:B1000=""Мафия""))"),2.0)</f>
        <v>2</v>
      </c>
      <c r="O54" s="356">
        <f>COUNTIFS('Все игры'!A$3:A1000,A54,'Все игры'!C$3:C1000,"&gt;0",'Все игры'!B$3:B1000,"Шериф")</f>
        <v>0</v>
      </c>
      <c r="P54" s="363">
        <f>IFERROR(__xludf.DUMMYFUNCTION("COUNTBLANK(FILTER('Все игры'!A$3:C1000,'Все игры'!A$3:A1000=A54,'Все игры'!C$3:C1000 &lt; 1,'Все игры'!B$3:B1000=""Шериф""))"),0.0)</f>
        <v>0</v>
      </c>
      <c r="Q54" s="356">
        <f>COUNTIFS('Все игры'!A$3:A1000,A54,'Все игры'!C$3:C1000,"&gt;0",'Все игры'!B$3:B1000,"Дон")</f>
        <v>0</v>
      </c>
      <c r="R54" s="356">
        <f>IFERROR(__xludf.DUMMYFUNCTION("COUNTBLANK(FILTER('Все игры'!A$3:C1000,'Все игры'!A$3:A1000=A54,'Все игры'!C$3:C1000 &lt; 1,'Все игры'!B$3:B1000=""Дон""))"),3.0)</f>
        <v>3</v>
      </c>
      <c r="S54" s="356">
        <f>COUNTIFS('Все игры'!A$3:A1000,A54,'Все игры'!C$3:C1000,"&gt;0",'Все игры'!B$3:B1000,"Мирный")</f>
        <v>7</v>
      </c>
      <c r="T54" s="364">
        <f>IFERROR(__xludf.DUMMYFUNCTION("COUNTBLANK(FILTER('Все игры'!A$3:C1000,'Все игры'!A$3:A1000=A54,'Все игры'!C$3:C1000 &lt; 1,'Все игры'!B$3:B1000=""Мирный""))"),2.0)</f>
        <v>2</v>
      </c>
      <c r="U54" s="365">
        <f t="shared" si="16"/>
        <v>0.5333333333</v>
      </c>
      <c r="V54" s="366">
        <f t="shared" si="5"/>
        <v>0.7777777778</v>
      </c>
      <c r="W54" s="366">
        <f t="shared" si="6"/>
        <v>0.1666666667</v>
      </c>
      <c r="X54" s="366">
        <f t="shared" si="7"/>
        <v>0.3333333333</v>
      </c>
      <c r="Y54" s="366">
        <f t="shared" si="8"/>
        <v>0</v>
      </c>
      <c r="Z54" s="366">
        <f t="shared" si="9"/>
        <v>0</v>
      </c>
      <c r="AA54" s="367">
        <f t="shared" si="10"/>
        <v>0.7777777778</v>
      </c>
      <c r="AB54" s="357">
        <f>SUMIFS('Все игры'!D$3:D1000,'Все игры'!A$3:A1000,A54)</f>
        <v>36.75</v>
      </c>
      <c r="AC54" s="357">
        <f>SUMIFS('Все игры'!D$3:D1000,'Все игры'!A$3:A1000,A54,'Все игры'!B$3:B1000,"Мафия")</f>
        <v>7.5</v>
      </c>
      <c r="AD54" s="368">
        <f>SUMIFS('Все игры'!D$3:D1000,'Все игры'!A$3:A1000,A54,'Все игры'!B$3:B1000,"Шериф")</f>
        <v>0</v>
      </c>
      <c r="AE54" s="357">
        <f>SUMIFS('Все игры'!D$3:D1000,'Все игры'!A$3:A1000,A54,'Все игры'!B$3:B1000,"Дон")</f>
        <v>4.25</v>
      </c>
      <c r="AF54" s="358">
        <f>SUMIFS('Все игры'!D$3:D1000,'Все игры'!A$3:A1000,A54,'Все игры'!B$3:B1000,"Мирный")</f>
        <v>25</v>
      </c>
      <c r="AG54" s="357">
        <f t="shared" si="11"/>
        <v>2.45</v>
      </c>
      <c r="AH54" s="357">
        <f t="shared" si="12"/>
        <v>2.5</v>
      </c>
      <c r="AI54" s="357">
        <f t="shared" si="13"/>
        <v>0</v>
      </c>
      <c r="AJ54" s="357">
        <f t="shared" si="14"/>
        <v>1.416666667</v>
      </c>
      <c r="AK54" s="357">
        <f t="shared" si="15"/>
        <v>2.777777778</v>
      </c>
      <c r="AL54" s="357">
        <f>MAX('Турнирная таблица по Алфавиту'!T56:CA56)</f>
        <v>20.75</v>
      </c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/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</row>
    <row r="55">
      <c r="A55" s="369" t="s">
        <v>129</v>
      </c>
      <c r="B55" s="370">
        <f t="shared" si="1"/>
        <v>15</v>
      </c>
      <c r="C55" s="371">
        <f>'Турнирная таблица по Алфавиту'!E57</f>
        <v>57.5</v>
      </c>
      <c r="D55" s="372">
        <f>'Турнирная таблица по Алфавиту'!F57</f>
        <v>19.16666667</v>
      </c>
      <c r="E55" s="373">
        <f>COUNTIFS('Все игры'!A$3:A1000,A55,'Все игры'!F$3:F1000,"=1")</f>
        <v>0</v>
      </c>
      <c r="F55" s="373">
        <f>COUNTIFS('Все игры'!A$3:A1000,A55,'Все игры'!F$3:F1000,"=0,50")</f>
        <v>0</v>
      </c>
      <c r="G55" s="373">
        <f>COUNTIFS('Все игры'!A$3:A1000,A55,'Все игры'!G$3:G1000,"&gt;0")</f>
        <v>1</v>
      </c>
      <c r="H55" s="374">
        <f t="shared" si="2"/>
        <v>0.1111111111</v>
      </c>
      <c r="I55" s="375">
        <f>COUNTIFS('Все игры'!A$3:A1000,A55,'Все игры'!E$3:E1000,"У/Победа")</f>
        <v>2</v>
      </c>
      <c r="J55" s="375">
        <f>COUNTIFS('Все игры'!A$3:A1000,A55,'Все игры'!E$3:E1000,"У/Проигрыш")</f>
        <v>1</v>
      </c>
      <c r="K55" s="376">
        <f t="shared" si="3"/>
        <v>9</v>
      </c>
      <c r="L55" s="370">
        <f t="shared" si="4"/>
        <v>6</v>
      </c>
      <c r="M55" s="370">
        <f>COUNTIFS('Все игры'!A$3:A1000,A55,'Все игры'!C$3:C1000,"&gt;0",'Все игры'!B$3:B1000,"Мафия")</f>
        <v>3</v>
      </c>
      <c r="N55" s="370">
        <f>IFERROR(__xludf.DUMMYFUNCTION("COUNTBLANK(FILTER('Все игры'!A$3:C1000,'Все игры'!A$3:A1000=A55,'Все игры'!C$3:C1000 &lt; 1,'Все игры'!B$3:B1000=""Мафия""))"),1.0)</f>
        <v>1</v>
      </c>
      <c r="O55" s="370">
        <f>COUNTIFS('Все игры'!A$3:A1000,A55,'Все игры'!C$3:C1000,"&gt;0",'Все игры'!B$3:B1000,"Шериф")</f>
        <v>0</v>
      </c>
      <c r="P55" s="377">
        <f>IFERROR(__xludf.DUMMYFUNCTION("COUNTBLANK(FILTER('Все игры'!A$3:C1000,'Все игры'!A$3:A1000=A55,'Все игры'!C$3:C1000 &lt; 1,'Все игры'!B$3:B1000=""Шериф""))"),2.0)</f>
        <v>2</v>
      </c>
      <c r="Q55" s="370">
        <f>COUNTIFS('Все игры'!A$3:A1000,A55,'Все игры'!C$3:C1000,"&gt;0",'Все игры'!B$3:B1000,"Дон")</f>
        <v>0</v>
      </c>
      <c r="R55" s="370">
        <f>IFERROR(__xludf.DUMMYFUNCTION("COUNTBLANK(FILTER('Все игры'!A$3:C1000,'Все игры'!A$3:A1000=A55,'Все игры'!C$3:C1000 &lt; 1,'Все игры'!B$3:B1000=""Дон""))"),2.0)</f>
        <v>2</v>
      </c>
      <c r="S55" s="370">
        <f>COUNTIFS('Все игры'!A$3:A1000,A55,'Все игры'!C$3:C1000,"&gt;0",'Все игры'!B$3:B1000,"Мирный")</f>
        <v>4</v>
      </c>
      <c r="T55" s="378">
        <f>IFERROR(__xludf.DUMMYFUNCTION("COUNTBLANK(FILTER('Все игры'!A$3:C1000,'Все игры'!A$3:A1000=A55,'Все игры'!C$3:C1000 &lt; 1,'Все игры'!B$3:B1000=""Мирный""))"),3.0)</f>
        <v>3</v>
      </c>
      <c r="U55" s="379">
        <f t="shared" si="16"/>
        <v>0.4666666667</v>
      </c>
      <c r="V55" s="380">
        <f t="shared" si="5"/>
        <v>0.4444444444</v>
      </c>
      <c r="W55" s="380">
        <f t="shared" si="6"/>
        <v>0.5</v>
      </c>
      <c r="X55" s="380">
        <f t="shared" si="7"/>
        <v>0.75</v>
      </c>
      <c r="Y55" s="380">
        <f t="shared" si="8"/>
        <v>0</v>
      </c>
      <c r="Z55" s="380">
        <f t="shared" si="9"/>
        <v>0</v>
      </c>
      <c r="AA55" s="381">
        <f t="shared" si="10"/>
        <v>0.5714285714</v>
      </c>
      <c r="AB55" s="371">
        <f>SUMIFS('Все игры'!D$3:D1000,'Все игры'!A$3:A1000,A55)</f>
        <v>39.5</v>
      </c>
      <c r="AC55" s="371">
        <f>SUMIFS('Все игры'!D$3:D1000,'Все игры'!A$3:A1000,A55,'Все игры'!B$3:B1000,"Мафия")</f>
        <v>13.25</v>
      </c>
      <c r="AD55" s="382">
        <f>SUMIFS('Все игры'!D$3:D1000,'Все игры'!A$3:A1000,A55,'Все игры'!B$3:B1000,"Шериф")</f>
        <v>4.5</v>
      </c>
      <c r="AE55" s="371">
        <f>SUMIFS('Все игры'!D$3:D1000,'Все игры'!A$3:A1000,A55,'Все игры'!B$3:B1000,"Дон")</f>
        <v>4</v>
      </c>
      <c r="AF55" s="372">
        <f>SUMIFS('Все игры'!D$3:D1000,'Все игры'!A$3:A1000,A55,'Все игры'!B$3:B1000,"Мирный")</f>
        <v>17.75</v>
      </c>
      <c r="AG55" s="371">
        <f t="shared" si="11"/>
        <v>2.633333333</v>
      </c>
      <c r="AH55" s="371">
        <f t="shared" si="12"/>
        <v>3.3125</v>
      </c>
      <c r="AI55" s="371">
        <f t="shared" si="13"/>
        <v>2.25</v>
      </c>
      <c r="AJ55" s="371">
        <f t="shared" si="14"/>
        <v>2</v>
      </c>
      <c r="AK55" s="371">
        <f t="shared" si="15"/>
        <v>2.535714286</v>
      </c>
      <c r="AL55" s="357">
        <f>MAX('Турнирная таблица по Алфавиту'!T57:CA57)</f>
        <v>25.25</v>
      </c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/>
      <c r="BL55" s="357"/>
      <c r="BM55" s="357"/>
    </row>
    <row r="56">
      <c r="A56" s="369" t="s">
        <v>130</v>
      </c>
      <c r="B56" s="356">
        <f t="shared" si="1"/>
        <v>0</v>
      </c>
      <c r="C56" s="357">
        <f>'Турнирная таблица по Алфавиту'!E58</f>
        <v>0</v>
      </c>
      <c r="D56" s="358" t="str">
        <f>'Турнирная таблица по Алфавиту'!F58</f>
        <v/>
      </c>
      <c r="E56" s="359">
        <f>COUNTIFS('Все игры'!A$3:A1000,A56,'Все игры'!F$3:F1000,"=1")</f>
        <v>0</v>
      </c>
      <c r="F56" s="359">
        <f>COUNTIFS('Все игры'!A$3:A1000,A56,'Все игры'!F$3:F1000,"=0,50")</f>
        <v>0</v>
      </c>
      <c r="G56" s="359">
        <f>COUNTIFS('Все игры'!A$3:A1000,A56,'Все игры'!G$3:G1000,"&gt;0")</f>
        <v>0</v>
      </c>
      <c r="H56" s="360">
        <f t="shared" si="2"/>
        <v>0</v>
      </c>
      <c r="I56" s="361">
        <f>COUNTIFS('Все игры'!A$3:A1000,A56,'Все игры'!E$3:E1000,"У/Победа")</f>
        <v>0</v>
      </c>
      <c r="J56" s="361">
        <f>COUNTIFS('Все игры'!A$3:A1000,A56,'Все игры'!E$3:E1000,"У/Проигрыш")</f>
        <v>0</v>
      </c>
      <c r="K56" s="362">
        <f t="shared" si="3"/>
        <v>0</v>
      </c>
      <c r="L56" s="356">
        <f t="shared" si="4"/>
        <v>0</v>
      </c>
      <c r="M56" s="356">
        <f>COUNTIFS('Все игры'!A$3:A1000,A56,'Все игры'!C$3:C1000,"&gt;0",'Все игры'!B$3:B1000,"Мафия")</f>
        <v>0</v>
      </c>
      <c r="N56" s="356">
        <f>IFERROR(__xludf.DUMMYFUNCTION("COUNTBLANK(FILTER('Все игры'!A$3:C1000,'Все игры'!A$3:A1000=A56,'Все игры'!C$3:C1000 &lt; 1,'Все игры'!B$3:B1000=""Мафия""))"),0.0)</f>
        <v>0</v>
      </c>
      <c r="O56" s="356">
        <f>COUNTIFS('Все игры'!A$3:A1000,A56,'Все игры'!C$3:C1000,"&gt;0",'Все игры'!B$3:B1000,"Шериф")</f>
        <v>0</v>
      </c>
      <c r="P56" s="363">
        <f>IFERROR(__xludf.DUMMYFUNCTION("COUNTBLANK(FILTER('Все игры'!A$3:C1000,'Все игры'!A$3:A1000=A56,'Все игры'!C$3:C1000 &lt; 1,'Все игры'!B$3:B1000=""Шериф""))"),0.0)</f>
        <v>0</v>
      </c>
      <c r="Q56" s="356">
        <f>COUNTIFS('Все игры'!A$3:A1000,A56,'Все игры'!C$3:C1000,"&gt;0",'Все игры'!B$3:B1000,"Дон")</f>
        <v>0</v>
      </c>
      <c r="R56" s="356">
        <f>IFERROR(__xludf.DUMMYFUNCTION("COUNTBLANK(FILTER('Все игры'!A$3:C1000,'Все игры'!A$3:A1000=A56,'Все игры'!C$3:C1000 &lt; 1,'Все игры'!B$3:B1000=""Дон""))"),0.0)</f>
        <v>0</v>
      </c>
      <c r="S56" s="356">
        <f>COUNTIFS('Все игры'!A$3:A1000,A56,'Все игры'!C$3:C1000,"&gt;0",'Все игры'!B$3:B1000,"Мирный")</f>
        <v>0</v>
      </c>
      <c r="T56" s="364">
        <f>IFERROR(__xludf.DUMMYFUNCTION("COUNTBLANK(FILTER('Все игры'!A$3:C1000,'Все игры'!A$3:A1000=A56,'Все игры'!C$3:C1000 &lt; 1,'Все игры'!B$3:B1000=""Мирный""))"),0.0)</f>
        <v>0</v>
      </c>
      <c r="U56" s="365">
        <f t="shared" si="16"/>
        <v>0</v>
      </c>
      <c r="V56" s="366">
        <f t="shared" si="5"/>
        <v>0</v>
      </c>
      <c r="W56" s="366">
        <f t="shared" si="6"/>
        <v>0</v>
      </c>
      <c r="X56" s="366">
        <f t="shared" si="7"/>
        <v>0</v>
      </c>
      <c r="Y56" s="366">
        <f t="shared" si="8"/>
        <v>0</v>
      </c>
      <c r="Z56" s="366">
        <f t="shared" si="9"/>
        <v>0</v>
      </c>
      <c r="AA56" s="367">
        <f t="shared" si="10"/>
        <v>0</v>
      </c>
      <c r="AB56" s="357">
        <f>SUMIFS('Все игры'!D$3:D1000,'Все игры'!A$3:A1000,A56)</f>
        <v>0</v>
      </c>
      <c r="AC56" s="357">
        <f>SUMIFS('Все игры'!D$3:D1000,'Все игры'!A$3:A1000,A56,'Все игры'!B$3:B1000,"Мафия")</f>
        <v>0</v>
      </c>
      <c r="AD56" s="368">
        <f>SUMIFS('Все игры'!D$3:D1000,'Все игры'!A$3:A1000,A56,'Все игры'!B$3:B1000,"Шериф")</f>
        <v>0</v>
      </c>
      <c r="AE56" s="357">
        <f>SUMIFS('Все игры'!D$3:D1000,'Все игры'!A$3:A1000,A56,'Все игры'!B$3:B1000,"Дон")</f>
        <v>0</v>
      </c>
      <c r="AF56" s="358">
        <f>SUMIFS('Все игры'!D$3:D1000,'Все игры'!A$3:A1000,A56,'Все игры'!B$3:B1000,"Мирный")</f>
        <v>0</v>
      </c>
      <c r="AG56" s="357">
        <f t="shared" si="11"/>
        <v>0</v>
      </c>
      <c r="AH56" s="357">
        <f t="shared" si="12"/>
        <v>0</v>
      </c>
      <c r="AI56" s="357">
        <f t="shared" si="13"/>
        <v>0</v>
      </c>
      <c r="AJ56" s="357">
        <f t="shared" si="14"/>
        <v>0</v>
      </c>
      <c r="AK56" s="357">
        <f t="shared" si="15"/>
        <v>0</v>
      </c>
      <c r="AL56" s="357">
        <f>MAX('Турнирная таблица по Алфавиту'!T58:CA58)</f>
        <v>0</v>
      </c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</row>
    <row r="57">
      <c r="A57" s="369" t="s">
        <v>131</v>
      </c>
      <c r="B57" s="370">
        <f t="shared" si="1"/>
        <v>20</v>
      </c>
      <c r="C57" s="371">
        <f>'Турнирная таблица по Алфавиту'!E59</f>
        <v>72.25</v>
      </c>
      <c r="D57" s="372">
        <f>'Турнирная таблица по Алфавиту'!F59</f>
        <v>18.0625</v>
      </c>
      <c r="E57" s="373">
        <f>COUNTIFS('Все игры'!A$3:A1000,A57,'Все игры'!F$3:F1000,"=1")</f>
        <v>0</v>
      </c>
      <c r="F57" s="373">
        <f>COUNTIFS('Все игры'!A$3:A1000,A57,'Все игры'!F$3:F1000,"=0,50")</f>
        <v>1</v>
      </c>
      <c r="G57" s="373">
        <f>COUNTIFS('Все игры'!A$3:A1000,A57,'Все игры'!G$3:G1000,"&gt;0")</f>
        <v>2</v>
      </c>
      <c r="H57" s="374">
        <f t="shared" si="2"/>
        <v>0.1176470588</v>
      </c>
      <c r="I57" s="375">
        <f>COUNTIFS('Все игры'!A$3:A1000,A57,'Все игры'!E$3:E1000,"У/Победа")</f>
        <v>2</v>
      </c>
      <c r="J57" s="375">
        <f>COUNTIFS('Все игры'!A$3:A1000,A57,'Все игры'!E$3:E1000,"У/Проигрыш")</f>
        <v>2</v>
      </c>
      <c r="K57" s="376">
        <f t="shared" si="3"/>
        <v>17</v>
      </c>
      <c r="L57" s="370">
        <f t="shared" si="4"/>
        <v>3</v>
      </c>
      <c r="M57" s="370">
        <f>COUNTIFS('Все игры'!A$3:A1000,A57,'Все игры'!C$3:C1000,"&gt;0",'Все игры'!B$3:B1000,"Мафия")</f>
        <v>2</v>
      </c>
      <c r="N57" s="370">
        <f>IFERROR(__xludf.DUMMYFUNCTION("COUNTBLANK(FILTER('Все игры'!A$3:C1000,'Все игры'!A$3:A1000=A57,'Все игры'!C$3:C1000 &lt; 1,'Все игры'!B$3:B1000=""Мафия""))"),1.0)</f>
        <v>1</v>
      </c>
      <c r="O57" s="370">
        <f>COUNTIFS('Все игры'!A$3:A1000,A57,'Все игры'!C$3:C1000,"&gt;0",'Все игры'!B$3:B1000,"Шериф")</f>
        <v>0</v>
      </c>
      <c r="P57" s="377">
        <f>IFERROR(__xludf.DUMMYFUNCTION("COUNTBLANK(FILTER('Все игры'!A$3:C1000,'Все игры'!A$3:A1000=A57,'Все игры'!C$3:C1000 &lt; 1,'Все игры'!B$3:B1000=""Шериф""))"),1.0)</f>
        <v>1</v>
      </c>
      <c r="Q57" s="370">
        <f>COUNTIFS('Все игры'!A$3:A1000,A57,'Все игры'!C$3:C1000,"&gt;0",'Все игры'!B$3:B1000,"Дон")</f>
        <v>0</v>
      </c>
      <c r="R57" s="370">
        <f>IFERROR(__xludf.DUMMYFUNCTION("COUNTBLANK(FILTER('Все игры'!A$3:C1000,'Все игры'!A$3:A1000=A57,'Все игры'!C$3:C1000 &lt; 1,'Все игры'!B$3:B1000=""Дон""))"),0.0)</f>
        <v>0</v>
      </c>
      <c r="S57" s="370">
        <f>COUNTIFS('Все игры'!A$3:A1000,A57,'Все игры'!C$3:C1000,"&gt;0",'Все игры'!B$3:B1000,"Мирный")</f>
        <v>5</v>
      </c>
      <c r="T57" s="378">
        <f>IFERROR(__xludf.DUMMYFUNCTION("COUNTBLANK(FILTER('Все игры'!A$3:C1000,'Все игры'!A$3:A1000=A57,'Все игры'!C$3:C1000 &lt; 1,'Все игры'!B$3:B1000=""Мирный""))"),11.0)</f>
        <v>11</v>
      </c>
      <c r="U57" s="379">
        <f t="shared" si="16"/>
        <v>0.35</v>
      </c>
      <c r="V57" s="380">
        <f t="shared" si="5"/>
        <v>0.2941176471</v>
      </c>
      <c r="W57" s="380">
        <f t="shared" si="6"/>
        <v>0.6666666667</v>
      </c>
      <c r="X57" s="380">
        <f t="shared" si="7"/>
        <v>0.6666666667</v>
      </c>
      <c r="Y57" s="380">
        <f t="shared" si="8"/>
        <v>0</v>
      </c>
      <c r="Z57" s="380">
        <f t="shared" si="9"/>
        <v>0</v>
      </c>
      <c r="AA57" s="381">
        <f t="shared" si="10"/>
        <v>0.3125</v>
      </c>
      <c r="AB57" s="371">
        <f>SUMIFS('Все игры'!D$3:D1000,'Все игры'!A$3:A1000,A57)</f>
        <v>53.25</v>
      </c>
      <c r="AC57" s="371">
        <f>SUMIFS('Все игры'!D$3:D1000,'Все игры'!A$3:A1000,A57,'Все игры'!B$3:B1000,"Мафия")</f>
        <v>8.5</v>
      </c>
      <c r="AD57" s="382">
        <f>SUMIFS('Все игры'!D$3:D1000,'Все игры'!A$3:A1000,A57,'Все игры'!B$3:B1000,"Шериф")</f>
        <v>2</v>
      </c>
      <c r="AE57" s="371">
        <f>SUMIFS('Все игры'!D$3:D1000,'Все игры'!A$3:A1000,A57,'Все игры'!B$3:B1000,"Дон")</f>
        <v>0</v>
      </c>
      <c r="AF57" s="372">
        <f>SUMIFS('Все игры'!D$3:D1000,'Все игры'!A$3:A1000,A57,'Все игры'!B$3:B1000,"Мирный")</f>
        <v>42.75</v>
      </c>
      <c r="AG57" s="371">
        <f t="shared" si="11"/>
        <v>2.6625</v>
      </c>
      <c r="AH57" s="371">
        <f t="shared" si="12"/>
        <v>2.833333333</v>
      </c>
      <c r="AI57" s="371">
        <f t="shared" si="13"/>
        <v>2</v>
      </c>
      <c r="AJ57" s="371">
        <f t="shared" si="14"/>
        <v>0</v>
      </c>
      <c r="AK57" s="371">
        <f t="shared" si="15"/>
        <v>2.671875</v>
      </c>
      <c r="AL57" s="357">
        <f>MAX('Турнирная таблица по Алфавиту'!T59:CA59)</f>
        <v>23.25</v>
      </c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7"/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</row>
    <row r="58">
      <c r="A58" s="369" t="s">
        <v>132</v>
      </c>
      <c r="B58" s="356">
        <f t="shared" si="1"/>
        <v>15</v>
      </c>
      <c r="C58" s="357">
        <f>'Турнирная таблица по Алфавиту'!E60</f>
        <v>58.75</v>
      </c>
      <c r="D58" s="358">
        <f>'Турнирная таблица по Алфавиту'!F60</f>
        <v>19.58333333</v>
      </c>
      <c r="E58" s="359">
        <f>COUNTIFS('Все игры'!A$3:A1000,A58,'Все игры'!F$3:F1000,"=1")</f>
        <v>0</v>
      </c>
      <c r="F58" s="359">
        <f>COUNTIFS('Все игры'!A$3:A1000,A58,'Все игры'!F$3:F1000,"=0,50")</f>
        <v>0</v>
      </c>
      <c r="G58" s="359">
        <f>COUNTIFS('Все игры'!A$3:A1000,A58,'Все игры'!G$3:G1000,"&gt;0")</f>
        <v>1</v>
      </c>
      <c r="H58" s="360">
        <f t="shared" si="2"/>
        <v>0.1</v>
      </c>
      <c r="I58" s="361">
        <f>COUNTIFS('Все игры'!A$3:A1000,A58,'Все игры'!E$3:E1000,"У/Победа")</f>
        <v>2</v>
      </c>
      <c r="J58" s="361">
        <f>COUNTIFS('Все игры'!A$3:A1000,A58,'Все игры'!E$3:E1000,"У/Проигрыш")</f>
        <v>1</v>
      </c>
      <c r="K58" s="362">
        <f t="shared" si="3"/>
        <v>10</v>
      </c>
      <c r="L58" s="356">
        <f t="shared" si="4"/>
        <v>5</v>
      </c>
      <c r="M58" s="356">
        <f>COUNTIFS('Все игры'!A$3:A1000,A58,'Все игры'!C$3:C1000,"&gt;0",'Все игры'!B$3:B1000,"Мафия")</f>
        <v>2</v>
      </c>
      <c r="N58" s="356">
        <f>IFERROR(__xludf.DUMMYFUNCTION("COUNTBLANK(FILTER('Все игры'!A$3:C1000,'Все игры'!A$3:A1000=A58,'Все игры'!C$3:C1000 &lt; 1,'Все игры'!B$3:B1000=""Мафия""))"),1.0)</f>
        <v>1</v>
      </c>
      <c r="O58" s="356">
        <f>COUNTIFS('Все игры'!A$3:A1000,A58,'Все игры'!C$3:C1000,"&gt;0",'Все игры'!B$3:B1000,"Шериф")</f>
        <v>0</v>
      </c>
      <c r="P58" s="363">
        <f>IFERROR(__xludf.DUMMYFUNCTION("COUNTBLANK(FILTER('Все игры'!A$3:C1000,'Все игры'!A$3:A1000=A58,'Все игры'!C$3:C1000 &lt; 1,'Все игры'!B$3:B1000=""Шериф""))"),1.0)</f>
        <v>1</v>
      </c>
      <c r="Q58" s="356">
        <f>COUNTIFS('Все игры'!A$3:A1000,A58,'Все игры'!C$3:C1000,"&gt;0",'Все игры'!B$3:B1000,"Дон")</f>
        <v>1</v>
      </c>
      <c r="R58" s="356">
        <f>IFERROR(__xludf.DUMMYFUNCTION("COUNTBLANK(FILTER('Все игры'!A$3:C1000,'Все игры'!A$3:A1000=A58,'Все игры'!C$3:C1000 &lt; 1,'Все игры'!B$3:B1000=""Дон""))"),1.0)</f>
        <v>1</v>
      </c>
      <c r="S58" s="356">
        <f>COUNTIFS('Все игры'!A$3:A1000,A58,'Все игры'!C$3:C1000,"&gt;0",'Все игры'!B$3:B1000,"Мирный")</f>
        <v>3</v>
      </c>
      <c r="T58" s="364">
        <f>IFERROR(__xludf.DUMMYFUNCTION("COUNTBLANK(FILTER('Все игры'!A$3:C1000,'Все игры'!A$3:A1000=A58,'Все игры'!C$3:C1000 &lt; 1,'Все игры'!B$3:B1000=""Мирный""))"),6.0)</f>
        <v>6</v>
      </c>
      <c r="U58" s="365">
        <f t="shared" si="16"/>
        <v>0.4</v>
      </c>
      <c r="V58" s="366">
        <f t="shared" si="5"/>
        <v>0.3</v>
      </c>
      <c r="W58" s="366">
        <f t="shared" si="6"/>
        <v>0.6</v>
      </c>
      <c r="X58" s="366">
        <f t="shared" si="7"/>
        <v>0.6666666667</v>
      </c>
      <c r="Y58" s="366">
        <f t="shared" si="8"/>
        <v>0</v>
      </c>
      <c r="Z58" s="366">
        <f t="shared" si="9"/>
        <v>0.5</v>
      </c>
      <c r="AA58" s="367">
        <f t="shared" si="10"/>
        <v>0.3333333333</v>
      </c>
      <c r="AB58" s="357">
        <f>SUMIFS('Все игры'!D$3:D1000,'Все игры'!A$3:A1000,A58)</f>
        <v>43.25</v>
      </c>
      <c r="AC58" s="357">
        <f>SUMIFS('Все игры'!D$3:D1000,'Все игры'!A$3:A1000,A58,'Все игры'!B$3:B1000,"Мафия")</f>
        <v>11.5</v>
      </c>
      <c r="AD58" s="368">
        <f>SUMIFS('Все игры'!D$3:D1000,'Все игры'!A$3:A1000,A58,'Все игры'!B$3:B1000,"Шериф")</f>
        <v>2.25</v>
      </c>
      <c r="AE58" s="357">
        <f>SUMIFS('Все игры'!D$3:D1000,'Все игры'!A$3:A1000,A58,'Все игры'!B$3:B1000,"Дон")</f>
        <v>5.5</v>
      </c>
      <c r="AF58" s="358">
        <f>SUMIFS('Все игры'!D$3:D1000,'Все игры'!A$3:A1000,A58,'Все игры'!B$3:B1000,"Мирный")</f>
        <v>24</v>
      </c>
      <c r="AG58" s="357">
        <f t="shared" si="11"/>
        <v>2.883333333</v>
      </c>
      <c r="AH58" s="357">
        <f t="shared" si="12"/>
        <v>3.833333333</v>
      </c>
      <c r="AI58" s="357">
        <f t="shared" si="13"/>
        <v>2.25</v>
      </c>
      <c r="AJ58" s="357">
        <f t="shared" si="14"/>
        <v>2.75</v>
      </c>
      <c r="AK58" s="357">
        <f t="shared" si="15"/>
        <v>2.666666667</v>
      </c>
      <c r="AL58" s="357">
        <f>MAX('Турнирная таблица по Алфавиту'!T60:CA60)</f>
        <v>22.25</v>
      </c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/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</row>
    <row r="59" ht="19.5" customHeight="1">
      <c r="A59" s="369" t="s">
        <v>133</v>
      </c>
      <c r="B59" s="370">
        <f t="shared" si="1"/>
        <v>10</v>
      </c>
      <c r="C59" s="371">
        <f>'Турнирная таблица по Алфавиту'!E61</f>
        <v>32.5</v>
      </c>
      <c r="D59" s="372">
        <f>'Турнирная таблица по Алфавиту'!F61</f>
        <v>16.25</v>
      </c>
      <c r="E59" s="373">
        <f>COUNTIFS('Все игры'!A$3:A1000,A59,'Все игры'!F$3:F1000,"=1")</f>
        <v>0</v>
      </c>
      <c r="F59" s="373">
        <f>COUNTIFS('Все игры'!A$3:A1000,A59,'Все игры'!F$3:F1000,"=0,50")</f>
        <v>0</v>
      </c>
      <c r="G59" s="373">
        <f>COUNTIFS('Все игры'!A$3:A1000,A59,'Все игры'!G$3:G1000,"&gt;0")</f>
        <v>1</v>
      </c>
      <c r="H59" s="374">
        <f t="shared" si="2"/>
        <v>0.1666666667</v>
      </c>
      <c r="I59" s="375">
        <f>COUNTIFS('Все игры'!A$3:A1000,A59,'Все игры'!E$3:E1000,"У/Победа")</f>
        <v>0</v>
      </c>
      <c r="J59" s="375">
        <f>COUNTIFS('Все игры'!A$3:A1000,A59,'Все игры'!E$3:E1000,"У/Проигрыш")</f>
        <v>1</v>
      </c>
      <c r="K59" s="376">
        <f t="shared" si="3"/>
        <v>6</v>
      </c>
      <c r="L59" s="370">
        <f t="shared" si="4"/>
        <v>4</v>
      </c>
      <c r="M59" s="370">
        <f>COUNTIFS('Все игры'!A$3:A1000,A59,'Все игры'!C$3:C1000,"&gt;0",'Все игры'!B$3:B1000,"Мафия")</f>
        <v>1</v>
      </c>
      <c r="N59" s="370">
        <f>IFERROR(__xludf.DUMMYFUNCTION("COUNTBLANK(FILTER('Все игры'!A$3:C1000,'Все игры'!A$3:A1000=A59,'Все игры'!C$3:C1000 &lt; 1,'Все игры'!B$3:B1000=""Мафия""))"),2.0)</f>
        <v>2</v>
      </c>
      <c r="O59" s="370">
        <f>COUNTIFS('Все игры'!A$3:A1000,A59,'Все игры'!C$3:C1000,"&gt;0",'Все игры'!B$3:B1000,"Шериф")</f>
        <v>1</v>
      </c>
      <c r="P59" s="377">
        <f>IFERROR(__xludf.DUMMYFUNCTION("COUNTBLANK(FILTER('Все игры'!A$3:C1000,'Все игры'!A$3:A1000=A59,'Все игры'!C$3:C1000 &lt; 1,'Все игры'!B$3:B1000=""Шериф""))"),0.0)</f>
        <v>0</v>
      </c>
      <c r="Q59" s="370">
        <f>COUNTIFS('Все игры'!A$3:A1000,A59,'Все игры'!C$3:C1000,"&gt;0",'Все игры'!B$3:B1000,"Дон")</f>
        <v>0</v>
      </c>
      <c r="R59" s="370">
        <f>IFERROR(__xludf.DUMMYFUNCTION("COUNTBLANK(FILTER('Все игры'!A$3:C1000,'Все игры'!A$3:A1000=A59,'Все игры'!C$3:C1000 &lt; 1,'Все игры'!B$3:B1000=""Дон""))"),1.0)</f>
        <v>1</v>
      </c>
      <c r="S59" s="370">
        <f>COUNTIFS('Все игры'!A$3:A1000,A59,'Все игры'!C$3:C1000,"&gt;0",'Все игры'!B$3:B1000,"Мирный")</f>
        <v>0</v>
      </c>
      <c r="T59" s="378">
        <f>IFERROR(__xludf.DUMMYFUNCTION("COUNTBLANK(FILTER('Все игры'!A$3:C1000,'Все игры'!A$3:A1000=A59,'Все игры'!C$3:C1000 &lt; 1,'Все игры'!B$3:B1000=""Мирный""))"),5.0)</f>
        <v>5</v>
      </c>
      <c r="U59" s="379">
        <f t="shared" si="16"/>
        <v>0.2</v>
      </c>
      <c r="V59" s="380">
        <f t="shared" si="5"/>
        <v>0.1666666667</v>
      </c>
      <c r="W59" s="380">
        <f t="shared" si="6"/>
        <v>0.25</v>
      </c>
      <c r="X59" s="380">
        <f t="shared" si="7"/>
        <v>0.3333333333</v>
      </c>
      <c r="Y59" s="380">
        <f t="shared" si="8"/>
        <v>1</v>
      </c>
      <c r="Z59" s="380">
        <f t="shared" si="9"/>
        <v>0</v>
      </c>
      <c r="AA59" s="381">
        <f t="shared" si="10"/>
        <v>0</v>
      </c>
      <c r="AB59" s="371">
        <f>SUMIFS('Все игры'!D$3:D1000,'Все игры'!A$3:A1000,A59)</f>
        <v>27</v>
      </c>
      <c r="AC59" s="371">
        <f>SUMIFS('Все игры'!D$3:D1000,'Все игры'!A$3:A1000,A59,'Все игры'!B$3:B1000,"Мафия")</f>
        <v>8.75</v>
      </c>
      <c r="AD59" s="371">
        <f>SUMIFS('Все игры'!D$3:D1000,'Все игры'!A$3:A1000,A59,'Все игры'!B$3:B1000,"Шериф")</f>
        <v>4</v>
      </c>
      <c r="AE59" s="371">
        <f>SUMIFS('Все игры'!D$3:D1000,'Все игры'!A$3:A1000,A59,'Все игры'!B$3:B1000,"Дон")</f>
        <v>2.75</v>
      </c>
      <c r="AF59" s="371">
        <f>SUMIFS('Все игры'!D$3:D1000,'Все игры'!A$3:A1000,A59,'Все игры'!B$3:B1000,"Мирный")</f>
        <v>11.5</v>
      </c>
      <c r="AG59" s="371">
        <f t="shared" si="11"/>
        <v>2.7</v>
      </c>
      <c r="AH59" s="371">
        <f t="shared" si="12"/>
        <v>2.916666667</v>
      </c>
      <c r="AI59" s="371">
        <f t="shared" si="13"/>
        <v>4</v>
      </c>
      <c r="AJ59" s="371">
        <f t="shared" si="14"/>
        <v>2.75</v>
      </c>
      <c r="AK59" s="371">
        <f t="shared" si="15"/>
        <v>2.3</v>
      </c>
      <c r="AL59" s="357">
        <f>MAX('Турнирная таблица по Алфавиту'!T61:CA61)</f>
        <v>16.5</v>
      </c>
      <c r="AM59" s="356"/>
      <c r="AN59" s="356"/>
      <c r="AO59" s="356"/>
      <c r="AP59" s="356"/>
      <c r="AQ59" s="356"/>
      <c r="AR59" s="357"/>
      <c r="AS59" s="356"/>
      <c r="AT59" s="356"/>
      <c r="AU59" s="356"/>
      <c r="AV59" s="356"/>
      <c r="AW59" s="365"/>
      <c r="AX59" s="366"/>
      <c r="AY59" s="366"/>
      <c r="AZ59" s="366"/>
      <c r="BA59" s="366"/>
      <c r="BB59" s="366"/>
      <c r="BC59" s="366"/>
      <c r="BD59" s="357"/>
      <c r="BE59" s="357"/>
      <c r="BF59" s="368"/>
      <c r="BG59" s="357"/>
      <c r="BH59" s="357"/>
      <c r="BI59" s="357"/>
      <c r="BJ59" s="357"/>
      <c r="BK59" s="357"/>
      <c r="BL59" s="357"/>
      <c r="BM59" s="357"/>
    </row>
    <row r="60">
      <c r="A60" s="369" t="s">
        <v>134</v>
      </c>
      <c r="B60" s="356">
        <f t="shared" si="1"/>
        <v>5</v>
      </c>
      <c r="C60" s="357">
        <f>'Турнирная таблица по Алфавиту'!E62</f>
        <v>18.75</v>
      </c>
      <c r="D60" s="358">
        <f>'Турнирная таблица по Алфавиту'!F62</f>
        <v>18.75</v>
      </c>
      <c r="E60" s="359">
        <f>COUNTIFS('Все игры'!A$3:A1000,A60,'Все игры'!F$3:F1000,"=1")</f>
        <v>0</v>
      </c>
      <c r="F60" s="359">
        <f>COUNTIFS('Все игры'!A$3:A1000,A60,'Все игры'!F$3:F1000,"=0,50")</f>
        <v>0</v>
      </c>
      <c r="G60" s="359">
        <f>COUNTIFS('Все игры'!A$3:A1000,A60,'Все игры'!G$3:G1000,"&gt;0")</f>
        <v>0</v>
      </c>
      <c r="H60" s="360">
        <f t="shared" si="2"/>
        <v>0</v>
      </c>
      <c r="I60" s="361">
        <f>COUNTIFS('Все игры'!A$3:A1000,A60,'Все игры'!E$3:E1000,"У/Победа")</f>
        <v>2</v>
      </c>
      <c r="J60" s="361">
        <f>COUNTIFS('Все игры'!A$3:A1000,A60,'Все игры'!E$3:E1000,"У/Проигрыш")</f>
        <v>0</v>
      </c>
      <c r="K60" s="362">
        <f t="shared" si="3"/>
        <v>4</v>
      </c>
      <c r="L60" s="356">
        <f t="shared" si="4"/>
        <v>1</v>
      </c>
      <c r="M60" s="356">
        <f>COUNTIFS('Все игры'!A$3:A1000,A60,'Все игры'!C$3:C1000,"&gt;0",'Все игры'!B$3:B1000,"Мафия")</f>
        <v>1</v>
      </c>
      <c r="N60" s="356">
        <f>IFERROR(__xludf.DUMMYFUNCTION("COUNTBLANK(FILTER('Все игры'!A$3:C1000,'Все игры'!A$3:A1000=A60,'Все игры'!C$3:C1000 &lt; 1,'Все игры'!B$3:B1000=""Мафия""))"),0.0)</f>
        <v>0</v>
      </c>
      <c r="O60" s="356">
        <f>COUNTIFS('Все игры'!A$3:A1000,A60,'Все игры'!C$3:C1000,"&gt;0",'Все игры'!B$3:B1000,"Шериф")</f>
        <v>0</v>
      </c>
      <c r="P60" s="363">
        <f>IFERROR(__xludf.DUMMYFUNCTION("COUNTBLANK(FILTER('Все игры'!A$3:C1000,'Все игры'!A$3:A1000=A60,'Все игры'!C$3:C1000 &lt; 1,'Все игры'!B$3:B1000=""Шериф""))"),1.0)</f>
        <v>1</v>
      </c>
      <c r="Q60" s="356">
        <f>COUNTIFS('Все игры'!A$3:A1000,A60,'Все игры'!C$3:C1000,"&gt;0",'Все игры'!B$3:B1000,"Дон")</f>
        <v>0</v>
      </c>
      <c r="R60" s="356">
        <f>IFERROR(__xludf.DUMMYFUNCTION("COUNTBLANK(FILTER('Все игры'!A$3:C1000,'Все игры'!A$3:A1000=A60,'Все игры'!C$3:C1000 &lt; 1,'Все игры'!B$3:B1000=""Дон""))"),0.0)</f>
        <v>0</v>
      </c>
      <c r="S60" s="356">
        <f>COUNTIFS('Все игры'!A$3:A1000,A60,'Все игры'!C$3:C1000,"&gt;0",'Все игры'!B$3:B1000,"Мирный")</f>
        <v>1</v>
      </c>
      <c r="T60" s="364">
        <f>IFERROR(__xludf.DUMMYFUNCTION("COUNTBLANK(FILTER('Все игры'!A$3:C1000,'Все игры'!A$3:A1000=A60,'Все игры'!C$3:C1000 &lt; 1,'Все игры'!B$3:B1000=""Мирный""))"),2.0)</f>
        <v>2</v>
      </c>
      <c r="U60" s="365">
        <f t="shared" si="16"/>
        <v>0.4</v>
      </c>
      <c r="V60" s="366">
        <f t="shared" si="5"/>
        <v>0.25</v>
      </c>
      <c r="W60" s="366">
        <f t="shared" si="6"/>
        <v>1</v>
      </c>
      <c r="X60" s="366">
        <f t="shared" si="7"/>
        <v>1</v>
      </c>
      <c r="Y60" s="366">
        <f t="shared" si="8"/>
        <v>0</v>
      </c>
      <c r="Z60" s="366">
        <f t="shared" si="9"/>
        <v>0</v>
      </c>
      <c r="AA60" s="367">
        <f t="shared" si="10"/>
        <v>0.3333333333</v>
      </c>
      <c r="AB60" s="357">
        <f>SUMIFS('Все игры'!D$3:D1000,'Все игры'!A$3:A1000,A60)</f>
        <v>13.75</v>
      </c>
      <c r="AC60" s="357">
        <f>SUMIFS('Все игры'!D$3:D1000,'Все игры'!A$3:A1000,A60,'Все игры'!B$3:B1000,"Мафия")</f>
        <v>4</v>
      </c>
      <c r="AD60" s="368">
        <f>SUMIFS('Все игры'!D$3:D1000,'Все игры'!A$3:A1000,A60,'Все игры'!B$3:B1000,"Шериф")</f>
        <v>2.5</v>
      </c>
      <c r="AE60" s="357">
        <f>SUMIFS('Все игры'!D$3:D1000,'Все игры'!A$3:A1000,A60,'Все игры'!B$3:B1000,"Дон")</f>
        <v>0</v>
      </c>
      <c r="AF60" s="358">
        <f>SUMIFS('Все игры'!D$3:D1000,'Все игры'!A$3:A1000,A60,'Все игры'!B$3:B1000,"Мирный")</f>
        <v>7.25</v>
      </c>
      <c r="AG60" s="357">
        <f t="shared" si="11"/>
        <v>2.75</v>
      </c>
      <c r="AH60" s="357">
        <f t="shared" si="12"/>
        <v>4</v>
      </c>
      <c r="AI60" s="357">
        <f t="shared" si="13"/>
        <v>2.5</v>
      </c>
      <c r="AJ60" s="357">
        <f t="shared" si="14"/>
        <v>0</v>
      </c>
      <c r="AK60" s="357">
        <f t="shared" si="15"/>
        <v>2.416666667</v>
      </c>
      <c r="AL60" s="357">
        <f>MAX('Турнирная таблица по Алфавиту'!T62:CA62)</f>
        <v>18.75</v>
      </c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</row>
    <row r="61">
      <c r="A61" s="383" t="s">
        <v>135</v>
      </c>
      <c r="B61" s="370">
        <f t="shared" si="1"/>
        <v>10</v>
      </c>
      <c r="C61" s="371">
        <f>'Турнирная таблица по Алфавиту'!E63</f>
        <v>37</v>
      </c>
      <c r="D61" s="372">
        <f>'Турнирная таблица по Алфавиту'!F63</f>
        <v>18.5</v>
      </c>
      <c r="E61" s="373">
        <f>COUNTIFS('Все игры'!A$3:A1000,A61,'Все игры'!F$3:F1000,"=1")</f>
        <v>0</v>
      </c>
      <c r="F61" s="373">
        <f>COUNTIFS('Все игры'!A$3:A1000,A61,'Все игры'!F$3:F1000,"=0,50")</f>
        <v>0</v>
      </c>
      <c r="G61" s="373">
        <f>COUNTIFS('Все игры'!A$3:A1000,A61,'Все игры'!G$3:G1000,"&gt;0")</f>
        <v>0</v>
      </c>
      <c r="H61" s="374">
        <f t="shared" si="2"/>
        <v>0</v>
      </c>
      <c r="I61" s="375">
        <f>COUNTIFS('Все игры'!A$3:A1000,A61,'Все игры'!E$3:E1000,"У/Победа")</f>
        <v>2</v>
      </c>
      <c r="J61" s="375">
        <f>COUNTIFS('Все игры'!A$3:A1000,A61,'Все игры'!E$3:E1000,"У/Проигрыш")</f>
        <v>0</v>
      </c>
      <c r="K61" s="376">
        <f t="shared" si="3"/>
        <v>7</v>
      </c>
      <c r="L61" s="370">
        <f t="shared" si="4"/>
        <v>3</v>
      </c>
      <c r="M61" s="370">
        <f>COUNTIFS('Все игры'!A$3:A1000,A61,'Все игры'!C$3:C1000,"&gt;0",'Все игры'!B$3:B1000,"Мафия")</f>
        <v>1</v>
      </c>
      <c r="N61" s="370">
        <f>IFERROR(__xludf.DUMMYFUNCTION("COUNTBLANK(FILTER('Все игры'!A$3:C1000,'Все игры'!A$3:A1000=A61,'Все игры'!C$3:C1000 &lt; 1,'Все игры'!B$3:B1000=""Мафия""))"),2.0)</f>
        <v>2</v>
      </c>
      <c r="O61" s="370">
        <f>COUNTIFS('Все игры'!A$3:A1000,A61,'Все игры'!C$3:C1000,"&gt;0",'Все игры'!B$3:B1000,"Шериф")</f>
        <v>0</v>
      </c>
      <c r="P61" s="377">
        <f>IFERROR(__xludf.DUMMYFUNCTION("COUNTBLANK(FILTER('Все игры'!A$3:C1000,'Все игры'!A$3:A1000=A61,'Все игры'!C$3:C1000 &lt; 1,'Все игры'!B$3:B1000=""Шериф""))"),0.0)</f>
        <v>0</v>
      </c>
      <c r="Q61" s="370">
        <f>COUNTIFS('Все игры'!A$3:A1000,A61,'Все игры'!C$3:C1000,"&gt;0",'Все игры'!B$3:B1000,"Дон")</f>
        <v>0</v>
      </c>
      <c r="R61" s="370">
        <f>IFERROR(__xludf.DUMMYFUNCTION("COUNTBLANK(FILTER('Все игры'!A$3:C1000,'Все игры'!A$3:A1000=A61,'Все игры'!C$3:C1000 &lt; 1,'Все игры'!B$3:B1000=""Дон""))"),0.0)</f>
        <v>0</v>
      </c>
      <c r="S61" s="370">
        <f>COUNTIFS('Все игры'!A$3:A1000,A61,'Все игры'!C$3:C1000,"&gt;0",'Все игры'!B$3:B1000,"Мирный")</f>
        <v>4</v>
      </c>
      <c r="T61" s="378">
        <f>IFERROR(__xludf.DUMMYFUNCTION("COUNTBLANK(FILTER('Все игры'!A$3:C1000,'Все игры'!A$3:A1000=A61,'Все игры'!C$3:C1000 &lt; 1,'Все игры'!B$3:B1000=""Мирный""))"),3.0)</f>
        <v>3</v>
      </c>
      <c r="U61" s="379">
        <f t="shared" si="16"/>
        <v>0.5</v>
      </c>
      <c r="V61" s="380">
        <f t="shared" si="5"/>
        <v>0.5714285714</v>
      </c>
      <c r="W61" s="380">
        <f t="shared" si="6"/>
        <v>0.3333333333</v>
      </c>
      <c r="X61" s="380">
        <f t="shared" si="7"/>
        <v>0.3333333333</v>
      </c>
      <c r="Y61" s="380">
        <f t="shared" si="8"/>
        <v>0</v>
      </c>
      <c r="Z61" s="380">
        <f t="shared" si="9"/>
        <v>0</v>
      </c>
      <c r="AA61" s="381">
        <f t="shared" si="10"/>
        <v>0.5714285714</v>
      </c>
      <c r="AB61" s="371">
        <f>SUMIFS('Все игры'!D$3:D1000,'Все игры'!A$3:A1000,A61)</f>
        <v>24.5</v>
      </c>
      <c r="AC61" s="371">
        <f>SUMIFS('Все игры'!D$3:D1000,'Все игры'!A$3:A1000,A61,'Все игры'!B$3:B1000,"Мафия")</f>
        <v>8.25</v>
      </c>
      <c r="AD61" s="382">
        <f>SUMIFS('Все игры'!D$3:D1000,'Все игры'!A$3:A1000,A61,'Все игры'!B$3:B1000,"Шериф")</f>
        <v>0</v>
      </c>
      <c r="AE61" s="371">
        <f>SUMIFS('Все игры'!D$3:D1000,'Все игры'!A$3:A1000,A61,'Все игры'!B$3:B1000,"Дон")</f>
        <v>0</v>
      </c>
      <c r="AF61" s="372">
        <f>SUMIFS('Все игры'!D$3:D1000,'Все игры'!A$3:A1000,A61,'Все игры'!B$3:B1000,"Мирный")</f>
        <v>16.25</v>
      </c>
      <c r="AG61" s="371">
        <f t="shared" si="11"/>
        <v>2.45</v>
      </c>
      <c r="AH61" s="371">
        <f t="shared" si="12"/>
        <v>2.75</v>
      </c>
      <c r="AI61" s="371">
        <f t="shared" si="13"/>
        <v>0</v>
      </c>
      <c r="AJ61" s="371">
        <f t="shared" si="14"/>
        <v>0</v>
      </c>
      <c r="AK61" s="371">
        <f t="shared" si="15"/>
        <v>2.321428571</v>
      </c>
      <c r="AL61" s="357">
        <f>MAX('Турнирная таблица по Алфавиту'!T63:CA63)</f>
        <v>19</v>
      </c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</row>
    <row r="62">
      <c r="A62" s="369" t="s">
        <v>136</v>
      </c>
      <c r="B62" s="356">
        <f t="shared" si="1"/>
        <v>15</v>
      </c>
      <c r="C62" s="357">
        <f>'Турнирная таблица по Алфавиту'!E64</f>
        <v>65.5</v>
      </c>
      <c r="D62" s="358">
        <f>'Турнирная таблица по Алфавиту'!F64</f>
        <v>21.83333333</v>
      </c>
      <c r="E62" s="359">
        <f>COUNTIFS('Все игры'!A$3:A1000,A62,'Все игры'!F$3:F1000,"=1")</f>
        <v>0</v>
      </c>
      <c r="F62" s="359">
        <f>COUNTIFS('Все игры'!A$3:A1000,A62,'Все игры'!F$3:F1000,"=0,50")</f>
        <v>0</v>
      </c>
      <c r="G62" s="359">
        <f>COUNTIFS('Все игры'!A$3:A1000,A62,'Все игры'!G$3:G1000,"&gt;0")</f>
        <v>0</v>
      </c>
      <c r="H62" s="360">
        <f t="shared" si="2"/>
        <v>0</v>
      </c>
      <c r="I62" s="361">
        <f>COUNTIFS('Все игры'!A$3:A1000,A62,'Все игры'!E$3:E1000,"У/Победа")</f>
        <v>2</v>
      </c>
      <c r="J62" s="361">
        <f>COUNTIFS('Все игры'!A$3:A1000,A62,'Все игры'!E$3:E1000,"У/Проигрыш")</f>
        <v>0</v>
      </c>
      <c r="K62" s="362">
        <f t="shared" si="3"/>
        <v>14</v>
      </c>
      <c r="L62" s="356">
        <f t="shared" si="4"/>
        <v>1</v>
      </c>
      <c r="M62" s="356">
        <f>COUNTIFS('Все игры'!A$3:A1000,A62,'Все игры'!C$3:C1000,"&gt;0",'Все игры'!B$3:B1000,"Мафия")</f>
        <v>0</v>
      </c>
      <c r="N62" s="356">
        <f>IFERROR(__xludf.DUMMYFUNCTION("COUNTBLANK(FILTER('Все игры'!A$3:C1000,'Все игры'!A$3:A1000=A62,'Все игры'!C$3:C1000 &lt; 1,'Все игры'!B$3:B1000=""Мафия""))"),0.0)</f>
        <v>0</v>
      </c>
      <c r="O62" s="356">
        <f>COUNTIFS('Все игры'!A$3:A1000,A62,'Все игры'!C$3:C1000,"&gt;0",'Все игры'!B$3:B1000,"Шериф")</f>
        <v>3</v>
      </c>
      <c r="P62" s="363">
        <f>IFERROR(__xludf.DUMMYFUNCTION("COUNTBLANK(FILTER('Все игры'!A$3:C1000,'Все игры'!A$3:A1000=A62,'Все игры'!C$3:C1000 &lt; 1,'Все игры'!B$3:B1000=""Шериф""))"),0.0)</f>
        <v>0</v>
      </c>
      <c r="Q62" s="356">
        <f>COUNTIFS('Все игры'!A$3:A1000,A62,'Все игры'!C$3:C1000,"&gt;0",'Все игры'!B$3:B1000,"Дон")</f>
        <v>1</v>
      </c>
      <c r="R62" s="356">
        <f>IFERROR(__xludf.DUMMYFUNCTION("COUNTBLANK(FILTER('Все игры'!A$3:C1000,'Все игры'!A$3:A1000=A62,'Все игры'!C$3:C1000 &lt; 1,'Все игры'!B$3:B1000=""Дон""))"),0.0)</f>
        <v>0</v>
      </c>
      <c r="S62" s="356">
        <f>COUNTIFS('Все игры'!A$3:A1000,A62,'Все игры'!C$3:C1000,"&gt;0",'Все игры'!B$3:B1000,"Мирный")</f>
        <v>5</v>
      </c>
      <c r="T62" s="364">
        <f>IFERROR(__xludf.DUMMYFUNCTION("COUNTBLANK(FILTER('Все игры'!A$3:C1000,'Все игры'!A$3:A1000=A62,'Все игры'!C$3:C1000 &lt; 1,'Все игры'!B$3:B1000=""Мирный""))"),6.0)</f>
        <v>6</v>
      </c>
      <c r="U62" s="365">
        <f t="shared" si="16"/>
        <v>0.6</v>
      </c>
      <c r="V62" s="366">
        <f t="shared" si="5"/>
        <v>0.5714285714</v>
      </c>
      <c r="W62" s="366">
        <f t="shared" si="6"/>
        <v>1</v>
      </c>
      <c r="X62" s="366">
        <f t="shared" si="7"/>
        <v>0</v>
      </c>
      <c r="Y62" s="366">
        <f t="shared" si="8"/>
        <v>1</v>
      </c>
      <c r="Z62" s="366">
        <f t="shared" si="9"/>
        <v>1</v>
      </c>
      <c r="AA62" s="367">
        <f t="shared" si="10"/>
        <v>0.4545454545</v>
      </c>
      <c r="AB62" s="357">
        <f>SUMIFS('Все игры'!D$3:D1000,'Все игры'!A$3:A1000,A62)</f>
        <v>43</v>
      </c>
      <c r="AC62" s="357">
        <f>SUMIFS('Все игры'!D$3:D1000,'Все игры'!A$3:A1000,A62,'Все игры'!B$3:B1000,"Мафия")</f>
        <v>0</v>
      </c>
      <c r="AD62" s="368">
        <f>SUMIFS('Все игры'!D$3:D1000,'Все игры'!A$3:A1000,A62,'Все игры'!B$3:B1000,"Шериф")</f>
        <v>9</v>
      </c>
      <c r="AE62" s="357">
        <f>SUMIFS('Все игры'!D$3:D1000,'Все игры'!A$3:A1000,A62,'Все игры'!B$3:B1000,"Дон")</f>
        <v>2</v>
      </c>
      <c r="AF62" s="358">
        <f>SUMIFS('Все игры'!D$3:D1000,'Все игры'!A$3:A1000,A62,'Все игры'!B$3:B1000,"Мирный")</f>
        <v>32</v>
      </c>
      <c r="AG62" s="357">
        <f t="shared" si="11"/>
        <v>2.866666667</v>
      </c>
      <c r="AH62" s="357">
        <f t="shared" si="12"/>
        <v>0</v>
      </c>
      <c r="AI62" s="357">
        <f t="shared" si="13"/>
        <v>3</v>
      </c>
      <c r="AJ62" s="357">
        <f t="shared" si="14"/>
        <v>2</v>
      </c>
      <c r="AK62" s="357">
        <f t="shared" si="15"/>
        <v>2.909090909</v>
      </c>
      <c r="AL62" s="357">
        <f>MAX('Турнирная таблица по Алфавиту'!T64:CA64)</f>
        <v>27.75</v>
      </c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/>
      <c r="BK62" s="357"/>
      <c r="BL62" s="357"/>
      <c r="BM62" s="357"/>
    </row>
    <row r="63">
      <c r="A63" s="383" t="s">
        <v>137</v>
      </c>
      <c r="B63" s="356">
        <f t="shared" si="1"/>
        <v>10</v>
      </c>
      <c r="C63" s="357">
        <f>'Турнирная таблица по Алфавиту'!E65</f>
        <v>33.5</v>
      </c>
      <c r="D63" s="358">
        <f>'Турнирная таблица по Алфавиту'!F65</f>
        <v>16.75</v>
      </c>
      <c r="E63" s="359">
        <f>COUNTIFS('Все игры'!A$3:A1000,A63,'Все игры'!F$3:F1000,"=1")</f>
        <v>0</v>
      </c>
      <c r="F63" s="359">
        <f>COUNTIFS('Все игры'!A$3:A1000,A63,'Все игры'!F$3:F1000,"=0,50")</f>
        <v>0</v>
      </c>
      <c r="G63" s="359">
        <f>COUNTIFS('Все игры'!A$3:A1000,A63,'Все игры'!G$3:G1000,"&gt;0")</f>
        <v>0</v>
      </c>
      <c r="H63" s="360">
        <f t="shared" si="2"/>
        <v>0</v>
      </c>
      <c r="I63" s="361">
        <f>COUNTIFS('Все игры'!A$3:A1000,A63,'Все игры'!E$3:E1000,"У/Победа")</f>
        <v>1</v>
      </c>
      <c r="J63" s="361">
        <f>COUNTIFS('Все игры'!A$3:A1000,A63,'Все игры'!E$3:E1000,"У/Проигрыш")</f>
        <v>0</v>
      </c>
      <c r="K63" s="362">
        <f t="shared" si="3"/>
        <v>7</v>
      </c>
      <c r="L63" s="356">
        <f t="shared" si="4"/>
        <v>3</v>
      </c>
      <c r="M63" s="356">
        <f>COUNTIFS('Все игры'!A$3:A1000,A63,'Все игры'!C$3:C1000,"&gt;0",'Все игры'!B$3:B1000,"Мафия")</f>
        <v>1</v>
      </c>
      <c r="N63" s="356">
        <f>IFERROR(__xludf.DUMMYFUNCTION("COUNTBLANK(FILTER('Все игры'!A$3:C1000,'Все игры'!A$3:A1000=A63,'Все игры'!C$3:C1000 &lt; 1,'Все игры'!B$3:B1000=""Мафия""))"),2.0)</f>
        <v>2</v>
      </c>
      <c r="O63" s="356">
        <f>COUNTIFS('Все игры'!A$3:A1000,A63,'Все игры'!C$3:C1000,"&gt;0",'Все игры'!B$3:B1000,"Шериф")</f>
        <v>1</v>
      </c>
      <c r="P63" s="363">
        <f>IFERROR(__xludf.DUMMYFUNCTION("COUNTBLANK(FILTER('Все игры'!A$3:C1000,'Все игры'!A$3:A1000=A63,'Все игры'!C$3:C1000 &lt; 1,'Все игры'!B$3:B1000=""Шериф""))"),2.0)</f>
        <v>2</v>
      </c>
      <c r="Q63" s="356">
        <f>COUNTIFS('Все игры'!A$3:A1000,A63,'Все игры'!C$3:C1000,"&gt;0",'Все игры'!B$3:B1000,"Дон")</f>
        <v>0</v>
      </c>
      <c r="R63" s="356">
        <f>IFERROR(__xludf.DUMMYFUNCTION("COUNTBLANK(FILTER('Все игры'!A$3:C1000,'Все игры'!A$3:A1000=A63,'Все игры'!C$3:C1000 &lt; 1,'Все игры'!B$3:B1000=""Дон""))"),0.0)</f>
        <v>0</v>
      </c>
      <c r="S63" s="356">
        <f>COUNTIFS('Все игры'!A$3:A1000,A63,'Все игры'!C$3:C1000,"&gt;0",'Все игры'!B$3:B1000,"Мирный")</f>
        <v>1</v>
      </c>
      <c r="T63" s="364">
        <f>IFERROR(__xludf.DUMMYFUNCTION("COUNTBLANK(FILTER('Все игры'!A$3:C1000,'Все игры'!A$3:A1000=A63,'Все игры'!C$3:C1000 &lt; 1,'Все игры'!B$3:B1000=""Мирный""))"),3.0)</f>
        <v>3</v>
      </c>
      <c r="U63" s="365">
        <f t="shared" si="16"/>
        <v>0.3</v>
      </c>
      <c r="V63" s="366">
        <f t="shared" si="5"/>
        <v>0.2857142857</v>
      </c>
      <c r="W63" s="366">
        <f t="shared" si="6"/>
        <v>0.3333333333</v>
      </c>
      <c r="X63" s="366">
        <f t="shared" si="7"/>
        <v>0.3333333333</v>
      </c>
      <c r="Y63" s="366">
        <f t="shared" si="8"/>
        <v>0.3333333333</v>
      </c>
      <c r="Z63" s="366">
        <f t="shared" si="9"/>
        <v>0</v>
      </c>
      <c r="AA63" s="367">
        <f t="shared" si="10"/>
        <v>0.25</v>
      </c>
      <c r="AB63" s="357">
        <f>SUMIFS('Все игры'!D$3:D1000,'Все игры'!A$3:A1000,A63)</f>
        <v>26</v>
      </c>
      <c r="AC63" s="357">
        <f>SUMIFS('Все игры'!D$3:D1000,'Все игры'!A$3:A1000,A63,'Все игры'!B$3:B1000,"Мафия")</f>
        <v>7.5</v>
      </c>
      <c r="AD63" s="368">
        <f>SUMIFS('Все игры'!D$3:D1000,'Все игры'!A$3:A1000,A63,'Все игры'!B$3:B1000,"Шериф")</f>
        <v>9.75</v>
      </c>
      <c r="AE63" s="357">
        <f>SUMIFS('Все игры'!D$3:D1000,'Все игры'!A$3:A1000,A63,'Все игры'!B$3:B1000,"Дон")</f>
        <v>0</v>
      </c>
      <c r="AF63" s="358">
        <f>SUMIFS('Все игры'!D$3:D1000,'Все игры'!A$3:A1000,A63,'Все игры'!B$3:B1000,"Мирный")</f>
        <v>8.75</v>
      </c>
      <c r="AG63" s="357">
        <f t="shared" si="11"/>
        <v>2.6</v>
      </c>
      <c r="AH63" s="357">
        <f t="shared" si="12"/>
        <v>2.5</v>
      </c>
      <c r="AI63" s="357">
        <f t="shared" si="13"/>
        <v>3.25</v>
      </c>
      <c r="AJ63" s="357">
        <f t="shared" si="14"/>
        <v>0</v>
      </c>
      <c r="AK63" s="357">
        <f t="shared" si="15"/>
        <v>2.1875</v>
      </c>
      <c r="AL63" s="357">
        <f>MAX('Турнирная таблица по Алфавиту'!T65:CA65)</f>
        <v>17.5</v>
      </c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57"/>
      <c r="AZ63" s="357"/>
      <c r="BA63" s="357"/>
      <c r="BB63" s="357"/>
      <c r="BC63" s="357"/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</row>
    <row r="64">
      <c r="A64" s="369" t="s">
        <v>138</v>
      </c>
      <c r="B64" s="370">
        <f t="shared" si="1"/>
        <v>20</v>
      </c>
      <c r="C64" s="371">
        <f>'Турнирная таблица по Алфавиту'!E66</f>
        <v>83.25</v>
      </c>
      <c r="D64" s="372">
        <f>'Турнирная таблица по Алфавиту'!F66</f>
        <v>20.8125</v>
      </c>
      <c r="E64" s="373">
        <f>COUNTIFS('Все игры'!A$3:A1000,A64,'Все игры'!F$3:F1000,"=1")</f>
        <v>0</v>
      </c>
      <c r="F64" s="373">
        <f>COUNTIFS('Все игры'!A$3:A1000,A64,'Все игры'!F$3:F1000,"=0,50")</f>
        <v>0</v>
      </c>
      <c r="G64" s="373">
        <f>COUNTIFS('Все игры'!A$3:A1000,A64,'Все игры'!G$3:G1000,"&gt;0")</f>
        <v>1</v>
      </c>
      <c r="H64" s="374">
        <f t="shared" si="2"/>
        <v>0.07692307692</v>
      </c>
      <c r="I64" s="375">
        <f>COUNTIFS('Все игры'!A$3:A1000,A64,'Все игры'!E$3:E1000,"У/Победа")</f>
        <v>1</v>
      </c>
      <c r="J64" s="375">
        <f>COUNTIFS('Все игры'!A$3:A1000,A64,'Все игры'!E$3:E1000,"У/Проигрыш")</f>
        <v>2</v>
      </c>
      <c r="K64" s="376">
        <f t="shared" si="3"/>
        <v>13</v>
      </c>
      <c r="L64" s="370">
        <f t="shared" si="4"/>
        <v>7</v>
      </c>
      <c r="M64" s="370">
        <f>COUNTIFS('Все игры'!A$3:A1000,A64,'Все игры'!C$3:C1000,"&gt;0",'Все игры'!B$3:B1000,"Мафия")</f>
        <v>3</v>
      </c>
      <c r="N64" s="370">
        <f>IFERROR(__xludf.DUMMYFUNCTION("COUNTBLANK(FILTER('Все игры'!A$3:C1000,'Все игры'!A$3:A1000=A64,'Все игры'!C$3:C1000 &lt; 1,'Все игры'!B$3:B1000=""Мафия""))"),4.0)</f>
        <v>4</v>
      </c>
      <c r="O64" s="370">
        <f>COUNTIFS('Все игры'!A$3:A1000,A64,'Все игры'!C$3:C1000,"&gt;0",'Все игры'!B$3:B1000,"Шериф")</f>
        <v>0</v>
      </c>
      <c r="P64" s="377">
        <f>IFERROR(__xludf.DUMMYFUNCTION("COUNTBLANK(FILTER('Все игры'!A$3:C1000,'Все игры'!A$3:A1000=A64,'Все игры'!C$3:C1000 &lt; 1,'Все игры'!B$3:B1000=""Шериф""))"),0.0)</f>
        <v>0</v>
      </c>
      <c r="Q64" s="370">
        <f>COUNTIFS('Все игры'!A$3:A1000,A64,'Все игры'!C$3:C1000,"&gt;0",'Все игры'!B$3:B1000,"Дон")</f>
        <v>0</v>
      </c>
      <c r="R64" s="370">
        <f>IFERROR(__xludf.DUMMYFUNCTION("COUNTBLANK(FILTER('Все игры'!A$3:C1000,'Все игры'!A$3:A1000=A64,'Все игры'!C$3:C1000 &lt; 1,'Все игры'!B$3:B1000=""Дон""))"),0.0)</f>
        <v>0</v>
      </c>
      <c r="S64" s="370">
        <f>COUNTIFS('Все игры'!A$3:A1000,A64,'Все игры'!C$3:C1000,"&gt;0",'Все игры'!B$3:B1000,"Мирный")</f>
        <v>7</v>
      </c>
      <c r="T64" s="378">
        <f>IFERROR(__xludf.DUMMYFUNCTION("COUNTBLANK(FILTER('Все игры'!A$3:C1000,'Все игры'!A$3:A1000=A64,'Все игры'!C$3:C1000 &lt; 1,'Все игры'!B$3:B1000=""Мирный""))"),6.0)</f>
        <v>6</v>
      </c>
      <c r="U64" s="379">
        <f t="shared" si="16"/>
        <v>0.5</v>
      </c>
      <c r="V64" s="380">
        <f t="shared" si="5"/>
        <v>0.5384615385</v>
      </c>
      <c r="W64" s="380">
        <f t="shared" si="6"/>
        <v>0.4285714286</v>
      </c>
      <c r="X64" s="380">
        <f t="shared" si="7"/>
        <v>0.4285714286</v>
      </c>
      <c r="Y64" s="380">
        <f t="shared" si="8"/>
        <v>0</v>
      </c>
      <c r="Z64" s="380">
        <f t="shared" si="9"/>
        <v>0</v>
      </c>
      <c r="AA64" s="381">
        <f t="shared" si="10"/>
        <v>0.5384615385</v>
      </c>
      <c r="AB64" s="371">
        <f>SUMIFS('Все игры'!D$3:D1000,'Все игры'!A$3:A1000,A64)</f>
        <v>57.75</v>
      </c>
      <c r="AC64" s="371">
        <f>SUMIFS('Все игры'!D$3:D1000,'Все игры'!A$3:A1000,A64,'Все игры'!B$3:B1000,"Мафия")</f>
        <v>19.25</v>
      </c>
      <c r="AD64" s="382">
        <f>SUMIFS('Все игры'!D$3:D1000,'Все игры'!A$3:A1000,A64,'Все игры'!B$3:B1000,"Шериф")</f>
        <v>0</v>
      </c>
      <c r="AE64" s="371">
        <f>SUMIFS('Все игры'!D$3:D1000,'Все игры'!A$3:A1000,A64,'Все игры'!B$3:B1000,"Дон")</f>
        <v>0</v>
      </c>
      <c r="AF64" s="372">
        <f>SUMIFS('Все игры'!D$3:D1000,'Все игры'!A$3:A1000,A64,'Все игры'!B$3:B1000,"Мирный")</f>
        <v>38.5</v>
      </c>
      <c r="AG64" s="371">
        <f t="shared" si="11"/>
        <v>2.8875</v>
      </c>
      <c r="AH64" s="371">
        <f t="shared" si="12"/>
        <v>2.75</v>
      </c>
      <c r="AI64" s="371">
        <f t="shared" si="13"/>
        <v>0</v>
      </c>
      <c r="AJ64" s="371">
        <f t="shared" si="14"/>
        <v>0</v>
      </c>
      <c r="AK64" s="371">
        <f t="shared" si="15"/>
        <v>2.961538462</v>
      </c>
      <c r="AL64" s="357">
        <f>MAX('Турнирная таблица по Алфавиту'!T66:CA66)</f>
        <v>26</v>
      </c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385"/>
      <c r="B5" s="356">
        <f t="shared" ref="B5:B14" si="1">SUM(I5:J5)</f>
        <v>0</v>
      </c>
      <c r="C5" s="359">
        <f>COUNTIFS('Все игры'!AH$3:AH950,A5,'Все игры'!AM$3:AM950,"=1")</f>
        <v>0</v>
      </c>
      <c r="D5" s="359">
        <f>COUNTIFS('Все игры'!AH$3:AH950,A5,'Все игры'!AM$3:AM950,"=0,50")</f>
        <v>0</v>
      </c>
      <c r="E5" s="359">
        <f>COUNTIFS('Все игры'!AH$3:AH950,A5,'Все игры'!AN$3:AN950,"&gt;0")</f>
        <v>0</v>
      </c>
      <c r="F5" s="360">
        <f t="shared" ref="F5:F14" si="2">IFERROR(E5/I5,0)</f>
        <v>0</v>
      </c>
      <c r="G5" s="361">
        <f>COUNTIFS('Все игры'!AH$3:AH950,A5,'Все игры'!AL$3:AL950,"У/Победа")</f>
        <v>0</v>
      </c>
      <c r="H5" s="361">
        <f>COUNTIFS('Все игры'!AH$3:AH950,A5,'Все игры'!AL$3:AL950,"У/Проигрыш")</f>
        <v>0</v>
      </c>
      <c r="I5" s="362">
        <f t="shared" ref="I5:I14" si="3">M5+N5+Q5+R5</f>
        <v>0</v>
      </c>
      <c r="J5" s="356">
        <f t="shared" ref="J5:J14" si="4">K5+L5+O5+P5</f>
        <v>0</v>
      </c>
      <c r="K5" s="356">
        <f>COUNTIFS('Все игры'!AH$3:AH950,A5,'Все игры'!AJ$3:AJ950,"&gt;0",'Все игры'!AI$3:AI950,"Мафия")</f>
        <v>0</v>
      </c>
      <c r="L5" s="356">
        <f>IFERROR(__xludf.DUMMYFUNCTION("COUNTBLANK(FILTER('Все игры'!AH$3:AJ950,'Все игры'!AH$3:AH950=A5,'Все игры'!AJ$3:AJ950 &lt; 1,'Все игры'!AI$3:AI950=""Мафия""))"),0.0)</f>
        <v>0</v>
      </c>
      <c r="M5" s="356">
        <f>COUNTIFS('Все игры'!AH$3:AH950,A5,'Все игры'!AJ$3:AJ950,"&gt;0",'Все игры'!AI$3:AI950,"Шериф")</f>
        <v>0</v>
      </c>
      <c r="N5" s="363">
        <f>IFERROR(__xludf.DUMMYFUNCTION("COUNTBLANK(FILTER('Все игры'!AH$3:AJ950,'Все игры'!AH$3:AH950=A5,'Все игры'!AJ$3:AJ950 &lt; 1,'Все игры'!AI$3:AI950=""Шериф""))"),0.0)</f>
        <v>0</v>
      </c>
      <c r="O5" s="356">
        <f>COUNTIFS('Все игры'!AH$3:AH950,A5,'Все игры'!AJ$3:AJ950,"&gt;0",'Все игры'!AI$3:AI950,"Дон")</f>
        <v>0</v>
      </c>
      <c r="P5" s="363">
        <f>IFERROR(__xludf.DUMMYFUNCTION("COUNTBLANK(FILTER('Все игры'!AH$3:AJ950,'Все игры'!AH$3:AH950=A5,'Все игры'!AJ$3:AJ950 &lt; 1,'Все игры'!AI$3:AI950=""Дон""))"),0.0)</f>
        <v>0</v>
      </c>
      <c r="Q5" s="356">
        <f>COUNTIFS('Все игры'!AH$3:AH950,A5,'Все игры'!AJ$3:AJ950,"&gt;0",'Все игры'!AI$3:AI950,"Мирный")</f>
        <v>0</v>
      </c>
      <c r="R5" s="363">
        <f>IFERROR(__xludf.DUMMYFUNCTION("COUNTBLANK(FILTER('Все игры'!AH$3:AJ950,'Все игры'!AH$3:AH950=A5,'Все игры'!AJ$3:AJ950 &lt; 1,'Все игры'!AI$3:AI950=""Мирный""))"),0.0)</f>
        <v>0</v>
      </c>
      <c r="S5" s="366" t="str">
        <f>IFERROR((K5+M5+O5+Q5)/B5, )</f>
        <v/>
      </c>
      <c r="T5" s="366">
        <f t="shared" ref="T5:T14" si="5">IFERROR(((M5+Q5)/I5),0)</f>
        <v>0</v>
      </c>
      <c r="U5" s="366">
        <f t="shared" ref="U5:U14" si="6">IFERROR(((K5+O5)/J5),0)</f>
        <v>0</v>
      </c>
      <c r="V5" s="366">
        <f t="shared" ref="V5:V14" si="7">IFERROR((K5/(K5+L5)),0)</f>
        <v>0</v>
      </c>
      <c r="W5" s="366">
        <f t="shared" ref="W5:W14" si="8">IFERROR((M5/(M5+N5)),0)</f>
        <v>0</v>
      </c>
      <c r="X5" s="366">
        <f t="shared" ref="X5:X14" si="9">IFERROR((O5/(O5+P5)),0)</f>
        <v>0</v>
      </c>
      <c r="Y5" s="367">
        <f t="shared" ref="Y5:Y14" si="10">IFERROR((Q5/(Q5+R5)),0)</f>
        <v>0</v>
      </c>
      <c r="Z5" s="357">
        <f>SUMIFS('Все игры'!AK$3:AK950,'Все игры'!AH$3:AH950,A5)</f>
        <v>0</v>
      </c>
      <c r="AA5" s="357">
        <f>SUMIFS('Все игры'!AK$3:AK950,'Все игры'!AH$3:AH950,A5,'Все игры'!AI$3:AI950,"Мафия")</f>
        <v>0</v>
      </c>
      <c r="AB5" s="368">
        <f>SUMIFS('Все игры'!AK$3:AK950,'Все игры'!AH$3:AH950,A5,'Все игры'!AI$3:AI950,"Шериф")</f>
        <v>0</v>
      </c>
      <c r="AC5" s="357">
        <f>SUMIFS('Все игры'!AK$3:AK950,'Все игры'!AH$3:AH950,A5,'Все игры'!AI$3:AI950,"Дон")</f>
        <v>0</v>
      </c>
      <c r="AD5" s="358">
        <f>SUMIFS('Все игры'!AK$3:AK950,'Все игры'!AH$3:AH950,A5,'Все игры'!AI$3:AI950,"Мирный")</f>
        <v>0</v>
      </c>
      <c r="AE5" s="357">
        <f t="shared" ref="AE5:AE14" si="11">IFERROR(Z5/B5,0)</f>
        <v>0</v>
      </c>
      <c r="AF5" s="357">
        <f t="shared" ref="AF5:AF14" si="12">IFERROR(AA5/(K5+L5),0)</f>
        <v>0</v>
      </c>
      <c r="AG5" s="357">
        <f t="shared" ref="AG5:AG14" si="13">IFERROR(AB5/(M5+N5),0)</f>
        <v>0</v>
      </c>
      <c r="AH5" s="357">
        <f t="shared" ref="AH5:AH14" si="14">IFERROR(AC5/(O5+P5),0)</f>
        <v>0</v>
      </c>
      <c r="AI5" s="357">
        <f t="shared" ref="AI5:AI14" si="15">IFERROR(AD5/(Q5+R5),0)</f>
        <v>0</v>
      </c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</row>
    <row r="6">
      <c r="A6" s="386"/>
      <c r="B6" s="370">
        <f t="shared" si="1"/>
        <v>0</v>
      </c>
      <c r="C6" s="373">
        <f>COUNTIFS('Все игры'!AH$3:AH950,A6,'Все игры'!AM$3:AM950,"=1")</f>
        <v>0</v>
      </c>
      <c r="D6" s="373">
        <f>COUNTIFS('Все игры'!AH$3:AH950,A6,'Все игры'!AM$3:AM950,"=0,50")</f>
        <v>0</v>
      </c>
      <c r="E6" s="373">
        <f>COUNTIFS('Все игры'!AH$3:AH950,A6,'Все игры'!AN$3:AN950,"&gt;0")</f>
        <v>0</v>
      </c>
      <c r="F6" s="374">
        <f t="shared" si="2"/>
        <v>0</v>
      </c>
      <c r="G6" s="375">
        <f>COUNTIFS('Все игры'!AH$3:AH950,A6,'Все игры'!AL$3:AL950,"У/Победа")</f>
        <v>0</v>
      </c>
      <c r="H6" s="375">
        <f>COUNTIFS('Все игры'!AH$3:AH950,A6,'Все игры'!AL$3:AL950,"У/Проигрыш")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игры'!AH$3:AH950,A6,'Все игры'!AJ$3:AJ950,"&gt;0",'Все игры'!AI$3:AI950,"Мафия")</f>
        <v>0</v>
      </c>
      <c r="L6" s="370">
        <f>IFERROR(__xludf.DUMMYFUNCTION("COUNTBLANK(FILTER('Все игры'!AH$3:AJ950,'Все игры'!AH$3:AH950=A6,'Все игры'!AJ$3:AJ950 &lt; 1,'Все игры'!AI$3:AI950=""Мафия""))"),0.0)</f>
        <v>0</v>
      </c>
      <c r="M6" s="370">
        <f>COUNTIFS('Все игры'!AH$3:AH950,A6,'Все игры'!AJ$3:AJ950,"&gt;0",'Все игры'!AI$3:AI950,"Шериф")</f>
        <v>0</v>
      </c>
      <c r="N6" s="377">
        <f>IFERROR(__xludf.DUMMYFUNCTION("COUNTBLANK(FILTER('Все игры'!AH$3:AJ950,'Все игры'!AH$3:AH950=A6,'Все игры'!AJ$3:AJ950 &lt; 1,'Все игры'!AI$3:AI950=""Шериф""))"),0.0)</f>
        <v>0</v>
      </c>
      <c r="O6" s="370">
        <f>COUNTIFS('Все игры'!AH$3:AH950,A6,'Все игры'!AJ$3:AJ950,"&gt;0",'Все игры'!AI$3:AI950,"Дон")</f>
        <v>0</v>
      </c>
      <c r="P6" s="377">
        <f>IFERROR(__xludf.DUMMYFUNCTION("COUNTBLANK(FILTER('Все игры'!AH$3:AJ950,'Все игры'!AH$3:AH950=A6,'Все игры'!AJ$3:AJ950 &lt; 1,'Все игры'!AI$3:AI950=""Дон""))"),0.0)</f>
        <v>0</v>
      </c>
      <c r="Q6" s="370">
        <f>COUNTIFS('Все игры'!AH$3:AH950,A6,'Все игры'!AJ$3:AJ950,"&gt;0",'Все игры'!AI$3:AI950,"Мирный")</f>
        <v>0</v>
      </c>
      <c r="R6" s="377">
        <f>IFERROR(__xludf.DUMMYFUNCTION("COUNTBLANK(FILTER('Все игры'!AH$3:AJ950,'Все игры'!AH$3:AH950=A6,'Все игры'!AJ$3:AJ950 &lt; 1,'Все игры'!AI$3:AI950=""Мирный""))"),0.0)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игры'!AK$3:AK950,'Все игры'!AH$3:AH950,A6)</f>
        <v>0</v>
      </c>
      <c r="AA6" s="371">
        <f>SUMIFS('Все игры'!AK$3:AK950,'Все игры'!AH$3:AH950,A6,'Все игры'!AI$3:AI950,"Мафия")</f>
        <v>0</v>
      </c>
      <c r="AB6" s="382">
        <f>SUMIFS('Все игры'!AK$3:AK950,'Все игры'!AH$3:AH950,A6,'Все игры'!AI$3:AI950,"Шериф")</f>
        <v>0</v>
      </c>
      <c r="AC6" s="371">
        <f>SUMIFS('Все игры'!AK$3:AK950,'Все игры'!AH$3:AH950,A6,'Все игры'!AI$3:AI950,"Дон")</f>
        <v>0</v>
      </c>
      <c r="AD6" s="372">
        <f>SUMIFS('Все игры'!AK$3:AK950,'Все игры'!AH$3:AH950,A6,'Все игры'!AI$3:AI950,"Мирный")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385"/>
      <c r="B7" s="356">
        <f t="shared" si="1"/>
        <v>0</v>
      </c>
      <c r="C7" s="359">
        <f>COUNTIFS('Все игры'!AH$3:AH950,A7,'Все игры'!AM$3:AM950,"=1")</f>
        <v>0</v>
      </c>
      <c r="D7" s="359">
        <f>COUNTIFS('Все игры'!AH$3:AH950,A7,'Все игры'!AM$3:AM950,"=0,50")</f>
        <v>0</v>
      </c>
      <c r="E7" s="359">
        <f>COUNTIFS('Все игры'!AH$3:AH950,A7,'Все игры'!AN$3:AN950,"&gt;0")</f>
        <v>0</v>
      </c>
      <c r="F7" s="360">
        <f t="shared" si="2"/>
        <v>0</v>
      </c>
      <c r="G7" s="361">
        <f>COUNTIFS('Все игры'!AH$3:AH950,A7,'Все игры'!AL$3:AL950,"У/Победа")</f>
        <v>0</v>
      </c>
      <c r="H7" s="361">
        <f>COUNTIFS('Все игры'!AH$3:AH950,A7,'Все игры'!AL$3:AL950,"У/Проигрыш")</f>
        <v>0</v>
      </c>
      <c r="I7" s="362">
        <f t="shared" si="3"/>
        <v>0</v>
      </c>
      <c r="J7" s="356">
        <f t="shared" si="4"/>
        <v>0</v>
      </c>
      <c r="K7" s="356">
        <f>COUNTIFS('Все игры'!AH$3:AH950,A7,'Все игры'!AJ$3:AJ950,"&gt;0",'Все игры'!AI$3:AI950,"Мафия")</f>
        <v>0</v>
      </c>
      <c r="L7" s="356">
        <f>IFERROR(__xludf.DUMMYFUNCTION("COUNTBLANK(FILTER('Все игры'!AH$3:AJ950,'Все игры'!AH$3:AH950=A7,'Все игры'!AJ$3:AJ950 &lt; 1,'Все игры'!AI$3:AI950=""Мафия""))"),0.0)</f>
        <v>0</v>
      </c>
      <c r="M7" s="356">
        <f>COUNTIFS('Все игры'!AH$3:AH950,A7,'Все игры'!AJ$3:AJ950,"&gt;0",'Все игры'!AI$3:AI950,"Шериф")</f>
        <v>0</v>
      </c>
      <c r="N7" s="363">
        <f>IFERROR(__xludf.DUMMYFUNCTION("COUNTBLANK(FILTER('Все игры'!AH$3:AJ950,'Все игры'!AH$3:AH950=A7,'Все игры'!AJ$3:AJ950 &lt; 1,'Все игры'!AI$3:AI950=""Шериф""))"),0.0)</f>
        <v>0</v>
      </c>
      <c r="O7" s="356">
        <f>COUNTIFS('Все игры'!AH$3:AH950,A7,'Все игры'!AJ$3:AJ950,"&gt;0",'Все игры'!AI$3:AI950,"Дон")</f>
        <v>0</v>
      </c>
      <c r="P7" s="363">
        <f>IFERROR(__xludf.DUMMYFUNCTION("COUNTBLANK(FILTER('Все игры'!AH$3:AJ950,'Все игры'!AH$3:AH950=A7,'Все игры'!AJ$3:AJ950 &lt; 1,'Все игры'!AI$3:AI950=""Дон""))"),0.0)</f>
        <v>0</v>
      </c>
      <c r="Q7" s="356">
        <f>COUNTIFS('Все игры'!AH$3:AH950,A7,'Все игры'!AJ$3:AJ950,"&gt;0",'Все игры'!AI$3:AI950,"Мирный")</f>
        <v>0</v>
      </c>
      <c r="R7" s="363">
        <f>IFERROR(__xludf.DUMMYFUNCTION("COUNTBLANK(FILTER('Все игры'!AH$3:AJ950,'Все игры'!AH$3:AH950=A7,'Все игры'!AJ$3:AJ950 &lt; 1,'Все игры'!AI$3:AI950=""Мирный""))"),0.0)</f>
        <v>0</v>
      </c>
      <c r="S7" s="366">
        <f t="shared" si="16"/>
        <v>0</v>
      </c>
      <c r="T7" s="366">
        <f t="shared" si="5"/>
        <v>0</v>
      </c>
      <c r="U7" s="366">
        <f t="shared" si="6"/>
        <v>0</v>
      </c>
      <c r="V7" s="366">
        <f t="shared" si="7"/>
        <v>0</v>
      </c>
      <c r="W7" s="366">
        <f t="shared" si="8"/>
        <v>0</v>
      </c>
      <c r="X7" s="366">
        <f t="shared" si="9"/>
        <v>0</v>
      </c>
      <c r="Y7" s="367">
        <f t="shared" si="10"/>
        <v>0</v>
      </c>
      <c r="Z7" s="357">
        <f>SUMIFS('Все игры'!AK$3:AK950,'Все игры'!AH$3:AH950,A7)</f>
        <v>0</v>
      </c>
      <c r="AA7" s="357">
        <f>SUMIFS('Все игры'!AK$3:AK950,'Все игры'!AH$3:AH950,A7,'Все игры'!AI$3:AI950,"Мафия")</f>
        <v>0</v>
      </c>
      <c r="AB7" s="368">
        <f>SUMIFS('Все игры'!AK$3:AK950,'Все игры'!AH$3:AH950,A7,'Все игры'!AI$3:AI950,"Шериф")</f>
        <v>0</v>
      </c>
      <c r="AC7" s="357">
        <f>SUMIFS('Все игры'!AK$3:AK950,'Все игры'!AH$3:AH950,A7,'Все игры'!AI$3:AI950,"Дон")</f>
        <v>0</v>
      </c>
      <c r="AD7" s="358">
        <f>SUMIFS('Все игры'!AK$3:AK950,'Все игры'!AH$3:AH950,A7,'Все игры'!AI$3:AI950,"Мирный")</f>
        <v>0</v>
      </c>
      <c r="AE7" s="357">
        <f t="shared" si="11"/>
        <v>0</v>
      </c>
      <c r="AF7" s="357">
        <f t="shared" si="12"/>
        <v>0</v>
      </c>
      <c r="AG7" s="357">
        <f t="shared" si="13"/>
        <v>0</v>
      </c>
      <c r="AH7" s="357">
        <f t="shared" si="14"/>
        <v>0</v>
      </c>
      <c r="AI7" s="357">
        <f t="shared" si="15"/>
        <v>0</v>
      </c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</row>
    <row r="8">
      <c r="A8" s="386"/>
      <c r="B8" s="370">
        <f t="shared" si="1"/>
        <v>0</v>
      </c>
      <c r="C8" s="373">
        <f>COUNTIFS('Все игры'!AH$3:AH950,A8,'Все игры'!AM$3:AM950,"=1")</f>
        <v>0</v>
      </c>
      <c r="D8" s="373">
        <f>COUNTIFS('Все игры'!AH$3:AH950,A8,'Все игры'!AM$3:AM950,"=0,50")</f>
        <v>0</v>
      </c>
      <c r="E8" s="373">
        <f>COUNTIFS('Все игры'!AH$3:AH950,A8,'Все игры'!AN$3:AN950,"&gt;0")</f>
        <v>0</v>
      </c>
      <c r="F8" s="374">
        <f t="shared" si="2"/>
        <v>0</v>
      </c>
      <c r="G8" s="375">
        <f>COUNTIFS('Все игры'!AH$3:AH950,A8,'Все игры'!AL$3:AL950,"У/Победа")</f>
        <v>0</v>
      </c>
      <c r="H8" s="375">
        <f>COUNTIFS('Все игры'!AH$3:AH950,A8,'Все игры'!AL$3:AL950,"У/Проигрыш")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игры'!AH$3:AH950,A8,'Все игры'!AJ$3:AJ950,"&gt;0",'Все игры'!AI$3:AI950,"Мафия")</f>
        <v>0</v>
      </c>
      <c r="L8" s="370">
        <f>IFERROR(__xludf.DUMMYFUNCTION("COUNTBLANK(FILTER('Все игры'!AH$3:AJ950,'Все игры'!AH$3:AH950=A8,'Все игры'!AJ$3:AJ950 &lt; 1,'Все игры'!AI$3:AI950=""Мафия""))"),0.0)</f>
        <v>0</v>
      </c>
      <c r="M8" s="370">
        <f>COUNTIFS('Все игры'!AH$3:AH950,A8,'Все игры'!AJ$3:AJ950,"&gt;0",'Все игры'!AI$3:AI950,"Шериф")</f>
        <v>0</v>
      </c>
      <c r="N8" s="377">
        <f>IFERROR(__xludf.DUMMYFUNCTION("COUNTBLANK(FILTER('Все игры'!AH$3:AJ950,'Все игры'!AH$3:AH950=A8,'Все игры'!AJ$3:AJ950 &lt; 1,'Все игры'!AI$3:AI950=""Шериф""))"),0.0)</f>
        <v>0</v>
      </c>
      <c r="O8" s="370">
        <f>COUNTIFS('Все игры'!AH$3:AH950,A8,'Все игры'!AJ$3:AJ950,"&gt;0",'Все игры'!AI$3:AI950,"Дон")</f>
        <v>0</v>
      </c>
      <c r="P8" s="377">
        <f>IFERROR(__xludf.DUMMYFUNCTION("COUNTBLANK(FILTER('Все игры'!AH$3:AJ950,'Все игры'!AH$3:AH950=A8,'Все игры'!AJ$3:AJ950 &lt; 1,'Все игры'!AI$3:AI950=""Дон""))"),0.0)</f>
        <v>0</v>
      </c>
      <c r="Q8" s="370">
        <f>COUNTIFS('Все игры'!AH$3:AH950,A8,'Все игры'!AJ$3:AJ950,"&gt;0",'Все игры'!AI$3:AI950,"Мирный")</f>
        <v>0</v>
      </c>
      <c r="R8" s="377">
        <f>IFERROR(__xludf.DUMMYFUNCTION("COUNTBLANK(FILTER('Все игры'!AH$3:AJ950,'Все игры'!AH$3:AH950=A8,'Все игры'!AJ$3:AJ950 &lt; 1,'Все игры'!AI$3:AI950=""Мирный""))"),0.0)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игры'!AK$3:AK950,'Все игры'!AH$3:AH950,A8)</f>
        <v>0</v>
      </c>
      <c r="AA8" s="371">
        <f>SUMIFS('Все игры'!AK$3:AK950,'Все игры'!AH$3:AH950,A8,'Все игры'!AI$3:AI950,"Мафия")</f>
        <v>0</v>
      </c>
      <c r="AB8" s="382">
        <f>SUMIFS('Все игры'!AK$3:AK950,'Все игры'!AH$3:AH950,A8,'Все игры'!AI$3:AI950,"Шериф")</f>
        <v>0</v>
      </c>
      <c r="AC8" s="371">
        <f>SUMIFS('Все игры'!AK$3:AK950,'Все игры'!AH$3:AH950,A8,'Все игры'!AI$3:AI950,"Дон")</f>
        <v>0</v>
      </c>
      <c r="AD8" s="372">
        <f>SUMIFS('Все игры'!AK$3:AK950,'Все игры'!AH$3:AH950,A8,'Все игры'!AI$3:AI950,"Мирный")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385"/>
      <c r="B9" s="356">
        <f t="shared" si="1"/>
        <v>0</v>
      </c>
      <c r="C9" s="359">
        <f>COUNTIFS('Все игры'!AH$3:AH950,A9,'Все игры'!AM$3:AM950,"=1")</f>
        <v>0</v>
      </c>
      <c r="D9" s="359">
        <f>COUNTIFS('Все игры'!AH$3:AH950,A9,'Все игры'!AM$3:AM950,"=0,50")</f>
        <v>0</v>
      </c>
      <c r="E9" s="359">
        <f>COUNTIFS('Все игры'!AH$3:AH950,A9,'Все игры'!AN$3:AN950,"&gt;0")</f>
        <v>0</v>
      </c>
      <c r="F9" s="360">
        <f t="shared" si="2"/>
        <v>0</v>
      </c>
      <c r="G9" s="361">
        <f>COUNTIFS('Все игры'!AH$3:AH950,A9,'Все игры'!AL$3:AL950,"У/Победа")</f>
        <v>0</v>
      </c>
      <c r="H9" s="361">
        <f>COUNTIFS('Все игры'!AH$3:AH950,A9,'Все игры'!AL$3:AL950,"У/Проигрыш")</f>
        <v>0</v>
      </c>
      <c r="I9" s="362">
        <f t="shared" si="3"/>
        <v>0</v>
      </c>
      <c r="J9" s="356">
        <f t="shared" si="4"/>
        <v>0</v>
      </c>
      <c r="K9" s="356">
        <f>COUNTIFS('Все игры'!AH$3:AH950,A9,'Все игры'!AJ$3:AJ950,"&gt;0",'Все игры'!AI$3:AI950,"Мафия")</f>
        <v>0</v>
      </c>
      <c r="L9" s="356">
        <f>IFERROR(__xludf.DUMMYFUNCTION("COUNTBLANK(FILTER('Все игры'!AH$3:AJ950,'Все игры'!AH$3:AH950=A9,'Все игры'!AJ$3:AJ950 &lt; 1,'Все игры'!AI$3:AI950=""Мафия""))"),0.0)</f>
        <v>0</v>
      </c>
      <c r="M9" s="356">
        <f>COUNTIFS('Все игры'!AH$3:AH950,A9,'Все игры'!AJ$3:AJ950,"&gt;0",'Все игры'!AI$3:AI950,"Шериф")</f>
        <v>0</v>
      </c>
      <c r="N9" s="363">
        <f>IFERROR(__xludf.DUMMYFUNCTION("COUNTBLANK(FILTER('Все игры'!AH$3:AJ950,'Все игры'!AH$3:AH950=A9,'Все игры'!AJ$3:AJ950 &lt; 1,'Все игры'!AI$3:AI950=""Шериф""))"),0.0)</f>
        <v>0</v>
      </c>
      <c r="O9" s="356">
        <f>COUNTIFS('Все игры'!AH$3:AH950,A9,'Все игры'!AJ$3:AJ950,"&gt;0",'Все игры'!AI$3:AI950,"Дон")</f>
        <v>0</v>
      </c>
      <c r="P9" s="363">
        <f>IFERROR(__xludf.DUMMYFUNCTION("COUNTBLANK(FILTER('Все игры'!AH$3:AJ950,'Все игры'!AH$3:AH950=A9,'Все игры'!AJ$3:AJ950 &lt; 1,'Все игры'!AI$3:AI950=""Дон""))"),0.0)</f>
        <v>0</v>
      </c>
      <c r="Q9" s="356">
        <f>COUNTIFS('Все игры'!AH$3:AH950,A9,'Все игры'!AJ$3:AJ950,"&gt;0",'Все игры'!AI$3:AI950,"Мирный")</f>
        <v>0</v>
      </c>
      <c r="R9" s="363">
        <f>IFERROR(__xludf.DUMMYFUNCTION("COUNTBLANK(FILTER('Все игры'!AH$3:AJ950,'Все игры'!AH$3:AH950=A9,'Все игры'!AJ$3:AJ950 &lt; 1,'Все игры'!AI$3:AI950=""Мирный""))"),0.0)</f>
        <v>0</v>
      </c>
      <c r="S9" s="366">
        <f t="shared" si="16"/>
        <v>0</v>
      </c>
      <c r="T9" s="366">
        <f t="shared" si="5"/>
        <v>0</v>
      </c>
      <c r="U9" s="366">
        <f t="shared" si="6"/>
        <v>0</v>
      </c>
      <c r="V9" s="366">
        <f t="shared" si="7"/>
        <v>0</v>
      </c>
      <c r="W9" s="366">
        <f t="shared" si="8"/>
        <v>0</v>
      </c>
      <c r="X9" s="366">
        <f t="shared" si="9"/>
        <v>0</v>
      </c>
      <c r="Y9" s="367">
        <f t="shared" si="10"/>
        <v>0</v>
      </c>
      <c r="Z9" s="357">
        <f>SUMIFS('Все игры'!AK$3:AK950,'Все игры'!AH$3:AH950,A9)</f>
        <v>0</v>
      </c>
      <c r="AA9" s="357">
        <f>SUMIFS('Все игры'!AK$3:AK950,'Все игры'!AH$3:AH950,A9,'Все игры'!AI$3:AI950,"Мафия")</f>
        <v>0</v>
      </c>
      <c r="AB9" s="368">
        <f>SUMIFS('Все игры'!AK$3:AK950,'Все игры'!AH$3:AH950,A9,'Все игры'!AI$3:AI950,"Шериф")</f>
        <v>0</v>
      </c>
      <c r="AC9" s="357">
        <f>SUMIFS('Все игры'!AK$3:AK950,'Все игры'!AH$3:AH950,A9,'Все игры'!AI$3:AI950,"Дон")</f>
        <v>0</v>
      </c>
      <c r="AD9" s="358">
        <f>SUMIFS('Все игры'!AK$3:AK950,'Все игры'!AH$3:AH950,A9,'Все игры'!AI$3:AI950,"Мирный")</f>
        <v>0</v>
      </c>
      <c r="AE9" s="357">
        <f t="shared" si="11"/>
        <v>0</v>
      </c>
      <c r="AF9" s="357">
        <f t="shared" si="12"/>
        <v>0</v>
      </c>
      <c r="AG9" s="357">
        <f t="shared" si="13"/>
        <v>0</v>
      </c>
      <c r="AH9" s="357">
        <f t="shared" si="14"/>
        <v>0</v>
      </c>
      <c r="AI9" s="357">
        <f t="shared" si="15"/>
        <v>0</v>
      </c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</row>
    <row r="10">
      <c r="A10" s="386"/>
      <c r="B10" s="370">
        <f t="shared" si="1"/>
        <v>0</v>
      </c>
      <c r="C10" s="373">
        <f>COUNTIFS('Все игры'!AH$3:AH950,A10,'Все игры'!AM$3:AM950,"=1")</f>
        <v>0</v>
      </c>
      <c r="D10" s="373">
        <f>COUNTIFS('Все игры'!AH$3:AH950,A10,'Все игры'!AM$3:AM950,"=0,50")</f>
        <v>0</v>
      </c>
      <c r="E10" s="373">
        <f>COUNTIFS('Все игры'!AH$3:AH950,A10,'Все игры'!AN$3:AN950,"&gt;0")</f>
        <v>0</v>
      </c>
      <c r="F10" s="374">
        <f t="shared" si="2"/>
        <v>0</v>
      </c>
      <c r="G10" s="375">
        <f>COUNTIFS('Все игры'!AH$3:AH950,A10,'Все игры'!AL$3:AL950,"У/Победа")</f>
        <v>0</v>
      </c>
      <c r="H10" s="375">
        <f>COUNTIFS('Все игры'!AH$3:AH950,A10,'Все игры'!AL$3:AL950,"У/Проигрыш")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игры'!AH$3:AH950,A10,'Все игры'!AJ$3:AJ950,"&gt;0",'Все игры'!AI$3:AI950,"Мафия")</f>
        <v>0</v>
      </c>
      <c r="L10" s="370">
        <f>IFERROR(__xludf.DUMMYFUNCTION("COUNTBLANK(FILTER('Все игры'!AH$3:AJ950,'Все игры'!AH$3:AH950=A10,'Все игры'!AJ$3:AJ950 &lt; 1,'Все игры'!AI$3:AI950=""Мафия""))"),0.0)</f>
        <v>0</v>
      </c>
      <c r="M10" s="370">
        <f>COUNTIFS('Все игры'!AH$3:AH950,A10,'Все игры'!AJ$3:AJ950,"&gt;0",'Все игры'!AI$3:AI950,"Шериф")</f>
        <v>0</v>
      </c>
      <c r="N10" s="377">
        <f>IFERROR(__xludf.DUMMYFUNCTION("COUNTBLANK(FILTER('Все игры'!AH$3:AJ950,'Все игры'!AH$3:AH950=A10,'Все игры'!AJ$3:AJ950 &lt; 1,'Все игры'!AI$3:AI950=""Шериф""))"),0.0)</f>
        <v>0</v>
      </c>
      <c r="O10" s="370">
        <f>COUNTIFS('Все игры'!AH$3:AH950,A10,'Все игры'!AJ$3:AJ950,"&gt;0",'Все игры'!AI$3:AI950,"Дон")</f>
        <v>0</v>
      </c>
      <c r="P10" s="377">
        <f>IFERROR(__xludf.DUMMYFUNCTION("COUNTBLANK(FILTER('Все игры'!AH$3:AJ950,'Все игры'!AH$3:AH950=A10,'Все игры'!AJ$3:AJ950 &lt; 1,'Все игры'!AI$3:AI950=""Дон""))"),0.0)</f>
        <v>0</v>
      </c>
      <c r="Q10" s="370">
        <f>COUNTIFS('Все игры'!AH$3:AH950,A10,'Все игры'!AJ$3:AJ950,"&gt;0",'Все игры'!AI$3:AI950,"Мирный")</f>
        <v>0</v>
      </c>
      <c r="R10" s="377">
        <f>IFERROR(__xludf.DUMMYFUNCTION("COUNTBLANK(FILTER('Все игры'!AH$3:AJ950,'Все игры'!AH$3:AH950=A10,'Все игры'!AJ$3:AJ950 &lt; 1,'Все игры'!AI$3:AI950=""Мирный""))"),0.0)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игры'!AK$3:AK950,'Все игры'!AH$3:AH950,A10)</f>
        <v>0</v>
      </c>
      <c r="AA10" s="371">
        <f>SUMIFS('Все игры'!AK$3:AK950,'Все игры'!AH$3:AH950,A10,'Все игры'!AI$3:AI950,"Мафия")</f>
        <v>0</v>
      </c>
      <c r="AB10" s="382">
        <f>SUMIFS('Все игры'!AK$3:AK950,'Все игры'!AH$3:AH950,A10,'Все игры'!AI$3:AI950,"Шериф")</f>
        <v>0</v>
      </c>
      <c r="AC10" s="371">
        <f>SUMIFS('Все игры'!AK$3:AK950,'Все игры'!AH$3:AH950,A10,'Все игры'!AI$3:AI950,"Дон")</f>
        <v>0</v>
      </c>
      <c r="AD10" s="372">
        <f>SUMIFS('Все игры'!AK$3:AK950,'Все игры'!AH$3:AH950,A10,'Все игры'!AI$3:AI950,"Мирный")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70">
        <f t="shared" si="1"/>
        <v>0</v>
      </c>
      <c r="C12" s="373">
        <f>COUNTIFS('Все игры'!AH$3:AH950,A12,'Все игры'!AM$3:AM950,"=1")</f>
        <v>0</v>
      </c>
      <c r="D12" s="373">
        <f>COUNTIFS('Все игры'!AH$3:AH950,A12,'Все игры'!AM$3:AM950,"=0,50")</f>
        <v>0</v>
      </c>
      <c r="E12" s="373">
        <f>COUNTIFS('Все игры'!AH$3:AH950,A12,'Все игры'!AN$3:AN950,"&gt;0")</f>
        <v>0</v>
      </c>
      <c r="F12" s="374">
        <f t="shared" si="2"/>
        <v>0</v>
      </c>
      <c r="G12" s="375">
        <f>COUNTIFS('Все игры'!AH$3:AH950,A12,'Все игры'!AL$3:AL950,"У/Победа")</f>
        <v>0</v>
      </c>
      <c r="H12" s="375">
        <f>COUNTIFS('Все игры'!AH$3:AH950,A12,'Все игры'!AL$3:AL950,"У/Проигрыш")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игры'!AH$3:AH950,A12,'Все игры'!AJ$3:AJ950,"&gt;0",'Все игры'!AI$3:AI950,"Мафия")</f>
        <v>0</v>
      </c>
      <c r="L12" s="370">
        <f>IFERROR(__xludf.DUMMYFUNCTION("COUNTBLANK(FILTER('Все игры'!AH$3:AJ950,'Все игры'!AH$3:AH950=A12,'Все игры'!AJ$3:AJ950 &lt; 1,'Все игры'!AI$3:AI950=""Мафия""))"),0.0)</f>
        <v>0</v>
      </c>
      <c r="M12" s="370">
        <f>COUNTIFS('Все игры'!AH$3:AH950,A12,'Все игры'!AJ$3:AJ950,"&gt;0",'Все игры'!AI$3:AI950,"Шериф")</f>
        <v>0</v>
      </c>
      <c r="N12" s="377">
        <f>IFERROR(__xludf.DUMMYFUNCTION("COUNTBLANK(FILTER('Все игры'!AH$3:AJ950,'Все игры'!AH$3:AH950=A12,'Все игры'!AJ$3:AJ950 &lt; 1,'Все игры'!AI$3:AI950=""Шериф""))"),0.0)</f>
        <v>0</v>
      </c>
      <c r="O12" s="370">
        <f>COUNTIFS('Все игры'!AH$3:AH950,A12,'Все игры'!AJ$3:AJ950,"&gt;0",'Все игры'!AI$3:AI950,"Дон")</f>
        <v>0</v>
      </c>
      <c r="P12" s="377">
        <f>IFERROR(__xludf.DUMMYFUNCTION("COUNTBLANK(FILTER('Все игры'!AH$3:AJ950,'Все игры'!AH$3:AH950=A12,'Все игры'!AJ$3:AJ950 &lt; 1,'Все игры'!AI$3:AI950=""Дон""))"),0.0)</f>
        <v>0</v>
      </c>
      <c r="Q12" s="370">
        <f>COUNTIFS('Все игры'!AH$3:AH950,A12,'Все игры'!AJ$3:AJ950,"&gt;0",'Все игры'!AI$3:AI950,"Мирный")</f>
        <v>0</v>
      </c>
      <c r="R12" s="377">
        <f>IFERROR(__xludf.DUMMYFUNCTION("COUNTBLANK(FILTER('Все игры'!AH$3:AJ950,'Все игры'!AH$3:AH950=A12,'Все игры'!AJ$3:AJ950 &lt; 1,'Все игры'!AI$3:AI950=""Мирный""))"),0.0)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игры'!AK$3:AK950,'Все игры'!AH$3:AH950,A12)</f>
        <v>0</v>
      </c>
      <c r="AA12" s="371">
        <f>SUMIFS('Все игры'!AK$3:AK950,'Все игры'!AH$3:AH950,A12,'Все игры'!AI$3:AI950,"Мафия")</f>
        <v>0</v>
      </c>
      <c r="AB12" s="382">
        <f>SUMIFS('Все игры'!AK$3:AK950,'Все игры'!AH$3:AH950,A12,'Все игры'!AI$3:AI950,"Шериф")</f>
        <v>0</v>
      </c>
      <c r="AC12" s="371">
        <f>SUMIFS('Все игры'!AK$3:AK950,'Все игры'!AH$3:AH950,A12,'Все игры'!AI$3:AI950,"Дон")</f>
        <v>0</v>
      </c>
      <c r="AD12" s="372">
        <f>SUMIFS('Все игры'!AK$3:AK950,'Все игры'!AH$3:AH950,A12,'Все игры'!AI$3:AI950,"Мирный")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70">
        <f t="shared" si="1"/>
        <v>0</v>
      </c>
      <c r="C6" s="373">
        <f>COUNTIFS('Все игры'!AH$3:AH940,A6,'Все игры'!AM$3:AM940,"=1")</f>
        <v>0</v>
      </c>
      <c r="D6" s="373">
        <f>COUNTIFS('Все игры'!AH$3:AH940,A6,'Все игры'!AM$3:AM940,"=0,50")</f>
        <v>0</v>
      </c>
      <c r="E6" s="373">
        <f>COUNTIFS('Все игры'!AH$3:AH940,A6,'Все игры'!AN$3:AN940,"&gt;0")</f>
        <v>0</v>
      </c>
      <c r="F6" s="374">
        <f t="shared" si="2"/>
        <v>0</v>
      </c>
      <c r="G6" s="375">
        <f>COUNTIFS('Все игры'!AH$3:AH940,A6,'Все игры'!AL$3:AL940,"У/Победа")</f>
        <v>0</v>
      </c>
      <c r="H6" s="375">
        <f>COUNTIFS('Все игры'!AH$3:AH940,A6,'Все игры'!AL$3:AL940,"У/Проигрыш")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игры'!Z$3:Z940,A6,'Все игры'!AB$3:AB940,"&gt;0",'Все игры'!AA$3:AA940,"Мафия")</f>
        <v>0</v>
      </c>
      <c r="L6" s="370">
        <f>IFERROR(__xludf.DUMMYFUNCTION("COUNTBLANK(FILTER('Все игры'!Z$3:AB940,'Все игры'!Z$3:Z940=A6,'Все игры'!AB$3:AB940 &lt; 1,'Все игры'!AA$3:AA940=""Мафия""))"),0.0)</f>
        <v>0</v>
      </c>
      <c r="M6" s="370">
        <f>COUNTIFS('Все игры'!Z$3:Z940,A6,'Все игры'!AB$3:AB940,"&gt;0",'Все игры'!AA$3:AA940,"Шериф")</f>
        <v>0</v>
      </c>
      <c r="N6" s="377">
        <f>IFERROR(__xludf.DUMMYFUNCTION("COUNTBLANK(FILTER('Все игры'!Z$3:AB940,'Все игры'!Z$3:Z940=A6,'Все игры'!AB$3:AB940 &lt; 1,'Все игры'!AA$3:AA940=""Шериф""))"),0.0)</f>
        <v>0</v>
      </c>
      <c r="O6" s="370">
        <f>COUNTIFS('Все игры'!Z$3:Z940,A6,'Все игры'!AB$3:AB940,"&gt;0",'Все игры'!AA$3:AA940,"Дон")</f>
        <v>0</v>
      </c>
      <c r="P6" s="377">
        <f>IFERROR(__xludf.DUMMYFUNCTION("COUNTBLANK(FILTER('Все игры'!Z$3:AB940,'Все игры'!Z$3:Z940=A6,'Все игры'!AB$3:AB940 &lt; 1,'Все игры'!AA$3:AA940=""Дон""))"),0.0)</f>
        <v>0</v>
      </c>
      <c r="Q6" s="370">
        <f>COUNTIFS('Все игры'!Z$3:Z940,A6,'Все игры'!AB$3:AB940,"&gt;0",'Все игры'!AA$3:AA940,"Мирный")</f>
        <v>0</v>
      </c>
      <c r="R6" s="377">
        <f>IFERROR(__xludf.DUMMYFUNCTION("COUNTBLANK(FILTER('Все игры'!Z$3:AB940,'Все игры'!Z$3:Z940=A6,'Все игры'!AB$3:AB940 &lt; 1,'Все игры'!AA$3:AA940=""Мирный""))"),0.0)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игры'!AC$3:AC940,'Все игры'!Z$3:Z940,A6)</f>
        <v>0</v>
      </c>
      <c r="AA6" s="371">
        <f>SUMIFS('Все игры'!AC$3:AC940,'Все игры'!Z$3:Z940,A6,'Все игры'!AA$3:AA940,"Мафия")</f>
        <v>0</v>
      </c>
      <c r="AB6" s="382">
        <f>SUMIFS('Все игры'!AC$3:AC940,'Все игры'!Z$3:Z940,A6,'Все игры'!AA$3:AA940,"Шериф")</f>
        <v>0</v>
      </c>
      <c r="AC6" s="371">
        <f>SUMIFS('Все игры'!AC$3:AC940,'Все игры'!Z$3:Z940,A6,'Все игры'!AA$3:AA940,"Дон")</f>
        <v>0</v>
      </c>
      <c r="AD6" s="372">
        <f>SUMIFS('Все игры'!AC$3:AC940,'Все игры'!Z$3:Z940,A6,'Все игры'!AA$3:AA940,"Мирный")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70">
        <f t="shared" si="1"/>
        <v>0</v>
      </c>
      <c r="C8" s="373">
        <f>COUNTIFS('Все игры'!AH$3:AH940,A8,'Все игры'!AM$3:AM940,"=1")</f>
        <v>0</v>
      </c>
      <c r="D8" s="373">
        <f>COUNTIFS('Все игры'!AH$3:AH940,A8,'Все игры'!AM$3:AM940,"=0,50")</f>
        <v>0</v>
      </c>
      <c r="E8" s="373">
        <f>COUNTIFS('Все игры'!AH$3:AH940,A8,'Все игры'!AN$3:AN940,"&gt;0")</f>
        <v>0</v>
      </c>
      <c r="F8" s="374">
        <f t="shared" si="2"/>
        <v>0</v>
      </c>
      <c r="G8" s="375">
        <f>COUNTIFS('Все игры'!AH$3:AH940,A8,'Все игры'!AL$3:AL940,"У/Победа")</f>
        <v>0</v>
      </c>
      <c r="H8" s="375">
        <f>COUNTIFS('Все игры'!AH$3:AH940,A8,'Все игры'!AL$3:AL940,"У/Проигрыш")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игры'!Z$3:Z940,A8,'Все игры'!AB$3:AB940,"&gt;0",'Все игры'!AA$3:AA940,"Мафия")</f>
        <v>0</v>
      </c>
      <c r="L8" s="370">
        <f>IFERROR(__xludf.DUMMYFUNCTION("COUNTBLANK(FILTER('Все игры'!Z$3:AB940,'Все игры'!Z$3:Z940=A8,'Все игры'!AB$3:AB940 &lt; 1,'Все игры'!AA$3:AA940=""Мафия""))"),0.0)</f>
        <v>0</v>
      </c>
      <c r="M8" s="370">
        <f>COUNTIFS('Все игры'!Z$3:Z940,A8,'Все игры'!AB$3:AB940,"&gt;0",'Все игры'!AA$3:AA940,"Шериф")</f>
        <v>0</v>
      </c>
      <c r="N8" s="377">
        <f>IFERROR(__xludf.DUMMYFUNCTION("COUNTBLANK(FILTER('Все игры'!Z$3:AB940,'Все игры'!Z$3:Z940=A8,'Все игры'!AB$3:AB940 &lt; 1,'Все игры'!AA$3:AA940=""Шериф""))"),0.0)</f>
        <v>0</v>
      </c>
      <c r="O8" s="370">
        <f>COUNTIFS('Все игры'!Z$3:Z940,A8,'Все игры'!AB$3:AB940,"&gt;0",'Все игры'!AA$3:AA940,"Дон")</f>
        <v>0</v>
      </c>
      <c r="P8" s="377">
        <f>IFERROR(__xludf.DUMMYFUNCTION("COUNTBLANK(FILTER('Все игры'!Z$3:AB940,'Все игры'!Z$3:Z940=A8,'Все игры'!AB$3:AB940 &lt; 1,'Все игры'!AA$3:AA940=""Дон""))"),0.0)</f>
        <v>0</v>
      </c>
      <c r="Q8" s="370">
        <f>COUNTIFS('Все игры'!Z$3:Z940,A8,'Все игры'!AB$3:AB940,"&gt;0",'Все игры'!AA$3:AA940,"Мирный")</f>
        <v>0</v>
      </c>
      <c r="R8" s="377">
        <f>IFERROR(__xludf.DUMMYFUNCTION("COUNTBLANK(FILTER('Все игры'!Z$3:AB940,'Все игры'!Z$3:Z940=A8,'Все игры'!AB$3:AB940 &lt; 1,'Все игры'!AA$3:AA940=""Мирный""))"),0.0)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игры'!AC$3:AC940,'Все игры'!Z$3:Z940,A8)</f>
        <v>0</v>
      </c>
      <c r="AA8" s="371">
        <f>SUMIFS('Все игры'!AC$3:AC940,'Все игры'!Z$3:Z940,A8,'Все игры'!AA$3:AA940,"Мафия")</f>
        <v>0</v>
      </c>
      <c r="AB8" s="382">
        <f>SUMIFS('Все игры'!AC$3:AC940,'Все игры'!Z$3:Z940,A8,'Все игры'!AA$3:AA940,"Шериф")</f>
        <v>0</v>
      </c>
      <c r="AC8" s="371">
        <f>SUMIFS('Все игры'!AC$3:AC940,'Все игры'!Z$3:Z940,A8,'Все игры'!AA$3:AA940,"Дон")</f>
        <v>0</v>
      </c>
      <c r="AD8" s="372">
        <f>SUMIFS('Все игры'!AC$3:AC940,'Все игры'!Z$3:Z940,A8,'Все игры'!AA$3:AA940,"Мирный")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70">
        <f t="shared" si="1"/>
        <v>0</v>
      </c>
      <c r="C10" s="373">
        <f>COUNTIFS('Все игры'!AH$3:AH940,A10,'Все игры'!AM$3:AM940,"=1")</f>
        <v>0</v>
      </c>
      <c r="D10" s="373">
        <f>COUNTIFS('Все игры'!AH$3:AH940,A10,'Все игры'!AM$3:AM940,"=0,50")</f>
        <v>0</v>
      </c>
      <c r="E10" s="373">
        <f>COUNTIFS('Все игры'!AH$3:AH940,A10,'Все игры'!AN$3:AN940,"&gt;0")</f>
        <v>0</v>
      </c>
      <c r="F10" s="374">
        <f t="shared" si="2"/>
        <v>0</v>
      </c>
      <c r="G10" s="375">
        <f>COUNTIFS('Все игры'!AH$3:AH940,A10,'Все игры'!AL$3:AL940,"У/Победа")</f>
        <v>0</v>
      </c>
      <c r="H10" s="375">
        <f>COUNTIFS('Все игры'!AH$3:AH940,A10,'Все игры'!AL$3:AL940,"У/Проигрыш")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игры'!Z$3:Z940,A10,'Все игры'!AB$3:AB940,"&gt;0",'Все игры'!AA$3:AA940,"Мафия")</f>
        <v>0</v>
      </c>
      <c r="L10" s="370">
        <f>IFERROR(__xludf.DUMMYFUNCTION("COUNTBLANK(FILTER('Все игры'!Z$3:AB940,'Все игры'!Z$3:Z940=A10,'Все игры'!AB$3:AB940 &lt; 1,'Все игры'!AA$3:AA940=""Мафия""))"),0.0)</f>
        <v>0</v>
      </c>
      <c r="M10" s="370">
        <f>COUNTIFS('Все игры'!Z$3:Z940,A10,'Все игры'!AB$3:AB940,"&gt;0",'Все игры'!AA$3:AA940,"Шериф")</f>
        <v>0</v>
      </c>
      <c r="N10" s="377">
        <f>IFERROR(__xludf.DUMMYFUNCTION("COUNTBLANK(FILTER('Все игры'!Z$3:AB940,'Все игры'!Z$3:Z940=A10,'Все игры'!AB$3:AB940 &lt; 1,'Все игры'!AA$3:AA940=""Шериф""))"),0.0)</f>
        <v>0</v>
      </c>
      <c r="O10" s="370">
        <f>COUNTIFS('Все игры'!Z$3:Z940,A10,'Все игры'!AB$3:AB940,"&gt;0",'Все игры'!AA$3:AA940,"Дон")</f>
        <v>0</v>
      </c>
      <c r="P10" s="377">
        <f>IFERROR(__xludf.DUMMYFUNCTION("COUNTBLANK(FILTER('Все игры'!Z$3:AB940,'Все игры'!Z$3:Z940=A10,'Все игры'!AB$3:AB940 &lt; 1,'Все игры'!AA$3:AA940=""Дон""))"),0.0)</f>
        <v>0</v>
      </c>
      <c r="Q10" s="370">
        <f>COUNTIFS('Все игры'!Z$3:Z940,A10,'Все игры'!AB$3:AB940,"&gt;0",'Все игры'!AA$3:AA940,"Мирный")</f>
        <v>0</v>
      </c>
      <c r="R10" s="377">
        <f>IFERROR(__xludf.DUMMYFUNCTION("COUNTBLANK(FILTER('Все игры'!Z$3:AB940,'Все игры'!Z$3:Z940=A10,'Все игры'!AB$3:AB940 &lt; 1,'Все игры'!AA$3:AA940=""Мирный""))"),0.0)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игры'!AC$3:AC940,'Все игры'!Z$3:Z940,A10)</f>
        <v>0</v>
      </c>
      <c r="AA10" s="371">
        <f>SUMIFS('Все игры'!AC$3:AC940,'Все игры'!Z$3:Z940,A10,'Все игры'!AA$3:AA940,"Мафия")</f>
        <v>0</v>
      </c>
      <c r="AB10" s="382">
        <f>SUMIFS('Все игры'!AC$3:AC940,'Все игры'!Z$3:Z940,A10,'Все игры'!AA$3:AA940,"Шериф")</f>
        <v>0</v>
      </c>
      <c r="AC10" s="371">
        <f>SUMIFS('Все игры'!AC$3:AC940,'Все игры'!Z$3:Z940,A10,'Все игры'!AA$3:AA940,"Дон")</f>
        <v>0</v>
      </c>
      <c r="AD10" s="372">
        <f>SUMIFS('Все игры'!AC$3:AC940,'Все игры'!Z$3:Z940,A10,'Все игры'!AA$3:AA940,"Мирный")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70">
        <f t="shared" si="1"/>
        <v>0</v>
      </c>
      <c r="C12" s="373">
        <f>COUNTIFS('Все игры'!AH$3:AH940,A12,'Все игры'!AM$3:AM940,"=1")</f>
        <v>0</v>
      </c>
      <c r="D12" s="373">
        <f>COUNTIFS('Все игры'!AH$3:AH940,A12,'Все игры'!AM$3:AM940,"=0,50")</f>
        <v>0</v>
      </c>
      <c r="E12" s="373">
        <f>COUNTIFS('Все игры'!AH$3:AH940,A12,'Все игры'!AN$3:AN940,"&gt;0")</f>
        <v>0</v>
      </c>
      <c r="F12" s="374">
        <f t="shared" si="2"/>
        <v>0</v>
      </c>
      <c r="G12" s="375">
        <f>COUNTIFS('Все игры'!AH$3:AH940,A12,'Все игры'!AL$3:AL940,"У/Победа")</f>
        <v>0</v>
      </c>
      <c r="H12" s="375">
        <f>COUNTIFS('Все игры'!AH$3:AH940,A12,'Все игры'!AL$3:AL940,"У/Проигрыш")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игры'!Z$3:Z940,A12,'Все игры'!AB$3:AB940,"&gt;0",'Все игры'!AA$3:AA940,"Мафия")</f>
        <v>0</v>
      </c>
      <c r="L12" s="370">
        <f>IFERROR(__xludf.DUMMYFUNCTION("COUNTBLANK(FILTER('Все игры'!Z$3:AB940,'Все игры'!Z$3:Z940=A12,'Все игры'!AB$3:AB940 &lt; 1,'Все игры'!AA$3:AA940=""Мафия""))"),0.0)</f>
        <v>0</v>
      </c>
      <c r="M12" s="370">
        <f>COUNTIFS('Все игры'!Z$3:Z940,A12,'Все игры'!AB$3:AB940,"&gt;0",'Все игры'!AA$3:AA940,"Шериф")</f>
        <v>0</v>
      </c>
      <c r="N12" s="377">
        <f>IFERROR(__xludf.DUMMYFUNCTION("COUNTBLANK(FILTER('Все игры'!Z$3:AB940,'Все игры'!Z$3:Z940=A12,'Все игры'!AB$3:AB940 &lt; 1,'Все игры'!AA$3:AA940=""Шериф""))"),0.0)</f>
        <v>0</v>
      </c>
      <c r="O12" s="370">
        <f>COUNTIFS('Все игры'!Z$3:Z940,A12,'Все игры'!AB$3:AB940,"&gt;0",'Все игры'!AA$3:AA940,"Дон")</f>
        <v>0</v>
      </c>
      <c r="P12" s="377">
        <f>IFERROR(__xludf.DUMMYFUNCTION("COUNTBLANK(FILTER('Все игры'!Z$3:AB940,'Все игры'!Z$3:Z940=A12,'Все игры'!AB$3:AB940 &lt; 1,'Все игры'!AA$3:AA940=""Дон""))"),0.0)</f>
        <v>0</v>
      </c>
      <c r="Q12" s="370">
        <f>COUNTIFS('Все игры'!Z$3:Z940,A12,'Все игры'!AB$3:AB940,"&gt;0",'Все игры'!AA$3:AA940,"Мирный")</f>
        <v>0</v>
      </c>
      <c r="R12" s="377">
        <f>IFERROR(__xludf.DUMMYFUNCTION("COUNTBLANK(FILTER('Все игры'!Z$3:AB940,'Все игры'!Z$3:Z940=A12,'Все игры'!AB$3:AB940 &lt; 1,'Все игры'!AA$3:AA940=""Мирный""))"),0.0)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игры'!AC$3:AC940,'Все игры'!Z$3:Z940,A12)</f>
        <v>0</v>
      </c>
      <c r="AA12" s="371">
        <f>SUMIFS('Все игры'!AC$3:AC940,'Все игры'!Z$3:Z940,A12,'Все игры'!AA$3:AA940,"Мафия")</f>
        <v>0</v>
      </c>
      <c r="AB12" s="382">
        <f>SUMIFS('Все игры'!AC$3:AC940,'Все игры'!Z$3:Z940,A12,'Все игры'!AA$3:AA940,"Шериф")</f>
        <v>0</v>
      </c>
      <c r="AC12" s="371">
        <f>SUMIFS('Все игры'!AC$3:AC940,'Все игры'!Z$3:Z940,A12,'Все игры'!AA$3:AA940,"Дон")</f>
        <v>0</v>
      </c>
      <c r="AD12" s="372">
        <f>SUMIFS('Все игры'!AC$3:AC940,'Все игры'!Z$3:Z940,A12,'Все игры'!AA$3:AA940,"Мирный")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1))"),1.0)</f>
        <v>1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8</v>
      </c>
      <c r="R2" s="42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IFERROR(__xludf.DUMMYFUNCTION("""COMPUTED_VALUE"""),"РФ")</f>
        <v>РФ</v>
      </c>
      <c r="X3" s="423">
        <f>IFERROR(__xludf.DUMMYFUNCTION("""COMPUTED_VALUE"""),30.75)</f>
        <v>30.75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8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IFERROR(__xludf.DUMMYFUNCTION("""COMPUTED_VALUE"""),29.25)</f>
        <v>29.25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7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IFERROR(__xludf.DUMMYFUNCTION("""COMPUTED_VALUE"""),"Шпиц")</f>
        <v>Шпиц</v>
      </c>
      <c r="X5" s="423">
        <f>IFERROR(__xludf.DUMMYFUNCTION("""COMPUTED_VALUE"""),29.0)</f>
        <v>29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12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IFERROR(__xludf.DUMMYFUNCTION("""COMPUTED_VALUE"""),"РФ")</f>
        <v>РФ</v>
      </c>
      <c r="X6" s="423">
        <f>IFERROR(__xludf.DUMMYFUNCTION("""COMPUTED_VALUE"""),29.0)</f>
        <v>29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5.05942275</v>
      </c>
      <c r="N7" s="416" t="s">
        <v>270</v>
      </c>
      <c r="P7" s="422">
        <f t="shared" si="1"/>
        <v>0</v>
      </c>
      <c r="R7" s="422" t="s">
        <v>262</v>
      </c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IFERROR(__xludf.DUMMYFUNCTION("""COMPUTED_VALUE"""),"Curly")</f>
        <v>Curly</v>
      </c>
      <c r="X7" s="423">
        <f>IFERROR(__xludf.DUMMYFUNCTION("""COMPUTED_VALUE"""),28.75)</f>
        <v>28.75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15</v>
      </c>
      <c r="R8" s="422" t="s">
        <v>264</v>
      </c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IFERROR(__xludf.DUMMYFUNCTION("""COMPUTED_VALUE"""),"Градиент")</f>
        <v>Градиент</v>
      </c>
      <c r="X8" s="423">
        <f>IFERROR(__xludf.DUMMYFUNCTION("""COMPUTED_VALUE"""),28.0)</f>
        <v>28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16</v>
      </c>
      <c r="R9" s="422" t="s">
        <v>272</v>
      </c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IFERROR(__xludf.DUMMYFUNCTION("""COMPUTED_VALUE"""),"Дровосек")</f>
        <v>Дровосек</v>
      </c>
      <c r="X9" s="423">
        <f>IFERROR(__xludf.DUMMYFUNCTION("""COMPUTED_VALUE"""),27.75)</f>
        <v>27.75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 t="s">
        <v>259</v>
      </c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IFERROR(__xludf.DUMMYFUNCTION("""COMPUTED_VALUE"""),"Stacy")</f>
        <v>Stacy</v>
      </c>
      <c r="X10" s="423">
        <f>IFERROR(__xludf.DUMMYFUNCTION("""COMPUTED_VALUE"""),27.75)</f>
        <v>27.75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 t="s">
        <v>267</v>
      </c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IFERROR(__xludf.DUMMYFUNCTION("""COMPUTED_VALUE"""),"Артик")</f>
        <v>Артик</v>
      </c>
      <c r="X11" s="423">
        <f>IFERROR(__xludf.DUMMYFUNCTION("""COMPUTED_VALUE"""),27.5)</f>
        <v>27.5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 t="s">
        <v>259</v>
      </c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IFERROR(__xludf.DUMMYFUNCTION("""COMPUTED_VALUE"""),"Артик")</f>
        <v>Артик</v>
      </c>
      <c r="X12" s="423">
        <f>IFERROR(__xludf.DUMMYFUNCTION("""COMPUTED_VALUE"""),27.5)</f>
        <v>27.5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9</v>
      </c>
      <c r="R13" s="422" t="s">
        <v>259</v>
      </c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IFERROR(__xludf.DUMMYFUNCTION("""COMPUTED_VALUE"""),"Авраам")</f>
        <v>Авраам</v>
      </c>
      <c r="X13" s="423">
        <f>IFERROR(__xludf.DUMMYFUNCTION("""COMPUTED_VALUE"""),27.0)</f>
        <v>27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 t="s">
        <v>267</v>
      </c>
      <c r="T14" s="422" t="str">
        <f>IFERROR(__xludf.DUMMYFUNCTION("""COMPUTED_VALUE"""),"Артик")</f>
        <v>Артик</v>
      </c>
      <c r="U14" s="423"/>
      <c r="W14" s="422" t="str">
        <f>IFERROR(__xludf.DUMMYFUNCTION("""COMPUTED_VALUE"""),"Маваши")</f>
        <v>Маваши</v>
      </c>
      <c r="X14" s="423">
        <f>IFERROR(__xludf.DUMMYFUNCTION("""COMPUTED_VALUE"""),26.75)</f>
        <v>26.75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 t="s">
        <v>259</v>
      </c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IFERROR(__xludf.DUMMYFUNCTION("""COMPUTED_VALUE"""),"Cristo")</f>
        <v>Cristo</v>
      </c>
      <c r="X15" s="423">
        <f>IFERROR(__xludf.DUMMYFUNCTION("""COMPUTED_VALUE"""),26.5)</f>
        <v>26.5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 t="s">
        <v>268</v>
      </c>
      <c r="T16" s="422" t="str">
        <f>IFERROR(__xludf.DUMMYFUNCTION("""COMPUTED_VALUE"""),"Аш")</f>
        <v>Аш</v>
      </c>
      <c r="U16" s="423"/>
      <c r="W16" s="422" t="str">
        <f>IFERROR(__xludf.DUMMYFUNCTION("""COMPUTED_VALUE"""),"Young")</f>
        <v>Young</v>
      </c>
      <c r="X16" s="423">
        <f>IFERROR(__xludf.DUMMYFUNCTION("""COMPUTED_VALUE"""),26.0)</f>
        <v>26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35</v>
      </c>
      <c r="Q17" s="427">
        <f>P17/P19</f>
        <v>0.4666666667</v>
      </c>
      <c r="R17" s="422" t="s">
        <v>259</v>
      </c>
      <c r="T17" s="422" t="str">
        <f>IFERROR(__xludf.DUMMYFUNCTION("""COMPUTED_VALUE"""),"Волга")</f>
        <v>Волга</v>
      </c>
      <c r="U17" s="423"/>
      <c r="W17" s="422" t="str">
        <f>IFERROR(__xludf.DUMMYFUNCTION("""COMPUTED_VALUE"""),"Градиент")</f>
        <v>Градиент</v>
      </c>
      <c r="X17" s="423">
        <f>IFERROR(__xludf.DUMMYFUNCTION("""COMPUTED_VALUE"""),25.5)</f>
        <v>25.5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40</v>
      </c>
      <c r="Q18" s="427">
        <f>P18/P19</f>
        <v>0.5333333333</v>
      </c>
      <c r="R18" s="422" t="s">
        <v>257</v>
      </c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IFERROR(__xludf.DUMMYFUNCTION("""COMPUTED_VALUE"""),"Тихий закат")</f>
        <v>Тихий закат</v>
      </c>
      <c r="X18" s="423">
        <f>IFERROR(__xludf.DUMMYFUNCTION("""COMPUTED_VALUE"""),25.5)</f>
        <v>25.5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75</v>
      </c>
      <c r="R19" s="422" t="s">
        <v>257</v>
      </c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IFERROR(__xludf.DUMMYFUNCTION("""COMPUTED_VALUE"""),"Coach")</f>
        <v>Coach</v>
      </c>
      <c r="X19" s="423">
        <f>IFERROR(__xludf.DUMMYFUNCTION("""COMPUTED_VALUE"""),25.25)</f>
        <v>25.25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 t="s">
        <v>272</v>
      </c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IFERROR(__xludf.DUMMYFUNCTION("""COMPUTED_VALUE"""),"Шпиц")</f>
        <v>Шпиц</v>
      </c>
      <c r="X20" s="423">
        <f>IFERROR(__xludf.DUMMYFUNCTION("""COMPUTED_VALUE"""),25.25)</f>
        <v>25.25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 t="s">
        <v>267</v>
      </c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IFERROR(__xludf.DUMMYFUNCTION("""COMPUTED_VALUE"""),"Light")</f>
        <v>Light</v>
      </c>
      <c r="X21" s="423">
        <f>IFERROR(__xludf.DUMMYFUNCTION("""COMPUTED_VALUE"""),25.25)</f>
        <v>25.25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 t="s">
        <v>259</v>
      </c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IFERROR(__xludf.DUMMYFUNCTION("""COMPUTED_VALUE"""),"Curly")</f>
        <v>Curly</v>
      </c>
      <c r="X22" s="423">
        <f>IFERROR(__xludf.DUMMYFUNCTION("""COMPUTED_VALUE"""),25.25)</f>
        <v>25.25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 t="s">
        <v>259</v>
      </c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IFERROR(__xludf.DUMMYFUNCTION("""COMPUTED_VALUE"""),"Инсомнич")</f>
        <v>Инсомнич</v>
      </c>
      <c r="X23" s="423">
        <f>IFERROR(__xludf.DUMMYFUNCTION("""COMPUTED_VALUE"""),25.0)</f>
        <v>25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 t="s">
        <v>272</v>
      </c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IFERROR(__xludf.DUMMYFUNCTION("""COMPUTED_VALUE"""),"Дровосек")</f>
        <v>Дровосек</v>
      </c>
      <c r="X24" s="423">
        <f>IFERROR(__xludf.DUMMYFUNCTION("""COMPUTED_VALUE"""),25.0)</f>
        <v>25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 t="s">
        <v>268</v>
      </c>
      <c r="T25" s="422" t="str">
        <f>IFERROR(__xludf.DUMMYFUNCTION("""COMPUTED_VALUE"""),"Крот")</f>
        <v>Крот</v>
      </c>
      <c r="U25" s="423"/>
      <c r="W25" s="422" t="str">
        <f>IFERROR(__xludf.DUMMYFUNCTION("""COMPUTED_VALUE"""),"Андерсен")</f>
        <v>Андерсен</v>
      </c>
      <c r="X25" s="423">
        <f>IFERROR(__xludf.DUMMYFUNCTION("""COMPUTED_VALUE"""),25.0)</f>
        <v>25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 t="s">
        <v>267</v>
      </c>
      <c r="T26" s="422" t="str">
        <f>IFERROR(__xludf.DUMMYFUNCTION("""COMPUTED_VALUE"""),"Левша")</f>
        <v>Левша</v>
      </c>
      <c r="U26" s="423"/>
      <c r="W26" s="422" t="str">
        <f>IFERROR(__xludf.DUMMYFUNCTION("""COMPUTED_VALUE"""),"РФ")</f>
        <v>РФ</v>
      </c>
      <c r="X26" s="423">
        <f>IFERROR(__xludf.DUMMYFUNCTION("""COMPUTED_VALUE"""),24.75)</f>
        <v>24.75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 t="s">
        <v>257</v>
      </c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IFERROR(__xludf.DUMMYFUNCTION("""COMPUTED_VALUE"""),"Писатель ")</f>
        <v>Писатель </v>
      </c>
      <c r="X27" s="423">
        <f>IFERROR(__xludf.DUMMYFUNCTION("""COMPUTED_VALUE"""),24.75)</f>
        <v>24.75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 t="s">
        <v>272</v>
      </c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IFERROR(__xludf.DUMMYFUNCTION("""COMPUTED_VALUE"""),"Крестный отец (BLR)")</f>
        <v>Крестный отец (BLR)</v>
      </c>
      <c r="X28" s="423">
        <f>IFERROR(__xludf.DUMMYFUNCTION("""COMPUTED_VALUE"""),24.5)</f>
        <v>24.5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 t="s">
        <v>259</v>
      </c>
      <c r="T29" s="422" t="str">
        <f>IFERROR(__xludf.DUMMYFUNCTION("""COMPUTED_VALUE"""),"Марго")</f>
        <v>Марго</v>
      </c>
      <c r="U29" s="423"/>
      <c r="W29" s="422" t="str">
        <f>IFERROR(__xludf.DUMMYFUNCTION("""COMPUTED_VALUE"""),"Зверюга")</f>
        <v>Зверюга</v>
      </c>
      <c r="X29" s="423">
        <f>IFERROR(__xludf.DUMMYFUNCTION("""COMPUTED_VALUE"""),24.0)</f>
        <v>24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 t="s">
        <v>259</v>
      </c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IFERROR(__xludf.DUMMYFUNCTION("""COMPUTED_VALUE"""),"Шпиц")</f>
        <v>Шпиц</v>
      </c>
      <c r="X30" s="423">
        <f>IFERROR(__xludf.DUMMYFUNCTION("""COMPUTED_VALUE"""),23.75)</f>
        <v>23.75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 t="s">
        <v>268</v>
      </c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IFERROR(__xludf.DUMMYFUNCTION("""COMPUTED_VALUE"""),"Cristo")</f>
        <v>Cristo</v>
      </c>
      <c r="X31" s="423">
        <f>IFERROR(__xludf.DUMMYFUNCTION("""COMPUTED_VALUE"""),23.75)</f>
        <v>23.75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 t="s">
        <v>267</v>
      </c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IFERROR(__xludf.DUMMYFUNCTION("""COMPUTED_VALUE"""),"Young")</f>
        <v>Young</v>
      </c>
      <c r="X32" s="423">
        <f>IFERROR(__xludf.DUMMYFUNCTION("""COMPUTED_VALUE"""),23.75)</f>
        <v>23.75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 t="s">
        <v>257</v>
      </c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IFERROR(__xludf.DUMMYFUNCTION("""COMPUTED_VALUE"""),"A1 ")</f>
        <v>A1 </v>
      </c>
      <c r="X33" s="423">
        <f>IFERROR(__xludf.DUMMYFUNCTION("""COMPUTED_VALUE"""),23.5)</f>
        <v>23.5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 t="s">
        <v>268</v>
      </c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IFERROR(__xludf.DUMMYFUNCTION("""COMPUTED_VALUE"""),"Красавчик")</f>
        <v>Красавчик</v>
      </c>
      <c r="X34" s="423">
        <f>IFERROR(__xludf.DUMMYFUNCTION("""COMPUTED_VALUE"""),23.25)</f>
        <v>23.25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 t="s">
        <v>264</v>
      </c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IFERROR(__xludf.DUMMYFUNCTION("""COMPUTED_VALUE"""),"MSR")</f>
        <v>MSR</v>
      </c>
      <c r="X35" s="423">
        <f>IFERROR(__xludf.DUMMYFUNCTION("""COMPUTED_VALUE"""),23.25)</f>
        <v>23.25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 t="s">
        <v>264</v>
      </c>
      <c r="T36" s="422" t="str">
        <f>IFERROR(__xludf.DUMMYFUNCTION("""COMPUTED_VALUE"""),"РФ")</f>
        <v>РФ</v>
      </c>
      <c r="U36" s="423"/>
      <c r="W36" s="422" t="str">
        <f>IFERROR(__xludf.DUMMYFUNCTION("""COMPUTED_VALUE"""),"Stacy")</f>
        <v>Stacy</v>
      </c>
      <c r="X36" s="423">
        <f>IFERROR(__xludf.DUMMYFUNCTION("""COMPUTED_VALUE"""),23.25)</f>
        <v>23.25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 t="s">
        <v>268</v>
      </c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IFERROR(__xludf.DUMMYFUNCTION("""COMPUTED_VALUE"""),"Наполеон")</f>
        <v>Наполеон</v>
      </c>
      <c r="X37" s="423">
        <f>IFERROR(__xludf.DUMMYFUNCTION("""COMPUTED_VALUE"""),23.0)</f>
        <v>23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 t="s">
        <v>272</v>
      </c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IFERROR(__xludf.DUMMYFUNCTION("""COMPUTED_VALUE"""),"Градиент")</f>
        <v>Градиент</v>
      </c>
      <c r="X38" s="423">
        <f>IFERROR(__xludf.DUMMYFUNCTION("""COMPUTED_VALUE"""),23.0)</f>
        <v>23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 t="s">
        <v>272</v>
      </c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IFERROR(__xludf.DUMMYFUNCTION("""COMPUTED_VALUE"""),"Марго")</f>
        <v>Марго</v>
      </c>
      <c r="X39" s="423">
        <f>IFERROR(__xludf.DUMMYFUNCTION("""COMPUTED_VALUE"""),23.0)</f>
        <v>23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 t="s">
        <v>268</v>
      </c>
      <c r="T40" s="422" t="str">
        <f>IFERROR(__xludf.DUMMYFUNCTION("""COMPUTED_VALUE"""),"Физик")</f>
        <v>Физик</v>
      </c>
      <c r="U40" s="423"/>
      <c r="W40" s="422" t="str">
        <f>IFERROR(__xludf.DUMMYFUNCTION("""COMPUTED_VALUE"""),"Cristo")</f>
        <v>Cristo</v>
      </c>
      <c r="X40" s="423">
        <f>IFERROR(__xludf.DUMMYFUNCTION("""COMPUTED_VALUE"""),22.75)</f>
        <v>22.75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 t="s">
        <v>272</v>
      </c>
      <c r="T41" s="422" t="str">
        <f>IFERROR(__xludf.DUMMYFUNCTION("""COMPUTED_VALUE"""),"Флэш")</f>
        <v>Флэш</v>
      </c>
      <c r="U41" s="423"/>
      <c r="W41" s="422" t="str">
        <f>IFERROR(__xludf.DUMMYFUNCTION("""COMPUTED_VALUE"""),"Авраам")</f>
        <v>Авраам</v>
      </c>
      <c r="X41" s="423">
        <f>IFERROR(__xludf.DUMMYFUNCTION("""COMPUTED_VALUE"""),22.75)</f>
        <v>22.75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 t="s">
        <v>257</v>
      </c>
      <c r="T42" s="422" t="str">
        <f>IFERROR(__xludf.DUMMYFUNCTION("""COMPUTED_VALUE"""),"Фокс")</f>
        <v>Фокс</v>
      </c>
      <c r="U42" s="423"/>
      <c r="W42" s="422" t="str">
        <f>IFERROR(__xludf.DUMMYFUNCTION("""COMPUTED_VALUE"""),"Лисичка")</f>
        <v>Лисичка</v>
      </c>
      <c r="X42" s="423">
        <f>IFERROR(__xludf.DUMMYFUNCTION("""COMPUTED_VALUE"""),22.5)</f>
        <v>22.5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 t="s">
        <v>272</v>
      </c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IFERROR(__xludf.DUMMYFUNCTION("""COMPUTED_VALUE"""),"Наполеон")</f>
        <v>Наполеон</v>
      </c>
      <c r="X43" s="423">
        <f>IFERROR(__xludf.DUMMYFUNCTION("""COMPUTED_VALUE"""),22.5)</f>
        <v>22.5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 t="s">
        <v>259</v>
      </c>
      <c r="T44" s="422" t="str">
        <f>IFERROR(__xludf.DUMMYFUNCTION("""COMPUTED_VALUE"""),"Юрия")</f>
        <v>Юрия</v>
      </c>
      <c r="U44" s="423"/>
      <c r="W44" s="422" t="str">
        <f>IFERROR(__xludf.DUMMYFUNCTION("""COMPUTED_VALUE"""),"Правда ")</f>
        <v>Правда </v>
      </c>
      <c r="X44" s="423">
        <f>IFERROR(__xludf.DUMMYFUNCTION("""COMPUTED_VALUE"""),22.5)</f>
        <v>22.5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 t="s">
        <v>264</v>
      </c>
      <c r="T45" s="422" t="str">
        <f>IFERROR(__xludf.DUMMYFUNCTION("""COMPUTED_VALUE"""),"A1 ")</f>
        <v>A1 </v>
      </c>
      <c r="U45" s="423"/>
      <c r="W45" s="422" t="str">
        <f>IFERROR(__xludf.DUMMYFUNCTION("""COMPUTED_VALUE"""),"Панда из Руанды")</f>
        <v>Панда из Руанды</v>
      </c>
      <c r="X45" s="423">
        <f>IFERROR(__xludf.DUMMYFUNCTION("""COMPUTED_VALUE"""),22.5)</f>
        <v>22.5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 t="s">
        <v>262</v>
      </c>
      <c r="T46" s="422" t="str">
        <f>IFERROR(__xludf.DUMMYFUNCTION("""COMPUTED_VALUE"""),"Alice ")</f>
        <v>Alice </v>
      </c>
      <c r="U46" s="423"/>
      <c r="W46" s="422" t="str">
        <f>IFERROR(__xludf.DUMMYFUNCTION("""COMPUTED_VALUE"""),"Лисичка")</f>
        <v>Лисичка</v>
      </c>
      <c r="X46" s="423">
        <f>IFERROR(__xludf.DUMMYFUNCTION("""COMPUTED_VALUE"""),22.5)</f>
        <v>22.5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 t="s">
        <v>272</v>
      </c>
      <c r="T47" s="422" t="str">
        <f>IFERROR(__xludf.DUMMYFUNCTION("""COMPUTED_VALUE"""),"Bublik")</f>
        <v>Bublik</v>
      </c>
      <c r="U47" s="423"/>
      <c r="W47" s="422" t="str">
        <f>IFERROR(__xludf.DUMMYFUNCTION("""COMPUTED_VALUE"""),"Bublik")</f>
        <v>Bublik</v>
      </c>
      <c r="X47" s="423">
        <f>IFERROR(__xludf.DUMMYFUNCTION("""COMPUTED_VALUE"""),22.5)</f>
        <v>22.5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 t="s">
        <v>268</v>
      </c>
      <c r="T48" s="422" t="str">
        <f>IFERROR(__xludf.DUMMYFUNCTION("""COMPUTED_VALUE"""),"BWDMoscow")</f>
        <v>BWDMoscow</v>
      </c>
      <c r="U48" s="423"/>
      <c r="W48" s="422" t="str">
        <f>IFERROR(__xludf.DUMMYFUNCTION("""COMPUTED_VALUE"""),"NLIP")</f>
        <v>NLIP</v>
      </c>
      <c r="X48" s="423">
        <f>IFERROR(__xludf.DUMMYFUNCTION("""COMPUTED_VALUE"""),22.25)</f>
        <v>22.25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 t="s">
        <v>267</v>
      </c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IFERROR(__xludf.DUMMYFUNCTION("""COMPUTED_VALUE"""),"Зверюга")</f>
        <v>Зверюга</v>
      </c>
      <c r="X49" s="423">
        <f>IFERROR(__xludf.DUMMYFUNCTION("""COMPUTED_VALUE"""),22.25)</f>
        <v>22.25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 t="s">
        <v>267</v>
      </c>
      <c r="T50" s="422" t="str">
        <f>IFERROR(__xludf.DUMMYFUNCTION("""COMPUTED_VALUE"""),"Cristo")</f>
        <v>Cristo</v>
      </c>
      <c r="U50" s="423"/>
      <c r="W50" s="422" t="str">
        <f>IFERROR(__xludf.DUMMYFUNCTION("""COMPUTED_VALUE"""),"Манекен")</f>
        <v>Манекен</v>
      </c>
      <c r="X50" s="423">
        <f>IFERROR(__xludf.DUMMYFUNCTION("""COMPUTED_VALUE"""),22.25)</f>
        <v>22.25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 t="s">
        <v>257</v>
      </c>
      <c r="T51" s="422" t="str">
        <f>IFERROR(__xludf.DUMMYFUNCTION("""COMPUTED_VALUE"""),"Curly")</f>
        <v>Curly</v>
      </c>
      <c r="U51" s="423"/>
      <c r="W51" s="422" t="str">
        <f>IFERROR(__xludf.DUMMYFUNCTION("""COMPUTED_VALUE"""),"Красавчик")</f>
        <v>Красавчик</v>
      </c>
      <c r="X51" s="423">
        <f>IFERROR(__xludf.DUMMYFUNCTION("""COMPUTED_VALUE"""),22.0)</f>
        <v>22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 t="s">
        <v>272</v>
      </c>
      <c r="T52" s="422" t="str">
        <f>IFERROR(__xludf.DUMMYFUNCTION("""COMPUTED_VALUE"""),"GALAY")</f>
        <v>GALAY</v>
      </c>
      <c r="U52" s="423"/>
      <c r="W52" s="422" t="str">
        <f>IFERROR(__xludf.DUMMYFUNCTION("""COMPUTED_VALUE"""),"Андерсен")</f>
        <v>Андерсен</v>
      </c>
      <c r="X52" s="423">
        <f>IFERROR(__xludf.DUMMYFUNCTION("""COMPUTED_VALUE"""),22.0)</f>
        <v>22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 t="s">
        <v>262</v>
      </c>
      <c r="T53" s="422" t="str">
        <f>IFERROR(__xludf.DUMMYFUNCTION("""COMPUTED_VALUE"""),"Helga")</f>
        <v>Helga</v>
      </c>
      <c r="U53" s="423"/>
      <c r="W53" s="422" t="str">
        <f>IFERROR(__xludf.DUMMYFUNCTION("""COMPUTED_VALUE"""),"Инсомнич")</f>
        <v>Инсомнич</v>
      </c>
      <c r="X53" s="423">
        <f>IFERROR(__xludf.DUMMYFUNCTION("""COMPUTED_VALUE"""),22.0)</f>
        <v>22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 t="s">
        <v>267</v>
      </c>
      <c r="T54" s="422" t="str">
        <f>IFERROR(__xludf.DUMMYFUNCTION("""COMPUTED_VALUE"""),"Ketamin")</f>
        <v>Ketamin</v>
      </c>
      <c r="U54" s="423"/>
      <c r="W54" s="422" t="str">
        <f>IFERROR(__xludf.DUMMYFUNCTION("""COMPUTED_VALUE"""),"Волга")</f>
        <v>Волга</v>
      </c>
      <c r="X54" s="423">
        <f>IFERROR(__xludf.DUMMYFUNCTION("""COMPUTED_VALUE"""),21.75)</f>
        <v>21.75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 t="s">
        <v>264</v>
      </c>
      <c r="T55" s="422" t="str">
        <f>IFERROR(__xludf.DUMMYFUNCTION("""COMPUTED_VALUE"""),"Light")</f>
        <v>Light</v>
      </c>
      <c r="U55" s="423"/>
      <c r="W55" s="422" t="str">
        <f>IFERROR(__xludf.DUMMYFUNCTION("""COMPUTED_VALUE"""),"Манекен")</f>
        <v>Манекен</v>
      </c>
      <c r="X55" s="423">
        <f>IFERROR(__xludf.DUMMYFUNCTION("""COMPUTED_VALUE"""),21.5)</f>
        <v>21.5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 t="s">
        <v>262</v>
      </c>
      <c r="T56" s="422" t="str">
        <f>IFERROR(__xludf.DUMMYFUNCTION("""COMPUTED_VALUE"""),"Morti")</f>
        <v>Morti</v>
      </c>
      <c r="U56" s="423"/>
      <c r="W56" s="422" t="str">
        <f>IFERROR(__xludf.DUMMYFUNCTION("""COMPUTED_VALUE"""),"Зверюга")</f>
        <v>Зверюга</v>
      </c>
      <c r="X56" s="423">
        <f>IFERROR(__xludf.DUMMYFUNCTION("""COMPUTED_VALUE"""),21.5)</f>
        <v>21.5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 t="s">
        <v>272</v>
      </c>
      <c r="T57" s="422" t="str">
        <f>IFERROR(__xludf.DUMMYFUNCTION("""COMPUTED_VALUE"""),"MSR")</f>
        <v>MSR</v>
      </c>
      <c r="U57" s="423"/>
      <c r="W57" s="422" t="str">
        <f>IFERROR(__xludf.DUMMYFUNCTION("""COMPUTED_VALUE"""),"Alice ")</f>
        <v>Alice </v>
      </c>
      <c r="X57" s="423">
        <f>IFERROR(__xludf.DUMMYFUNCTION("""COMPUTED_VALUE"""),21.25)</f>
        <v>21.25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 t="s">
        <v>259</v>
      </c>
      <c r="T58" s="422" t="str">
        <f>IFERROR(__xludf.DUMMYFUNCTION("""COMPUTED_VALUE"""),"NLIP")</f>
        <v>NLIP</v>
      </c>
      <c r="U58" s="423"/>
      <c r="W58" s="422" t="str">
        <f>IFERROR(__xludf.DUMMYFUNCTION("""COMPUTED_VALUE"""),"Infinity ")</f>
        <v>Infinity </v>
      </c>
      <c r="X58" s="423">
        <f>IFERROR(__xludf.DUMMYFUNCTION("""COMPUTED_VALUE"""),21.0)</f>
        <v>21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 t="s">
        <v>267</v>
      </c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IFERROR(__xludf.DUMMYFUNCTION("""COMPUTED_VALUE"""),"Мишель ")</f>
        <v>Мишель </v>
      </c>
      <c r="X59" s="423">
        <f>IFERROR(__xludf.DUMMYFUNCTION("""COMPUTED_VALUE"""),21.0)</f>
        <v>21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 t="s">
        <v>272</v>
      </c>
      <c r="T60" s="422" t="str">
        <f>IFERROR(__xludf.DUMMYFUNCTION("""COMPUTED_VALUE"""),"SCHOKK ")</f>
        <v>SCHOKK </v>
      </c>
      <c r="U60" s="423"/>
      <c r="W60" s="422" t="str">
        <f>IFERROR(__xludf.DUMMYFUNCTION("""COMPUTED_VALUE"""),"Alice ")</f>
        <v>Alice </v>
      </c>
      <c r="X60" s="423">
        <f>IFERROR(__xludf.DUMMYFUNCTION("""COMPUTED_VALUE"""),21.0)</f>
        <v>21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 t="s">
        <v>272</v>
      </c>
      <c r="T61" s="422" t="str">
        <f>IFERROR(__xludf.DUMMYFUNCTION("""COMPUTED_VALUE"""),"Stacy")</f>
        <v>Stacy</v>
      </c>
      <c r="U61" s="423"/>
      <c r="W61" s="422" t="str">
        <f>IFERROR(__xludf.DUMMYFUNCTION("""COMPUTED_VALUE"""),"Писатель ")</f>
        <v>Писатель </v>
      </c>
      <c r="X61" s="423">
        <f>IFERROR(__xludf.DUMMYFUNCTION("""COMPUTED_VALUE"""),21.0)</f>
        <v>21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 t="s">
        <v>259</v>
      </c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IFERROR(__xludf.DUMMYFUNCTION("""COMPUTED_VALUE"""),"Castor Troy ")</f>
        <v>Castor Troy </v>
      </c>
      <c r="X62" s="423">
        <f>IFERROR(__xludf.DUMMYFUNCTION("""COMPUTED_VALUE"""),20.75)</f>
        <v>20.75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 t="s">
        <v>272</v>
      </c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IFERROR(__xludf.DUMMYFUNCTION("""COMPUTED_VALUE"""),"Ketamin")</f>
        <v>Ketamin</v>
      </c>
      <c r="X63" s="423">
        <f>IFERROR(__xludf.DUMMYFUNCTION("""COMPUTED_VALUE"""),20.75)</f>
        <v>20.75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 t="s">
        <v>259</v>
      </c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IFERROR(__xludf.DUMMYFUNCTION("""COMPUTED_VALUE"""),"GALAY")</f>
        <v>GALAY</v>
      </c>
      <c r="X64" s="423">
        <f>IFERROR(__xludf.DUMMYFUNCTION("""COMPUTED_VALUE"""),20.75)</f>
        <v>20.75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 t="s">
        <v>259</v>
      </c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IFERROR(__xludf.DUMMYFUNCTION("""COMPUTED_VALUE"""),"Красавчик")</f>
        <v>Красавчик</v>
      </c>
      <c r="X65" s="423">
        <f>IFERROR(__xludf.DUMMYFUNCTION("""COMPUTED_VALUE"""),20.5)</f>
        <v>20.5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 t="s">
        <v>267</v>
      </c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IFERROR(__xludf.DUMMYFUNCTION("""COMPUTED_VALUE"""),"РФ")</f>
        <v>РФ</v>
      </c>
      <c r="X66" s="423">
        <f>IFERROR(__xludf.DUMMYFUNCTION("""COMPUTED_VALUE"""),20.5)</f>
        <v>20.5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 t="s">
        <v>272</v>
      </c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IFERROR(__xludf.DUMMYFUNCTION("""COMPUTED_VALUE"""),"Юрия")</f>
        <v>Юрия</v>
      </c>
      <c r="X67" s="423">
        <f>IFERROR(__xludf.DUMMYFUNCTION("""COMPUTED_VALUE"""),20.5)</f>
        <v>20.5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 t="s">
        <v>262</v>
      </c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IFERROR(__xludf.DUMMYFUNCTION("""COMPUTED_VALUE"""),"Helga")</f>
        <v>Helga</v>
      </c>
      <c r="X68" s="423">
        <f>IFERROR(__xludf.DUMMYFUNCTION("""COMPUTED_VALUE"""),20.5)</f>
        <v>20.5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 t="s">
        <v>267</v>
      </c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IFERROR(__xludf.DUMMYFUNCTION("""COMPUTED_VALUE"""),"Мишель ")</f>
        <v>Мишель </v>
      </c>
      <c r="X69" s="423">
        <f>IFERROR(__xludf.DUMMYFUNCTION("""COMPUTED_VALUE"""),20.5)</f>
        <v>20.5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 t="s">
        <v>267</v>
      </c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IFERROR(__xludf.DUMMYFUNCTION("""COMPUTED_VALUE"""),"NLIP")</f>
        <v>NLIP</v>
      </c>
      <c r="X70" s="423">
        <f>IFERROR(__xludf.DUMMYFUNCTION("""COMPUTED_VALUE"""),20.5)</f>
        <v>20.5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 t="s">
        <v>257</v>
      </c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IFERROR(__xludf.DUMMYFUNCTION("""COMPUTED_VALUE"""),"Андерсен")</f>
        <v>Андерсен</v>
      </c>
      <c r="X71" s="423">
        <f>IFERROR(__xludf.DUMMYFUNCTION("""COMPUTED_VALUE"""),20.0)</f>
        <v>20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 t="s">
        <v>257</v>
      </c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IFERROR(__xludf.DUMMYFUNCTION("""COMPUTED_VALUE"""),"Продюсер")</f>
        <v>Продюсер</v>
      </c>
      <c r="X72" s="423">
        <f>IFERROR(__xludf.DUMMYFUNCTION("""COMPUTED_VALUE"""),20.0)</f>
        <v>20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 t="s">
        <v>272</v>
      </c>
      <c r="T73" s="422" t="str">
        <f>IFERROR(__xludf.DUMMYFUNCTION("""COMPUTED_VALUE"""),"Админ")</f>
        <v>Админ</v>
      </c>
      <c r="U73" s="423"/>
      <c r="W73" s="422" t="str">
        <f>IFERROR(__xludf.DUMMYFUNCTION("""COMPUTED_VALUE"""),"A1 ")</f>
        <v>A1 </v>
      </c>
      <c r="X73" s="423">
        <f>IFERROR(__xludf.DUMMYFUNCTION("""COMPUTED_VALUE"""),19.75)</f>
        <v>19.75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 t="s">
        <v>264</v>
      </c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IFERROR(__xludf.DUMMYFUNCTION("""COMPUTED_VALUE"""),"Дровосек")</f>
        <v>Дровосек</v>
      </c>
      <c r="X74" s="423">
        <f>IFERROR(__xludf.DUMMYFUNCTION("""COMPUTED_VALUE"""),19.75)</f>
        <v>19.75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 t="s">
        <v>262</v>
      </c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IFERROR(__xludf.DUMMYFUNCTION("""COMPUTED_VALUE"""),"Волга")</f>
        <v>Волга</v>
      </c>
      <c r="X75" s="423">
        <f>IFERROR(__xludf.DUMMYFUNCTION("""COMPUTED_VALUE"""),19.5)</f>
        <v>19.5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 t="s">
        <v>268</v>
      </c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IFERROR(__xludf.DUMMYFUNCTION("""COMPUTED_VALUE"""),"Панда из Руанды")</f>
        <v>Панда из Руанды</v>
      </c>
      <c r="X76" s="423">
        <f>IFERROR(__xludf.DUMMYFUNCTION("""COMPUTED_VALUE"""),19.5)</f>
        <v>19.5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IFERROR(__xludf.DUMMYFUNCTION("""COMPUTED_VALUE"""),"Ketamin")</f>
        <v>Ketamin</v>
      </c>
      <c r="X77" s="423">
        <f>IFERROR(__xludf.DUMMYFUNCTION("""COMPUTED_VALUE"""),19.5)</f>
        <v>19.5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IFERROR(__xludf.DUMMYFUNCTION("""COMPUTED_VALUE"""),"Продюсер")</f>
        <v>Продюсер</v>
      </c>
      <c r="X78" s="423">
        <f>IFERROR(__xludf.DUMMYFUNCTION("""COMPUTED_VALUE"""),19.25)</f>
        <v>19.25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IFERROR(__xludf.DUMMYFUNCTION("""COMPUTED_VALUE"""),"A1 ")</f>
        <v>A1 </v>
      </c>
      <c r="X79" s="423">
        <f>IFERROR(__xludf.DUMMYFUNCTION("""COMPUTED_VALUE"""),19.25)</f>
        <v>19.25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IFERROR(__xludf.DUMMYFUNCTION("""COMPUTED_VALUE"""),"Наполеон")</f>
        <v>Наполеон</v>
      </c>
      <c r="X80" s="423">
        <f>IFERROR(__xludf.DUMMYFUNCTION("""COMPUTED_VALUE"""),19.25)</f>
        <v>19.25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IFERROR(__xludf.DUMMYFUNCTION("""COMPUTED_VALUE"""),"SOVEST")</f>
        <v>SOVEST</v>
      </c>
      <c r="X81" s="423">
        <f>IFERROR(__xludf.DUMMYFUNCTION("""COMPUTED_VALUE"""),19.0)</f>
        <v>19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IFERROR(__xludf.DUMMYFUNCTION("""COMPUTED_VALUE"""),"Старый")</f>
        <v>Старый</v>
      </c>
      <c r="X82" s="423">
        <f>IFERROR(__xludf.DUMMYFUNCTION("""COMPUTED_VALUE"""),19.0)</f>
        <v>19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IFERROR(__xludf.DUMMYFUNCTION("""COMPUTED_VALUE"""),"A1 ")</f>
        <v>A1 </v>
      </c>
      <c r="X83" s="423">
        <f>IFERROR(__xludf.DUMMYFUNCTION("""COMPUTED_VALUE"""),19.0)</f>
        <v>19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IFERROR(__xludf.DUMMYFUNCTION("""COMPUTED_VALUE"""),"Градиент")</f>
        <v>Градиент</v>
      </c>
      <c r="X84" s="423">
        <f>IFERROR(__xludf.DUMMYFUNCTION("""COMPUTED_VALUE"""),19.0)</f>
        <v>19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IFERROR(__xludf.DUMMYFUNCTION("""COMPUTED_VALUE"""),"Coach")</f>
        <v>Coach</v>
      </c>
      <c r="X85" s="423">
        <f>IFERROR(__xludf.DUMMYFUNCTION("""COMPUTED_VALUE"""),18.75)</f>
        <v>18.75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IFERROR(__xludf.DUMMYFUNCTION("""COMPUTED_VALUE"""),"Крот")</f>
        <v>Крот</v>
      </c>
      <c r="U86" s="423"/>
      <c r="W86" s="422" t="str">
        <f>IFERROR(__xludf.DUMMYFUNCTION("""COMPUTED_VALUE"""),"Infinity ")</f>
        <v>Infinity </v>
      </c>
      <c r="X86" s="423">
        <f>IFERROR(__xludf.DUMMYFUNCTION("""COMPUTED_VALUE"""),18.75)</f>
        <v>18.75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IFERROR(__xludf.DUMMYFUNCTION("""COMPUTED_VALUE"""),"SCHOKK ")</f>
        <v>SCHOKK </v>
      </c>
      <c r="X87" s="423">
        <f>IFERROR(__xludf.DUMMYFUNCTION("""COMPUTED_VALUE"""),18.75)</f>
        <v>18.75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IFERROR(__xludf.DUMMYFUNCTION("""COMPUTED_VALUE"""),"Тихий закат")</f>
        <v>Тихий закат</v>
      </c>
      <c r="X88" s="423">
        <f>IFERROR(__xludf.DUMMYFUNCTION("""COMPUTED_VALUE"""),18.75)</f>
        <v>18.75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IFERROR(__xludf.DUMMYFUNCTION("""COMPUTED_VALUE"""),"Helga")</f>
        <v>Helga</v>
      </c>
      <c r="X89" s="423">
        <f>IFERROR(__xludf.DUMMYFUNCTION("""COMPUTED_VALUE"""),18.5)</f>
        <v>18.5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IFERROR(__xludf.DUMMYFUNCTION("""COMPUTED_VALUE"""),"Марго")</f>
        <v>Марго</v>
      </c>
      <c r="U90" s="423"/>
      <c r="W90" s="422" t="str">
        <f>IFERROR(__xludf.DUMMYFUNCTION("""COMPUTED_VALUE"""),"Маваши")</f>
        <v>Маваши</v>
      </c>
      <c r="X90" s="423">
        <f>IFERROR(__xludf.DUMMYFUNCTION("""COMPUTED_VALUE"""),18.5)</f>
        <v>18.5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IFERROR(__xludf.DUMMYFUNCTION("""COMPUTED_VALUE"""),"РФ")</f>
        <v>РФ</v>
      </c>
      <c r="X91" s="423">
        <f>IFERROR(__xludf.DUMMYFUNCTION("""COMPUTED_VALUE"""),18.5)</f>
        <v>18.5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IFERROR(__xludf.DUMMYFUNCTION("""COMPUTED_VALUE"""),"Крот")</f>
        <v>Крот</v>
      </c>
      <c r="X92" s="423">
        <f>IFERROR(__xludf.DUMMYFUNCTION("""COMPUTED_VALUE"""),18.25)</f>
        <v>18.25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IFERROR(__xludf.DUMMYFUNCTION("""COMPUTED_VALUE"""),"Light")</f>
        <v>Light</v>
      </c>
      <c r="X93" s="423">
        <f>IFERROR(__xludf.DUMMYFUNCTION("""COMPUTED_VALUE"""),18.25)</f>
        <v>18.25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 t="e">
        <v>#REF!</v>
      </c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IFERROR(__xludf.DUMMYFUNCTION("""COMPUTED_VALUE"""),"Продюсер")</f>
        <v>Продюсер</v>
      </c>
      <c r="X94" s="423">
        <f>IFERROR(__xludf.DUMMYFUNCTION("""COMPUTED_VALUE"""),18.25)</f>
        <v>18.25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IFERROR(__xludf.DUMMYFUNCTION("""COMPUTED_VALUE"""),"Градиент")</f>
        <v>Градиент</v>
      </c>
      <c r="X95" s="423">
        <f>IFERROR(__xludf.DUMMYFUNCTION("""COMPUTED_VALUE"""),18.25)</f>
        <v>18.25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IFERROR(__xludf.DUMMYFUNCTION("""COMPUTED_VALUE"""),"GALAY")</f>
        <v>GALAY</v>
      </c>
      <c r="X96" s="423">
        <f>IFERROR(__xludf.DUMMYFUNCTION("""COMPUTED_VALUE"""),18.25)</f>
        <v>18.25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IFERROR(__xludf.DUMMYFUNCTION("""COMPUTED_VALUE"""),"SOVEST")</f>
        <v>SOVEST</v>
      </c>
      <c r="X97" s="423">
        <f>IFERROR(__xludf.DUMMYFUNCTION("""COMPUTED_VALUE"""),18.0)</f>
        <v>18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IFERROR(__xludf.DUMMYFUNCTION("""COMPUTED_VALUE"""),"Helga")</f>
        <v>Helga</v>
      </c>
      <c r="X98" s="423">
        <f>IFERROR(__xludf.DUMMYFUNCTION("""COMPUTED_VALUE"""),18.0)</f>
        <v>18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IFERROR(__xludf.DUMMYFUNCTION("""COMPUTED_VALUE"""),"Зверюга")</f>
        <v>Зверюга</v>
      </c>
      <c r="X99" s="423">
        <f>IFERROR(__xludf.DUMMYFUNCTION("""COMPUTED_VALUE"""),17.75)</f>
        <v>17.75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IFERROR(__xludf.DUMMYFUNCTION("""COMPUTED_VALUE"""),"Young")</f>
        <v>Young</v>
      </c>
      <c r="X100" s="423">
        <f>IFERROR(__xludf.DUMMYFUNCTION("""COMPUTED_VALUE"""),17.75)</f>
        <v>17.75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IFERROR(__xludf.DUMMYFUNCTION("""COMPUTED_VALUE"""),"Физик")</f>
        <v>Физик</v>
      </c>
      <c r="X101" s="423">
        <f>IFERROR(__xludf.DUMMYFUNCTION("""COMPUTED_VALUE"""),17.75)</f>
        <v>17.75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IFERROR(__xludf.DUMMYFUNCTION("""COMPUTED_VALUE"""),"A1 ")</f>
        <v>A1 </v>
      </c>
      <c r="X102" s="423">
        <f>IFERROR(__xludf.DUMMYFUNCTION("""COMPUTED_VALUE"""),17.5)</f>
        <v>17.5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IFERROR(__xludf.DUMMYFUNCTION("""COMPUTED_VALUE"""),"WhoIsWho")</f>
        <v>WhoIsWho</v>
      </c>
      <c r="X103" s="423">
        <f>IFERROR(__xludf.DUMMYFUNCTION("""COMPUTED_VALUE"""),17.5)</f>
        <v>17.5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IFERROR(__xludf.DUMMYFUNCTION("""COMPUTED_VALUE"""),"Физик")</f>
        <v>Физик</v>
      </c>
      <c r="X104" s="423">
        <f>IFERROR(__xludf.DUMMYFUNCTION("""COMPUTED_VALUE"""),17.5)</f>
        <v>17.5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IFERROR(__xludf.DUMMYFUNCTION("""COMPUTED_VALUE"""),"Curly")</f>
        <v>Curly</v>
      </c>
      <c r="X105" s="423">
        <f>IFERROR(__xludf.DUMMYFUNCTION("""COMPUTED_VALUE"""),17.5)</f>
        <v>17.5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IFERROR(__xludf.DUMMYFUNCTION("""COMPUTED_VALUE"""),"Ketamin")</f>
        <v>Ketamin</v>
      </c>
      <c r="X106" s="423">
        <f>IFERROR(__xludf.DUMMYFUNCTION("""COMPUTED_VALUE"""),17.5)</f>
        <v>17.5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IFERROR(__xludf.DUMMYFUNCTION("""COMPUTED_VALUE"""),"GALAY")</f>
        <v>GALAY</v>
      </c>
      <c r="X107" s="423">
        <f>IFERROR(__xludf.DUMMYFUNCTION("""COMPUTED_VALUE"""),17.5)</f>
        <v>17.5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IFERROR(__xludf.DUMMYFUNCTION("""COMPUTED_VALUE"""),"Дровосек")</f>
        <v>Дровосек</v>
      </c>
      <c r="X108" s="423">
        <f>IFERROR(__xludf.DUMMYFUNCTION("""COMPUTED_VALUE"""),17.25)</f>
        <v>17.25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IFERROR(__xludf.DUMMYFUNCTION("""COMPUTED_VALUE"""),"MSR")</f>
        <v>MSR</v>
      </c>
      <c r="X109" s="423">
        <f>IFERROR(__xludf.DUMMYFUNCTION("""COMPUTED_VALUE"""),17.0)</f>
        <v>17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IFERROR(__xludf.DUMMYFUNCTION("""COMPUTED_VALUE"""),"MSR")</f>
        <v>MSR</v>
      </c>
      <c r="X110" s="423">
        <f>IFERROR(__xludf.DUMMYFUNCTION("""COMPUTED_VALUE"""),17.0)</f>
        <v>17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IFERROR(__xludf.DUMMYFUNCTION("""COMPUTED_VALUE"""),"Coach")</f>
        <v>Coach</v>
      </c>
      <c r="X111" s="423">
        <f>IFERROR(__xludf.DUMMYFUNCTION("""COMPUTED_VALUE"""),17.0)</f>
        <v>17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IFERROR(__xludf.DUMMYFUNCTION("""COMPUTED_VALUE"""),"Мишель ")</f>
        <v>Мишель </v>
      </c>
      <c r="X112" s="423">
        <f>IFERROR(__xludf.DUMMYFUNCTION("""COMPUTED_VALUE"""),17.0)</f>
        <v>17</v>
      </c>
    </row>
    <row r="113">
      <c r="A113" s="422" t="s">
        <v>118</v>
      </c>
      <c r="B113" s="422" t="s">
        <v>261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IFERROR(__xludf.DUMMYFUNCTION("""COMPUTED_VALUE"""),"Левша")</f>
        <v>Левша</v>
      </c>
      <c r="X113" s="423">
        <f>IFERROR(__xludf.DUMMYFUNCTION("""COMPUTED_VALUE"""),16.75)</f>
        <v>16.75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IFERROR(__xludf.DUMMYFUNCTION("""COMPUTED_VALUE"""),"Мишель ")</f>
        <v>Мишель </v>
      </c>
      <c r="X114" s="423">
        <f>IFERROR(__xludf.DUMMYFUNCTION("""COMPUTED_VALUE"""),16.75)</f>
        <v>16.75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IFERROR(__xludf.DUMMYFUNCTION("""COMPUTED_VALUE"""),"Бамблби")</f>
        <v>Бамблби</v>
      </c>
      <c r="X115" s="423">
        <f>IFERROR(__xludf.DUMMYFUNCTION("""COMPUTED_VALUE"""),16.5)</f>
        <v>16.5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IFERROR(__xludf.DUMMYFUNCTION("""COMPUTED_VALUE"""),"Rocket woman ")</f>
        <v>Rocket woman </v>
      </c>
      <c r="X116" s="423">
        <f>IFERROR(__xludf.DUMMYFUNCTION("""COMPUTED_VALUE"""),16.5)</f>
        <v>16.5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IFERROR(__xludf.DUMMYFUNCTION("""COMPUTED_VALUE"""),"Крот")</f>
        <v>Крот</v>
      </c>
      <c r="X117" s="423">
        <f>IFERROR(__xludf.DUMMYFUNCTION("""COMPUTED_VALUE"""),16.5)</f>
        <v>16.5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IFERROR(__xludf.DUMMYFUNCTION("""COMPUTED_VALUE"""),"РФ")</f>
        <v>РФ</v>
      </c>
      <c r="X118" s="423">
        <f>IFERROR(__xludf.DUMMYFUNCTION("""COMPUTED_VALUE"""),16.25)</f>
        <v>16.25</v>
      </c>
    </row>
    <row r="119">
      <c r="A119" s="422" t="s">
        <v>95</v>
      </c>
      <c r="B119" s="422" t="s">
        <v>271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IFERROR(__xludf.DUMMYFUNCTION("""COMPUTED_VALUE"""),"WhoIsWho")</f>
        <v>WhoIsWho</v>
      </c>
      <c r="X119" s="423">
        <f>IFERROR(__xludf.DUMMYFUNCTION("""COMPUTED_VALUE"""),16.0)</f>
        <v>16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IFERROR(__xludf.DUMMYFUNCTION("""COMPUTED_VALUE"""),"Rocket woman ")</f>
        <v>Rocket woman </v>
      </c>
      <c r="X120" s="423">
        <f>IFERROR(__xludf.DUMMYFUNCTION("""COMPUTED_VALUE"""),16.0)</f>
        <v>16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IFERROR(__xludf.DUMMYFUNCTION("""COMPUTED_VALUE"""),"NLIP")</f>
        <v>NLIP</v>
      </c>
      <c r="X121" s="423">
        <f>IFERROR(__xludf.DUMMYFUNCTION("""COMPUTED_VALUE"""),16.0)</f>
        <v>16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IFERROR(__xludf.DUMMYFUNCTION("""COMPUTED_VALUE"""),"Бамблби")</f>
        <v>Бамблби</v>
      </c>
      <c r="X122" s="423">
        <f>IFERROR(__xludf.DUMMYFUNCTION("""COMPUTED_VALUE"""),15.75)</f>
        <v>15.75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IFERROR(__xludf.DUMMYFUNCTION("""COMPUTED_VALUE"""),"Young")</f>
        <v>Young</v>
      </c>
      <c r="X123" s="423">
        <f>IFERROR(__xludf.DUMMYFUNCTION("""COMPUTED_VALUE"""),15.75)</f>
        <v>15.75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IFERROR(__xludf.DUMMYFUNCTION("""COMPUTED_VALUE"""),"Бамблби")</f>
        <v>Бамблби</v>
      </c>
      <c r="X124" s="423">
        <f>IFERROR(__xludf.DUMMYFUNCTION("""COMPUTED_VALUE"""),15.75)</f>
        <v>15.75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IFERROR(__xludf.DUMMYFUNCTION("""COMPUTED_VALUE"""),"Писатель ")</f>
        <v>Писатель </v>
      </c>
      <c r="X125" s="423">
        <f>IFERROR(__xludf.DUMMYFUNCTION("""COMPUTED_VALUE"""),15.75)</f>
        <v>15.75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IFERROR(__xludf.DUMMYFUNCTION("""COMPUTED_VALUE"""),"A1 ")</f>
        <v>A1 </v>
      </c>
      <c r="X126" s="423">
        <f>IFERROR(__xludf.DUMMYFUNCTION("""COMPUTED_VALUE"""),15.75)</f>
        <v>15.75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IFERROR(__xludf.DUMMYFUNCTION("""COMPUTED_VALUE"""),"Левша")</f>
        <v>Левша</v>
      </c>
      <c r="X127" s="423">
        <f>IFERROR(__xludf.DUMMYFUNCTION("""COMPUTED_VALUE"""),15.5)</f>
        <v>15.5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IFERROR(__xludf.DUMMYFUNCTION("""COMPUTED_VALUE"""),"Артик")</f>
        <v>Артик</v>
      </c>
      <c r="X128" s="423">
        <f>IFERROR(__xludf.DUMMYFUNCTION("""COMPUTED_VALUE"""),15.5)</f>
        <v>15.5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IFERROR(__xludf.DUMMYFUNCTION("""COMPUTED_VALUE"""),"Шпиц")</f>
        <v>Шпиц</v>
      </c>
      <c r="X129" s="423">
        <f>IFERROR(__xludf.DUMMYFUNCTION("""COMPUTED_VALUE"""),15.5)</f>
        <v>15.5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IFERROR(__xludf.DUMMYFUNCTION("""COMPUTED_VALUE"""),"Старый")</f>
        <v>Старый</v>
      </c>
      <c r="X130" s="423">
        <f>IFERROR(__xludf.DUMMYFUNCTION("""COMPUTED_VALUE"""),15.25)</f>
        <v>15.25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IFERROR(__xludf.DUMMYFUNCTION("""COMPUTED_VALUE"""),"Марго")</f>
        <v>Марго</v>
      </c>
      <c r="X131" s="423">
        <f>IFERROR(__xludf.DUMMYFUNCTION("""COMPUTED_VALUE"""),15.25)</f>
        <v>15.25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IFERROR(__xludf.DUMMYFUNCTION("""COMPUTED_VALUE"""),"Castor Troy ")</f>
        <v>Castor Troy </v>
      </c>
      <c r="X132" s="423">
        <f>IFERROR(__xludf.DUMMYFUNCTION("""COMPUTED_VALUE"""),15.25)</f>
        <v>15.25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IFERROR(__xludf.DUMMYFUNCTION("""COMPUTED_VALUE"""),"MSR")</f>
        <v>MSR</v>
      </c>
      <c r="X133" s="423">
        <f>IFERROR(__xludf.DUMMYFUNCTION("""COMPUTED_VALUE"""),15.0)</f>
        <v>15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IFERROR(__xludf.DUMMYFUNCTION("""COMPUTED_VALUE"""),"GALAY")</f>
        <v>GALAY</v>
      </c>
      <c r="X134" s="423">
        <f>IFERROR(__xludf.DUMMYFUNCTION("""COMPUTED_VALUE"""),15.0)</f>
        <v>15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IFERROR(__xludf.DUMMYFUNCTION("""COMPUTED_VALUE"""),"Alice ")</f>
        <v>Alice </v>
      </c>
      <c r="X135" s="423">
        <f>IFERROR(__xludf.DUMMYFUNCTION("""COMPUTED_VALUE"""),14.75)</f>
        <v>14.75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IFERROR(__xludf.DUMMYFUNCTION("""COMPUTED_VALUE"""),"Правда ")</f>
        <v>Правда </v>
      </c>
      <c r="X136" s="423">
        <f>IFERROR(__xludf.DUMMYFUNCTION("""COMPUTED_VALUE"""),14.75)</f>
        <v>14.75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IFERROR(__xludf.DUMMYFUNCTION("""COMPUTED_VALUE"""),"Юрия")</f>
        <v>Юрия</v>
      </c>
      <c r="X137" s="423">
        <f>IFERROR(__xludf.DUMMYFUNCTION("""COMPUTED_VALUE"""),14.5)</f>
        <v>14.5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IFERROR(__xludf.DUMMYFUNCTION("""COMPUTED_VALUE"""),"Stacy")</f>
        <v>Stacy</v>
      </c>
      <c r="X138" s="423">
        <f>IFERROR(__xludf.DUMMYFUNCTION("""COMPUTED_VALUE"""),14.5)</f>
        <v>14.5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IFERROR(__xludf.DUMMYFUNCTION("""COMPUTED_VALUE"""),"Бамблби")</f>
        <v>Бамблби</v>
      </c>
      <c r="X139" s="423">
        <f>IFERROR(__xludf.DUMMYFUNCTION("""COMPUTED_VALUE"""),14.25)</f>
        <v>14.25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IFERROR(__xludf.DUMMYFUNCTION("""COMPUTED_VALUE"""),"Крот")</f>
        <v>Крот</v>
      </c>
      <c r="X140" s="423">
        <f>IFERROR(__xludf.DUMMYFUNCTION("""COMPUTED_VALUE"""),14.25)</f>
        <v>14.25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IFERROR(__xludf.DUMMYFUNCTION("""COMPUTED_VALUE"""),"Панда из Руанды")</f>
        <v>Панда из Руанды</v>
      </c>
      <c r="X141" s="423">
        <f>IFERROR(__xludf.DUMMYFUNCTION("""COMPUTED_VALUE"""),14.0)</f>
        <v>14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IFERROR(__xludf.DUMMYFUNCTION("""COMPUTED_VALUE"""),"Левша")</f>
        <v>Левша</v>
      </c>
      <c r="X142" s="423">
        <f>IFERROR(__xludf.DUMMYFUNCTION("""COMPUTED_VALUE"""),14.0)</f>
        <v>14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IFERROR(__xludf.DUMMYFUNCTION("""COMPUTED_VALUE"""),"Light")</f>
        <v>Light</v>
      </c>
      <c r="X143" s="423">
        <f>IFERROR(__xludf.DUMMYFUNCTION("""COMPUTED_VALUE"""),14.0)</f>
        <v>14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IFERROR(__xludf.DUMMYFUNCTION("""COMPUTED_VALUE"""),"Манекен")</f>
        <v>Манекен</v>
      </c>
      <c r="X144" s="423">
        <f>IFERROR(__xludf.DUMMYFUNCTION("""COMPUTED_VALUE"""),13.75)</f>
        <v>13.75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IFERROR(__xludf.DUMMYFUNCTION("""COMPUTED_VALUE"""),"Bublik")</f>
        <v>Bublik</v>
      </c>
      <c r="X145" s="423">
        <f>IFERROR(__xludf.DUMMYFUNCTION("""COMPUTED_VALUE"""),13.5)</f>
        <v>13.5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IFERROR(__xludf.DUMMYFUNCTION("""COMPUTED_VALUE"""),"Лисичка")</f>
        <v>Лисичка</v>
      </c>
      <c r="X146" s="423">
        <f>IFERROR(__xludf.DUMMYFUNCTION("""COMPUTED_VALUE"""),13.25)</f>
        <v>13.25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IFERROR(__xludf.DUMMYFUNCTION("""COMPUTED_VALUE"""),"Тихий закат")</f>
        <v>Тихий закат</v>
      </c>
      <c r="X147" s="423">
        <f>IFERROR(__xludf.DUMMYFUNCTION("""COMPUTED_VALUE"""),13.0)</f>
        <v>13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IFERROR(__xludf.DUMMYFUNCTION("""COMPUTED_VALUE"""),"Дровосек")</f>
        <v>Дровосек</v>
      </c>
      <c r="X148" s="423">
        <f>IFERROR(__xludf.DUMMYFUNCTION("""COMPUTED_VALUE"""),12.0)</f>
        <v>12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IFERROR(__xludf.DUMMYFUNCTION("""COMPUTED_VALUE"""),"Alice ")</f>
        <v>Alice </v>
      </c>
      <c r="X149" s="423">
        <f>IFERROR(__xludf.DUMMYFUNCTION("""COMPUTED_VALUE"""),12.0)</f>
        <v>12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IFERROR(__xludf.DUMMYFUNCTION("""COMPUTED_VALUE"""),"Волга")</f>
        <v>Волга</v>
      </c>
      <c r="X150" s="423">
        <f>IFERROR(__xludf.DUMMYFUNCTION("""COMPUTED_VALUE"""),12.0)</f>
        <v>12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IFERROR(__xludf.DUMMYFUNCTION("""COMPUTED_VALUE"""),"GALAY")</f>
        <v>GALAY</v>
      </c>
      <c r="X151" s="423">
        <f>IFERROR(__xludf.DUMMYFUNCTION("""COMPUTED_VALUE"""),11.0)</f>
        <v>11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IFERROR(__xludf.DUMMYFUNCTION("""COMPUTED_VALUE"""),"Правда ")</f>
        <v>Правда </v>
      </c>
      <c r="X152" s="423">
        <f>IFERROR(__xludf.DUMMYFUNCTION("""COMPUTED_VALUE"""),10.75)</f>
        <v>10.75</v>
      </c>
    </row>
    <row r="153">
      <c r="A153" s="422" t="s">
        <v>79</v>
      </c>
      <c r="B153" s="422" t="s">
        <v>261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 t="s">
        <v>261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 t="s">
        <v>261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 t="s">
        <v>261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 t="s">
        <v>269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123</v>
      </c>
      <c r="B158" s="422" t="s">
        <v>269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 t="s">
        <v>261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 t="s">
        <v>261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 t="s">
        <v>271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 t="s">
        <v>265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 t="s">
        <v>261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 t="s">
        <v>261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 t="s">
        <v>265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 t="s">
        <v>271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 t="s">
        <v>269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123</v>
      </c>
      <c r="B168" s="422" t="s">
        <v>261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 t="s">
        <v>261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 t="s">
        <v>269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 t="s">
        <v>261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 t="s">
        <v>261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 t="s">
        <v>261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 t="s">
        <v>261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 t="s">
        <v>261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 t="s">
        <v>269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 t="s">
        <v>261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123</v>
      </c>
      <c r="B178" s="422" t="s">
        <v>269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 t="s">
        <v>271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 t="s">
        <v>261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 t="s">
        <v>261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 t="s">
        <v>265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 t="s">
        <v>261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 t="s">
        <v>261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 t="s">
        <v>261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 t="s">
        <v>261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 t="s">
        <v>271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123</v>
      </c>
      <c r="B188" s="422" t="s">
        <v>265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 t="s">
        <v>269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 t="s">
        <v>269</v>
      </c>
      <c r="C190" s="426">
        <v>2.5</v>
      </c>
      <c r="D190" s="426">
        <v>3.5</v>
      </c>
      <c r="E190" s="422" t="s">
        <v>260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 t="s">
        <v>261</v>
      </c>
      <c r="C191" s="426"/>
      <c r="D191" s="426">
        <v>2.0</v>
      </c>
      <c r="E191" s="422" t="s">
        <v>263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 t="s">
        <v>261</v>
      </c>
      <c r="C192" s="426"/>
      <c r="D192" s="426">
        <v>2.0</v>
      </c>
      <c r="E192" s="422" t="s">
        <v>263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 t="s">
        <v>261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 t="s">
        <v>261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 t="s">
        <v>269</v>
      </c>
      <c r="C195" s="426"/>
      <c r="D195" s="426">
        <v>2.75</v>
      </c>
      <c r="E195" s="422" t="s">
        <v>263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 t="s">
        <v>265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 t="s">
        <v>269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 t="s">
        <v>271</v>
      </c>
      <c r="C198" s="426">
        <v>2.5</v>
      </c>
      <c r="D198" s="426">
        <v>2.5</v>
      </c>
      <c r="E198" s="422" t="s">
        <v>260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 t="s">
        <v>261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 t="s">
        <v>261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 t="s">
        <v>261</v>
      </c>
      <c r="C201" s="426">
        <v>2.5</v>
      </c>
      <c r="D201" s="426">
        <v>4.5</v>
      </c>
      <c r="E201" s="422" t="s">
        <v>260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 t="s">
        <v>261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 t="s">
        <v>261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 t="s">
        <v>261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 t="s">
        <v>265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 t="s">
        <v>269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 t="s">
        <v>271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 t="s">
        <v>261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 t="s">
        <v>261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 t="s">
        <v>261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 t="s">
        <v>269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 t="s">
        <v>261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 t="s">
        <v>269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 t="s">
        <v>261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 t="s">
        <v>261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 t="s">
        <v>261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 t="s">
        <v>269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 t="s">
        <v>261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 t="s">
        <v>261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 t="s">
        <v>271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 t="s">
        <v>265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 t="s">
        <v>261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 t="s">
        <v>261</v>
      </c>
      <c r="C223" s="426"/>
      <c r="D223" s="426">
        <v>2.25</v>
      </c>
      <c r="E223" s="422" t="s">
        <v>263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269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261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269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261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271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265</v>
      </c>
      <c r="C229" s="426">
        <v>2.5</v>
      </c>
      <c r="D229" s="426">
        <v>3.5</v>
      </c>
      <c r="E229" s="422" t="s">
        <v>260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261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261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261</v>
      </c>
      <c r="C232" s="426"/>
      <c r="D232" s="426">
        <v>1.75</v>
      </c>
      <c r="E232" s="422" t="s">
        <v>263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261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265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261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261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271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261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269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269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261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261</v>
      </c>
      <c r="C242" s="426"/>
      <c r="D242" s="426">
        <v>2.75</v>
      </c>
      <c r="E242" s="422"/>
      <c r="F242" s="426"/>
      <c r="G242" s="426"/>
      <c r="R242" s="422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261</v>
      </c>
      <c r="C243" s="426">
        <v>2.5</v>
      </c>
      <c r="D243" s="426">
        <v>4.0</v>
      </c>
      <c r="E243" s="422" t="s">
        <v>260</v>
      </c>
      <c r="F243" s="426"/>
      <c r="G243" s="426"/>
      <c r="R243" s="422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261</v>
      </c>
      <c r="C244" s="426">
        <v>2.5</v>
      </c>
      <c r="D244" s="426">
        <v>2.5</v>
      </c>
      <c r="E244" s="422"/>
      <c r="F244" s="426"/>
      <c r="G244" s="426"/>
      <c r="R244" s="422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271</v>
      </c>
      <c r="C245" s="426">
        <v>2.5</v>
      </c>
      <c r="D245" s="426">
        <v>2.75</v>
      </c>
      <c r="E245" s="422"/>
      <c r="F245" s="426"/>
      <c r="G245" s="426"/>
      <c r="R245" s="422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269</v>
      </c>
      <c r="C246" s="426"/>
      <c r="D246" s="426">
        <v>2.5</v>
      </c>
      <c r="E246" s="422" t="s">
        <v>263</v>
      </c>
      <c r="F246" s="426"/>
      <c r="G246" s="426"/>
      <c r="R246" s="422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261</v>
      </c>
      <c r="C247" s="426">
        <v>2.5</v>
      </c>
      <c r="D247" s="426">
        <v>3.25</v>
      </c>
      <c r="E247" s="422"/>
      <c r="F247" s="426"/>
      <c r="G247" s="426"/>
      <c r="R247" s="422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261</v>
      </c>
      <c r="C248" s="426">
        <v>2.5</v>
      </c>
      <c r="D248" s="426">
        <v>3.5</v>
      </c>
      <c r="E248" s="422"/>
      <c r="F248" s="426"/>
      <c r="G248" s="426"/>
      <c r="R248" s="422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261</v>
      </c>
      <c r="C249" s="426">
        <v>2.5</v>
      </c>
      <c r="D249" s="426">
        <v>2.5</v>
      </c>
      <c r="E249" s="422" t="s">
        <v>260</v>
      </c>
      <c r="F249" s="426"/>
      <c r="G249" s="426"/>
      <c r="R249" s="422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265</v>
      </c>
      <c r="C250" s="426"/>
      <c r="D250" s="426">
        <v>2.25</v>
      </c>
      <c r="E250" s="422"/>
      <c r="F250" s="426"/>
      <c r="G250" s="426"/>
      <c r="R250" s="422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261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R251" s="422"/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269</v>
      </c>
      <c r="C252" s="426"/>
      <c r="D252" s="426">
        <v>2.25</v>
      </c>
      <c r="E252" s="422"/>
      <c r="F252" s="426"/>
      <c r="G252" s="426"/>
      <c r="R252" s="422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269</v>
      </c>
      <c r="C253" s="426"/>
      <c r="D253" s="426">
        <v>2.5</v>
      </c>
      <c r="E253" s="422"/>
      <c r="F253" s="426"/>
      <c r="G253" s="426"/>
      <c r="R253" s="422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261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R254" s="422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269</v>
      </c>
      <c r="C255" s="426"/>
      <c r="D255" s="426">
        <v>2.0</v>
      </c>
      <c r="E255" s="422"/>
      <c r="F255" s="426"/>
      <c r="G255" s="426"/>
      <c r="R255" s="422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261</v>
      </c>
      <c r="C256" s="426">
        <v>2.5</v>
      </c>
      <c r="D256" s="426">
        <v>4.0</v>
      </c>
      <c r="E256" s="422"/>
      <c r="F256" s="426"/>
      <c r="G256" s="426"/>
      <c r="R256" s="422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261</v>
      </c>
      <c r="C257" s="426">
        <v>2.5</v>
      </c>
      <c r="D257" s="426">
        <v>4.25</v>
      </c>
      <c r="E257" s="422"/>
      <c r="F257" s="426"/>
      <c r="G257" s="426"/>
      <c r="R257" s="422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265</v>
      </c>
      <c r="C258" s="426"/>
      <c r="D258" s="426">
        <v>1.75</v>
      </c>
      <c r="E258" s="422"/>
      <c r="F258" s="426"/>
      <c r="G258" s="426"/>
      <c r="R258" s="422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271</v>
      </c>
      <c r="C259" s="426">
        <v>2.5</v>
      </c>
      <c r="D259" s="426">
        <v>4.0</v>
      </c>
      <c r="E259" s="422"/>
      <c r="F259" s="426"/>
      <c r="G259" s="426"/>
      <c r="R259" s="422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261</v>
      </c>
      <c r="C260" s="426">
        <v>2.5</v>
      </c>
      <c r="D260" s="426">
        <v>3.75</v>
      </c>
      <c r="E260" s="422"/>
      <c r="F260" s="426"/>
      <c r="G260" s="426"/>
      <c r="R260" s="422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261</v>
      </c>
      <c r="C261" s="426">
        <v>2.5</v>
      </c>
      <c r="D261" s="426">
        <v>3.25</v>
      </c>
      <c r="E261" s="422"/>
      <c r="F261" s="426"/>
      <c r="G261" s="426"/>
      <c r="R261" s="422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261</v>
      </c>
      <c r="C262" s="426">
        <v>2.5</v>
      </c>
      <c r="D262" s="426">
        <v>3.5</v>
      </c>
      <c r="E262" s="422"/>
      <c r="F262" s="426"/>
      <c r="G262" s="426"/>
      <c r="R262" s="422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261</v>
      </c>
      <c r="C263" s="426"/>
      <c r="D263" s="426">
        <v>3.0</v>
      </c>
      <c r="E263" s="422" t="s">
        <v>263</v>
      </c>
      <c r="F263" s="426"/>
      <c r="G263" s="426"/>
      <c r="R263" s="422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261</v>
      </c>
      <c r="C264" s="426"/>
      <c r="D264" s="426">
        <v>2.25</v>
      </c>
      <c r="E264" s="422"/>
      <c r="F264" s="426"/>
      <c r="G264" s="426"/>
      <c r="R264" s="422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261</v>
      </c>
      <c r="C265" s="426"/>
      <c r="D265" s="426">
        <v>3.0</v>
      </c>
      <c r="E265" s="422"/>
      <c r="F265" s="426"/>
      <c r="G265" s="426"/>
      <c r="R265" s="422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269</v>
      </c>
      <c r="C266" s="426">
        <v>2.5</v>
      </c>
      <c r="D266" s="426">
        <v>2.5</v>
      </c>
      <c r="E266" s="422"/>
      <c r="F266" s="426"/>
      <c r="G266" s="426"/>
      <c r="R266" s="422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261</v>
      </c>
      <c r="C267" s="426"/>
      <c r="D267" s="426">
        <v>2.25</v>
      </c>
      <c r="E267" s="422"/>
      <c r="F267" s="426"/>
      <c r="G267" s="426"/>
      <c r="R267" s="422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265</v>
      </c>
      <c r="C268" s="426">
        <v>2.5</v>
      </c>
      <c r="D268" s="426">
        <v>4.0</v>
      </c>
      <c r="E268" s="422" t="s">
        <v>260</v>
      </c>
      <c r="F268" s="426"/>
      <c r="G268" s="426"/>
      <c r="R268" s="422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261</v>
      </c>
      <c r="C269" s="426"/>
      <c r="D269" s="426">
        <v>1.5</v>
      </c>
      <c r="E269" s="422"/>
      <c r="F269" s="426"/>
      <c r="G269" s="426"/>
      <c r="R269" s="422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261</v>
      </c>
      <c r="C270" s="426"/>
      <c r="D270" s="426">
        <v>2.0</v>
      </c>
      <c r="E270" s="422" t="s">
        <v>263</v>
      </c>
      <c r="F270" s="426"/>
      <c r="G270" s="426"/>
      <c r="R270" s="422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271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R271" s="422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269</v>
      </c>
      <c r="C272" s="426">
        <v>2.5</v>
      </c>
      <c r="D272" s="426">
        <v>2.25</v>
      </c>
      <c r="E272" s="422"/>
      <c r="F272" s="426"/>
      <c r="G272" s="426"/>
      <c r="R272" s="422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261</v>
      </c>
      <c r="C273" s="426"/>
      <c r="D273" s="426">
        <v>2.25</v>
      </c>
      <c r="E273" s="422"/>
      <c r="F273" s="426"/>
      <c r="G273" s="426"/>
      <c r="R273" s="422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261</v>
      </c>
      <c r="C274" s="426"/>
      <c r="D274" s="426">
        <v>1.75</v>
      </c>
      <c r="E274" s="422"/>
      <c r="F274" s="426"/>
      <c r="G274" s="426"/>
      <c r="R274" s="422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271</v>
      </c>
      <c r="C275" s="426"/>
      <c r="D275" s="426">
        <v>2.0</v>
      </c>
      <c r="E275" s="422"/>
      <c r="F275" s="426"/>
      <c r="G275" s="426"/>
      <c r="R275" s="422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269</v>
      </c>
      <c r="C276" s="426">
        <v>2.5</v>
      </c>
      <c r="D276" s="426">
        <v>4.0</v>
      </c>
      <c r="E276" s="422"/>
      <c r="F276" s="426"/>
      <c r="G276" s="426"/>
      <c r="R276" s="422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261</v>
      </c>
      <c r="C277" s="426"/>
      <c r="D277" s="426">
        <v>1.75</v>
      </c>
      <c r="E277" s="422" t="s">
        <v>11</v>
      </c>
      <c r="F277" s="426"/>
      <c r="G277" s="426">
        <v>0.5</v>
      </c>
      <c r="R277" s="422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261</v>
      </c>
      <c r="C278" s="426"/>
      <c r="D278" s="426">
        <v>1.75</v>
      </c>
      <c r="E278" s="422"/>
      <c r="F278" s="426"/>
      <c r="G278" s="426"/>
      <c r="R278" s="422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261</v>
      </c>
      <c r="C279" s="426"/>
      <c r="D279" s="426">
        <v>2.25</v>
      </c>
      <c r="E279" s="422"/>
      <c r="F279" s="426"/>
      <c r="G279" s="426"/>
      <c r="R279" s="422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269</v>
      </c>
      <c r="C280" s="426">
        <v>2.5</v>
      </c>
      <c r="D280" s="426">
        <v>3.75</v>
      </c>
      <c r="E280" s="422"/>
      <c r="F280" s="426"/>
      <c r="G280" s="426"/>
      <c r="R280" s="422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265</v>
      </c>
      <c r="C281" s="426">
        <v>2.5</v>
      </c>
      <c r="D281" s="426">
        <v>3.75</v>
      </c>
      <c r="E281" s="422"/>
      <c r="F281" s="426"/>
      <c r="G281" s="426"/>
      <c r="R281" s="422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261</v>
      </c>
      <c r="C282" s="426"/>
      <c r="D282" s="426">
        <v>2.25</v>
      </c>
      <c r="E282" s="422"/>
      <c r="F282" s="426"/>
      <c r="G282" s="426"/>
      <c r="R282" s="422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261</v>
      </c>
      <c r="C283" s="426"/>
      <c r="D283" s="426">
        <v>2.0</v>
      </c>
      <c r="E283" s="422"/>
      <c r="F283" s="426"/>
      <c r="G283" s="426"/>
      <c r="R283" s="422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261</v>
      </c>
      <c r="C284" s="426"/>
      <c r="D284" s="426">
        <v>1.75</v>
      </c>
      <c r="E284" s="422"/>
      <c r="F284" s="426"/>
      <c r="G284" s="426"/>
      <c r="R284" s="422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269</v>
      </c>
      <c r="C285" s="426">
        <v>2.5</v>
      </c>
      <c r="D285" s="426">
        <v>3.75</v>
      </c>
      <c r="E285" s="422"/>
      <c r="F285" s="426"/>
      <c r="G285" s="426"/>
      <c r="R285" s="422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261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R286" s="422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261</v>
      </c>
      <c r="C287" s="426"/>
      <c r="D287" s="426">
        <v>1.75</v>
      </c>
      <c r="E287" s="422"/>
      <c r="F287" s="426"/>
      <c r="G287" s="426"/>
      <c r="R287" s="422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261</v>
      </c>
      <c r="C288" s="426"/>
      <c r="D288" s="426">
        <v>2.5</v>
      </c>
      <c r="E288" s="422"/>
      <c r="F288" s="426"/>
      <c r="G288" s="426"/>
      <c r="R288" s="422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265</v>
      </c>
      <c r="C289" s="426">
        <v>2.5</v>
      </c>
      <c r="D289" s="426">
        <v>2.0</v>
      </c>
      <c r="E289" s="422"/>
      <c r="F289" s="426"/>
      <c r="G289" s="426"/>
      <c r="R289" s="422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261</v>
      </c>
      <c r="C290" s="426"/>
      <c r="D290" s="426">
        <v>2.0</v>
      </c>
      <c r="E290" s="422"/>
      <c r="F290" s="426"/>
      <c r="G290" s="426"/>
      <c r="R290" s="422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271</v>
      </c>
      <c r="C291" s="426"/>
      <c r="D291" s="426">
        <v>1.75</v>
      </c>
      <c r="E291" s="422"/>
      <c r="F291" s="426"/>
      <c r="G291" s="426"/>
      <c r="R291" s="422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269</v>
      </c>
      <c r="C292" s="426">
        <v>2.5</v>
      </c>
      <c r="D292" s="426">
        <v>3.5</v>
      </c>
      <c r="E292" s="422"/>
      <c r="F292" s="426"/>
      <c r="G292" s="426"/>
      <c r="R292" s="422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269</v>
      </c>
      <c r="C293" s="426">
        <v>2.5</v>
      </c>
      <c r="D293" s="426">
        <v>3.75</v>
      </c>
      <c r="E293" s="422"/>
      <c r="F293" s="426"/>
      <c r="G293" s="426"/>
      <c r="R293" s="422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261</v>
      </c>
      <c r="C294" s="426"/>
      <c r="D294" s="426">
        <v>2.25</v>
      </c>
      <c r="E294" s="422" t="s">
        <v>11</v>
      </c>
      <c r="F294" s="426"/>
      <c r="G294" s="426">
        <v>1.0</v>
      </c>
      <c r="R294" s="422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261</v>
      </c>
      <c r="C295" s="426"/>
      <c r="D295" s="426">
        <v>1.0</v>
      </c>
      <c r="E295" s="422"/>
      <c r="F295" s="426"/>
      <c r="G295" s="426"/>
      <c r="R295" s="422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269</v>
      </c>
      <c r="C296" s="426">
        <v>2.5</v>
      </c>
      <c r="D296" s="426">
        <v>4.0</v>
      </c>
      <c r="E296" s="422"/>
      <c r="F296" s="426"/>
      <c r="G296" s="426"/>
      <c r="R296" s="422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261</v>
      </c>
      <c r="C297" s="426"/>
      <c r="D297" s="426">
        <v>4.0</v>
      </c>
      <c r="E297" s="422"/>
      <c r="F297" s="426"/>
      <c r="G297" s="426"/>
      <c r="R297" s="422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265</v>
      </c>
      <c r="C298" s="426">
        <v>2.5</v>
      </c>
      <c r="D298" s="426">
        <v>4.5</v>
      </c>
      <c r="E298" s="422"/>
      <c r="F298" s="426"/>
      <c r="G298" s="426"/>
      <c r="R298" s="422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261</v>
      </c>
      <c r="C299" s="426"/>
      <c r="D299" s="426">
        <v>1.0</v>
      </c>
      <c r="E299" s="422"/>
      <c r="F299" s="426"/>
      <c r="G299" s="426"/>
      <c r="R299" s="422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261</v>
      </c>
      <c r="C300" s="426"/>
      <c r="D300" s="426">
        <v>1.0</v>
      </c>
      <c r="E300" s="422"/>
      <c r="F300" s="426"/>
      <c r="G300" s="426"/>
      <c r="R300" s="422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261</v>
      </c>
      <c r="C301" s="426"/>
      <c r="D301" s="426">
        <v>1.0</v>
      </c>
      <c r="E301" s="422"/>
      <c r="F301" s="426"/>
      <c r="G301" s="426"/>
      <c r="R301" s="422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271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desc"")"),"РФ")</f>
        <v>РФ</v>
      </c>
      <c r="U302" s="423">
        <f>IFERROR(__xludf.DUMMYFUNCTION("""COMPUTED_VALUE"""),30.75)</f>
        <v>30.75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 t="s">
        <v>261</v>
      </c>
      <c r="C303" s="426">
        <v>2.5</v>
      </c>
      <c r="D303" s="426">
        <v>2.25</v>
      </c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IFERROR(__xludf.DUMMYFUNCTION("""COMPUTED_VALUE"""),25.0)</f>
        <v>25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 t="s">
        <v>261</v>
      </c>
      <c r="C304" s="426">
        <v>2.5</v>
      </c>
      <c r="D304" s="426">
        <v>3.5</v>
      </c>
      <c r="E304" s="422"/>
      <c r="F304" s="426"/>
      <c r="G304" s="426"/>
      <c r="T304" s="422" t="str">
        <f>IFERROR(__xludf.DUMMYFUNCTION("""COMPUTED_VALUE"""),"Зверюга")</f>
        <v>Зверюга</v>
      </c>
      <c r="U304" s="423">
        <f>IFERROR(__xludf.DUMMYFUNCTION("""COMPUTED_VALUE"""),24.0)</f>
        <v>24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 t="s">
        <v>265</v>
      </c>
      <c r="C305" s="426"/>
      <c r="D305" s="426">
        <v>2.75</v>
      </c>
      <c r="E305" s="422" t="s">
        <v>263</v>
      </c>
      <c r="F305" s="426"/>
      <c r="G305" s="426"/>
      <c r="T305" s="422" t="str">
        <f>IFERROR(__xludf.DUMMYFUNCTION("""COMPUTED_VALUE"""),"Cristo")</f>
        <v>Cristo</v>
      </c>
      <c r="U305" s="423">
        <f>IFERROR(__xludf.DUMMYFUNCTION("""COMPUTED_VALUE"""),23.75)</f>
        <v>23.75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 t="s">
        <v>261</v>
      </c>
      <c r="C306" s="426">
        <v>2.5</v>
      </c>
      <c r="D306" s="426">
        <v>4.25</v>
      </c>
      <c r="E306" s="422"/>
      <c r="F306" s="426"/>
      <c r="G306" s="426"/>
      <c r="T306" s="422" t="str">
        <f>IFERROR(__xludf.DUMMYFUNCTION("""COMPUTED_VALUE"""),"Красавчик")</f>
        <v>Красавчик</v>
      </c>
      <c r="U306" s="423">
        <f>IFERROR(__xludf.DUMMYFUNCTION("""COMPUTED_VALUE"""),22.0)</f>
        <v>22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 t="s">
        <v>261</v>
      </c>
      <c r="C307" s="426">
        <v>2.5</v>
      </c>
      <c r="D307" s="426">
        <v>4.0</v>
      </c>
      <c r="E307" s="422" t="s">
        <v>260</v>
      </c>
      <c r="F307" s="426"/>
      <c r="G307" s="426"/>
      <c r="T307" s="422" t="str">
        <f>IFERROR(__xludf.DUMMYFUNCTION("""COMPUTED_VALUE"""),"Ketamin")</f>
        <v>Ketamin</v>
      </c>
      <c r="U307" s="423">
        <f>IFERROR(__xludf.DUMMYFUNCTION("""COMPUTED_VALUE"""),20.75)</f>
        <v>20.75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 t="s">
        <v>261</v>
      </c>
      <c r="C308" s="426">
        <v>2.5</v>
      </c>
      <c r="D308" s="426">
        <v>2.75</v>
      </c>
      <c r="E308" s="422" t="s">
        <v>260</v>
      </c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IFERROR(__xludf.DUMMYFUNCTION("""COMPUTED_VALUE"""),19.75)</f>
        <v>19.75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 t="s">
        <v>261</v>
      </c>
      <c r="C309" s="426">
        <v>2.5</v>
      </c>
      <c r="D309" s="426">
        <v>2.5</v>
      </c>
      <c r="E309" s="422"/>
      <c r="F309" s="426"/>
      <c r="G309" s="426"/>
      <c r="T309" s="422" t="str">
        <f>IFERROR(__xludf.DUMMYFUNCTION("""COMPUTED_VALUE"""),"Панда из Руанды")</f>
        <v>Панда из Руанды</v>
      </c>
      <c r="U309" s="423">
        <f>IFERROR(__xludf.DUMMYFUNCTION("""COMPUTED_VALUE"""),19.5)</f>
        <v>19.5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 t="s">
        <v>269</v>
      </c>
      <c r="C310" s="426"/>
      <c r="D310" s="426">
        <v>1.75</v>
      </c>
      <c r="E310" s="422"/>
      <c r="F310" s="426"/>
      <c r="G310" s="426"/>
      <c r="T310" s="422" t="str">
        <f>IFERROR(__xludf.DUMMYFUNCTION("""COMPUTED_VALUE"""),"Coach")</f>
        <v>Coach</v>
      </c>
      <c r="U310" s="423">
        <f>IFERROR(__xludf.DUMMYFUNCTION("""COMPUTED_VALUE"""),18.75)</f>
        <v>18.75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 t="s">
        <v>269</v>
      </c>
      <c r="C311" s="426"/>
      <c r="D311" s="426">
        <v>1.75</v>
      </c>
      <c r="E311" s="422"/>
      <c r="F311" s="426"/>
      <c r="G311" s="426"/>
      <c r="T311" s="422" t="str">
        <f>IFERROR(__xludf.DUMMYFUNCTION("""COMPUTED_VALUE"""),"Bublik")</f>
        <v>Bublik</v>
      </c>
      <c r="U311" s="423">
        <f>IFERROR(__xludf.DUMMYFUNCTION("""COMPUTED_VALUE"""),13.5)</f>
        <v>13.5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 t="s">
        <v>271</v>
      </c>
      <c r="C312" s="426">
        <v>2.5</v>
      </c>
      <c r="D312" s="426">
        <v>2.5</v>
      </c>
      <c r="E312" s="422" t="s">
        <v>11</v>
      </c>
      <c r="F312" s="426"/>
      <c r="G312" s="426">
        <v>0.5</v>
      </c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 t="s">
        <v>261</v>
      </c>
      <c r="C313" s="426">
        <v>2.5</v>
      </c>
      <c r="D313" s="426">
        <v>2.5</v>
      </c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 t="s">
        <v>265</v>
      </c>
      <c r="C314" s="426"/>
      <c r="D314" s="426">
        <v>1.75</v>
      </c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 t="s">
        <v>261</v>
      </c>
      <c r="C315" s="426">
        <v>2.5</v>
      </c>
      <c r="D315" s="426">
        <v>2.25</v>
      </c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 t="s">
        <v>261</v>
      </c>
      <c r="C316" s="426">
        <v>2.5</v>
      </c>
      <c r="D316" s="426">
        <v>2.75</v>
      </c>
      <c r="E316" s="422" t="s">
        <v>11</v>
      </c>
      <c r="F316" s="426"/>
      <c r="G316" s="426">
        <v>0.5</v>
      </c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 t="s">
        <v>271</v>
      </c>
      <c r="C317" s="426">
        <v>2.5</v>
      </c>
      <c r="D317" s="426">
        <v>5.0</v>
      </c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 t="s">
        <v>261</v>
      </c>
      <c r="C318" s="426">
        <v>2.5</v>
      </c>
      <c r="D318" s="426">
        <v>3.5</v>
      </c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 t="s">
        <v>261</v>
      </c>
      <c r="C319" s="426">
        <v>2.5</v>
      </c>
      <c r="D319" s="426">
        <v>3.75</v>
      </c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 t="s">
        <v>269</v>
      </c>
      <c r="C320" s="426"/>
      <c r="D320" s="426">
        <v>1.5</v>
      </c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 t="s">
        <v>269</v>
      </c>
      <c r="C321" s="426"/>
      <c r="D321" s="426">
        <v>2.0</v>
      </c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 t="s">
        <v>261</v>
      </c>
      <c r="C322" s="426">
        <v>2.5</v>
      </c>
      <c r="D322" s="426">
        <v>3.75</v>
      </c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 t="s">
        <v>269</v>
      </c>
      <c r="C323" s="426">
        <v>2.5</v>
      </c>
      <c r="D323" s="426">
        <v>2.5</v>
      </c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 t="s">
        <v>261</v>
      </c>
      <c r="C324" s="426"/>
      <c r="D324" s="426">
        <v>2.5</v>
      </c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 t="s">
        <v>271</v>
      </c>
      <c r="C325" s="426"/>
      <c r="D325" s="426">
        <v>0.5</v>
      </c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 t="s">
        <v>269</v>
      </c>
      <c r="C326" s="426">
        <v>2.5</v>
      </c>
      <c r="D326" s="426">
        <v>2.25</v>
      </c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 t="s">
        <v>265</v>
      </c>
      <c r="C327" s="426">
        <v>2.5</v>
      </c>
      <c r="D327" s="426">
        <v>3.0</v>
      </c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 t="s">
        <v>261</v>
      </c>
      <c r="C328" s="426"/>
      <c r="D328" s="426">
        <v>2.5</v>
      </c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 t="s">
        <v>261</v>
      </c>
      <c r="C329" s="426"/>
      <c r="D329" s="426">
        <v>2.5</v>
      </c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 t="s">
        <v>261</v>
      </c>
      <c r="C330" s="426"/>
      <c r="D330" s="426">
        <v>2.75</v>
      </c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 t="s">
        <v>261</v>
      </c>
      <c r="C331" s="426"/>
      <c r="D331" s="426">
        <v>2.5</v>
      </c>
      <c r="E331" s="422" t="s">
        <v>11</v>
      </c>
      <c r="F331" s="426"/>
      <c r="G331" s="426">
        <v>0.5</v>
      </c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 t="s">
        <v>261</v>
      </c>
      <c r="C332" s="426"/>
      <c r="D332" s="426">
        <v>2.5</v>
      </c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 t="s">
        <v>269</v>
      </c>
      <c r="C333" s="426"/>
      <c r="D333" s="426">
        <v>2.25</v>
      </c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 t="s">
        <v>261</v>
      </c>
      <c r="C334" s="426">
        <v>2.5</v>
      </c>
      <c r="D334" s="426">
        <v>3.5</v>
      </c>
      <c r="E334" s="422" t="s">
        <v>260</v>
      </c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 t="s">
        <v>261</v>
      </c>
      <c r="C335" s="426">
        <v>2.5</v>
      </c>
      <c r="D335" s="426">
        <v>2.75</v>
      </c>
      <c r="E335" s="422" t="s">
        <v>260</v>
      </c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 t="s">
        <v>261</v>
      </c>
      <c r="C336" s="426">
        <v>2.5</v>
      </c>
      <c r="D336" s="426">
        <v>2.75</v>
      </c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 t="s">
        <v>261</v>
      </c>
      <c r="C337" s="426">
        <v>2.5</v>
      </c>
      <c r="D337" s="426">
        <v>3.5</v>
      </c>
      <c r="E337" s="422" t="s">
        <v>260</v>
      </c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 t="s">
        <v>261</v>
      </c>
      <c r="C338" s="426">
        <v>2.5</v>
      </c>
      <c r="D338" s="426">
        <v>3.25</v>
      </c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 t="s">
        <v>261</v>
      </c>
      <c r="C339" s="426">
        <v>2.5</v>
      </c>
      <c r="D339" s="426">
        <v>2.75</v>
      </c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 t="s">
        <v>265</v>
      </c>
      <c r="C340" s="426"/>
      <c r="D340" s="426">
        <v>2.0</v>
      </c>
      <c r="E340" s="422" t="s">
        <v>263</v>
      </c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 t="s">
        <v>271</v>
      </c>
      <c r="C341" s="426">
        <v>2.5</v>
      </c>
      <c r="D341" s="426">
        <v>3.25</v>
      </c>
      <c r="E341" s="422" t="s">
        <v>11</v>
      </c>
      <c r="F341" s="426">
        <v>0.5</v>
      </c>
      <c r="G341" s="426">
        <v>1.0</v>
      </c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 t="s">
        <v>269</v>
      </c>
      <c r="C342" s="426"/>
      <c r="D342" s="426">
        <v>2.5</v>
      </c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 t="s">
        <v>269</v>
      </c>
      <c r="C343" s="426"/>
      <c r="D343" s="426">
        <v>2.75</v>
      </c>
      <c r="E343" s="422" t="s">
        <v>263</v>
      </c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 t="s">
        <v>261</v>
      </c>
      <c r="C344" s="426">
        <v>2.5</v>
      </c>
      <c r="D344" s="426">
        <v>3.25</v>
      </c>
      <c r="E344" s="422" t="s">
        <v>260</v>
      </c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 t="s">
        <v>261</v>
      </c>
      <c r="C345" s="426">
        <v>2.5</v>
      </c>
      <c r="D345" s="426">
        <v>3.75</v>
      </c>
      <c r="E345" s="422" t="s">
        <v>260</v>
      </c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 t="s">
        <v>269</v>
      </c>
      <c r="C346" s="426"/>
      <c r="D346" s="426">
        <v>2.5</v>
      </c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 t="s">
        <v>261</v>
      </c>
      <c r="C347" s="426">
        <v>2.5</v>
      </c>
      <c r="D347" s="426">
        <v>2.75</v>
      </c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 t="s">
        <v>265</v>
      </c>
      <c r="C348" s="426"/>
      <c r="D348" s="426">
        <v>1.25</v>
      </c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 t="s">
        <v>261</v>
      </c>
      <c r="C349" s="426">
        <v>2.5</v>
      </c>
      <c r="D349" s="426">
        <v>2.0</v>
      </c>
      <c r="E349" s="422" t="s">
        <v>11</v>
      </c>
      <c r="F349" s="426"/>
      <c r="G349" s="426">
        <v>0.5</v>
      </c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 t="s">
        <v>271</v>
      </c>
      <c r="C350" s="426">
        <v>2.5</v>
      </c>
      <c r="D350" s="426">
        <v>3.0</v>
      </c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 t="s">
        <v>261</v>
      </c>
      <c r="C351" s="426">
        <v>2.5</v>
      </c>
      <c r="D351" s="426">
        <v>2.25</v>
      </c>
      <c r="E351" s="422" t="s">
        <v>260</v>
      </c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 t="s">
        <v>261</v>
      </c>
      <c r="C352" s="426">
        <v>2.5</v>
      </c>
      <c r="D352" s="426">
        <v>4.5</v>
      </c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 t="s">
        <v>261</v>
      </c>
      <c r="C353" s="426"/>
      <c r="D353" s="426">
        <v>2.5</v>
      </c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 t="s">
        <v>261</v>
      </c>
      <c r="C354" s="426"/>
      <c r="D354" s="426">
        <v>2.75</v>
      </c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 t="s">
        <v>269</v>
      </c>
      <c r="C355" s="426">
        <v>2.5</v>
      </c>
      <c r="D355" s="426">
        <v>3.25</v>
      </c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122</v>
      </c>
      <c r="B356" s="422" t="s">
        <v>261</v>
      </c>
      <c r="C356" s="426"/>
      <c r="D356" s="426">
        <v>3.75</v>
      </c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 t="s">
        <v>261</v>
      </c>
      <c r="C357" s="426"/>
      <c r="D357" s="426">
        <v>1.5</v>
      </c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 t="s">
        <v>261</v>
      </c>
      <c r="C358" s="426"/>
      <c r="D358" s="426">
        <v>1.5</v>
      </c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 t="s">
        <v>271</v>
      </c>
      <c r="C359" s="426"/>
      <c r="D359" s="426">
        <v>2.5</v>
      </c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 t="s">
        <v>269</v>
      </c>
      <c r="C360" s="426">
        <v>2.5</v>
      </c>
      <c r="D360" s="426">
        <v>3.5</v>
      </c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 t="s">
        <v>265</v>
      </c>
      <c r="C361" s="426">
        <v>2.5</v>
      </c>
      <c r="D361" s="426">
        <v>4.0</v>
      </c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 t="s">
        <v>261</v>
      </c>
      <c r="C362" s="426"/>
      <c r="D362" s="426">
        <v>1.75</v>
      </c>
      <c r="E362" s="422"/>
      <c r="F362" s="426"/>
      <c r="G362" s="426">
        <v>0.5</v>
      </c>
      <c r="T362" s="422" t="str">
        <f>IFERROR(__xludf.DUMMYFUNCTION("QUERY('Турнирная таблица по Алфавиту'!C7:BG66,""select C,AA order by AA desc"")"),"Шпиц")</f>
        <v>Шпиц</v>
      </c>
      <c r="U362" s="423">
        <f>IFERROR(__xludf.DUMMYFUNCTION("""COMPUTED_VALUE"""),25.25)</f>
        <v>25.25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 t="s">
        <v>269</v>
      </c>
      <c r="C363" s="426">
        <v>2.5</v>
      </c>
      <c r="D363" s="426">
        <v>3.0</v>
      </c>
      <c r="E363" s="422"/>
      <c r="F363" s="426"/>
      <c r="G363" s="426"/>
      <c r="T363" s="422" t="str">
        <f>IFERROR(__xludf.DUMMYFUNCTION("""COMPUTED_VALUE"""),"Зверюга")</f>
        <v>Зверюга</v>
      </c>
      <c r="U363" s="423">
        <f>IFERROR(__xludf.DUMMYFUNCTION("""COMPUTED_VALUE"""),22.25)</f>
        <v>22.25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 t="s">
        <v>261</v>
      </c>
      <c r="C364" s="426"/>
      <c r="D364" s="426">
        <v>2.0</v>
      </c>
      <c r="E364" s="422"/>
      <c r="F364" s="426"/>
      <c r="G364" s="426"/>
      <c r="T364" s="422" t="str">
        <f>IFERROR(__xludf.DUMMYFUNCTION("""COMPUTED_VALUE"""),"РФ")</f>
        <v>РФ</v>
      </c>
      <c r="U364" s="423">
        <f>IFERROR(__xludf.DUMMYFUNCTION("""COMPUTED_VALUE"""),20.5)</f>
        <v>20.5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 t="s">
        <v>265</v>
      </c>
      <c r="C365" s="426">
        <v>2.5</v>
      </c>
      <c r="D365" s="426">
        <v>2.25</v>
      </c>
      <c r="E365" s="422"/>
      <c r="F365" s="426"/>
      <c r="G365" s="426"/>
      <c r="T365" s="422" t="str">
        <f>IFERROR(__xludf.DUMMYFUNCTION("""COMPUTED_VALUE"""),"Маваши")</f>
        <v>Маваши</v>
      </c>
      <c r="U365" s="423">
        <f>IFERROR(__xludf.DUMMYFUNCTION("""COMPUTED_VALUE"""),18.5)</f>
        <v>18.5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122</v>
      </c>
      <c r="B366" s="422" t="s">
        <v>271</v>
      </c>
      <c r="C366" s="426"/>
      <c r="D366" s="426">
        <v>2.0</v>
      </c>
      <c r="E366" s="422"/>
      <c r="F366" s="426"/>
      <c r="G366" s="426"/>
      <c r="T366" s="422" t="str">
        <f>IFERROR(__xludf.DUMMYFUNCTION("""COMPUTED_VALUE"""),"Young")</f>
        <v>Young</v>
      </c>
      <c r="U366" s="423">
        <f>IFERROR(__xludf.DUMMYFUNCTION("""COMPUTED_VALUE"""),15.75)</f>
        <v>15.75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 t="s">
        <v>261</v>
      </c>
      <c r="C367" s="426"/>
      <c r="D367" s="426">
        <v>2.25</v>
      </c>
      <c r="E367" s="422"/>
      <c r="F367" s="426"/>
      <c r="G367" s="426"/>
      <c r="T367" s="422" t="str">
        <f>IFERROR(__xludf.DUMMYFUNCTION("""COMPUTED_VALUE"""),"Марго")</f>
        <v>Марго</v>
      </c>
      <c r="U367" s="423">
        <f>IFERROR(__xludf.DUMMYFUNCTION("""COMPUTED_VALUE"""),15.25)</f>
        <v>15.25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 t="s">
        <v>269</v>
      </c>
      <c r="C368" s="426">
        <v>2.5</v>
      </c>
      <c r="D368" s="426">
        <v>3.75</v>
      </c>
      <c r="E368" s="422"/>
      <c r="F368" s="426"/>
      <c r="G368" s="426"/>
      <c r="T368" s="422" t="str">
        <f>IFERROR(__xludf.DUMMYFUNCTION("""COMPUTED_VALUE"""),"Castor Troy ")</f>
        <v>Castor Troy </v>
      </c>
      <c r="U368" s="423">
        <f>IFERROR(__xludf.DUMMYFUNCTION("""COMPUTED_VALUE"""),15.25)</f>
        <v>15.25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 t="s">
        <v>261</v>
      </c>
      <c r="C369" s="426"/>
      <c r="D369" s="426">
        <v>2.0</v>
      </c>
      <c r="E369" s="422"/>
      <c r="F369" s="426"/>
      <c r="G369" s="426"/>
      <c r="T369" s="422" t="str">
        <f>IFERROR(__xludf.DUMMYFUNCTION("""COMPUTED_VALUE"""),"Манекен")</f>
        <v>Манекен</v>
      </c>
      <c r="U369" s="423">
        <f>IFERROR(__xludf.DUMMYFUNCTION("""COMPUTED_VALUE"""),13.75)</f>
        <v>13.75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 t="s">
        <v>261</v>
      </c>
      <c r="C370" s="426"/>
      <c r="D370" s="426">
        <v>1.5</v>
      </c>
      <c r="E370" s="422"/>
      <c r="F370" s="426"/>
      <c r="G370" s="426"/>
      <c r="T370" s="422" t="str">
        <f>IFERROR(__xludf.DUMMYFUNCTION("""COMPUTED_VALUE"""),"Лисичка")</f>
        <v>Лисичка</v>
      </c>
      <c r="U370" s="423">
        <f>IFERROR(__xludf.DUMMYFUNCTION("""COMPUTED_VALUE"""),13.25)</f>
        <v>13.25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 t="s">
        <v>261</v>
      </c>
      <c r="C371" s="426"/>
      <c r="D371" s="426">
        <v>4.0</v>
      </c>
      <c r="E371" s="422" t="s">
        <v>11</v>
      </c>
      <c r="F371" s="426">
        <v>0.5</v>
      </c>
      <c r="G371" s="426">
        <v>0.5</v>
      </c>
      <c r="T371" s="422" t="str">
        <f>IFERROR(__xludf.DUMMYFUNCTION("""COMPUTED_VALUE"""),"Дровосек")</f>
        <v>Дровосек</v>
      </c>
      <c r="U371" s="423">
        <f>IFERROR(__xludf.DUMMYFUNCTION("""COMPUTED_VALUE"""),12.0)</f>
        <v>12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 t="s">
        <v>261</v>
      </c>
      <c r="C372" s="426"/>
      <c r="D372" s="426">
        <v>2.75</v>
      </c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 t="s">
        <v>261</v>
      </c>
      <c r="C373" s="426"/>
      <c r="D373" s="426">
        <v>2.5</v>
      </c>
      <c r="E373" s="422" t="s">
        <v>11</v>
      </c>
      <c r="F373" s="426"/>
      <c r="G373" s="426">
        <v>0.5</v>
      </c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 t="s">
        <v>261</v>
      </c>
      <c r="C374" s="426"/>
      <c r="D374" s="426">
        <v>3.75</v>
      </c>
      <c r="E374" s="422"/>
      <c r="F374" s="426"/>
      <c r="G374" s="426"/>
      <c r="T374" s="422" t="str">
        <f>IFERROR(__xludf.DUMMYFUNCTION("""COMPUTED_VALUE"""),"Андерсен")</f>
        <v>Андерсен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 t="s">
        <v>265</v>
      </c>
      <c r="C375" s="426">
        <v>2.5</v>
      </c>
      <c r="D375" s="426">
        <v>3.75</v>
      </c>
      <c r="E375" s="422"/>
      <c r="F375" s="426"/>
      <c r="G375" s="426"/>
      <c r="T375" s="422" t="str">
        <f>IFERROR(__xludf.DUMMYFUNCTION("""COMPUTED_VALUE"""),"Артик")</f>
        <v>Артик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122</v>
      </c>
      <c r="B376" s="422" t="s">
        <v>269</v>
      </c>
      <c r="C376" s="426">
        <v>2.5</v>
      </c>
      <c r="D376" s="426">
        <v>2.5</v>
      </c>
      <c r="E376" s="422"/>
      <c r="F376" s="426"/>
      <c r="G376" s="426"/>
      <c r="T376" s="422" t="str">
        <f>IFERROR(__xludf.DUMMYFUNCTION("""COMPUTED_VALUE"""),"Астория")</f>
        <v>Астория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 t="s">
        <v>261</v>
      </c>
      <c r="C377" s="426"/>
      <c r="D377" s="426">
        <v>2.0</v>
      </c>
      <c r="E377" s="422"/>
      <c r="F377" s="426"/>
      <c r="G377" s="426"/>
      <c r="T377" s="422" t="str">
        <f>IFERROR(__xludf.DUMMYFUNCTION("""COMPUTED_VALUE"""),"Аш")</f>
        <v>Аш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 t="s">
        <v>261</v>
      </c>
      <c r="C378" s="426"/>
      <c r="D378" s="426">
        <v>2.75</v>
      </c>
      <c r="E378" s="422"/>
      <c r="F378" s="426"/>
      <c r="G378" s="426"/>
      <c r="T378" s="422" t="str">
        <f>IFERROR(__xludf.DUMMYFUNCTION("""COMPUTED_VALUE"""),"Бамблби")</f>
        <v>Бамблби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 t="s">
        <v>261</v>
      </c>
      <c r="C379" s="426"/>
      <c r="D379" s="426">
        <v>2.75</v>
      </c>
      <c r="E379" s="422"/>
      <c r="F379" s="426"/>
      <c r="G379" s="426"/>
      <c r="T379" s="422" t="str">
        <f>IFERROR(__xludf.DUMMYFUNCTION("""COMPUTED_VALUE"""),"Волга")</f>
        <v>Волга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 t="s">
        <v>271</v>
      </c>
      <c r="C380" s="426"/>
      <c r="D380" s="426">
        <v>3.25</v>
      </c>
      <c r="E380" s="422"/>
      <c r="F380" s="426"/>
      <c r="G380" s="426"/>
      <c r="T380" s="422" t="str">
        <f>IFERROR(__xludf.DUMMYFUNCTION("""COMPUTED_VALUE"""),"Градиент")</f>
        <v>Градиент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 t="s">
        <v>261</v>
      </c>
      <c r="C381" s="426"/>
      <c r="D381" s="426">
        <v>3.0</v>
      </c>
      <c r="E381" s="422"/>
      <c r="F381" s="426"/>
      <c r="G381" s="426"/>
      <c r="T381" s="422" t="str">
        <f>IFERROR(__xludf.DUMMYFUNCTION("""COMPUTED_VALUE"""),"Инсомнич")</f>
        <v>Инсомнич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 t="s">
        <v>269</v>
      </c>
      <c r="C382" s="426">
        <v>2.5</v>
      </c>
      <c r="D382" s="426">
        <v>2.75</v>
      </c>
      <c r="E382" s="422"/>
      <c r="F382" s="426"/>
      <c r="G382" s="426"/>
      <c r="T382" s="422" t="str">
        <f>IFERROR(__xludf.DUMMYFUNCTION("""COMPUTED_VALUE"""),"Красавчик")</f>
        <v>Красавчик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 t="s">
        <v>261</v>
      </c>
      <c r="C383" s="426"/>
      <c r="D383" s="426">
        <v>2.0</v>
      </c>
      <c r="E383" s="422"/>
      <c r="F383" s="426"/>
      <c r="G383" s="426"/>
      <c r="T383" s="422" t="str">
        <f>IFERROR(__xludf.DUMMYFUNCTION("""COMPUTED_VALUE"""),"Крестный отец (BLR)")</f>
        <v>Крестный отец (BLR)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 t="s">
        <v>261</v>
      </c>
      <c r="C384" s="426"/>
      <c r="D384" s="426">
        <v>2.5</v>
      </c>
      <c r="E384" s="422"/>
      <c r="F384" s="426"/>
      <c r="G384" s="426"/>
      <c r="T384" s="422" t="str">
        <f>IFERROR(__xludf.DUMMYFUNCTION("""COMPUTED_VALUE"""),"Крёстный Отец (RU)")</f>
        <v>Крёстный Отец (RU)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 t="s">
        <v>269</v>
      </c>
      <c r="C385" s="426">
        <v>2.5</v>
      </c>
      <c r="D385" s="426">
        <v>3.5</v>
      </c>
      <c r="E385" s="422"/>
      <c r="F385" s="426"/>
      <c r="G385" s="426"/>
      <c r="T385" s="422" t="str">
        <f>IFERROR(__xludf.DUMMYFUNCTION("""COMPUTED_VALUE"""),"Крот")</f>
        <v>Крот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122</v>
      </c>
      <c r="B386" s="422" t="s">
        <v>261</v>
      </c>
      <c r="C386" s="426"/>
      <c r="D386" s="426">
        <v>2.5</v>
      </c>
      <c r="E386" s="422"/>
      <c r="F386" s="426"/>
      <c r="G386" s="426"/>
      <c r="T386" s="422" t="str">
        <f>IFERROR(__xludf.DUMMYFUNCTION("""COMPUTED_VALUE"""),"Левша")</f>
        <v>Левша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 t="s">
        <v>261</v>
      </c>
      <c r="C387" s="426"/>
      <c r="D387" s="426">
        <v>2.0</v>
      </c>
      <c r="E387" s="422"/>
      <c r="F387" s="426"/>
      <c r="G387" s="426"/>
      <c r="T387" s="422" t="str">
        <f>IFERROR(__xludf.DUMMYFUNCTION("""COMPUTED_VALUE"""),"Ментик")</f>
        <v>Ментик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 t="s">
        <v>269</v>
      </c>
      <c r="C388" s="426">
        <v>2.5</v>
      </c>
      <c r="D388" s="426">
        <v>3.0</v>
      </c>
      <c r="E388" s="422"/>
      <c r="F388" s="426"/>
      <c r="G388" s="426"/>
      <c r="T388" s="422" t="str">
        <f>IFERROR(__xludf.DUMMYFUNCTION("""COMPUTED_VALUE"""),"Мишель ")</f>
        <v>Мишель 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 t="s">
        <v>271</v>
      </c>
      <c r="C389" s="426"/>
      <c r="D389" s="426">
        <v>3.0</v>
      </c>
      <c r="E389" s="422"/>
      <c r="F389" s="426"/>
      <c r="G389" s="426"/>
      <c r="T389" s="422" t="str">
        <f>IFERROR(__xludf.DUMMYFUNCTION("""COMPUTED_VALUE"""),"Наполеон")</f>
        <v>Наполеон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 t="s">
        <v>265</v>
      </c>
      <c r="C390" s="426">
        <v>2.5</v>
      </c>
      <c r="D390" s="426">
        <v>4.0</v>
      </c>
      <c r="E390" s="422"/>
      <c r="F390" s="426"/>
      <c r="G390" s="426"/>
      <c r="T390" s="422" t="str">
        <f>IFERROR(__xludf.DUMMYFUNCTION("""COMPUTED_VALUE"""),"Панда из Руанды")</f>
        <v>Панда из Руанды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 t="s">
        <v>261</v>
      </c>
      <c r="C391" s="426"/>
      <c r="D391" s="426">
        <v>1.25</v>
      </c>
      <c r="E391" s="422" t="s">
        <v>11</v>
      </c>
      <c r="F391" s="426">
        <v>0.5</v>
      </c>
      <c r="G391" s="426">
        <v>1.0</v>
      </c>
      <c r="T391" s="422" t="str">
        <f>IFERROR(__xludf.DUMMYFUNCTION("""COMPUTED_VALUE"""),"Писатель ")</f>
        <v>Писатель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 t="s">
        <v>261</v>
      </c>
      <c r="C392" s="426"/>
      <c r="D392" s="426">
        <v>1.75</v>
      </c>
      <c r="E392" s="422"/>
      <c r="F392" s="426"/>
      <c r="G392" s="426"/>
      <c r="T392" s="422" t="str">
        <f>IFERROR(__xludf.DUMMYFUNCTION("""COMPUTED_VALUE"""),"Правда ")</f>
        <v>Правда 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 t="s">
        <v>261</v>
      </c>
      <c r="C393" s="426"/>
      <c r="D393" s="426">
        <v>2.75</v>
      </c>
      <c r="E393" s="422" t="s">
        <v>263</v>
      </c>
      <c r="F393" s="426"/>
      <c r="G393" s="426"/>
      <c r="T393" s="422" t="str">
        <f>IFERROR(__xludf.DUMMYFUNCTION("""COMPUTED_VALUE"""),"Продюсер")</f>
        <v>Продюсер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 t="s">
        <v>261</v>
      </c>
      <c r="C394" s="426"/>
      <c r="D394" s="426">
        <v>1.0</v>
      </c>
      <c r="E394" s="422"/>
      <c r="F394" s="426"/>
      <c r="G394" s="426"/>
      <c r="T394" s="422" t="str">
        <f>IFERROR(__xludf.DUMMYFUNCTION("""COMPUTED_VALUE"""),"Старый")</f>
        <v>Старый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 t="s">
        <v>271</v>
      </c>
      <c r="C395" s="426"/>
      <c r="D395" s="426">
        <v>2.5</v>
      </c>
      <c r="E395" s="422"/>
      <c r="F395" s="426"/>
      <c r="G395" s="426"/>
      <c r="T395" s="422" t="str">
        <f>IFERROR(__xludf.DUMMYFUNCTION("""COMPUTED_VALUE"""),"СЭНСЭЙ")</f>
        <v>СЭНСЭЙ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122</v>
      </c>
      <c r="B396" s="422" t="s">
        <v>261</v>
      </c>
      <c r="C396" s="426"/>
      <c r="D396" s="426">
        <v>2.0</v>
      </c>
      <c r="E396" s="422" t="s">
        <v>263</v>
      </c>
      <c r="F396" s="426"/>
      <c r="G396" s="426"/>
      <c r="T396" s="422" t="str">
        <f>IFERROR(__xludf.DUMMYFUNCTION("""COMPUTED_VALUE"""),"Coach")</f>
        <v>Coach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 t="s">
        <v>269</v>
      </c>
      <c r="C397" s="426">
        <v>2.5</v>
      </c>
      <c r="D397" s="426">
        <v>3.0</v>
      </c>
      <c r="E397" s="422" t="s">
        <v>260</v>
      </c>
      <c r="F397" s="426"/>
      <c r="G397" s="426"/>
      <c r="T397" s="422" t="str">
        <f>IFERROR(__xludf.DUMMYFUNCTION("""COMPUTED_VALUE"""),"Тихий закат")</f>
        <v>Тихий закат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 t="s">
        <v>261</v>
      </c>
      <c r="C398" s="426"/>
      <c r="D398" s="426">
        <v>2.5</v>
      </c>
      <c r="E398" s="422" t="s">
        <v>263</v>
      </c>
      <c r="F398" s="426"/>
      <c r="G398" s="426"/>
      <c r="T398" s="422" t="str">
        <f>IFERROR(__xludf.DUMMYFUNCTION("""COMPUTED_VALUE"""),"Физик")</f>
        <v>Физик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 t="s">
        <v>265</v>
      </c>
      <c r="C399" s="426">
        <v>2.5</v>
      </c>
      <c r="D399" s="426">
        <v>2.5</v>
      </c>
      <c r="E399" s="422"/>
      <c r="F399" s="426"/>
      <c r="G399" s="426"/>
      <c r="T399" s="422" t="str">
        <f>IFERROR(__xludf.DUMMYFUNCTION("""COMPUTED_VALUE"""),"Флэш")</f>
        <v>Флэш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 t="s">
        <v>269</v>
      </c>
      <c r="C400" s="426">
        <v>2.5</v>
      </c>
      <c r="D400" s="426">
        <v>2.5</v>
      </c>
      <c r="E400" s="422"/>
      <c r="F400" s="426"/>
      <c r="G400" s="426"/>
      <c r="T400" s="422" t="str">
        <f>IFERROR(__xludf.DUMMYFUNCTION("""COMPUTED_VALUE"""),"Фокс")</f>
        <v>Фокс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 t="s">
        <v>261</v>
      </c>
      <c r="C401" s="426"/>
      <c r="D401" s="426">
        <v>3.25</v>
      </c>
      <c r="E401" s="422"/>
      <c r="F401" s="426"/>
      <c r="G401" s="426"/>
      <c r="T401" s="422" t="str">
        <f>IFERROR(__xludf.DUMMYFUNCTION("""COMPUTED_VALUE"""),"Шоу Бой")</f>
        <v>Шоу Бой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 t="s">
        <v>261</v>
      </c>
      <c r="C402" s="426"/>
      <c r="D402" s="426">
        <v>1.75</v>
      </c>
      <c r="E402" s="422"/>
      <c r="F402" s="426"/>
      <c r="G402" s="426"/>
      <c r="T402" s="422" t="str">
        <f>IFERROR(__xludf.DUMMYFUNCTION("""COMPUTED_VALUE"""),"Юрия")</f>
        <v>Юрия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 t="s">
        <v>271</v>
      </c>
      <c r="C403" s="426">
        <v>2.5</v>
      </c>
      <c r="D403" s="426">
        <v>3.75</v>
      </c>
      <c r="E403" s="422"/>
      <c r="F403" s="426"/>
      <c r="G403" s="426"/>
      <c r="T403" s="422" t="str">
        <f>IFERROR(__xludf.DUMMYFUNCTION("""COMPUTED_VALUE"""),"A1 ")</f>
        <v>A1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 t="s">
        <v>261</v>
      </c>
      <c r="C404" s="426">
        <v>2.5</v>
      </c>
      <c r="D404" s="426">
        <v>3.75</v>
      </c>
      <c r="E404" s="422"/>
      <c r="F404" s="426"/>
      <c r="G404" s="426"/>
      <c r="T404" s="422" t="str">
        <f>IFERROR(__xludf.DUMMYFUNCTION("""COMPUTED_VALUE"""),"Alice ")</f>
        <v>Alice 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 t="s">
        <v>261</v>
      </c>
      <c r="C405" s="426">
        <v>2.5</v>
      </c>
      <c r="D405" s="426">
        <v>3.0</v>
      </c>
      <c r="E405" s="422"/>
      <c r="F405" s="426"/>
      <c r="G405" s="426"/>
      <c r="T405" s="422" t="str">
        <f>IFERROR(__xludf.DUMMYFUNCTION("""COMPUTED_VALUE"""),"Bublik")</f>
        <v>Bublik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 t="s">
        <v>261</v>
      </c>
      <c r="C406" s="426">
        <v>2.5</v>
      </c>
      <c r="D406" s="426">
        <v>3.75</v>
      </c>
      <c r="E406" s="422"/>
      <c r="F406" s="426"/>
      <c r="G406" s="426"/>
      <c r="T406" s="422" t="str">
        <f>IFERROR(__xludf.DUMMYFUNCTION("""COMPUTED_VALUE"""),"BWDMoscow")</f>
        <v>BWDMoscow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 t="s">
        <v>269</v>
      </c>
      <c r="C407" s="426"/>
      <c r="D407" s="426">
        <v>2.25</v>
      </c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 t="s">
        <v>269</v>
      </c>
      <c r="C408" s="426"/>
      <c r="D408" s="426">
        <v>2.0</v>
      </c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 t="s">
        <v>261</v>
      </c>
      <c r="C409" s="426">
        <v>2.5</v>
      </c>
      <c r="D409" s="426">
        <v>3.25</v>
      </c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119</v>
      </c>
      <c r="B410" s="422" t="s">
        <v>265</v>
      </c>
      <c r="C410" s="426"/>
      <c r="D410" s="426">
        <v>2.0</v>
      </c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 t="s">
        <v>261</v>
      </c>
      <c r="C411" s="426">
        <v>2.5</v>
      </c>
      <c r="D411" s="426">
        <v>2.75</v>
      </c>
      <c r="E411" s="422" t="s">
        <v>11</v>
      </c>
      <c r="F411" s="426">
        <v>0.5</v>
      </c>
      <c r="G411" s="426">
        <v>0.5</v>
      </c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 t="s">
        <v>261</v>
      </c>
      <c r="C412" s="426">
        <v>2.5</v>
      </c>
      <c r="D412" s="426">
        <v>2.5</v>
      </c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 t="s">
        <v>261</v>
      </c>
      <c r="C413" s="426"/>
      <c r="D413" s="426">
        <v>4.25</v>
      </c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 t="s">
        <v>261</v>
      </c>
      <c r="C414" s="426"/>
      <c r="D414" s="426">
        <v>2.75</v>
      </c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 t="s">
        <v>261</v>
      </c>
      <c r="C415" s="426"/>
      <c r="D415" s="426">
        <v>1.75</v>
      </c>
      <c r="E415" s="422" t="s">
        <v>263</v>
      </c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 t="s">
        <v>261</v>
      </c>
      <c r="C416" s="426"/>
      <c r="D416" s="426">
        <v>2.0</v>
      </c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 t="s">
        <v>269</v>
      </c>
      <c r="C417" s="426">
        <v>2.5</v>
      </c>
      <c r="D417" s="426">
        <v>3.0</v>
      </c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 t="s">
        <v>265</v>
      </c>
      <c r="C418" s="426">
        <v>2.5</v>
      </c>
      <c r="D418" s="426">
        <v>2.75</v>
      </c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 t="s">
        <v>261</v>
      </c>
      <c r="C419" s="426"/>
      <c r="D419" s="426">
        <v>2.75</v>
      </c>
      <c r="E419" s="422" t="s">
        <v>263</v>
      </c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119</v>
      </c>
      <c r="B420" s="422" t="s">
        <v>261</v>
      </c>
      <c r="C420" s="426"/>
      <c r="D420" s="426">
        <v>1.75</v>
      </c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 t="s">
        <v>271</v>
      </c>
      <c r="C421" s="426"/>
      <c r="D421" s="426">
        <v>2.25</v>
      </c>
      <c r="E421" s="422" t="s">
        <v>11</v>
      </c>
      <c r="F421" s="426"/>
      <c r="G421" s="426">
        <v>1.0</v>
      </c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 t="s">
        <v>269</v>
      </c>
      <c r="C422" s="426">
        <v>2.5</v>
      </c>
      <c r="D422" s="426">
        <v>4.25</v>
      </c>
      <c r="E422" s="422" t="s">
        <v>260</v>
      </c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IFERROR(__xludf.DUMMYFUNCTION("""COMPUTED_VALUE"""),27.0)</f>
        <v>27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 t="s">
        <v>265</v>
      </c>
      <c r="C423" s="426">
        <v>2.5</v>
      </c>
      <c r="D423" s="426">
        <v>2.0</v>
      </c>
      <c r="E423" s="422"/>
      <c r="F423" s="426"/>
      <c r="G423" s="426"/>
      <c r="T423" s="422" t="str">
        <f>IFERROR(__xludf.DUMMYFUNCTION("""COMPUTED_VALUE"""),"Light")</f>
        <v>Light</v>
      </c>
      <c r="U423" s="423">
        <f>IFERROR(__xludf.DUMMYFUNCTION("""COMPUTED_VALUE"""),25.25)</f>
        <v>25.25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 t="s">
        <v>271</v>
      </c>
      <c r="C424" s="426"/>
      <c r="D424" s="426">
        <v>2.0</v>
      </c>
      <c r="E424" s="422" t="s">
        <v>11</v>
      </c>
      <c r="F424" s="426"/>
      <c r="G424" s="426">
        <v>0.5</v>
      </c>
      <c r="T424" s="422" t="str">
        <f>IFERROR(__xludf.DUMMYFUNCTION("""COMPUTED_VALUE"""),"Дровосек")</f>
        <v>Дровосек</v>
      </c>
      <c r="U424" s="423">
        <f>IFERROR(__xludf.DUMMYFUNCTION("""COMPUTED_VALUE"""),25.0)</f>
        <v>25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 t="s">
        <v>261</v>
      </c>
      <c r="C425" s="426"/>
      <c r="D425" s="426">
        <v>2.25</v>
      </c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IFERROR(__xludf.DUMMYFUNCTION("""COMPUTED_VALUE"""),24.75)</f>
        <v>24.75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 t="s">
        <v>261</v>
      </c>
      <c r="C426" s="426"/>
      <c r="D426" s="426">
        <v>2.0</v>
      </c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IFERROR(__xludf.DUMMYFUNCTION("""COMPUTED_VALUE"""),20.5)</f>
        <v>20.5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 t="s">
        <v>269</v>
      </c>
      <c r="C427" s="426">
        <v>2.5</v>
      </c>
      <c r="D427" s="426">
        <v>4.5</v>
      </c>
      <c r="E427" s="422"/>
      <c r="F427" s="426"/>
      <c r="G427" s="426"/>
      <c r="T427" s="422" t="str">
        <f>IFERROR(__xludf.DUMMYFUNCTION("""COMPUTED_VALUE"""),"Helga")</f>
        <v>Helga</v>
      </c>
      <c r="U427" s="423">
        <f>IFERROR(__xludf.DUMMYFUNCTION("""COMPUTED_VALUE"""),20.5)</f>
        <v>20.5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 t="s">
        <v>269</v>
      </c>
      <c r="C428" s="426">
        <v>2.5</v>
      </c>
      <c r="D428" s="426">
        <v>2.75</v>
      </c>
      <c r="E428" s="422"/>
      <c r="F428" s="426"/>
      <c r="G428" s="426"/>
      <c r="T428" s="422" t="str">
        <f>IFERROR(__xludf.DUMMYFUNCTION("""COMPUTED_VALUE"""),"Infinity ")</f>
        <v>Infinity </v>
      </c>
      <c r="U428" s="423">
        <f>IFERROR(__xludf.DUMMYFUNCTION("""COMPUTED_VALUE"""),18.75)</f>
        <v>18.75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 t="s">
        <v>261</v>
      </c>
      <c r="C429" s="426"/>
      <c r="D429" s="426">
        <v>2.5</v>
      </c>
      <c r="E429" s="422"/>
      <c r="F429" s="426"/>
      <c r="G429" s="426"/>
      <c r="T429" s="422" t="str">
        <f>IFERROR(__xludf.DUMMYFUNCTION("""COMPUTED_VALUE"""),"Зверюга")</f>
        <v>Зверюга</v>
      </c>
      <c r="U429" s="423">
        <f>IFERROR(__xludf.DUMMYFUNCTION("""COMPUTED_VALUE"""),17.75)</f>
        <v>17.75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119</v>
      </c>
      <c r="B430" s="422" t="s">
        <v>261</v>
      </c>
      <c r="C430" s="426"/>
      <c r="D430" s="426">
        <v>2.25</v>
      </c>
      <c r="E430" s="422"/>
      <c r="F430" s="426"/>
      <c r="G430" s="426"/>
      <c r="T430" s="422" t="str">
        <f>IFERROR(__xludf.DUMMYFUNCTION("""COMPUTED_VALUE"""),"NLIP")</f>
        <v>NLIP</v>
      </c>
      <c r="U430" s="423">
        <f>IFERROR(__xludf.DUMMYFUNCTION("""COMPUTED_VALUE"""),16.0)</f>
        <v>16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 t="s">
        <v>261</v>
      </c>
      <c r="C431" s="426"/>
      <c r="D431" s="426">
        <v>1.5</v>
      </c>
      <c r="E431" s="422"/>
      <c r="F431" s="426"/>
      <c r="G431" s="426"/>
      <c r="T431" s="422" t="str">
        <f>IFERROR(__xludf.DUMMYFUNCTION("""COMPUTED_VALUE"""),"Alice ")</f>
        <v>Alice </v>
      </c>
      <c r="U431" s="42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 t="s">
        <v>261</v>
      </c>
      <c r="C432" s="426"/>
      <c r="D432" s="426">
        <v>1.25</v>
      </c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 t="s">
        <v>261</v>
      </c>
      <c r="C433" s="426">
        <v>2.5</v>
      </c>
      <c r="D433" s="426">
        <v>3.0</v>
      </c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 t="s">
        <v>261</v>
      </c>
      <c r="C434" s="426">
        <v>2.5</v>
      </c>
      <c r="D434" s="426">
        <v>2.75</v>
      </c>
      <c r="E434" s="422" t="s">
        <v>11</v>
      </c>
      <c r="F434" s="426"/>
      <c r="G434" s="426">
        <v>1.0</v>
      </c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 t="s">
        <v>261</v>
      </c>
      <c r="C435" s="426">
        <v>2.5</v>
      </c>
      <c r="D435" s="426">
        <v>2.5</v>
      </c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 t="s">
        <v>261</v>
      </c>
      <c r="C436" s="426">
        <v>2.5</v>
      </c>
      <c r="D436" s="426">
        <v>2.5</v>
      </c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 t="s">
        <v>265</v>
      </c>
      <c r="C437" s="426"/>
      <c r="D437" s="426">
        <v>1.0</v>
      </c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 t="s">
        <v>261</v>
      </c>
      <c r="C438" s="426">
        <v>2.5</v>
      </c>
      <c r="D438" s="426">
        <v>3.25</v>
      </c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 t="s">
        <v>269</v>
      </c>
      <c r="C439" s="426"/>
      <c r="D439" s="426">
        <v>3.0</v>
      </c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119</v>
      </c>
      <c r="B440" s="422" t="s">
        <v>269</v>
      </c>
      <c r="C440" s="426"/>
      <c r="D440" s="426">
        <v>0.0</v>
      </c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 t="s">
        <v>271</v>
      </c>
      <c r="C441" s="426">
        <v>2.5</v>
      </c>
      <c r="D441" s="426">
        <v>3.25</v>
      </c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 t="s">
        <v>261</v>
      </c>
      <c r="C442" s="426">
        <v>2.5</v>
      </c>
      <c r="D442" s="426">
        <v>3.25</v>
      </c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 t="s">
        <v>261</v>
      </c>
      <c r="C443" s="426">
        <v>2.5</v>
      </c>
      <c r="D443" s="426">
        <v>3.0</v>
      </c>
      <c r="E443" s="422" t="s">
        <v>11</v>
      </c>
      <c r="F443" s="426">
        <v>0.5</v>
      </c>
      <c r="G443" s="426">
        <v>0.5</v>
      </c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 t="s">
        <v>261</v>
      </c>
      <c r="C444" s="426">
        <v>2.5</v>
      </c>
      <c r="D444" s="426">
        <v>4.5</v>
      </c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 t="s">
        <v>261</v>
      </c>
      <c r="C445" s="426">
        <v>2.5</v>
      </c>
      <c r="D445" s="426">
        <v>3.5</v>
      </c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 t="s">
        <v>271</v>
      </c>
      <c r="C446" s="426">
        <v>2.5</v>
      </c>
      <c r="D446" s="426">
        <v>2.75</v>
      </c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 t="s">
        <v>269</v>
      </c>
      <c r="C447" s="426"/>
      <c r="D447" s="426">
        <v>2.0</v>
      </c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 t="s">
        <v>261</v>
      </c>
      <c r="C448" s="426">
        <v>2.5</v>
      </c>
      <c r="D448" s="426">
        <v>4.25</v>
      </c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 t="s">
        <v>265</v>
      </c>
      <c r="C449" s="426"/>
      <c r="D449" s="426">
        <v>2.0</v>
      </c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119</v>
      </c>
      <c r="B450" s="422" t="s">
        <v>261</v>
      </c>
      <c r="C450" s="426">
        <v>2.5</v>
      </c>
      <c r="D450" s="426">
        <v>3.5</v>
      </c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 t="s">
        <v>269</v>
      </c>
      <c r="C451" s="426"/>
      <c r="D451" s="426">
        <v>2.0</v>
      </c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 t="s">
        <v>261</v>
      </c>
      <c r="C452" s="426">
        <v>2.5</v>
      </c>
      <c r="D452" s="426">
        <v>4.0</v>
      </c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 t="s">
        <v>269</v>
      </c>
      <c r="C453" s="426">
        <v>2.5</v>
      </c>
      <c r="D453" s="426">
        <v>2.5</v>
      </c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 t="s">
        <v>261</v>
      </c>
      <c r="C454" s="426"/>
      <c r="D454" s="426">
        <v>1.75</v>
      </c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 t="s">
        <v>271</v>
      </c>
      <c r="C455" s="426"/>
      <c r="D455" s="426">
        <v>1.75</v>
      </c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 t="s">
        <v>261</v>
      </c>
      <c r="C456" s="426"/>
      <c r="D456" s="426">
        <v>2.75</v>
      </c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81</v>
      </c>
      <c r="B457" s="422" t="s">
        <v>261</v>
      </c>
      <c r="C457" s="426"/>
      <c r="D457" s="426">
        <v>2.75</v>
      </c>
      <c r="E457" s="422" t="s">
        <v>263</v>
      </c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 t="s">
        <v>261</v>
      </c>
      <c r="C458" s="426"/>
      <c r="D458" s="426">
        <v>2.0</v>
      </c>
      <c r="E458" s="422" t="s">
        <v>263</v>
      </c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 t="s">
        <v>265</v>
      </c>
      <c r="C459" s="426">
        <v>2.5</v>
      </c>
      <c r="D459" s="426">
        <v>2.0</v>
      </c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129</v>
      </c>
      <c r="B460" s="422" t="s">
        <v>269</v>
      </c>
      <c r="C460" s="426">
        <v>2.5</v>
      </c>
      <c r="D460" s="426">
        <v>3.75</v>
      </c>
      <c r="E460" s="422" t="s">
        <v>260</v>
      </c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125</v>
      </c>
      <c r="B461" s="422" t="s">
        <v>261</v>
      </c>
      <c r="C461" s="426"/>
      <c r="D461" s="426">
        <v>2.0</v>
      </c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 t="s">
        <v>261</v>
      </c>
      <c r="C462" s="426"/>
      <c r="D462" s="426">
        <v>2.0</v>
      </c>
      <c r="E462" s="422" t="s">
        <v>11</v>
      </c>
      <c r="F462" s="426"/>
      <c r="G462" s="426">
        <v>0.5</v>
      </c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 t="s">
        <v>269</v>
      </c>
      <c r="C463" s="426">
        <v>2.5</v>
      </c>
      <c r="D463" s="426">
        <v>3.0</v>
      </c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 t="s">
        <v>261</v>
      </c>
      <c r="C464" s="426"/>
      <c r="D464" s="426">
        <v>3.0</v>
      </c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 t="s">
        <v>261</v>
      </c>
      <c r="C465" s="426"/>
      <c r="D465" s="426">
        <v>1.5</v>
      </c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 t="s">
        <v>271</v>
      </c>
      <c r="C466" s="426"/>
      <c r="D466" s="426">
        <v>2.0</v>
      </c>
      <c r="E466" s="422" t="s">
        <v>11</v>
      </c>
      <c r="F466" s="426"/>
      <c r="G466" s="426">
        <v>0.5</v>
      </c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81</v>
      </c>
      <c r="B467" s="422" t="s">
        <v>265</v>
      </c>
      <c r="C467" s="426">
        <v>2.5</v>
      </c>
      <c r="D467" s="426">
        <v>4.0</v>
      </c>
      <c r="E467" s="422"/>
      <c r="F467" s="426"/>
      <c r="G467" s="426"/>
      <c r="T467" s="422" t="str">
        <f>IFERROR(__xludf.DUMMYFUNCTION("""COMPUTED_VALUE"""),"Bublik")</f>
        <v>Bublik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 t="s">
        <v>269</v>
      </c>
      <c r="C468" s="426">
        <v>2.5</v>
      </c>
      <c r="D468" s="426">
        <v>3.25</v>
      </c>
      <c r="E468" s="422"/>
      <c r="F468" s="426"/>
      <c r="G468" s="426"/>
      <c r="T468" s="422" t="str">
        <f>IFERROR(__xludf.DUMMYFUNCTION("""COMPUTED_VALUE"""),"BWDMoscow")</f>
        <v>BWDMoscow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 t="s">
        <v>261</v>
      </c>
      <c r="C469" s="426"/>
      <c r="D469" s="426">
        <v>2.75</v>
      </c>
      <c r="E469" s="422"/>
      <c r="F469" s="426"/>
      <c r="G469" s="426"/>
      <c r="T469" s="422" t="str">
        <f>IFERROR(__xludf.DUMMYFUNCTION("""COMPUTED_VALUE"""),"Castor Troy ")</f>
        <v>Castor Troy 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129</v>
      </c>
      <c r="B470" s="422" t="s">
        <v>261</v>
      </c>
      <c r="C470" s="426"/>
      <c r="D470" s="426">
        <v>2.5</v>
      </c>
      <c r="E470" s="422"/>
      <c r="F470" s="426"/>
      <c r="G470" s="426"/>
      <c r="T470" s="422" t="str">
        <f>IFERROR(__xludf.DUMMYFUNCTION("""COMPUTED_VALUE"""),"Cristo")</f>
        <v>Cristo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125</v>
      </c>
      <c r="B471" s="422" t="s">
        <v>261</v>
      </c>
      <c r="C471" s="426"/>
      <c r="D471" s="426">
        <v>2.5</v>
      </c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 t="s">
        <v>261</v>
      </c>
      <c r="C472" s="426"/>
      <c r="D472" s="426">
        <v>1.5</v>
      </c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 t="s">
        <v>261</v>
      </c>
      <c r="C473" s="426">
        <v>2.5</v>
      </c>
      <c r="D473" s="426">
        <v>2.5</v>
      </c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 t="s">
        <v>269</v>
      </c>
      <c r="C474" s="426"/>
      <c r="D474" s="426">
        <v>2.5</v>
      </c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 t="s">
        <v>261</v>
      </c>
      <c r="C475" s="426">
        <v>2.5</v>
      </c>
      <c r="D475" s="426">
        <v>2.25</v>
      </c>
      <c r="E475" s="422" t="s">
        <v>11</v>
      </c>
      <c r="F475" s="426"/>
      <c r="G475" s="426">
        <v>0.5</v>
      </c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 t="s">
        <v>261</v>
      </c>
      <c r="C476" s="426">
        <v>2.5</v>
      </c>
      <c r="D476" s="426">
        <v>2.25</v>
      </c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81</v>
      </c>
      <c r="B477" s="422" t="s">
        <v>261</v>
      </c>
      <c r="C477" s="426">
        <v>2.5</v>
      </c>
      <c r="D477" s="426">
        <v>3.0</v>
      </c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 t="s">
        <v>269</v>
      </c>
      <c r="C478" s="426"/>
      <c r="D478" s="426">
        <v>1.25</v>
      </c>
      <c r="E478" s="422" t="s">
        <v>263</v>
      </c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 t="s">
        <v>261</v>
      </c>
      <c r="C479" s="426">
        <v>2.5</v>
      </c>
      <c r="D479" s="426">
        <v>3.5</v>
      </c>
      <c r="E479" s="422" t="s">
        <v>260</v>
      </c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129</v>
      </c>
      <c r="B480" s="422" t="s">
        <v>265</v>
      </c>
      <c r="C480" s="426"/>
      <c r="D480" s="426">
        <v>1.75</v>
      </c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125</v>
      </c>
      <c r="B481" s="422" t="s">
        <v>271</v>
      </c>
      <c r="C481" s="426">
        <v>2.5</v>
      </c>
      <c r="D481" s="426">
        <v>2.5</v>
      </c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 t="s">
        <v>261</v>
      </c>
      <c r="C482" s="426">
        <v>2.5</v>
      </c>
      <c r="D482" s="426">
        <v>3.5</v>
      </c>
      <c r="E482" s="422" t="s">
        <v>260</v>
      </c>
      <c r="F482" s="426"/>
      <c r="G482" s="426"/>
      <c r="T482" s="422" t="str">
        <f>IFERROR(__xludf.DUMMYFUNCTION("QUERY('Турнирная таблица по Алфавиту'!C7:BG66,""select C,AC order by AC desc"")"),"A1 ")</f>
        <v>A1 </v>
      </c>
      <c r="U482" s="423">
        <f>IFERROR(__xludf.DUMMYFUNCTION("""COMPUTED_VALUE"""),23.5)</f>
        <v>23.5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 t="s">
        <v>265</v>
      </c>
      <c r="C483" s="426"/>
      <c r="D483" s="426">
        <v>2.75</v>
      </c>
      <c r="E483" s="422" t="s">
        <v>263</v>
      </c>
      <c r="F483" s="426"/>
      <c r="G483" s="426"/>
      <c r="T483" s="422" t="str">
        <f>IFERROR(__xludf.DUMMYFUNCTION("""COMPUTED_VALUE"""),"Stacy")</f>
        <v>Stacy</v>
      </c>
      <c r="U483" s="423">
        <f>IFERROR(__xludf.DUMMYFUNCTION("""COMPUTED_VALUE"""),23.25)</f>
        <v>23.25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 t="s">
        <v>261</v>
      </c>
      <c r="C484" s="426">
        <v>2.5</v>
      </c>
      <c r="D484" s="426">
        <v>3.5</v>
      </c>
      <c r="E484" s="422"/>
      <c r="F484" s="426"/>
      <c r="G484" s="426"/>
      <c r="T484" s="422" t="str">
        <f>IFERROR(__xludf.DUMMYFUNCTION("""COMPUTED_VALUE"""),"Панда из Руанды")</f>
        <v>Панда из Руанды</v>
      </c>
      <c r="U484" s="423">
        <f>IFERROR(__xludf.DUMMYFUNCTION("""COMPUTED_VALUE"""),22.5)</f>
        <v>22.5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 t="s">
        <v>261</v>
      </c>
      <c r="C485" s="426">
        <v>2.5</v>
      </c>
      <c r="D485" s="426">
        <v>4.0</v>
      </c>
      <c r="E485" s="422"/>
      <c r="F485" s="426"/>
      <c r="G485" s="426"/>
      <c r="T485" s="422" t="str">
        <f>IFERROR(__xludf.DUMMYFUNCTION("""COMPUTED_VALUE"""),"Андерсен")</f>
        <v>Андерсен</v>
      </c>
      <c r="U485" s="423">
        <f>IFERROR(__xludf.DUMMYFUNCTION("""COMPUTED_VALUE"""),22.0)</f>
        <v>22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 t="s">
        <v>261</v>
      </c>
      <c r="C486" s="426">
        <v>2.5</v>
      </c>
      <c r="D486" s="426">
        <v>3.0</v>
      </c>
      <c r="E486" s="422" t="s">
        <v>260</v>
      </c>
      <c r="F486" s="426"/>
      <c r="G486" s="426"/>
      <c r="T486" s="422" t="str">
        <f>IFERROR(__xludf.DUMMYFUNCTION("""COMPUTED_VALUE"""),"Зверюга")</f>
        <v>Зверюга</v>
      </c>
      <c r="U486" s="423">
        <f>IFERROR(__xludf.DUMMYFUNCTION("""COMPUTED_VALUE"""),21.5)</f>
        <v>21.5</v>
      </c>
      <c r="W486" s="422" t="str">
        <f>IFERROR(__xludf.DUMMYFUNCTION("""COMPUTED_VALUE"""),"Аш")</f>
        <v>Аш</v>
      </c>
      <c r="X486" s="423"/>
    </row>
    <row r="487">
      <c r="A487" s="422" t="s">
        <v>81</v>
      </c>
      <c r="B487" s="422" t="s">
        <v>269</v>
      </c>
      <c r="C487" s="426"/>
      <c r="D487" s="426">
        <v>2.5</v>
      </c>
      <c r="E487" s="422"/>
      <c r="F487" s="426"/>
      <c r="G487" s="426"/>
      <c r="T487" s="422" t="str">
        <f>IFERROR(__xludf.DUMMYFUNCTION("""COMPUTED_VALUE"""),"GALAY")</f>
        <v>GALAY</v>
      </c>
      <c r="U487" s="423">
        <f>IFERROR(__xludf.DUMMYFUNCTION("""COMPUTED_VALUE"""),20.75)</f>
        <v>20.75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 t="s">
        <v>261</v>
      </c>
      <c r="C488" s="426">
        <v>2.5</v>
      </c>
      <c r="D488" s="426">
        <v>4.0</v>
      </c>
      <c r="E488" s="422"/>
      <c r="F488" s="426"/>
      <c r="G488" s="426"/>
      <c r="T488" s="422" t="str">
        <f>IFERROR(__xludf.DUMMYFUNCTION("""COMPUTED_VALUE"""),"РФ")</f>
        <v>РФ</v>
      </c>
      <c r="U488" s="423">
        <f>IFERROR(__xludf.DUMMYFUNCTION("""COMPUTED_VALUE"""),18.5)</f>
        <v>18.5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 t="s">
        <v>271</v>
      </c>
      <c r="C489" s="426">
        <v>2.5</v>
      </c>
      <c r="D489" s="426">
        <v>2.5</v>
      </c>
      <c r="E489" s="422"/>
      <c r="F489" s="426"/>
      <c r="G489" s="426"/>
      <c r="T489" s="422" t="str">
        <f>IFERROR(__xludf.DUMMYFUNCTION("""COMPUTED_VALUE"""),"Light")</f>
        <v>Light</v>
      </c>
      <c r="U489" s="423">
        <f>IFERROR(__xludf.DUMMYFUNCTION("""COMPUTED_VALUE"""),18.25)</f>
        <v>18.25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129</v>
      </c>
      <c r="B490" s="422" t="s">
        <v>261</v>
      </c>
      <c r="C490" s="426">
        <v>2.5</v>
      </c>
      <c r="D490" s="426">
        <v>2.5</v>
      </c>
      <c r="E490" s="422" t="s">
        <v>11</v>
      </c>
      <c r="F490" s="426"/>
      <c r="G490" s="426">
        <v>0.5</v>
      </c>
      <c r="T490" s="422" t="str">
        <f>IFERROR(__xludf.DUMMYFUNCTION("""COMPUTED_VALUE"""),"Дровосек")</f>
        <v>Дровосек</v>
      </c>
      <c r="U490" s="423">
        <f>IFERROR(__xludf.DUMMYFUNCTION("""COMPUTED_VALUE"""),17.25)</f>
        <v>17.25</v>
      </c>
      <c r="W490" s="422" t="str">
        <f>IFERROR(__xludf.DUMMYFUNCTION("""COMPUTED_VALUE"""),"Зверюга")</f>
        <v>Зверюга</v>
      </c>
      <c r="X490" s="423"/>
    </row>
    <row r="491">
      <c r="A491" s="422" t="s">
        <v>125</v>
      </c>
      <c r="B491" s="422" t="s">
        <v>261</v>
      </c>
      <c r="C491" s="426">
        <v>2.5</v>
      </c>
      <c r="D491" s="426">
        <v>2.25</v>
      </c>
      <c r="E491" s="422" t="s">
        <v>260</v>
      </c>
      <c r="F491" s="426"/>
      <c r="G491" s="426"/>
      <c r="T491" s="422" t="str">
        <f>IFERROR(__xludf.DUMMYFUNCTION("""COMPUTED_VALUE"""),"Бамблби")</f>
        <v>Бамблби</v>
      </c>
      <c r="U491" s="423">
        <f>IFERROR(__xludf.DUMMYFUNCTION("""COMPUTED_VALUE"""),15.75)</f>
        <v>15.75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 t="s">
        <v>269</v>
      </c>
      <c r="C492" s="426"/>
      <c r="D492" s="426">
        <v>2.25</v>
      </c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 t="s">
        <v>271</v>
      </c>
      <c r="C493" s="426">
        <v>2.5</v>
      </c>
      <c r="D493" s="426">
        <v>2.75</v>
      </c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 t="s">
        <v>269</v>
      </c>
      <c r="C494" s="426"/>
      <c r="D494" s="426">
        <v>2.5</v>
      </c>
      <c r="E494" s="422"/>
      <c r="F494" s="426"/>
      <c r="G494" s="426"/>
      <c r="T494" s="422" t="str">
        <f>IFERROR(__xludf.DUMMYFUNCTION("""COMPUTED_VALUE"""),"Артик")</f>
        <v>Артик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 t="s">
        <v>269</v>
      </c>
      <c r="C495" s="426"/>
      <c r="D495" s="426">
        <v>2.25</v>
      </c>
      <c r="E495" s="422"/>
      <c r="F495" s="426"/>
      <c r="G495" s="426"/>
      <c r="T495" s="422" t="str">
        <f>IFERROR(__xludf.DUMMYFUNCTION("""COMPUTED_VALUE"""),"Астория")</f>
        <v>Астория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 t="s">
        <v>261</v>
      </c>
      <c r="C496" s="426">
        <v>2.5</v>
      </c>
      <c r="D496" s="426">
        <v>3.5</v>
      </c>
      <c r="E496" s="422"/>
      <c r="F496" s="426"/>
      <c r="G496" s="426"/>
      <c r="T496" s="422" t="str">
        <f>IFERROR(__xludf.DUMMYFUNCTION("""COMPUTED_VALUE"""),"Аш")</f>
        <v>Аш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81</v>
      </c>
      <c r="B497" s="422" t="s">
        <v>261</v>
      </c>
      <c r="C497" s="426">
        <v>2.5</v>
      </c>
      <c r="D497" s="426">
        <v>2.25</v>
      </c>
      <c r="E497" s="422"/>
      <c r="F497" s="426"/>
      <c r="G497" s="426"/>
      <c r="T497" s="422" t="str">
        <f>IFERROR(__xludf.DUMMYFUNCTION("""COMPUTED_VALUE"""),"Волга")</f>
        <v>Волга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 t="s">
        <v>261</v>
      </c>
      <c r="C498" s="426">
        <v>2.5</v>
      </c>
      <c r="D498" s="426">
        <v>4.5</v>
      </c>
      <c r="E498" s="422"/>
      <c r="F498" s="426"/>
      <c r="G498" s="426"/>
      <c r="T498" s="422" t="str">
        <f>IFERROR(__xludf.DUMMYFUNCTION("""COMPUTED_VALUE"""),"Градиент")</f>
        <v>Градиент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 t="s">
        <v>261</v>
      </c>
      <c r="C499" s="426">
        <v>2.5</v>
      </c>
      <c r="D499" s="426">
        <v>2.5</v>
      </c>
      <c r="E499" s="422"/>
      <c r="F499" s="426"/>
      <c r="G499" s="426"/>
      <c r="T499" s="422" t="str">
        <f>IFERROR(__xludf.DUMMYFUNCTION("""COMPUTED_VALUE"""),"Инсомнич")</f>
        <v>Инсомнич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129</v>
      </c>
      <c r="B500" s="422" t="s">
        <v>265</v>
      </c>
      <c r="C500" s="426"/>
      <c r="D500" s="426">
        <v>2.25</v>
      </c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125</v>
      </c>
      <c r="B501" s="422" t="s">
        <v>261</v>
      </c>
      <c r="C501" s="426">
        <v>2.5</v>
      </c>
      <c r="D501" s="426">
        <v>3.5</v>
      </c>
      <c r="E501" s="422" t="s">
        <v>11</v>
      </c>
      <c r="F501" s="426"/>
      <c r="G501" s="426">
        <v>0.5</v>
      </c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 t="s">
        <v>261</v>
      </c>
      <c r="C502" s="426">
        <v>2.5</v>
      </c>
      <c r="D502" s="426">
        <v>3.75</v>
      </c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 t="s">
        <v>261</v>
      </c>
      <c r="C503" s="426"/>
      <c r="D503" s="426">
        <v>2.75</v>
      </c>
      <c r="E503" s="422" t="s">
        <v>263</v>
      </c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 t="s">
        <v>269</v>
      </c>
      <c r="C504" s="426">
        <v>2.5</v>
      </c>
      <c r="D504" s="426">
        <v>2.0</v>
      </c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 t="s">
        <v>261</v>
      </c>
      <c r="C505" s="426"/>
      <c r="D505" s="426">
        <v>2.0</v>
      </c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 t="s">
        <v>261</v>
      </c>
      <c r="C506" s="426"/>
      <c r="D506" s="426">
        <v>1.75</v>
      </c>
      <c r="E506" s="422" t="s">
        <v>263</v>
      </c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 t="s">
        <v>269</v>
      </c>
      <c r="C507" s="426">
        <v>2.5</v>
      </c>
      <c r="D507" s="426">
        <v>3.25</v>
      </c>
      <c r="E507" s="422" t="s">
        <v>260</v>
      </c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 t="s">
        <v>261</v>
      </c>
      <c r="C508" s="426"/>
      <c r="D508" s="426">
        <v>1.75</v>
      </c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 t="s">
        <v>261</v>
      </c>
      <c r="C509" s="426"/>
      <c r="D509" s="426">
        <v>2.5</v>
      </c>
      <c r="E509" s="422" t="s">
        <v>263</v>
      </c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 t="s">
        <v>261</v>
      </c>
      <c r="C510" s="426"/>
      <c r="D510" s="426">
        <v>2.5</v>
      </c>
      <c r="E510" s="422" t="s">
        <v>11</v>
      </c>
      <c r="F510" s="426"/>
      <c r="G510" s="426">
        <v>0.5</v>
      </c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 t="s">
        <v>271</v>
      </c>
      <c r="C511" s="426"/>
      <c r="D511" s="426">
        <v>2.5</v>
      </c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 t="s">
        <v>265</v>
      </c>
      <c r="C512" s="426">
        <v>2.5</v>
      </c>
      <c r="D512" s="426">
        <v>2.5</v>
      </c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 t="s">
        <v>269</v>
      </c>
      <c r="C513" s="426"/>
      <c r="D513" s="426">
        <v>2.25</v>
      </c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 t="s">
        <v>271</v>
      </c>
      <c r="C514" s="426">
        <v>2.5</v>
      </c>
      <c r="D514" s="426">
        <v>3.5</v>
      </c>
      <c r="E514" s="422" t="s">
        <v>11</v>
      </c>
      <c r="F514" s="426">
        <v>1.0</v>
      </c>
      <c r="G514" s="426">
        <v>0.5</v>
      </c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 t="s">
        <v>261</v>
      </c>
      <c r="C515" s="426">
        <v>2.5</v>
      </c>
      <c r="D515" s="426">
        <v>3.25</v>
      </c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 t="s">
        <v>261</v>
      </c>
      <c r="C516" s="426">
        <v>2.5</v>
      </c>
      <c r="D516" s="426">
        <v>3.75</v>
      </c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 t="s">
        <v>265</v>
      </c>
      <c r="C517" s="426"/>
      <c r="D517" s="426">
        <v>2.75</v>
      </c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 t="s">
        <v>261</v>
      </c>
      <c r="C518" s="426">
        <v>2.5</v>
      </c>
      <c r="D518" s="426">
        <v>3.5</v>
      </c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 t="s">
        <v>261</v>
      </c>
      <c r="C519" s="426">
        <v>2.5</v>
      </c>
      <c r="D519" s="426">
        <v>4.5</v>
      </c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 t="s">
        <v>269</v>
      </c>
      <c r="C520" s="426"/>
      <c r="D520" s="426">
        <v>1.75</v>
      </c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 t="s">
        <v>261</v>
      </c>
      <c r="C521" s="426">
        <v>2.5</v>
      </c>
      <c r="D521" s="426">
        <v>2.0</v>
      </c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 t="s">
        <v>261</v>
      </c>
      <c r="C522" s="426">
        <v>2.5</v>
      </c>
      <c r="D522" s="426">
        <v>2.0</v>
      </c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 t="s">
        <v>265</v>
      </c>
      <c r="C523" s="426"/>
      <c r="D523" s="426">
        <v>2.0</v>
      </c>
      <c r="E523" s="422" t="s">
        <v>263</v>
      </c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 t="s">
        <v>261</v>
      </c>
      <c r="C524" s="426">
        <v>2.5</v>
      </c>
      <c r="D524" s="426">
        <v>3.25</v>
      </c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 t="s">
        <v>269</v>
      </c>
      <c r="C525" s="426"/>
      <c r="D525" s="426">
        <v>2.75</v>
      </c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 t="s">
        <v>261</v>
      </c>
      <c r="C526" s="426">
        <v>2.5</v>
      </c>
      <c r="D526" s="426">
        <v>2.0</v>
      </c>
      <c r="E526" s="422" t="s">
        <v>260</v>
      </c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 t="s">
        <v>261</v>
      </c>
      <c r="C527" s="426">
        <v>2.5</v>
      </c>
      <c r="D527" s="426">
        <v>3.75</v>
      </c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 t="s">
        <v>261</v>
      </c>
      <c r="C528" s="426">
        <v>2.5</v>
      </c>
      <c r="D528" s="426">
        <v>2.0</v>
      </c>
      <c r="E528" s="422"/>
      <c r="F528" s="426"/>
      <c r="G528" s="426"/>
      <c r="T528" s="422" t="str">
        <f>IFERROR(__xludf.DUMMYFUNCTION("""COMPUTED_VALUE"""),"Castor Troy ")</f>
        <v>Castor Troy 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 t="s">
        <v>261</v>
      </c>
      <c r="C529" s="426">
        <v>2.5</v>
      </c>
      <c r="D529" s="426">
        <v>2.0</v>
      </c>
      <c r="E529" s="422" t="s">
        <v>11</v>
      </c>
      <c r="F529" s="426"/>
      <c r="G529" s="426">
        <v>0.5</v>
      </c>
      <c r="T529" s="422" t="str">
        <f>IFERROR(__xludf.DUMMYFUNCTION("""COMPUTED_VALUE"""),"Cristo")</f>
        <v>Cristo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 t="s">
        <v>271</v>
      </c>
      <c r="C530" s="426">
        <v>2.5</v>
      </c>
      <c r="D530" s="426">
        <v>4.5</v>
      </c>
      <c r="E530" s="422"/>
      <c r="F530" s="426"/>
      <c r="G530" s="426"/>
      <c r="T530" s="422" t="str">
        <f>IFERROR(__xludf.DUMMYFUNCTION("""COMPUTED_VALUE"""),"Curly")</f>
        <v>Curly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 t="s">
        <v>269</v>
      </c>
      <c r="C531" s="426"/>
      <c r="D531" s="426">
        <v>2.5</v>
      </c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 t="s">
        <v>261</v>
      </c>
      <c r="C532" s="426">
        <v>2.5</v>
      </c>
      <c r="D532" s="426">
        <v>3.0</v>
      </c>
      <c r="E532" s="422" t="s">
        <v>260</v>
      </c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 t="s">
        <v>261</v>
      </c>
      <c r="C533" s="426">
        <v>2.5</v>
      </c>
      <c r="D533" s="426">
        <v>2.5</v>
      </c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 t="s">
        <v>271</v>
      </c>
      <c r="C534" s="426">
        <v>2.5</v>
      </c>
      <c r="D534" s="426">
        <v>2.75</v>
      </c>
      <c r="E534" s="422"/>
      <c r="F534" s="426"/>
      <c r="G534" s="426"/>
      <c r="T534" s="422" t="str">
        <f>IFERROR(__xludf.DUMMYFUNCTION("""COMPUTED_VALUE"""),"Morti")</f>
        <v>Morti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 t="s">
        <v>261</v>
      </c>
      <c r="C535" s="426">
        <v>2.5</v>
      </c>
      <c r="D535" s="426">
        <v>2.5</v>
      </c>
      <c r="E535" s="422" t="s">
        <v>260</v>
      </c>
      <c r="F535" s="426"/>
      <c r="G535" s="426"/>
      <c r="T535" s="422" t="str">
        <f>IFERROR(__xludf.DUMMYFUNCTION("""COMPUTED_VALUE"""),"MSR")</f>
        <v>MSR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 t="s">
        <v>261</v>
      </c>
      <c r="C536" s="426">
        <v>2.5</v>
      </c>
      <c r="D536" s="426">
        <v>2.75</v>
      </c>
      <c r="E536" s="422" t="s">
        <v>260</v>
      </c>
      <c r="F536" s="426"/>
      <c r="G536" s="426"/>
      <c r="T536" s="422" t="str">
        <f>IFERROR(__xludf.DUMMYFUNCTION("""COMPUTED_VALUE"""),"NLIP")</f>
        <v>NLIP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 t="s">
        <v>261</v>
      </c>
      <c r="C537" s="426">
        <v>2.5</v>
      </c>
      <c r="D537" s="426">
        <v>2.75</v>
      </c>
      <c r="E537" s="422"/>
      <c r="F537" s="426"/>
      <c r="G537" s="426"/>
      <c r="T537" s="422" t="str">
        <f>IFERROR(__xludf.DUMMYFUNCTION("""COMPUTED_VALUE"""),"Rocket woman ")</f>
        <v>Rocket woman 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 t="s">
        <v>261</v>
      </c>
      <c r="C538" s="426">
        <v>2.5</v>
      </c>
      <c r="D538" s="426">
        <v>2.75</v>
      </c>
      <c r="E538" s="422" t="s">
        <v>260</v>
      </c>
      <c r="F538" s="426"/>
      <c r="G538" s="426"/>
      <c r="T538" s="422" t="str">
        <f>IFERROR(__xludf.DUMMYFUNCTION("""COMPUTED_VALUE"""),"SCHOKK ")</f>
        <v>SCHOKK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 t="s">
        <v>269</v>
      </c>
      <c r="C539" s="426"/>
      <c r="D539" s="426">
        <v>1.75</v>
      </c>
      <c r="E539" s="422" t="s">
        <v>263</v>
      </c>
      <c r="F539" s="426"/>
      <c r="G539" s="426"/>
      <c r="T539" s="422" t="str">
        <f>IFERROR(__xludf.DUMMYFUNCTION("""COMPUTED_VALUE"""),"SOVEST")</f>
        <v>SOVEST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 t="s">
        <v>269</v>
      </c>
      <c r="C540" s="426"/>
      <c r="D540" s="426">
        <v>1.25</v>
      </c>
      <c r="E540" s="422"/>
      <c r="F540" s="426"/>
      <c r="G540" s="426"/>
      <c r="T540" s="422" t="str">
        <f>IFERROR(__xludf.DUMMYFUNCTION("""COMPUTED_VALUE"""),"WhoIsWho")</f>
        <v>WhoIsWho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 t="s">
        <v>265</v>
      </c>
      <c r="C541" s="426"/>
      <c r="D541" s="426">
        <v>2.0</v>
      </c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 t="s">
        <v>261</v>
      </c>
      <c r="C542" s="426">
        <v>2.5</v>
      </c>
      <c r="D542" s="426">
        <v>2.25</v>
      </c>
      <c r="E542" s="422"/>
      <c r="F542" s="426"/>
      <c r="G542" s="426"/>
      <c r="T542" s="422" t="str">
        <f>IFERROR(__xludf.DUMMYFUNCTION("QUERY('Турнирная таблица по Алфавиту'!C7:BG66,""select C,AD order by AD desc"")"),"РФ")</f>
        <v>РФ</v>
      </c>
      <c r="U542" s="423">
        <f>IFERROR(__xludf.DUMMYFUNCTION("""COMPUTED_VALUE"""),29.0)</f>
        <v>29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 t="s">
        <v>261</v>
      </c>
      <c r="C543" s="426">
        <v>2.5</v>
      </c>
      <c r="D543" s="426">
        <v>3.0</v>
      </c>
      <c r="E543" s="422"/>
      <c r="F543" s="426"/>
      <c r="G543" s="426"/>
      <c r="T543" s="422" t="str">
        <f>IFERROR(__xludf.DUMMYFUNCTION("""COMPUTED_VALUE"""),"Маваши")</f>
        <v>Маваши</v>
      </c>
      <c r="U543" s="423">
        <f>IFERROR(__xludf.DUMMYFUNCTION("""COMPUTED_VALUE"""),26.75)</f>
        <v>26.75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 t="s">
        <v>261</v>
      </c>
      <c r="C544" s="426">
        <v>2.5</v>
      </c>
      <c r="D544" s="426">
        <v>2.5</v>
      </c>
      <c r="E544" s="422" t="s">
        <v>11</v>
      </c>
      <c r="F544" s="426"/>
      <c r="G544" s="426">
        <v>1.0</v>
      </c>
      <c r="T544" s="422" t="str">
        <f>IFERROR(__xludf.DUMMYFUNCTION("""COMPUTED_VALUE"""),"Андерсен")</f>
        <v>Андерсен</v>
      </c>
      <c r="U544" s="423">
        <f>IFERROR(__xludf.DUMMYFUNCTION("""COMPUTED_VALUE"""),25.0)</f>
        <v>25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 t="s">
        <v>269</v>
      </c>
      <c r="C545" s="426"/>
      <c r="D545" s="426">
        <v>2.25</v>
      </c>
      <c r="E545" s="422"/>
      <c r="F545" s="426"/>
      <c r="G545" s="426"/>
      <c r="T545" s="422" t="str">
        <f>IFERROR(__xludf.DUMMYFUNCTION("""COMPUTED_VALUE"""),"Градиент")</f>
        <v>Градиент</v>
      </c>
      <c r="U545" s="423">
        <f>IFERROR(__xludf.DUMMYFUNCTION("""COMPUTED_VALUE"""),23.0)</f>
        <v>23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 t="s">
        <v>269</v>
      </c>
      <c r="C546" s="426"/>
      <c r="D546" s="426">
        <v>2.0</v>
      </c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IFERROR(__xludf.DUMMYFUNCTION("""COMPUTED_VALUE"""),22.5)</f>
        <v>22.5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 t="s">
        <v>261</v>
      </c>
      <c r="C547" s="426">
        <v>2.5</v>
      </c>
      <c r="D547" s="426">
        <v>4.25</v>
      </c>
      <c r="E547" s="422"/>
      <c r="F547" s="426"/>
      <c r="G547" s="426"/>
      <c r="T547" s="422" t="str">
        <f>IFERROR(__xludf.DUMMYFUNCTION("""COMPUTED_VALUE"""),"Дровосек")</f>
        <v>Дровосек</v>
      </c>
      <c r="U547" s="423">
        <f>IFERROR(__xludf.DUMMYFUNCTION("""COMPUTED_VALUE"""),19.75)</f>
        <v>19.75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 t="s">
        <v>261</v>
      </c>
      <c r="C548" s="426">
        <v>2.5</v>
      </c>
      <c r="D548" s="426">
        <v>2.5</v>
      </c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IFERROR(__xludf.DUMMYFUNCTION("""COMPUTED_VALUE"""),18.25)</f>
        <v>18.25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 t="s">
        <v>271</v>
      </c>
      <c r="C549" s="426">
        <v>2.5</v>
      </c>
      <c r="D549" s="426">
        <v>4.25</v>
      </c>
      <c r="E549" s="422"/>
      <c r="F549" s="426"/>
      <c r="G549" s="426"/>
      <c r="T549" s="422" t="str">
        <f>IFERROR(__xludf.DUMMYFUNCTION("""COMPUTED_VALUE"""),"Young")</f>
        <v>Young</v>
      </c>
      <c r="U549" s="423">
        <f>IFERROR(__xludf.DUMMYFUNCTION("""COMPUTED_VALUE"""),17.75)</f>
        <v>17.75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 t="s">
        <v>261</v>
      </c>
      <c r="C550" s="426">
        <v>2.5</v>
      </c>
      <c r="D550" s="426">
        <v>2.75</v>
      </c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IFERROR(__xludf.DUMMYFUNCTION("""COMPUTED_VALUE"""),17.5)</f>
        <v>17.5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 t="s">
        <v>265</v>
      </c>
      <c r="C551" s="426"/>
      <c r="D551" s="426">
        <v>2.5</v>
      </c>
      <c r="E551" s="422"/>
      <c r="F551" s="426"/>
      <c r="G551" s="426"/>
      <c r="T551" s="422" t="str">
        <f>IFERROR(__xludf.DUMMYFUNCTION("""COMPUTED_VALUE"""),"Левша")</f>
        <v>Левша</v>
      </c>
      <c r="U551" s="423">
        <f>IFERROR(__xludf.DUMMYFUNCTION("""COMPUTED_VALUE"""),14.0)</f>
        <v>14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 t="s">
        <v>261</v>
      </c>
      <c r="C552" s="426">
        <v>2.5</v>
      </c>
      <c r="D552" s="426">
        <v>2.75</v>
      </c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 t="s">
        <v>265</v>
      </c>
      <c r="C553" s="426">
        <v>2.5</v>
      </c>
      <c r="D553" s="426">
        <v>1.75</v>
      </c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 t="s">
        <v>261</v>
      </c>
      <c r="C554" s="426"/>
      <c r="D554" s="426">
        <v>2.0</v>
      </c>
      <c r="E554" s="422" t="s">
        <v>263</v>
      </c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 t="s">
        <v>269</v>
      </c>
      <c r="C555" s="426">
        <v>2.5</v>
      </c>
      <c r="D555" s="426">
        <v>4.0</v>
      </c>
      <c r="E555" s="422" t="s">
        <v>260</v>
      </c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 t="s">
        <v>261</v>
      </c>
      <c r="C556" s="426"/>
      <c r="D556" s="426">
        <v>3.0</v>
      </c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 t="s">
        <v>261</v>
      </c>
      <c r="C557" s="426"/>
      <c r="D557" s="426">
        <v>2.0</v>
      </c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 t="s">
        <v>269</v>
      </c>
      <c r="C558" s="426">
        <v>2.5</v>
      </c>
      <c r="D558" s="426">
        <v>2.0</v>
      </c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 t="s">
        <v>261</v>
      </c>
      <c r="C559" s="426"/>
      <c r="D559" s="426">
        <v>1.5</v>
      </c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 t="s">
        <v>261</v>
      </c>
      <c r="C560" s="426"/>
      <c r="D560" s="426">
        <v>2.0</v>
      </c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 t="s">
        <v>271</v>
      </c>
      <c r="C561" s="426"/>
      <c r="D561" s="426">
        <v>2.75</v>
      </c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 t="s">
        <v>261</v>
      </c>
      <c r="C562" s="426"/>
      <c r="D562" s="426">
        <v>2.0</v>
      </c>
      <c r="E562" s="422" t="s">
        <v>263</v>
      </c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 t="s">
        <v>261</v>
      </c>
      <c r="C563" s="426"/>
      <c r="D563" s="426">
        <v>3.25</v>
      </c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 t="s">
        <v>261</v>
      </c>
      <c r="C564" s="426"/>
      <c r="D564" s="426">
        <v>1.75</v>
      </c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 t="s">
        <v>261</v>
      </c>
      <c r="C565" s="426"/>
      <c r="D565" s="426">
        <v>2.25</v>
      </c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 t="s">
        <v>265</v>
      </c>
      <c r="C566" s="426">
        <v>2.5</v>
      </c>
      <c r="D566" s="426">
        <v>3.75</v>
      </c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 t="s">
        <v>269</v>
      </c>
      <c r="C567" s="426">
        <v>2.5</v>
      </c>
      <c r="D567" s="426">
        <v>3.25</v>
      </c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 t="s">
        <v>269</v>
      </c>
      <c r="C568" s="426">
        <v>2.5</v>
      </c>
      <c r="D568" s="426">
        <v>2.75</v>
      </c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 t="s">
        <v>261</v>
      </c>
      <c r="C569" s="426"/>
      <c r="D569" s="426">
        <v>2.25</v>
      </c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 t="s">
        <v>261</v>
      </c>
      <c r="C570" s="426"/>
      <c r="D570" s="426">
        <v>2.5</v>
      </c>
      <c r="E570" s="422" t="s">
        <v>11</v>
      </c>
      <c r="F570" s="426"/>
      <c r="G570" s="426">
        <v>0.5</v>
      </c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 t="s">
        <v>271</v>
      </c>
      <c r="C571" s="426"/>
      <c r="D571" s="426">
        <v>2.0</v>
      </c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 t="s">
        <v>261</v>
      </c>
      <c r="C572" s="426"/>
      <c r="D572" s="426">
        <v>3.75</v>
      </c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 t="s">
        <v>271</v>
      </c>
      <c r="C573" s="426">
        <v>2.5</v>
      </c>
      <c r="D573" s="426">
        <v>4.0</v>
      </c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 t="s">
        <v>269</v>
      </c>
      <c r="C574" s="426"/>
      <c r="D574" s="426">
        <v>2.25</v>
      </c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 t="s">
        <v>261</v>
      </c>
      <c r="C575" s="426">
        <v>2.5</v>
      </c>
      <c r="D575" s="426">
        <v>3.0</v>
      </c>
      <c r="E575" s="422" t="s">
        <v>260</v>
      </c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 t="s">
        <v>265</v>
      </c>
      <c r="C576" s="426"/>
      <c r="D576" s="426">
        <v>2.25</v>
      </c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 t="s">
        <v>261</v>
      </c>
      <c r="C577" s="426">
        <v>2.5</v>
      </c>
      <c r="D577" s="426">
        <v>3.0</v>
      </c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 t="s">
        <v>261</v>
      </c>
      <c r="C578" s="426">
        <v>2.5</v>
      </c>
      <c r="D578" s="426">
        <v>4.5</v>
      </c>
      <c r="E578" s="422" t="s">
        <v>260</v>
      </c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 t="s">
        <v>261</v>
      </c>
      <c r="C579" s="426">
        <v>2.5</v>
      </c>
      <c r="D579" s="426">
        <v>2.5</v>
      </c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 t="s">
        <v>261</v>
      </c>
      <c r="C580" s="426">
        <v>2.5</v>
      </c>
      <c r="D580" s="426">
        <v>2.75</v>
      </c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 t="s">
        <v>269</v>
      </c>
      <c r="C581" s="426"/>
      <c r="D581" s="426">
        <v>2.0</v>
      </c>
      <c r="E581" s="422" t="s">
        <v>263</v>
      </c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 t="s">
        <v>261</v>
      </c>
      <c r="C582" s="426">
        <v>2.5</v>
      </c>
      <c r="D582" s="426">
        <v>2.75</v>
      </c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 t="s">
        <v>261</v>
      </c>
      <c r="C583" s="426"/>
      <c r="D583" s="426">
        <v>1.75</v>
      </c>
      <c r="E583" s="422" t="s">
        <v>263</v>
      </c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 t="s">
        <v>261</v>
      </c>
      <c r="C584" s="426"/>
      <c r="D584" s="426">
        <v>1.75</v>
      </c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 t="s">
        <v>261</v>
      </c>
      <c r="C585" s="426"/>
      <c r="D585" s="426">
        <v>2.0</v>
      </c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 t="s">
        <v>261</v>
      </c>
      <c r="C586" s="426"/>
      <c r="D586" s="426">
        <v>2.25</v>
      </c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 t="s">
        <v>269</v>
      </c>
      <c r="C587" s="426">
        <v>2.5</v>
      </c>
      <c r="D587" s="426">
        <v>0.5</v>
      </c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 t="s">
        <v>265</v>
      </c>
      <c r="C588" s="426">
        <v>2.5</v>
      </c>
      <c r="D588" s="426">
        <v>2.5</v>
      </c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 t="s">
        <v>271</v>
      </c>
      <c r="C589" s="426"/>
      <c r="D589" s="426">
        <v>2.0</v>
      </c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 t="s">
        <v>261</v>
      </c>
      <c r="C590" s="426"/>
      <c r="D590" s="426">
        <v>2.75</v>
      </c>
      <c r="E590" s="422" t="s">
        <v>11</v>
      </c>
      <c r="F590" s="426"/>
      <c r="G590" s="426">
        <v>1.0</v>
      </c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 t="s">
        <v>269</v>
      </c>
      <c r="C591" s="426">
        <v>2.5</v>
      </c>
      <c r="D591" s="426">
        <v>4.0</v>
      </c>
      <c r="E591" s="422" t="s">
        <v>260</v>
      </c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 t="s">
        <v>261</v>
      </c>
      <c r="C592" s="426"/>
      <c r="D592" s="426">
        <v>2.0</v>
      </c>
      <c r="E592" s="422" t="s">
        <v>263</v>
      </c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 t="s">
        <v>261</v>
      </c>
      <c r="C593" s="426"/>
      <c r="D593" s="426">
        <v>3.5</v>
      </c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 t="s">
        <v>261</v>
      </c>
      <c r="C594" s="426"/>
      <c r="D594" s="426">
        <v>3.25</v>
      </c>
      <c r="E594" s="422" t="s">
        <v>263</v>
      </c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 t="s">
        <v>271</v>
      </c>
      <c r="C595" s="426"/>
      <c r="D595" s="426">
        <v>2.5</v>
      </c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 t="s">
        <v>261</v>
      </c>
      <c r="C596" s="426"/>
      <c r="D596" s="426">
        <v>2.0</v>
      </c>
      <c r="E596" s="422" t="s">
        <v>11</v>
      </c>
      <c r="F596" s="426"/>
      <c r="G596" s="426">
        <v>0.5</v>
      </c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 t="s">
        <v>269</v>
      </c>
      <c r="C597" s="426">
        <v>2.5</v>
      </c>
      <c r="D597" s="426">
        <v>2.25</v>
      </c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 t="s">
        <v>265</v>
      </c>
      <c r="C598" s="426">
        <v>2.5</v>
      </c>
      <c r="D598" s="426">
        <v>3.5</v>
      </c>
      <c r="E598" s="422" t="s">
        <v>260</v>
      </c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 t="s">
        <v>261</v>
      </c>
      <c r="C599" s="426"/>
      <c r="D599" s="426">
        <v>1.25</v>
      </c>
      <c r="E599" s="422" t="s">
        <v>263</v>
      </c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 t="s">
        <v>261</v>
      </c>
      <c r="C600" s="426"/>
      <c r="D600" s="426">
        <v>4.25</v>
      </c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 t="s">
        <v>269</v>
      </c>
      <c r="C601" s="426">
        <v>2.5</v>
      </c>
      <c r="D601" s="426">
        <v>2.25</v>
      </c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 t="s">
        <v>261</v>
      </c>
      <c r="C602" s="426"/>
      <c r="D602" s="426">
        <v>2.5</v>
      </c>
      <c r="E602" s="422"/>
      <c r="F602" s="426"/>
      <c r="G602" s="426"/>
      <c r="T602" s="422" t="str">
        <f>IFERROR(__xludf.DUMMYFUNCTION("QUERY('Турнирная таблица по Алфавиту'!C7:BG66,""select C,AE order by AE desc"")"),"Дровосек")</f>
        <v>Дровосек</v>
      </c>
      <c r="U602" s="423">
        <f>IFERROR(__xludf.DUMMYFUNCTION("""COMPUTED_VALUE"""),27.75)</f>
        <v>27.75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 t="s">
        <v>261</v>
      </c>
      <c r="C603" s="426"/>
      <c r="D603" s="426">
        <v>2.75</v>
      </c>
      <c r="E603" s="422"/>
      <c r="F603" s="426"/>
      <c r="G603" s="426"/>
      <c r="T603" s="422" t="str">
        <f>IFERROR(__xludf.DUMMYFUNCTION("""COMPUTED_VALUE"""),"Alice ")</f>
        <v>Alice </v>
      </c>
      <c r="U603" s="423">
        <f>IFERROR(__xludf.DUMMYFUNCTION("""COMPUTED_VALUE"""),21.0)</f>
        <v>21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 t="s">
        <v>269</v>
      </c>
      <c r="C604" s="426">
        <v>2.5</v>
      </c>
      <c r="D604" s="426">
        <v>3.0</v>
      </c>
      <c r="E604" s="422"/>
      <c r="F604" s="426"/>
      <c r="G604" s="426"/>
      <c r="T604" s="422" t="str">
        <f>IFERROR(__xludf.DUMMYFUNCTION("""COMPUTED_VALUE"""),"A1 ")</f>
        <v>A1 </v>
      </c>
      <c r="U604" s="423">
        <f>IFERROR(__xludf.DUMMYFUNCTION("""COMPUTED_VALUE"""),19.25)</f>
        <v>19.25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 t="s">
        <v>269</v>
      </c>
      <c r="C605" s="426">
        <v>2.5</v>
      </c>
      <c r="D605" s="426">
        <v>2.75</v>
      </c>
      <c r="E605" s="422"/>
      <c r="F605" s="426"/>
      <c r="G605" s="426"/>
      <c r="T605" s="422" t="str">
        <f>IFERROR(__xludf.DUMMYFUNCTION("""COMPUTED_VALUE"""),"SCHOKK ")</f>
        <v>SCHOKK </v>
      </c>
      <c r="U605" s="423">
        <f>IFERROR(__xludf.DUMMYFUNCTION("""COMPUTED_VALUE"""),18.75)</f>
        <v>18.75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 t="s">
        <v>261</v>
      </c>
      <c r="C606" s="426"/>
      <c r="D606" s="426">
        <v>2.0</v>
      </c>
      <c r="E606" s="422" t="s">
        <v>11</v>
      </c>
      <c r="F606" s="426">
        <v>0.5</v>
      </c>
      <c r="G606" s="426">
        <v>0.5</v>
      </c>
      <c r="T606" s="422" t="str">
        <f>IFERROR(__xludf.DUMMYFUNCTION("""COMPUTED_VALUE"""),"Градиент")</f>
        <v>Градиент</v>
      </c>
      <c r="U606" s="423">
        <f>IFERROR(__xludf.DUMMYFUNCTION("""COMPUTED_VALUE"""),18.25)</f>
        <v>18.25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 t="s">
        <v>261</v>
      </c>
      <c r="C607" s="426"/>
      <c r="D607" s="426">
        <v>2.25</v>
      </c>
      <c r="E607" s="422"/>
      <c r="F607" s="426"/>
      <c r="G607" s="426"/>
      <c r="T607" s="422" t="str">
        <f>IFERROR(__xludf.DUMMYFUNCTION("""COMPUTED_VALUE"""),"Helga")</f>
        <v>Helga</v>
      </c>
      <c r="U607" s="423">
        <f>IFERROR(__xludf.DUMMYFUNCTION("""COMPUTED_VALUE"""),18.0)</f>
        <v>18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 t="s">
        <v>261</v>
      </c>
      <c r="C608" s="426"/>
      <c r="D608" s="426">
        <v>2.0</v>
      </c>
      <c r="E608" s="422"/>
      <c r="F608" s="426"/>
      <c r="G608" s="426"/>
      <c r="T608" s="422" t="str">
        <f>IFERROR(__xludf.DUMMYFUNCTION("""COMPUTED_VALUE"""),"РФ")</f>
        <v>РФ</v>
      </c>
      <c r="U608" s="423">
        <f>IFERROR(__xludf.DUMMYFUNCTION("""COMPUTED_VALUE"""),16.25)</f>
        <v>16.25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 t="s">
        <v>261</v>
      </c>
      <c r="C609" s="426"/>
      <c r="D609" s="426">
        <v>1.5</v>
      </c>
      <c r="E609" s="422"/>
      <c r="F609" s="426"/>
      <c r="G609" s="426"/>
      <c r="T609" s="422" t="str">
        <f>IFERROR(__xludf.DUMMYFUNCTION("""COMPUTED_VALUE"""),"Шпиц")</f>
        <v>Шпиц</v>
      </c>
      <c r="U609" s="423">
        <f>IFERROR(__xludf.DUMMYFUNCTION("""COMPUTED_VALUE"""),15.5)</f>
        <v>15.5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 t="s">
        <v>261</v>
      </c>
      <c r="C610" s="426"/>
      <c r="D610" s="426">
        <v>2.0</v>
      </c>
      <c r="E610" s="422"/>
      <c r="F610" s="426"/>
      <c r="G610" s="426"/>
      <c r="T610" s="422" t="str">
        <f>IFERROR(__xludf.DUMMYFUNCTION("""COMPUTED_VALUE"""),"Волга")</f>
        <v>Волга</v>
      </c>
      <c r="U610" s="423">
        <f>IFERROR(__xludf.DUMMYFUNCTION("""COMPUTED_VALUE"""),12.0)</f>
        <v>12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 t="s">
        <v>271</v>
      </c>
      <c r="C611" s="426"/>
      <c r="D611" s="426">
        <v>2.0</v>
      </c>
      <c r="E611" s="422"/>
      <c r="F611" s="426"/>
      <c r="G611" s="426"/>
      <c r="T611" s="422" t="str">
        <f>IFERROR(__xludf.DUMMYFUNCTION("""COMPUTED_VALUE"""),"GALAY")</f>
        <v>GALAY</v>
      </c>
      <c r="U611" s="423">
        <f>IFERROR(__xludf.DUMMYFUNCTION("""COMPUTED_VALUE"""),11.0)</f>
        <v>11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 t="s">
        <v>265</v>
      </c>
      <c r="C612" s="426">
        <v>2.5</v>
      </c>
      <c r="D612" s="426">
        <v>4.0</v>
      </c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 t="s">
        <v>265</v>
      </c>
      <c r="C613" s="426">
        <v>2.5</v>
      </c>
      <c r="D613" s="426">
        <v>1.25</v>
      </c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 t="s">
        <v>261</v>
      </c>
      <c r="C614" s="426"/>
      <c r="D614" s="426">
        <v>2.5</v>
      </c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 t="s">
        <v>261</v>
      </c>
      <c r="C615" s="426"/>
      <c r="D615" s="426">
        <v>1.75</v>
      </c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 t="s">
        <v>261</v>
      </c>
      <c r="C616" s="426"/>
      <c r="D616" s="426">
        <v>4.0</v>
      </c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 t="s">
        <v>269</v>
      </c>
      <c r="C617" s="426">
        <v>2.5</v>
      </c>
      <c r="D617" s="426">
        <v>4.5</v>
      </c>
      <c r="E617" s="422" t="s">
        <v>260</v>
      </c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 t="s">
        <v>271</v>
      </c>
      <c r="C618" s="426"/>
      <c r="D618" s="426">
        <v>2.25</v>
      </c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 t="s">
        <v>269</v>
      </c>
      <c r="C619" s="426">
        <v>2.5</v>
      </c>
      <c r="D619" s="426">
        <v>2.25</v>
      </c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 t="s">
        <v>261</v>
      </c>
      <c r="C620" s="426"/>
      <c r="D620" s="426">
        <v>2.75</v>
      </c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 t="s">
        <v>261</v>
      </c>
      <c r="C621" s="426"/>
      <c r="D621" s="426">
        <v>3.75</v>
      </c>
      <c r="E621" s="422" t="s">
        <v>263</v>
      </c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 t="s">
        <v>261</v>
      </c>
      <c r="C622" s="426"/>
      <c r="D622" s="426">
        <v>1.5</v>
      </c>
      <c r="E622" s="422" t="s">
        <v>263</v>
      </c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 t="s">
        <v>261</v>
      </c>
      <c r="C623" s="426"/>
      <c r="D623" s="426">
        <v>2.0</v>
      </c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 t="s">
        <v>269</v>
      </c>
      <c r="C624" s="426">
        <v>2.5</v>
      </c>
      <c r="D624" s="426">
        <v>3.0</v>
      </c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 t="s">
        <v>271</v>
      </c>
      <c r="C625" s="426"/>
      <c r="D625" s="426">
        <v>2.5</v>
      </c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 t="s">
        <v>265</v>
      </c>
      <c r="C626" s="426">
        <v>2.5</v>
      </c>
      <c r="D626" s="426">
        <v>4.0</v>
      </c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 t="s">
        <v>261</v>
      </c>
      <c r="C627" s="426"/>
      <c r="D627" s="426">
        <v>2.75</v>
      </c>
      <c r="E627" s="422"/>
      <c r="F627" s="426"/>
      <c r="G627" s="426">
        <v>0.5</v>
      </c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 t="s">
        <v>269</v>
      </c>
      <c r="C628" s="426">
        <v>2.5</v>
      </c>
      <c r="D628" s="426">
        <v>4.5</v>
      </c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 t="s">
        <v>261</v>
      </c>
      <c r="C629" s="426"/>
      <c r="D629" s="426">
        <v>2.0</v>
      </c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 t="s">
        <v>261</v>
      </c>
      <c r="C630" s="426"/>
      <c r="D630" s="426">
        <v>1.75</v>
      </c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 t="s">
        <v>261</v>
      </c>
      <c r="C631" s="426"/>
      <c r="D631" s="426">
        <v>4.0</v>
      </c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 t="s">
        <v>261</v>
      </c>
      <c r="C632" s="426"/>
      <c r="D632" s="426">
        <v>3.25</v>
      </c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 t="s">
        <v>261</v>
      </c>
      <c r="C633" s="426"/>
      <c r="D633" s="426">
        <v>2.25</v>
      </c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 t="s">
        <v>261</v>
      </c>
      <c r="C634" s="426"/>
      <c r="D634" s="426">
        <v>1.75</v>
      </c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 t="s">
        <v>271</v>
      </c>
      <c r="C635" s="426"/>
      <c r="D635" s="426">
        <v>2.0</v>
      </c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 t="s">
        <v>261</v>
      </c>
      <c r="C636" s="426"/>
      <c r="D636" s="426">
        <v>3.25</v>
      </c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 t="s">
        <v>261</v>
      </c>
      <c r="C637" s="426"/>
      <c r="D637" s="426">
        <v>1.0</v>
      </c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 t="s">
        <v>261</v>
      </c>
      <c r="C638" s="426"/>
      <c r="D638" s="426">
        <v>1.25</v>
      </c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 t="s">
        <v>261</v>
      </c>
      <c r="C639" s="426"/>
      <c r="D639" s="426">
        <v>2.0</v>
      </c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 t="s">
        <v>269</v>
      </c>
      <c r="C640" s="426">
        <v>2.5</v>
      </c>
      <c r="D640" s="426">
        <v>1.5</v>
      </c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 t="s">
        <v>265</v>
      </c>
      <c r="C641" s="426">
        <v>2.5</v>
      </c>
      <c r="D641" s="426">
        <v>4.5</v>
      </c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 t="s">
        <v>269</v>
      </c>
      <c r="C642" s="426">
        <v>2.5</v>
      </c>
      <c r="D642" s="426">
        <v>4.5</v>
      </c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 t="s">
        <v>265</v>
      </c>
      <c r="C643" s="426"/>
      <c r="D643" s="426">
        <v>2.25</v>
      </c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 t="s">
        <v>261</v>
      </c>
      <c r="C644" s="426">
        <v>2.5</v>
      </c>
      <c r="D644" s="426">
        <v>2.75</v>
      </c>
      <c r="E644" s="422" t="s">
        <v>260</v>
      </c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 t="s">
        <v>269</v>
      </c>
      <c r="C645" s="426"/>
      <c r="D645" s="426">
        <v>2.5</v>
      </c>
      <c r="E645" s="422" t="s">
        <v>263</v>
      </c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 t="s">
        <v>269</v>
      </c>
      <c r="C646" s="426"/>
      <c r="D646" s="426">
        <v>2.5</v>
      </c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 t="s">
        <v>261</v>
      </c>
      <c r="C647" s="426">
        <v>2.5</v>
      </c>
      <c r="D647" s="426">
        <v>4.5</v>
      </c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 t="s">
        <v>261</v>
      </c>
      <c r="C648" s="426">
        <v>2.5</v>
      </c>
      <c r="D648" s="426">
        <v>2.0</v>
      </c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 t="s">
        <v>261</v>
      </c>
      <c r="C649" s="426">
        <v>2.5</v>
      </c>
      <c r="D649" s="426">
        <v>2.25</v>
      </c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 t="s">
        <v>271</v>
      </c>
      <c r="C650" s="426">
        <v>2.5</v>
      </c>
      <c r="D650" s="426">
        <v>1.75</v>
      </c>
      <c r="E650" s="422" t="s">
        <v>11</v>
      </c>
      <c r="F650" s="426">
        <v>0.5</v>
      </c>
      <c r="G650" s="426">
        <v>0.5</v>
      </c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 t="s">
        <v>261</v>
      </c>
      <c r="C651" s="426">
        <v>2.5</v>
      </c>
      <c r="D651" s="426">
        <v>3.0</v>
      </c>
      <c r="E651" s="422" t="s">
        <v>260</v>
      </c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 t="s">
        <v>261</v>
      </c>
      <c r="C652" s="426">
        <v>2.5</v>
      </c>
      <c r="D652" s="426">
        <v>4.75</v>
      </c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 t="s">
        <v>261</v>
      </c>
      <c r="C653" s="426"/>
      <c r="D653" s="426">
        <v>1.5</v>
      </c>
      <c r="E653" s="422" t="s">
        <v>263</v>
      </c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 t="s">
        <v>261</v>
      </c>
      <c r="C654" s="426"/>
      <c r="D654" s="426">
        <v>4.25</v>
      </c>
      <c r="E654" s="422" t="s">
        <v>263</v>
      </c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 t="s">
        <v>261</v>
      </c>
      <c r="C655" s="426"/>
      <c r="D655" s="426">
        <v>3.0</v>
      </c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 t="s">
        <v>261</v>
      </c>
      <c r="C656" s="426"/>
      <c r="D656" s="426">
        <v>2.0</v>
      </c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 t="s">
        <v>261</v>
      </c>
      <c r="C657" s="426"/>
      <c r="D657" s="426">
        <v>3.0</v>
      </c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 t="s">
        <v>271</v>
      </c>
      <c r="C658" s="426"/>
      <c r="D658" s="426">
        <v>2.5</v>
      </c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 t="s">
        <v>265</v>
      </c>
      <c r="C659" s="426">
        <v>2.5</v>
      </c>
      <c r="D659" s="426">
        <v>3.75</v>
      </c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 t="s">
        <v>269</v>
      </c>
      <c r="C660" s="426">
        <v>2.5</v>
      </c>
      <c r="D660" s="426">
        <v>3.0</v>
      </c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 t="s">
        <v>269</v>
      </c>
      <c r="C661" s="426">
        <v>2.5</v>
      </c>
      <c r="D661" s="426">
        <v>3.5</v>
      </c>
      <c r="E661" s="422" t="s">
        <v>260</v>
      </c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 t="s">
        <v>261</v>
      </c>
      <c r="C662" s="426"/>
      <c r="D662" s="426">
        <v>2.75</v>
      </c>
      <c r="E662" s="422" t="s">
        <v>11</v>
      </c>
      <c r="F662" s="426"/>
      <c r="G662" s="426">
        <v>0.5</v>
      </c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IFERROR(__xludf.DUMMYFUNCTION("""COMPUTED_VALUE"""),25.5)</f>
        <v>25.5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 t="s">
        <v>269</v>
      </c>
      <c r="C663" s="426"/>
      <c r="D663" s="426">
        <v>2.0</v>
      </c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IFERROR(__xludf.DUMMYFUNCTION("""COMPUTED_VALUE"""),22.25)</f>
        <v>22.25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 t="s">
        <v>261</v>
      </c>
      <c r="C664" s="426">
        <v>2.5</v>
      </c>
      <c r="D664" s="426">
        <v>3.25</v>
      </c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IFERROR(__xludf.DUMMYFUNCTION("""COMPUTED_VALUE"""),20.5)</f>
        <v>20.5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 t="s">
        <v>261</v>
      </c>
      <c r="C665" s="426">
        <v>2.5</v>
      </c>
      <c r="D665" s="426">
        <v>2.75</v>
      </c>
      <c r="E665" s="422"/>
      <c r="F665" s="426"/>
      <c r="G665" s="426"/>
      <c r="T665" s="422" t="str">
        <f>IFERROR(__xludf.DUMMYFUNCTION("""COMPUTED_VALUE"""),"NLIP")</f>
        <v>NLIP</v>
      </c>
      <c r="U665" s="423">
        <f>IFERROR(__xludf.DUMMYFUNCTION("""COMPUTED_VALUE"""),20.5)</f>
        <v>20.5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 t="s">
        <v>261</v>
      </c>
      <c r="C666" s="426">
        <v>2.5</v>
      </c>
      <c r="D666" s="426">
        <v>3.0</v>
      </c>
      <c r="E666" s="422"/>
      <c r="F666" s="426"/>
      <c r="G666" s="426"/>
      <c r="T666" s="422" t="str">
        <f>IFERROR(__xludf.DUMMYFUNCTION("""COMPUTED_VALUE"""),"Наполеон")</f>
        <v>Наполеон</v>
      </c>
      <c r="U666" s="423">
        <f>IFERROR(__xludf.DUMMYFUNCTION("""COMPUTED_VALUE"""),19.25)</f>
        <v>19.25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 t="s">
        <v>261</v>
      </c>
      <c r="C667" s="426">
        <v>2.5</v>
      </c>
      <c r="D667" s="426">
        <v>4.25</v>
      </c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IFERROR(__xludf.DUMMYFUNCTION("""COMPUTED_VALUE"""),17.0)</f>
        <v>17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 t="s">
        <v>265</v>
      </c>
      <c r="C668" s="426"/>
      <c r="D668" s="426">
        <v>2.25</v>
      </c>
      <c r="E668" s="422"/>
      <c r="F668" s="426"/>
      <c r="G668" s="426"/>
      <c r="T668" s="422" t="str">
        <f>IFERROR(__xludf.DUMMYFUNCTION("""COMPUTED_VALUE"""),"Писатель ")</f>
        <v>Писатель </v>
      </c>
      <c r="U668" s="423">
        <f>IFERROR(__xludf.DUMMYFUNCTION("""COMPUTED_VALUE"""),15.75)</f>
        <v>15.75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 t="s">
        <v>261</v>
      </c>
      <c r="C669" s="426">
        <v>2.5</v>
      </c>
      <c r="D669" s="426">
        <v>3.0</v>
      </c>
      <c r="E669" s="422" t="s">
        <v>11</v>
      </c>
      <c r="F669" s="426">
        <v>0.5</v>
      </c>
      <c r="G669" s="426">
        <v>0.5</v>
      </c>
      <c r="T669" s="422" t="str">
        <f>IFERROR(__xludf.DUMMYFUNCTION("""COMPUTED_VALUE"""),"GALAY")</f>
        <v>GALAY</v>
      </c>
      <c r="U669" s="423">
        <f>IFERROR(__xludf.DUMMYFUNCTION("""COMPUTED_VALUE"""),15.0)</f>
        <v>15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 t="s">
        <v>269</v>
      </c>
      <c r="C670" s="426"/>
      <c r="D670" s="426">
        <v>3.0</v>
      </c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IFERROR(__xludf.DUMMYFUNCTION("""COMPUTED_VALUE"""),14.0)</f>
        <v>14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 t="s">
        <v>261</v>
      </c>
      <c r="C671" s="426">
        <v>2.5</v>
      </c>
      <c r="D671" s="426">
        <v>2.0</v>
      </c>
      <c r="E671" s="422"/>
      <c r="F671" s="426"/>
      <c r="G671" s="426"/>
      <c r="T671" s="422" t="str">
        <f>IFERROR(__xludf.DUMMYFUNCTION("""COMPUTED_VALUE"""),"Тихий закат")</f>
        <v>Тихий закат</v>
      </c>
      <c r="U671" s="423">
        <f>IFERROR(__xludf.DUMMYFUNCTION("""COMPUTED_VALUE"""),13.0)</f>
        <v>13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 t="s">
        <v>271</v>
      </c>
      <c r="C672" s="426">
        <v>2.5</v>
      </c>
      <c r="D672" s="426">
        <v>4.0</v>
      </c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 t="s">
        <v>261</v>
      </c>
      <c r="C673" s="426">
        <v>2.5</v>
      </c>
      <c r="D673" s="426">
        <v>5.0</v>
      </c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 t="s">
        <v>261</v>
      </c>
      <c r="C674" s="426">
        <v>2.5</v>
      </c>
      <c r="D674" s="426">
        <v>2.75</v>
      </c>
      <c r="E674" s="422" t="s">
        <v>11</v>
      </c>
      <c r="F674" s="426"/>
      <c r="G674" s="426">
        <v>0.5</v>
      </c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 t="s">
        <v>261</v>
      </c>
      <c r="C675" s="426">
        <v>2.5</v>
      </c>
      <c r="D675" s="426">
        <v>3.5</v>
      </c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 t="s">
        <v>269</v>
      </c>
      <c r="C676" s="426"/>
      <c r="D676" s="426">
        <v>2.5</v>
      </c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 t="s">
        <v>261</v>
      </c>
      <c r="C677" s="426">
        <v>2.5</v>
      </c>
      <c r="D677" s="426">
        <v>3.25</v>
      </c>
      <c r="E677" s="422" t="s">
        <v>260</v>
      </c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 t="s">
        <v>261</v>
      </c>
      <c r="C678" s="426">
        <v>2.5</v>
      </c>
      <c r="D678" s="426">
        <v>3.0</v>
      </c>
      <c r="E678" s="422" t="s">
        <v>260</v>
      </c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 t="s">
        <v>261</v>
      </c>
      <c r="C679" s="426">
        <v>2.5</v>
      </c>
      <c r="D679" s="426">
        <v>3.0</v>
      </c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 t="s">
        <v>265</v>
      </c>
      <c r="C680" s="426"/>
      <c r="D680" s="426">
        <v>2.25</v>
      </c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 t="s">
        <v>269</v>
      </c>
      <c r="C681" s="426"/>
      <c r="D681" s="426">
        <v>1.75</v>
      </c>
      <c r="E681" s="422" t="s">
        <v>263</v>
      </c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 t="s">
        <v>271</v>
      </c>
      <c r="C682" s="426">
        <v>2.5</v>
      </c>
      <c r="D682" s="426">
        <v>4.5</v>
      </c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 t="s">
        <v>261</v>
      </c>
      <c r="C683" s="426">
        <v>2.5</v>
      </c>
      <c r="D683" s="426">
        <v>4.0</v>
      </c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 t="s">
        <v>261</v>
      </c>
      <c r="C684" s="426">
        <v>2.5</v>
      </c>
      <c r="D684" s="426">
        <v>3.5</v>
      </c>
      <c r="E684" s="422" t="s">
        <v>260</v>
      </c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 t="s">
        <v>269</v>
      </c>
      <c r="C685" s="426"/>
      <c r="D685" s="426">
        <v>2.5</v>
      </c>
      <c r="E685" s="422" t="s">
        <v>263</v>
      </c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 t="s">
        <v>261</v>
      </c>
      <c r="C686" s="426">
        <v>2.5</v>
      </c>
      <c r="D686" s="426">
        <v>3.75</v>
      </c>
      <c r="E686" s="422" t="s">
        <v>260</v>
      </c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 t="s">
        <v>261</v>
      </c>
      <c r="C687" s="426">
        <v>2.5</v>
      </c>
      <c r="D687" s="426">
        <v>3.25</v>
      </c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 t="s">
        <v>269</v>
      </c>
      <c r="C688" s="426"/>
      <c r="D688" s="426">
        <v>2.5</v>
      </c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 t="s">
        <v>261</v>
      </c>
      <c r="C689" s="426">
        <v>2.5</v>
      </c>
      <c r="D689" s="426">
        <v>2.75</v>
      </c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 t="s">
        <v>261</v>
      </c>
      <c r="C690" s="426">
        <v>2.5</v>
      </c>
      <c r="D690" s="426">
        <v>2.25</v>
      </c>
      <c r="E690" s="422" t="s">
        <v>11</v>
      </c>
      <c r="F690" s="426"/>
      <c r="G690" s="426">
        <v>0.5</v>
      </c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 t="s">
        <v>265</v>
      </c>
      <c r="C691" s="426"/>
      <c r="D691" s="426">
        <v>1.0</v>
      </c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 t="s">
        <v>271</v>
      </c>
      <c r="C692" s="426">
        <v>2.5</v>
      </c>
      <c r="D692" s="426">
        <v>3.75</v>
      </c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 t="s">
        <v>261</v>
      </c>
      <c r="C693" s="426">
        <v>2.5</v>
      </c>
      <c r="D693" s="426">
        <v>3.75</v>
      </c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 t="s">
        <v>261</v>
      </c>
      <c r="C694" s="426">
        <v>2.5</v>
      </c>
      <c r="D694" s="426">
        <v>3.75</v>
      </c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 t="s">
        <v>261</v>
      </c>
      <c r="C695" s="426">
        <v>2.5</v>
      </c>
      <c r="D695" s="426">
        <v>3.75</v>
      </c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 t="s">
        <v>269</v>
      </c>
      <c r="C696" s="426"/>
      <c r="D696" s="426">
        <v>2.75</v>
      </c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 t="s">
        <v>271</v>
      </c>
      <c r="C697" s="426">
        <v>2.5</v>
      </c>
      <c r="D697" s="426">
        <v>4.0</v>
      </c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 t="s">
        <v>261</v>
      </c>
      <c r="C698" s="426">
        <v>2.5</v>
      </c>
      <c r="D698" s="426">
        <v>3.0</v>
      </c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 t="s">
        <v>269</v>
      </c>
      <c r="C699" s="426"/>
      <c r="D699" s="426">
        <v>1.75</v>
      </c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 t="s">
        <v>265</v>
      </c>
      <c r="C700" s="426"/>
      <c r="D700" s="426">
        <v>2.75</v>
      </c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 t="s">
        <v>261</v>
      </c>
      <c r="C701" s="426">
        <v>2.5</v>
      </c>
      <c r="D701" s="426">
        <v>2.75</v>
      </c>
      <c r="E701" s="422" t="s">
        <v>11</v>
      </c>
      <c r="F701" s="426">
        <v>0.5</v>
      </c>
      <c r="G701" s="426">
        <v>0.5</v>
      </c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 t="s">
        <v>261</v>
      </c>
      <c r="C702" s="426">
        <v>2.5</v>
      </c>
      <c r="D702" s="426">
        <v>3.75</v>
      </c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104</v>
      </c>
      <c r="B703" s="422" t="s">
        <v>271</v>
      </c>
      <c r="C703" s="426">
        <v>2.5</v>
      </c>
      <c r="D703" s="426">
        <v>3.25</v>
      </c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 t="s">
        <v>269</v>
      </c>
      <c r="C704" s="426"/>
      <c r="D704" s="426">
        <v>2.25</v>
      </c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125</v>
      </c>
      <c r="B705" s="422" t="s">
        <v>265</v>
      </c>
      <c r="C705" s="426"/>
      <c r="D705" s="426">
        <v>1.25</v>
      </c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 t="s">
        <v>261</v>
      </c>
      <c r="C706" s="426">
        <v>2.5</v>
      </c>
      <c r="D706" s="426">
        <v>2.5</v>
      </c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101</v>
      </c>
      <c r="B707" s="422" t="s">
        <v>261</v>
      </c>
      <c r="C707" s="426">
        <v>2.5</v>
      </c>
      <c r="D707" s="426">
        <v>3.0</v>
      </c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 t="s">
        <v>269</v>
      </c>
      <c r="C708" s="426"/>
      <c r="D708" s="426">
        <v>1.5</v>
      </c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 t="s">
        <v>261</v>
      </c>
      <c r="C709" s="426">
        <v>2.5</v>
      </c>
      <c r="D709" s="426">
        <v>2.75</v>
      </c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82</v>
      </c>
      <c r="B710" s="422" t="s">
        <v>261</v>
      </c>
      <c r="C710" s="426">
        <v>2.5</v>
      </c>
      <c r="D710" s="426">
        <v>2.5</v>
      </c>
      <c r="E710" s="422" t="s">
        <v>11</v>
      </c>
      <c r="F710" s="426"/>
      <c r="G710" s="426">
        <v>0.5</v>
      </c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 t="s">
        <v>261</v>
      </c>
      <c r="C711" s="426">
        <v>2.5</v>
      </c>
      <c r="D711" s="426">
        <v>4.25</v>
      </c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 t="s">
        <v>261</v>
      </c>
      <c r="C712" s="426">
        <v>2.5</v>
      </c>
      <c r="D712" s="426">
        <v>3.75</v>
      </c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104</v>
      </c>
      <c r="B713" s="422" t="s">
        <v>271</v>
      </c>
      <c r="C713" s="426"/>
      <c r="D713" s="426">
        <v>2.0</v>
      </c>
      <c r="E713" s="422" t="s">
        <v>263</v>
      </c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 t="s">
        <v>269</v>
      </c>
      <c r="C714" s="426">
        <v>2.5</v>
      </c>
      <c r="D714" s="426">
        <v>2.5</v>
      </c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125</v>
      </c>
      <c r="B715" s="422" t="s">
        <v>261</v>
      </c>
      <c r="C715" s="426"/>
      <c r="D715" s="426">
        <v>3.25</v>
      </c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 t="s">
        <v>261</v>
      </c>
      <c r="C716" s="426"/>
      <c r="D716" s="426">
        <v>3.25</v>
      </c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101</v>
      </c>
      <c r="B717" s="422" t="s">
        <v>261</v>
      </c>
      <c r="C717" s="426"/>
      <c r="D717" s="426">
        <v>1.75</v>
      </c>
      <c r="E717" s="422" t="s">
        <v>263</v>
      </c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 t="s">
        <v>261</v>
      </c>
      <c r="C718" s="426"/>
      <c r="D718" s="426">
        <v>3.0</v>
      </c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 t="s">
        <v>261</v>
      </c>
      <c r="C719" s="426"/>
      <c r="D719" s="426">
        <v>2.25</v>
      </c>
      <c r="E719" s="422" t="s">
        <v>11</v>
      </c>
      <c r="F719" s="426"/>
      <c r="G719" s="426">
        <v>0.5</v>
      </c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82</v>
      </c>
      <c r="B720" s="422" t="s">
        <v>269</v>
      </c>
      <c r="C720" s="426">
        <v>2.5</v>
      </c>
      <c r="D720" s="426">
        <v>3.75</v>
      </c>
      <c r="E720" s="422" t="s">
        <v>260</v>
      </c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 t="s">
        <v>261</v>
      </c>
      <c r="C721" s="426"/>
      <c r="D721" s="426">
        <v>1.75</v>
      </c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 t="s">
        <v>265</v>
      </c>
      <c r="C722" s="426">
        <v>2.5</v>
      </c>
      <c r="D722" s="426">
        <v>3.0</v>
      </c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IFERROR(__xludf.DUMMYFUNCTION("""COMPUTED_VALUE"""),29.25)</f>
        <v>29.25</v>
      </c>
      <c r="W722" s="422" t="str">
        <f>IFERROR(__xludf.DUMMYFUNCTION("""COMPUTED_VALUE"""),"Infinity ")</f>
        <v>Infinity </v>
      </c>
      <c r="X722" s="423"/>
    </row>
    <row r="723">
      <c r="A723" s="422" t="s">
        <v>104</v>
      </c>
      <c r="B723" s="422" t="s">
        <v>261</v>
      </c>
      <c r="C723" s="426">
        <v>2.5</v>
      </c>
      <c r="D723" s="426">
        <v>2.75</v>
      </c>
      <c r="E723" s="422" t="s">
        <v>260</v>
      </c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IFERROR(__xludf.DUMMYFUNCTION("""COMPUTED_VALUE"""),28.0)</f>
        <v>28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 t="s">
        <v>261</v>
      </c>
      <c r="C724" s="426">
        <v>2.5</v>
      </c>
      <c r="D724" s="426">
        <v>2.0</v>
      </c>
      <c r="E724" s="422"/>
      <c r="F724" s="426"/>
      <c r="G724" s="426"/>
      <c r="T724" s="422" t="str">
        <f>IFERROR(__xludf.DUMMYFUNCTION("""COMPUTED_VALUE"""),"Stacy")</f>
        <v>Stacy</v>
      </c>
      <c r="U724" s="423">
        <f>IFERROR(__xludf.DUMMYFUNCTION("""COMPUTED_VALUE"""),27.75)</f>
        <v>27.75</v>
      </c>
      <c r="W724" s="422" t="str">
        <f>IFERROR(__xludf.DUMMYFUNCTION("""COMPUTED_VALUE"""),"Light")</f>
        <v>Light</v>
      </c>
      <c r="X724" s="423"/>
    </row>
    <row r="725">
      <c r="A725" s="422" t="s">
        <v>125</v>
      </c>
      <c r="B725" s="422" t="s">
        <v>261</v>
      </c>
      <c r="C725" s="426">
        <v>2.5</v>
      </c>
      <c r="D725" s="426">
        <v>3.25</v>
      </c>
      <c r="E725" s="422" t="s">
        <v>260</v>
      </c>
      <c r="F725" s="426"/>
      <c r="G725" s="426"/>
      <c r="T725" s="422" t="str">
        <f>IFERROR(__xludf.DUMMYFUNCTION("""COMPUTED_VALUE"""),"Curly")</f>
        <v>Curly</v>
      </c>
      <c r="U725" s="423">
        <f>IFERROR(__xludf.DUMMYFUNCTION("""COMPUTED_VALUE"""),25.25)</f>
        <v>25.25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 t="s">
        <v>261</v>
      </c>
      <c r="C726" s="426">
        <v>2.5</v>
      </c>
      <c r="D726" s="426">
        <v>3.0</v>
      </c>
      <c r="E726" s="422" t="s">
        <v>260</v>
      </c>
      <c r="F726" s="426"/>
      <c r="G726" s="426"/>
      <c r="T726" s="422" t="str">
        <f>IFERROR(__xludf.DUMMYFUNCTION("""COMPUTED_VALUE"""),"Young")</f>
        <v>Young</v>
      </c>
      <c r="U726" s="423">
        <f>IFERROR(__xludf.DUMMYFUNCTION("""COMPUTED_VALUE"""),23.75)</f>
        <v>23.75</v>
      </c>
      <c r="W726" s="422" t="str">
        <f>IFERROR(__xludf.DUMMYFUNCTION("""COMPUTED_VALUE"""),"NLIP")</f>
        <v>NLIP</v>
      </c>
      <c r="X726" s="423"/>
    </row>
    <row r="727">
      <c r="A727" s="422" t="s">
        <v>101</v>
      </c>
      <c r="B727" s="422" t="s">
        <v>265</v>
      </c>
      <c r="C727" s="426"/>
      <c r="D727" s="426">
        <v>2.5</v>
      </c>
      <c r="E727" s="422" t="s">
        <v>263</v>
      </c>
      <c r="F727" s="426"/>
      <c r="G727" s="426"/>
      <c r="T727" s="422" t="str">
        <f>IFERROR(__xludf.DUMMYFUNCTION("""COMPUTED_VALUE"""),"Марго")</f>
        <v>Марго</v>
      </c>
      <c r="U727" s="423">
        <f>IFERROR(__xludf.DUMMYFUNCTION("""COMPUTED_VALUE"""),23.0)</f>
        <v>23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 t="s">
        <v>269</v>
      </c>
      <c r="C728" s="426"/>
      <c r="D728" s="426">
        <v>2.0</v>
      </c>
      <c r="E728" s="422"/>
      <c r="F728" s="426"/>
      <c r="G728" s="426"/>
      <c r="T728" s="422" t="str">
        <f>IFERROR(__xludf.DUMMYFUNCTION("""COMPUTED_VALUE"""),"Ketamin")</f>
        <v>Ketamin</v>
      </c>
      <c r="U728" s="423">
        <f>IFERROR(__xludf.DUMMYFUNCTION("""COMPUTED_VALUE"""),19.5)</f>
        <v>19.5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 t="s">
        <v>269</v>
      </c>
      <c r="C729" s="426"/>
      <c r="D729" s="426">
        <v>2.5</v>
      </c>
      <c r="E729" s="422"/>
      <c r="F729" s="426"/>
      <c r="G729" s="426"/>
      <c r="T729" s="422" t="str">
        <f>IFERROR(__xludf.DUMMYFUNCTION("""COMPUTED_VALUE"""),"A1 ")</f>
        <v>A1 </v>
      </c>
      <c r="U729" s="423">
        <f>IFERROR(__xludf.DUMMYFUNCTION("""COMPUTED_VALUE"""),19.0)</f>
        <v>19</v>
      </c>
      <c r="W729" s="422" t="str">
        <f>IFERROR(__xludf.DUMMYFUNCTION("""COMPUTED_VALUE"""),"Stacy")</f>
        <v>Stacy</v>
      </c>
      <c r="X729" s="423"/>
    </row>
    <row r="730">
      <c r="A730" s="422" t="s">
        <v>82</v>
      </c>
      <c r="B730" s="422" t="s">
        <v>271</v>
      </c>
      <c r="C730" s="426">
        <v>2.5</v>
      </c>
      <c r="D730" s="426">
        <v>2.75</v>
      </c>
      <c r="E730" s="422" t="s">
        <v>11</v>
      </c>
      <c r="F730" s="426">
        <v>0.5</v>
      </c>
      <c r="G730" s="426">
        <v>1.0</v>
      </c>
      <c r="T730" s="422" t="str">
        <f>IFERROR(__xludf.DUMMYFUNCTION("""COMPUTED_VALUE"""),"Тихий закат")</f>
        <v>Тихий закат</v>
      </c>
      <c r="U730" s="423">
        <f>IFERROR(__xludf.DUMMYFUNCTION("""COMPUTED_VALUE"""),18.75)</f>
        <v>18.75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 t="s">
        <v>261</v>
      </c>
      <c r="C731" s="426">
        <v>2.5</v>
      </c>
      <c r="D731" s="426">
        <v>3.25</v>
      </c>
      <c r="E731" s="422"/>
      <c r="F731" s="426"/>
      <c r="G731" s="426"/>
      <c r="T731" s="422" t="str">
        <f>IFERROR(__xludf.DUMMYFUNCTION("""COMPUTED_VALUE"""),"GALAY")</f>
        <v>GALAY</v>
      </c>
      <c r="U731" s="423">
        <f>IFERROR(__xludf.DUMMYFUNCTION("""COMPUTED_VALUE"""),18.25)</f>
        <v>18.25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 t="s">
        <v>261</v>
      </c>
      <c r="C732" s="426">
        <v>2.5</v>
      </c>
      <c r="D732" s="426">
        <v>3.0</v>
      </c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104</v>
      </c>
      <c r="B733" s="422" t="s">
        <v>261</v>
      </c>
      <c r="C733" s="426">
        <v>2.5</v>
      </c>
      <c r="D733" s="426">
        <v>3.25</v>
      </c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 t="s">
        <v>269</v>
      </c>
      <c r="C734" s="426"/>
      <c r="D734" s="426">
        <v>2.25</v>
      </c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125</v>
      </c>
      <c r="B735" s="422" t="s">
        <v>261</v>
      </c>
      <c r="C735" s="426">
        <v>2.5</v>
      </c>
      <c r="D735" s="426">
        <v>2.0</v>
      </c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 t="s">
        <v>261</v>
      </c>
      <c r="C736" s="426">
        <v>2.5</v>
      </c>
      <c r="D736" s="426">
        <v>3.25</v>
      </c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101</v>
      </c>
      <c r="B737" s="422" t="s">
        <v>261</v>
      </c>
      <c r="C737" s="426">
        <v>2.5</v>
      </c>
      <c r="D737" s="426">
        <v>2.25</v>
      </c>
      <c r="E737" s="422" t="s">
        <v>11</v>
      </c>
      <c r="F737" s="426"/>
      <c r="G737" s="426">
        <v>0.5</v>
      </c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 t="s">
        <v>265</v>
      </c>
      <c r="C738" s="426"/>
      <c r="D738" s="426">
        <v>2.0</v>
      </c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 t="s">
        <v>269</v>
      </c>
      <c r="C739" s="426"/>
      <c r="D739" s="426">
        <v>2.0</v>
      </c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82</v>
      </c>
      <c r="B740" s="422" t="s">
        <v>261</v>
      </c>
      <c r="C740" s="426">
        <v>2.5</v>
      </c>
      <c r="D740" s="426">
        <v>3.5</v>
      </c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 t="s">
        <v>271</v>
      </c>
      <c r="C741" s="426">
        <v>2.5</v>
      </c>
      <c r="D741" s="426">
        <v>2.75</v>
      </c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 t="s">
        <v>261</v>
      </c>
      <c r="C742" s="426">
        <v>2.5</v>
      </c>
      <c r="D742" s="426">
        <v>3.25</v>
      </c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104</v>
      </c>
      <c r="B743" s="422" t="s">
        <v>269</v>
      </c>
      <c r="C743" s="426">
        <v>2.5</v>
      </c>
      <c r="D743" s="426">
        <v>3.5</v>
      </c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 t="s">
        <v>261</v>
      </c>
      <c r="C744" s="426"/>
      <c r="D744" s="426">
        <v>2.5</v>
      </c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125</v>
      </c>
      <c r="B745" s="422" t="s">
        <v>261</v>
      </c>
      <c r="C745" s="426"/>
      <c r="D745" s="426">
        <v>2.75</v>
      </c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 t="s">
        <v>265</v>
      </c>
      <c r="C746" s="426">
        <v>2.5</v>
      </c>
      <c r="D746" s="426">
        <v>3.5</v>
      </c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101</v>
      </c>
      <c r="B747" s="422" t="s">
        <v>261</v>
      </c>
      <c r="C747" s="426"/>
      <c r="D747" s="426">
        <v>1.75</v>
      </c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 t="s">
        <v>271</v>
      </c>
      <c r="C748" s="426"/>
      <c r="D748" s="426">
        <v>2.25</v>
      </c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 t="s">
        <v>269</v>
      </c>
      <c r="C749" s="426">
        <v>2.5</v>
      </c>
      <c r="D749" s="426">
        <v>4.0</v>
      </c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82</v>
      </c>
      <c r="B750" s="422" t="s">
        <v>261</v>
      </c>
      <c r="C750" s="426"/>
      <c r="D750" s="426">
        <v>3.0</v>
      </c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 t="s">
        <v>261</v>
      </c>
      <c r="C751" s="426"/>
      <c r="D751" s="426">
        <v>2.5</v>
      </c>
      <c r="E751" s="422" t="s">
        <v>11</v>
      </c>
      <c r="F751" s="426"/>
      <c r="G751" s="426">
        <v>0.5</v>
      </c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 t="s">
        <v>261</v>
      </c>
      <c r="C752" s="426"/>
      <c r="D752" s="426">
        <v>1.5</v>
      </c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desc"")"),"Артик")</f>
        <v>Артик</v>
      </c>
      <c r="U782" s="423">
        <f>IFERROR(__xludf.DUMMYFUNCTION("""COMPUTED_VALUE"""),27.5)</f>
        <v>27.5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IFERROR(__xludf.DUMMYFUNCTION("""COMPUTED_VALUE"""),"Тихий закат")</f>
        <v>Тихий закат</v>
      </c>
      <c r="U783" s="423">
        <f>IFERROR(__xludf.DUMMYFUNCTION("""COMPUTED_VALUE"""),25.5)</f>
        <v>25.5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IFERROR(__xludf.DUMMYFUNCTION("""COMPUTED_VALUE"""),"Писатель ")</f>
        <v>Писатель </v>
      </c>
      <c r="U784" s="423">
        <f>IFERROR(__xludf.DUMMYFUNCTION("""COMPUTED_VALUE"""),24.75)</f>
        <v>24.75</v>
      </c>
      <c r="W784" s="422" t="str">
        <f>IFERROR(__xludf.DUMMYFUNCTION("""COMPUTED_VALUE"""),"Андерсен")</f>
        <v>Андерсен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IFERROR(__xludf.DUMMYFUNCTION("""COMPUTED_VALUE"""),"Крестный отец (BLR)")</f>
        <v>Крестный отец (BLR)</v>
      </c>
      <c r="U785" s="423">
        <f>IFERROR(__xludf.DUMMYFUNCTION("""COMPUTED_VALUE"""),24.5)</f>
        <v>24.5</v>
      </c>
      <c r="W785" s="422" t="str">
        <f>IFERROR(__xludf.DUMMYFUNCTION("""COMPUTED_VALUE"""),"Артик")</f>
        <v>Артик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IFERROR(__xludf.DUMMYFUNCTION("""COMPUTED_VALUE"""),"Bublik")</f>
        <v>Bublik</v>
      </c>
      <c r="U786" s="423">
        <f>IFERROR(__xludf.DUMMYFUNCTION("""COMPUTED_VALUE"""),22.5)</f>
        <v>22.5</v>
      </c>
      <c r="W786" s="422" t="str">
        <f>IFERROR(__xludf.DUMMYFUNCTION("""COMPUTED_VALUE"""),"Астория")</f>
        <v>Астория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IFERROR(__xludf.DUMMYFUNCTION("""COMPUTED_VALUE"""),"Градиент")</f>
        <v>Градиент</v>
      </c>
      <c r="U787" s="423">
        <f>IFERROR(__xludf.DUMMYFUNCTION("""COMPUTED_VALUE"""),19.0)</f>
        <v>19</v>
      </c>
      <c r="W787" s="422" t="str">
        <f>IFERROR(__xludf.DUMMYFUNCTION("""COMPUTED_VALUE"""),"Аш")</f>
        <v>Аш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IFERROR(__xludf.DUMMYFUNCTION("""COMPUTED_VALUE"""),"GALAY")</f>
        <v>GALAY</v>
      </c>
      <c r="U788" s="423">
        <f>IFERROR(__xludf.DUMMYFUNCTION("""COMPUTED_VALUE"""),17.5)</f>
        <v>17.5</v>
      </c>
      <c r="W788" s="422" t="str">
        <f>IFERROR(__xludf.DUMMYFUNCTION("""COMPUTED_VALUE"""),"Бамблби")</f>
        <v>Бамблби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IFERROR(__xludf.DUMMYFUNCTION("""COMPUTED_VALUE"""),"Мишель ")</f>
        <v>Мишель </v>
      </c>
      <c r="U789" s="423">
        <f>IFERROR(__xludf.DUMMYFUNCTION("""COMPUTED_VALUE"""),16.75)</f>
        <v>16.75</v>
      </c>
      <c r="W789" s="422" t="str">
        <f>IFERROR(__xludf.DUMMYFUNCTION("""COMPUTED_VALUE"""),"Волга")</f>
        <v>Волга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IFERROR(__xludf.DUMMYFUNCTION("""COMPUTED_VALUE"""),"Крот")</f>
        <v>Крот</v>
      </c>
      <c r="U790" s="423">
        <f>IFERROR(__xludf.DUMMYFUNCTION("""COMPUTED_VALUE"""),16.5)</f>
        <v>16.5</v>
      </c>
      <c r="W790" s="422" t="str">
        <f>IFERROR(__xludf.DUMMYFUNCTION("""COMPUTED_VALUE"""),"Градиент")</f>
        <v>Градиент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IFERROR(__xludf.DUMMYFUNCTION("""COMPUTED_VALUE"""),"Правда ")</f>
        <v>Правда </v>
      </c>
      <c r="U791" s="423">
        <f>IFERROR(__xludf.DUMMYFUNCTION("""COMPUTED_VALUE"""),10.75)</f>
        <v>10.75</v>
      </c>
      <c r="W791" s="422" t="str">
        <f>IFERROR(__xludf.DUMMYFUNCTION("""COMPUTED_VALUE"""),"Инсомнич")</f>
        <v>Инсомнич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IFERROR(__xludf.DUMMYFUNCTION("""COMPUTED_VALUE"""),"Красавчик")</f>
        <v>Красавчик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IFERROR(__xludf.DUMMYFUNCTION("""COMPUTED_VALUE"""),"Крестный отец (BLR)")</f>
        <v>Крестный отец (BLR)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IFERROR(__xludf.DUMMYFUNCTION("""COMPUTED_VALUE"""),"Крёстный Отец (RU)")</f>
        <v>Крёстный Отец (RU)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IFERROR(__xludf.DUMMYFUNCTION("""COMPUTED_VALUE"""),"Астория")</f>
        <v>Астория</v>
      </c>
      <c r="U795" s="423"/>
      <c r="W795" s="422" t="str">
        <f>IFERROR(__xludf.DUMMYFUNCTION("""COMPUTED_VALUE"""),"Крот")</f>
        <v>Крот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IFERROR(__xludf.DUMMYFUNCTION("""COMPUTED_VALUE"""),"Аш")</f>
        <v>Аш</v>
      </c>
      <c r="U796" s="423"/>
      <c r="W796" s="422" t="str">
        <f>IFERROR(__xludf.DUMMYFUNCTION("""COMPUTED_VALUE"""),"Левша")</f>
        <v>Левша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IFERROR(__xludf.DUMMYFUNCTION("""COMPUTED_VALUE"""),"Бамблби")</f>
        <v>Бамблби</v>
      </c>
      <c r="U797" s="423"/>
      <c r="W797" s="422" t="str">
        <f>IFERROR(__xludf.DUMMYFUNCTION("""COMPUTED_VALUE"""),"Ментик")</f>
        <v>Ментик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IFERROR(__xludf.DUMMYFUNCTION("""COMPUTED_VALUE"""),"Волга")</f>
        <v>Волга</v>
      </c>
      <c r="U798" s="423"/>
      <c r="W798" s="422" t="str">
        <f>IFERROR(__xludf.DUMMYFUNCTION("""COMPUTED_VALUE"""),"Мишель ")</f>
        <v>Мишель 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IFERROR(__xludf.DUMMYFUNCTION("""COMPUTED_VALUE"""),"Дровосек")</f>
        <v>Дровосек</v>
      </c>
      <c r="U799" s="423"/>
      <c r="W799" s="422" t="str">
        <f>IFERROR(__xludf.DUMMYFUNCTION("""COMPUTED_VALUE"""),"Наполеон")</f>
        <v>Наполеон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IFERROR(__xludf.DUMMYFUNCTION("""COMPUTED_VALUE"""),"Зверюга")</f>
        <v>Зверюга</v>
      </c>
      <c r="U800" s="423"/>
      <c r="W800" s="422" t="str">
        <f>IFERROR(__xludf.DUMMYFUNCTION("""COMPUTED_VALUE"""),"Панда из Руанды")</f>
        <v>Панда из Руанды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IFERROR(__xludf.DUMMYFUNCTION("""COMPUTED_VALUE"""),"Инсомнич")</f>
        <v>Инсомнич</v>
      </c>
      <c r="U801" s="423"/>
      <c r="W801" s="422" t="str">
        <f>IFERROR(__xludf.DUMMYFUNCTION("""COMPUTED_VALUE"""),"Писатель ")</f>
        <v>Писатель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IFERROR(__xludf.DUMMYFUNCTION("""COMPUTED_VALUE"""),"Красавчик")</f>
        <v>Красавчик</v>
      </c>
      <c r="U802" s="423"/>
      <c r="W802" s="422" t="str">
        <f>IFERROR(__xludf.DUMMYFUNCTION("""COMPUTED_VALUE"""),"Правда ")</f>
        <v>Правда 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IFERROR(__xludf.DUMMYFUNCTION("""COMPUTED_VALUE"""),"Продюсер")</f>
        <v>Продюсер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IFERROR(__xludf.DUMMYFUNCTION("""COMPUTED_VALUE"""),"Старый")</f>
        <v>Старый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IFERROR(__xludf.DUMMYFUNCTION("""COMPUTED_VALUE"""),"СЭНСЭЙ")</f>
        <v>СЭНСЭЙ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IFERROR(__xludf.DUMMYFUNCTION("""COMPUTED_VALUE"""),"Coach")</f>
        <v>Coach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IFERROR(__xludf.DUMMYFUNCTION("""COMPUTED_VALUE"""),"Тихий закат")</f>
        <v>Тихий закат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IFERROR(__xludf.DUMMYFUNCTION("""COMPUTED_VALUE"""),"Физик")</f>
        <v>Физик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IFERROR(__xludf.DUMMYFUNCTION("""COMPUTED_VALUE"""),"Ментик")</f>
        <v>Ментик</v>
      </c>
      <c r="U809" s="423"/>
      <c r="W809" s="422" t="str">
        <f>IFERROR(__xludf.DUMMYFUNCTION("""COMPUTED_VALUE"""),"Флэш")</f>
        <v>Флэш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IFERROR(__xludf.DUMMYFUNCTION("""COMPUTED_VALUE"""),"Фокс")</f>
        <v>Фокс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IFERROR(__xludf.DUMMYFUNCTION("""COMPUTED_VALUE"""),"Шоу Бой")</f>
        <v>Шоу Бой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IFERROR(__xludf.DUMMYFUNCTION("""COMPUTED_VALUE"""),"Продюсер")</f>
        <v>Продюсер</v>
      </c>
      <c r="U812" s="423"/>
      <c r="W812" s="422" t="str">
        <f>IFERROR(__xludf.DUMMYFUNCTION("""COMPUTED_VALUE"""),"Юрия")</f>
        <v>Юрия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IFERROR(__xludf.DUMMYFUNCTION("""COMPUTED_VALUE"""),"РФ")</f>
        <v>РФ</v>
      </c>
      <c r="U813" s="423"/>
      <c r="W813" s="422" t="str">
        <f>IFERROR(__xludf.DUMMYFUNCTION("""COMPUTED_VALUE"""),"A1 ")</f>
        <v>A1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IFERROR(__xludf.DUMMYFUNCTION("""COMPUTED_VALUE"""),"Старый")</f>
        <v>Старый</v>
      </c>
      <c r="U814" s="423"/>
      <c r="W814" s="422" t="str">
        <f>IFERROR(__xludf.DUMMYFUNCTION("""COMPUTED_VALUE"""),"Alice ")</f>
        <v>Alice 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IFERROR(__xludf.DUMMYFUNCTION("""COMPUTED_VALUE"""),"СЭНСЭЙ")</f>
        <v>СЭНСЭЙ</v>
      </c>
      <c r="U815" s="423"/>
      <c r="W815" s="422" t="str">
        <f>IFERROR(__xludf.DUMMYFUNCTION("""COMPUTED_VALUE"""),"Bublik")</f>
        <v>Bublik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IFERROR(__xludf.DUMMYFUNCTION("""COMPUTED_VALUE"""),"Coach")</f>
        <v>Coach</v>
      </c>
      <c r="U816" s="423"/>
      <c r="W816" s="422" t="str">
        <f>IFERROR(__xludf.DUMMYFUNCTION("""COMPUTED_VALUE"""),"BWDMoscow")</f>
        <v>BWDMoscow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IFERROR(__xludf.DUMMYFUNCTION("""COMPUTED_VALUE"""),"Физик")</f>
        <v>Физик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IFERROR(__xludf.DUMMYFUNCTION("""COMPUTED_VALUE"""),"Флэш")</f>
        <v>Флэш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IFERROR(__xludf.DUMMYFUNCTION("""COMPUTED_VALUE"""),"Фокс")</f>
        <v>Фокс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IFERROR(__xludf.DUMMYFUNCTION("""COMPUTED_VALUE"""),"Шоу Бой")</f>
        <v>Шоу Бой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IFERROR(__xludf.DUMMYFUNCTION("""COMPUTED_VALUE"""),"Шпиц")</f>
        <v>Шпиц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IFERROR(__xludf.DUMMYFUNCTION("""COMPUTED_VALUE"""),"Юрия")</f>
        <v>Юрия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IFERROR(__xludf.DUMMYFUNCTION("""COMPUTED_VALUE"""),"A1 ")</f>
        <v>A1 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IFERROR(__xludf.DUMMYFUNCTION("""COMPUTED_VALUE"""),"Alice ")</f>
        <v>Alice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IFERROR(__xludf.DUMMYFUNCTION("""COMPUTED_VALUE"""),"BWDMoscow")</f>
        <v>BWDMoscow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IFERROR(__xludf.DUMMYFUNCTION("""COMPUTED_VALUE"""),"Castor Troy ")</f>
        <v>Castor Troy 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IFERROR(__xludf.DUMMYFUNCTION("""COMPUTED_VALUE"""),"Cristo")</f>
        <v>Cristo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IFERROR(__xludf.DUMMYFUNCTION("""COMPUTED_VALUE"""),"Helga")</f>
        <v>Helga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IFERROR(__xludf.DUMMYFUNCTION("""COMPUTED_VALUE"""),"Infinity ")</f>
        <v>Infinity 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IFERROR(__xludf.DUMMYFUNCTION("""COMPUTED_VALUE"""),"Ketamin")</f>
        <v>Ketamin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IFERROR(__xludf.DUMMYFUNCTION("""COMPUTED_VALUE"""),"Light")</f>
        <v>Light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IFERROR(__xludf.DUMMYFUNCTION("""COMPUTED_VALUE"""),"Morti")</f>
        <v>Morti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IFERROR(__xludf.DUMMYFUNCTION("""COMPUTED_VALUE"""),"MSR")</f>
        <v>MSR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IFERROR(__xludf.DUMMYFUNCTION("""COMPUTED_VALUE"""),"NLIP")</f>
        <v>NLIP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IFERROR(__xludf.DUMMYFUNCTION("""COMPUTED_VALUE"""),"Rocket woman ")</f>
        <v>Rocket woman 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IFERROR(__xludf.DUMMYFUNCTION("""COMPUTED_VALUE"""),"SCHOKK ")</f>
        <v>SCHOKK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IFERROR(__xludf.DUMMYFUNCTION("""COMPUTED_VALUE"""),"SOVEST")</f>
        <v>SOVEST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IFERROR(__xludf.DUMMYFUNCTION("""COMPUTED_VALUE"""),"Stacy")</f>
        <v>Stacy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IFERROR(__xludf.DUMMYFUNCTION("""COMPUTED_VALUE"""),"Bublik")</f>
        <v>Bublik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IFERROR(__xludf.DUMMYFUNCTION("""COMPUTED_VALUE"""),"BWDMoscow")</f>
        <v>BWDMoscow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IFERROR(__xludf.DUMMYFUNCTION("""COMPUTED_VALUE"""),"Castor Troy ")</f>
        <v>Castor Troy 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IFERROR(__xludf.DUMMYFUNCTION("""COMPUTED_VALUE"""),"Cristo")</f>
        <v>Cristo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IFERROR(__xludf.DUMMYFUNCTION("""COMPUTED_VALUE"""),"Артик")</f>
        <v>Артик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IFERROR(__xludf.DUMMYFUNCTION("""COMPUTED_VALUE"""),"Астория")</f>
        <v>Астория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IFERROR(__xludf.DUMMYFUNCTION("""COMPUTED_VALUE"""),"Аш")</f>
        <v>Аш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IFERROR(__xludf.DUMMYFUNCTION("""COMPUTED_VALUE"""),"Волга")</f>
        <v>Волга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IFERROR(__xludf.DUMMYFUNCTION("""COMPUTED_VALUE"""),"Градиент")</f>
        <v>Градиент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IFERROR(__xludf.DUMMYFUNCTION("""COMPUTED_VALUE"""),"Инсомнич")</f>
        <v>Инсомнич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IFERROR(__xludf.DUMMYFUNCTION("""COMPUTED_VALUE"""),"Castor Troy ")</f>
        <v>Castor Troy 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IFERROR(__xludf.DUMMYFUNCTION("""COMPUTED_VALUE"""),"Cristo")</f>
        <v>Cristo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IFERROR(__xludf.DUMMYFUNCTION("""COMPUTED_VALUE"""),"Curly")</f>
        <v>Curly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IFERROR(__xludf.DUMMYFUNCTION("""COMPUTED_VALUE"""),"Morti")</f>
        <v>Morti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IFERROR(__xludf.DUMMYFUNCTION("""COMPUTED_VALUE"""),"MSR")</f>
        <v>MSR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IFERROR(__xludf.DUMMYFUNCTION("""COMPUTED_VALUE"""),"NLIP")</f>
        <v>NLIP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IFERROR(__xludf.DUMMYFUNCTION("""COMPUTED_VALUE"""),"Rocket woman ")</f>
        <v>Rocket woman 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IFERROR(__xludf.DUMMYFUNCTION("""COMPUTED_VALUE"""),"SCHOKK ")</f>
        <v>SCHOKK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IFERROR(__xludf.DUMMYFUNCTION("""COMPUTED_VALUE"""),"SOVEST")</f>
        <v>SOVEST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IFERROR(__xludf.DUMMYFUNCTION("""COMPUTED_VALUE"""),"WhoIsWho")</f>
        <v>WhoIsWho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IFERROR(__xludf.DUMMYFUNCTION("""COMPUTED_VALUE"""),"Астория")</f>
        <v>Астория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IFERROR(__xludf.DUMMYFUNCTION("""COMPUTED_VALUE"""),"Аш")</f>
        <v>Аш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IFERROR(__xludf.DUMMYFUNCTION("""COMPUTED_VALUE"""),"Бамблби")</f>
        <v>Бамблби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IFERROR(__xludf.DUMMYFUNCTION("""COMPUTED_VALUE"""),"Волга")</f>
        <v>Волга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IFERROR(__xludf.DUMMYFUNCTION("""COMPUTED_VALUE"""),"Дровосек")</f>
        <v>Дровосек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IFERROR(__xludf.DUMMYFUNCTION("""COMPUTED_VALUE"""),"Зверюга")</f>
        <v>Зверюга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IFERROR(__xludf.DUMMYFUNCTION("""COMPUTED_VALUE"""),"Инсомнич")</f>
        <v>Инсомнич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IFERROR(__xludf.DUMMYFUNCTION("""COMPUTED_VALUE"""),"Красавчик")</f>
        <v>Красавчик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IFERROR(__xludf.DUMMYFUNCTION("""COMPUTED_VALUE"""),"Ментик")</f>
        <v>Ментик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IFERROR(__xludf.DUMMYFUNCTION("""COMPUTED_VALUE"""),"Продюсер")</f>
        <v>Продюсер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IFERROR(__xludf.DUMMYFUNCTION("""COMPUTED_VALUE"""),"РФ")</f>
        <v>РФ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IFERROR(__xludf.DUMMYFUNCTION("""COMPUTED_VALUE"""),"Старый")</f>
        <v>Старый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IFERROR(__xludf.DUMMYFUNCTION("""COMPUTED_VALUE"""),"СЭНСЭЙ")</f>
        <v>СЭНСЭЙ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IFERROR(__xludf.DUMMYFUNCTION("""COMPUTED_VALUE"""),"Coach")</f>
        <v>Coach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IFERROR(__xludf.DUMMYFUNCTION("""COMPUTED_VALUE"""),"Физик")</f>
        <v>Физик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IFERROR(__xludf.DUMMYFUNCTION("""COMPUTED_VALUE"""),"Флэш")</f>
        <v>Флэш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IFERROR(__xludf.DUMMYFUNCTION("""COMPUTED_VALUE"""),"Фокс")</f>
        <v>Фокс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IFERROR(__xludf.DUMMYFUNCTION("""COMPUTED_VALUE"""),"Шоу Бой")</f>
        <v>Шоу Бой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IFERROR(__xludf.DUMMYFUNCTION("""COMPUTED_VALUE"""),"Шпиц")</f>
        <v>Шпиц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IFERROR(__xludf.DUMMYFUNCTION("""COMPUTED_VALUE"""),"Юрия")</f>
        <v>Юрия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IFERROR(__xludf.DUMMYFUNCTION("""COMPUTED_VALUE"""),"A1 ")</f>
        <v>A1 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IFERROR(__xludf.DUMMYFUNCTION("""COMPUTED_VALUE"""),"Alice ")</f>
        <v>Alice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IFERROR(__xludf.DUMMYFUNCTION("""COMPUTED_VALUE"""),"BWDMoscow")</f>
        <v>BWDMoscow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IFERROR(__xludf.DUMMYFUNCTION("""COMPUTED_VALUE"""),"Castor Troy ")</f>
        <v>Castor Troy 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IFERROR(__xludf.DUMMYFUNCTION("""COMPUTED_VALUE"""),"Cristo")</f>
        <v>Cristo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IFERROR(__xludf.DUMMYFUNCTION("""COMPUTED_VALUE"""),"Helga")</f>
        <v>Helga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IFERROR(__xludf.DUMMYFUNCTION("""COMPUTED_VALUE"""),"Infinity ")</f>
        <v>Infinity 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IFERROR(__xludf.DUMMYFUNCTION("""COMPUTED_VALUE"""),"Ketamin")</f>
        <v>Ketamin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IFERROR(__xludf.DUMMYFUNCTION("""COMPUTED_VALUE"""),"Light")</f>
        <v>Light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IFERROR(__xludf.DUMMYFUNCTION("""COMPUTED_VALUE"""),"Morti")</f>
        <v>Morti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IFERROR(__xludf.DUMMYFUNCTION("""COMPUTED_VALUE"""),"MSR")</f>
        <v>MSR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IFERROR(__xludf.DUMMYFUNCTION("""COMPUTED_VALUE"""),"NLIP")</f>
        <v>NLIP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IFERROR(__xludf.DUMMYFUNCTION("""COMPUTED_VALUE"""),"Rocket woman ")</f>
        <v>Rocket woman 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IFERROR(__xludf.DUMMYFUNCTION("""COMPUTED_VALUE"""),"SCHOKK ")</f>
        <v>SCHOKK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IFERROR(__xludf.DUMMYFUNCTION("""COMPUTED_VALUE"""),"SOVEST")</f>
        <v>SOVEST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IFERROR(__xludf.DUMMYFUNCTION("""COMPUTED_VALUE"""),"Stacy")</f>
        <v>Stacy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75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35</v>
      </c>
      <c r="E3" s="434" t="str">
        <f t="array" ref="E3:F12">'Все игры'!W3:X12</f>
        <v>РФ</v>
      </c>
      <c r="F3" s="435">
        <v>30.75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40</v>
      </c>
      <c r="E4" s="438" t="s">
        <v>82</v>
      </c>
      <c r="F4" s="439">
        <v>29.25</v>
      </c>
      <c r="H4" s="440"/>
      <c r="I4" s="440"/>
      <c r="J4" s="441"/>
    </row>
    <row r="5">
      <c r="E5" s="438" t="s">
        <v>116</v>
      </c>
      <c r="F5" s="439">
        <v>29.0</v>
      </c>
    </row>
    <row r="6">
      <c r="E6" s="438" t="s">
        <v>107</v>
      </c>
      <c r="F6" s="439">
        <v>29.0</v>
      </c>
    </row>
    <row r="7">
      <c r="E7" s="438" t="s">
        <v>124</v>
      </c>
      <c r="F7" s="439">
        <v>28.75</v>
      </c>
    </row>
    <row r="8">
      <c r="E8" s="438" t="s">
        <v>87</v>
      </c>
      <c r="F8" s="439">
        <v>28.0</v>
      </c>
    </row>
    <row r="9">
      <c r="E9" s="438" t="s">
        <v>88</v>
      </c>
      <c r="F9" s="439">
        <v>27.75</v>
      </c>
    </row>
    <row r="10">
      <c r="E10" s="438" t="s">
        <v>136</v>
      </c>
      <c r="F10" s="439">
        <v>27.75</v>
      </c>
    </row>
    <row r="11">
      <c r="E11" s="438" t="s">
        <v>82</v>
      </c>
      <c r="F11" s="439">
        <v>27.5</v>
      </c>
    </row>
    <row r="12">
      <c r="E12" s="442" t="s">
        <v>82</v>
      </c>
      <c r="F12" s="443">
        <v>27.5</v>
      </c>
    </row>
    <row r="16">
      <c r="E16" s="430" t="s">
        <v>5</v>
      </c>
    </row>
    <row r="17">
      <c r="E17" s="444">
        <f>'Все игры'!I7</f>
        <v>5.05942275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4"/>
      <c r="T1" s="348"/>
      <c r="U1" s="448"/>
      <c r="V1" s="348"/>
      <c r="W1" s="448"/>
      <c r="X1" s="354"/>
      <c r="Y1" s="354"/>
      <c r="Z1" s="354"/>
      <c r="AA1" s="354"/>
      <c r="AB1" s="354"/>
      <c r="AC1" s="354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desc"")"),"Крестный отец (BLR)")</f>
        <v>Крестный отец (BLR)</v>
      </c>
      <c r="B2" s="445">
        <f>IFERROR(__xludf.DUMMYFUNCTION("""COMPUTED_VALUE"""),0.8)</f>
        <v>0.8</v>
      </c>
      <c r="C2" s="425" t="str">
        <f>IFERROR(__xludf.DUMMYFUNCTION("QUERY('Игроки статистика'!A5:AA65,""select A, V order by V desc"")"),"Инсомнич")</f>
        <v>Инсомнич</v>
      </c>
      <c r="D2" s="445">
        <f>IFERROR(__xludf.DUMMYFUNCTION("""COMPUTED_VALUE"""),0.8333333333333334)</f>
        <v>0.8333333333</v>
      </c>
      <c r="E2" s="425" t="str">
        <f>IFERROR(__xludf.DUMMYFUNCTION("QUERY('Игроки статистика'!A5:AA65,""select A, W order by W desc"")"),"Авраам")</f>
        <v>Авраам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desc"")"),"Авраам")</f>
        <v>Авраам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desc"")"),"Авраам")</f>
        <v>Авраам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desc"")"),"Инсомнич")</f>
        <v>Инсомнич</v>
      </c>
      <c r="N2" s="445">
        <f>IFERROR(__xludf.DUMMYFUNCTION("""COMPUTED_VALUE"""),0.8333333333333334)</f>
        <v>0.8333333333</v>
      </c>
    </row>
    <row r="3">
      <c r="A3" s="450" t="str">
        <f>IFERROR(__xludf.DUMMYFUNCTION("""COMPUTED_VALUE"""),"Curly")</f>
        <v>Curly</v>
      </c>
      <c r="B3" s="445">
        <f>IFERROR(__xludf.DUMMYFUNCTION("""COMPUTED_VALUE"""),0.7333333333333333)</f>
        <v>0.7333333333</v>
      </c>
      <c r="C3" s="422" t="str">
        <f>IFERROR(__xludf.DUMMYFUNCTION("""COMPUTED_VALUE"""),"Ketamin")</f>
        <v>Ketamin</v>
      </c>
      <c r="D3" s="445">
        <f>IFERROR(__xludf.DUMMYFUNCTION("""COMPUTED_VALUE"""),0.7777777777777778)</f>
        <v>0.7777777778</v>
      </c>
      <c r="E3" s="422" t="str">
        <f>IFERROR(__xludf.DUMMYFUNCTION("""COMPUTED_VALUE"""),"Артик")</f>
        <v>Артик</v>
      </c>
      <c r="F3" s="445">
        <f>IFERROR(__xludf.DUMMYFUNCTION("""COMPUTED_VALUE"""),1.0)</f>
        <v>1</v>
      </c>
      <c r="G3" s="422" t="str">
        <f>IFERROR(__xludf.DUMMYFUNCTION("""COMPUTED_VALUE"""),"Волга")</f>
        <v>Волга</v>
      </c>
      <c r="H3" s="445">
        <f>IFERROR(__xludf.DUMMYFUNCTION("""COMPUTED_VALUE"""),1.0)</f>
        <v>1</v>
      </c>
      <c r="I3" s="422" t="str">
        <f>IFERROR(__xludf.DUMMYFUNCTION("""COMPUTED_VALUE"""),"Бамблби")</f>
        <v>Бамблби</v>
      </c>
      <c r="J3" s="445">
        <f>IFERROR(__xludf.DUMMYFUNCTION("""COMPUTED_VALUE"""),1.0)</f>
        <v>1</v>
      </c>
      <c r="K3" s="422" t="str">
        <f>IFERROR(__xludf.DUMMYFUNCTION("""COMPUTED_VALUE"""),"Градиент")</f>
        <v>Градиент</v>
      </c>
      <c r="L3" s="445">
        <f>IFERROR(__xludf.DUMMYFUNCTION("""COMPUTED_VALUE"""),1.0)</f>
        <v>1</v>
      </c>
      <c r="M3" s="422" t="str">
        <f>IFERROR(__xludf.DUMMYFUNCTION("""COMPUTED_VALUE"""),"Ketamin")</f>
        <v>Ketamin</v>
      </c>
      <c r="N3" s="445">
        <f>IFERROR(__xludf.DUMMYFUNCTION("""COMPUTED_VALUE"""),0.7777777777777778)</f>
        <v>0.7777777778</v>
      </c>
    </row>
    <row r="4">
      <c r="A4" s="450" t="str">
        <f>IFERROR(__xludf.DUMMYFUNCTION("""COMPUTED_VALUE"""),"Авраам")</f>
        <v>Авраам</v>
      </c>
      <c r="B4" s="445">
        <f>IFERROR(__xludf.DUMMYFUNCTION("""COMPUTED_VALUE"""),0.7)</f>
        <v>0.7</v>
      </c>
      <c r="C4" s="422" t="str">
        <f>IFERROR(__xludf.DUMMYFUNCTION("""COMPUTED_VALUE"""),"Крестный отец (BLR)")</f>
        <v>Крестный отец (BLR)</v>
      </c>
      <c r="D4" s="445">
        <f>IFERROR(__xludf.DUMMYFUNCTION("""COMPUTED_VALUE"""),0.75)</f>
        <v>0.75</v>
      </c>
      <c r="E4" s="422" t="str">
        <f>IFERROR(__xludf.DUMMYFUNCTION("""COMPUTED_VALUE"""),"Крестный отец (BLR)")</f>
        <v>Крестный отец (BLR)</v>
      </c>
      <c r="F4" s="445">
        <f>IFERROR(__xludf.DUMMYFUNCTION("""COMPUTED_VALUE"""),1.0)</f>
        <v>1</v>
      </c>
      <c r="G4" s="422" t="str">
        <f>IFERROR(__xludf.DUMMYFUNCTION("""COMPUTED_VALUE"""),"Красавчик")</f>
        <v>Красавчик</v>
      </c>
      <c r="H4" s="445">
        <f>IFERROR(__xludf.DUMMYFUNCTION("""COMPUTED_VALUE"""),1.0)</f>
        <v>1</v>
      </c>
      <c r="I4" s="422" t="str">
        <f>IFERROR(__xludf.DUMMYFUNCTION("""COMPUTED_VALUE"""),"Градиент")</f>
        <v>Градиент</v>
      </c>
      <c r="J4" s="445">
        <f>IFERROR(__xludf.DUMMYFUNCTION("""COMPUTED_VALUE"""),1.0)</f>
        <v>1</v>
      </c>
      <c r="K4" s="422" t="str">
        <f>IFERROR(__xludf.DUMMYFUNCTION("""COMPUTED_VALUE"""),"Дровосек")</f>
        <v>Дровосек</v>
      </c>
      <c r="L4" s="445">
        <f>IFERROR(__xludf.DUMMYFUNCTION("""COMPUTED_VALUE"""),1.0)</f>
        <v>1</v>
      </c>
      <c r="M4" s="422" t="str">
        <f>IFERROR(__xludf.DUMMYFUNCTION("""COMPUTED_VALUE"""),"Крестный отец (BLR)")</f>
        <v>Крестный отец (BLR)</v>
      </c>
      <c r="N4" s="445">
        <f>IFERROR(__xludf.DUMMYFUNCTION("""COMPUTED_VALUE"""),0.75)</f>
        <v>0.75</v>
      </c>
    </row>
    <row r="5">
      <c r="A5" s="450" t="str">
        <f>IFERROR(__xludf.DUMMYFUNCTION("""COMPUTED_VALUE"""),"Инсомнич")</f>
        <v>Инсомнич</v>
      </c>
      <c r="B5" s="445">
        <f>IFERROR(__xludf.DUMMYFUNCTION("""COMPUTED_VALUE"""),0.7)</f>
        <v>0.7</v>
      </c>
      <c r="C5" s="422" t="str">
        <f>IFERROR(__xludf.DUMMYFUNCTION("""COMPUTED_VALUE"""),"Андерсен")</f>
        <v>Андерсен</v>
      </c>
      <c r="D5" s="445">
        <f>IFERROR(__xludf.DUMMYFUNCTION("""COMPUTED_VALUE"""),0.7272727272727273)</f>
        <v>0.7272727273</v>
      </c>
      <c r="E5" s="422" t="str">
        <f>IFERROR(__xludf.DUMMYFUNCTION("""COMPUTED_VALUE"""),"Лисичка")</f>
        <v>Лисичка</v>
      </c>
      <c r="F5" s="445">
        <f>IFERROR(__xludf.DUMMYFUNCTION("""COMPUTED_VALUE"""),1.0)</f>
        <v>1</v>
      </c>
      <c r="G5" s="422" t="str">
        <f>IFERROR(__xludf.DUMMYFUNCTION("""COMPUTED_VALUE"""),"Лисичка")</f>
        <v>Лисичка</v>
      </c>
      <c r="H5" s="445">
        <f>IFERROR(__xludf.DUMMYFUNCTION("""COMPUTED_VALUE"""),1.0)</f>
        <v>1</v>
      </c>
      <c r="I5" s="422" t="str">
        <f>IFERROR(__xludf.DUMMYFUNCTION("""COMPUTED_VALUE"""),"Лисичка")</f>
        <v>Лисичка</v>
      </c>
      <c r="J5" s="445">
        <f>IFERROR(__xludf.DUMMYFUNCTION("""COMPUTED_VALUE"""),1.0)</f>
        <v>1</v>
      </c>
      <c r="K5" s="422" t="str">
        <f>IFERROR(__xludf.DUMMYFUNCTION("""COMPUTED_VALUE"""),"Крестный отец (BLR)")</f>
        <v>Крестный отец (BLR)</v>
      </c>
      <c r="L5" s="445">
        <f>IFERROR(__xludf.DUMMYFUNCTION("""COMPUTED_VALUE"""),1.0)</f>
        <v>1</v>
      </c>
      <c r="M5" s="422" t="str">
        <f>IFERROR(__xludf.DUMMYFUNCTION("""COMPUTED_VALUE"""),"Андерсен")</f>
        <v>Андерсен</v>
      </c>
      <c r="N5" s="445">
        <f>IFERROR(__xludf.DUMMYFUNCTION("""COMPUTED_VALUE"""),0.7272727272727273)</f>
        <v>0.7272727273</v>
      </c>
    </row>
    <row r="6">
      <c r="A6" s="450" t="str">
        <f>IFERROR(__xludf.DUMMYFUNCTION("""COMPUTED_VALUE"""),"Андерсен")</f>
        <v>Андерсен</v>
      </c>
      <c r="B6" s="445">
        <f>IFERROR(__xludf.DUMMYFUNCTION("""COMPUTED_VALUE"""),0.6666666666666666)</f>
        <v>0.6666666667</v>
      </c>
      <c r="C6" s="422" t="str">
        <f>IFERROR(__xludf.DUMMYFUNCTION("""COMPUTED_VALUE"""),"Curly")</f>
        <v>Curly</v>
      </c>
      <c r="D6" s="445">
        <f>IFERROR(__xludf.DUMMYFUNCTION("""COMPUTED_VALUE"""),0.7)</f>
        <v>0.7</v>
      </c>
      <c r="E6" s="422" t="str">
        <f>IFERROR(__xludf.DUMMYFUNCTION("""COMPUTED_VALUE"""),"Манекен")</f>
        <v>Манекен</v>
      </c>
      <c r="F6" s="445">
        <f>IFERROR(__xludf.DUMMYFUNCTION("""COMPUTED_VALUE"""),1.0)</f>
        <v>1</v>
      </c>
      <c r="G6" s="422" t="str">
        <f>IFERROR(__xludf.DUMMYFUNCTION("""COMPUTED_VALUE"""),"Маваши")</f>
        <v>Маваши</v>
      </c>
      <c r="H6" s="445">
        <f>IFERROR(__xludf.DUMMYFUNCTION("""COMPUTED_VALUE"""),1.0)</f>
        <v>1</v>
      </c>
      <c r="I6" s="422" t="str">
        <f>IFERROR(__xludf.DUMMYFUNCTION("""COMPUTED_VALUE"""),"Продюсер")</f>
        <v>Продюсер</v>
      </c>
      <c r="J6" s="445">
        <f>IFERROR(__xludf.DUMMYFUNCTION("""COMPUTED_VALUE"""),1.0)</f>
        <v>1</v>
      </c>
      <c r="K6" s="422" t="str">
        <f>IFERROR(__xludf.DUMMYFUNCTION("""COMPUTED_VALUE"""),"Манекен")</f>
        <v>Манекен</v>
      </c>
      <c r="L6" s="445">
        <f>IFERROR(__xludf.DUMMYFUNCTION("""COMPUTED_VALUE"""),1.0)</f>
        <v>1</v>
      </c>
      <c r="M6" s="422" t="str">
        <f>IFERROR(__xludf.DUMMYFUNCTION("""COMPUTED_VALUE"""),"Зверюга")</f>
        <v>Зверюга</v>
      </c>
      <c r="N6" s="445">
        <f>IFERROR(__xludf.DUMMYFUNCTION("""COMPUTED_VALUE"""),0.7)</f>
        <v>0.7</v>
      </c>
    </row>
    <row r="7">
      <c r="A7" s="450" t="str">
        <f>IFERROR(__xludf.DUMMYFUNCTION("""COMPUTED_VALUE"""),"Cristo")</f>
        <v>Cristo</v>
      </c>
      <c r="B7" s="445">
        <f>IFERROR(__xludf.DUMMYFUNCTION("""COMPUTED_VALUE"""),0.6666666666666666)</f>
        <v>0.6666666667</v>
      </c>
      <c r="C7" s="422" t="str">
        <f>IFERROR(__xludf.DUMMYFUNCTION("""COMPUTED_VALUE"""),"Авраам")</f>
        <v>Авраам</v>
      </c>
      <c r="D7" s="445">
        <f>IFERROR(__xludf.DUMMYFUNCTION("""COMPUTED_VALUE"""),0.6666666666666666)</f>
        <v>0.6666666667</v>
      </c>
      <c r="E7" s="422" t="str">
        <f>IFERROR(__xludf.DUMMYFUNCTION("""COMPUTED_VALUE"""),"Старый")</f>
        <v>Старый</v>
      </c>
      <c r="F7" s="445">
        <f>IFERROR(__xludf.DUMMYFUNCTION("""COMPUTED_VALUE"""),1.0)</f>
        <v>1</v>
      </c>
      <c r="G7" s="422" t="str">
        <f>IFERROR(__xludf.DUMMYFUNCTION("""COMPUTED_VALUE"""),"Манекен")</f>
        <v>Манекен</v>
      </c>
      <c r="H7" s="445">
        <f>IFERROR(__xludf.DUMMYFUNCTION("""COMPUTED_VALUE"""),1.0)</f>
        <v>1</v>
      </c>
      <c r="I7" s="422" t="str">
        <f>IFERROR(__xludf.DUMMYFUNCTION("""COMPUTED_VALUE"""),"Bublik")</f>
        <v>Bublik</v>
      </c>
      <c r="J7" s="445">
        <f>IFERROR(__xludf.DUMMYFUNCTION("""COMPUTED_VALUE"""),1.0)</f>
        <v>1</v>
      </c>
      <c r="K7" s="422" t="str">
        <f>IFERROR(__xludf.DUMMYFUNCTION("""COMPUTED_VALUE"""),"Марго")</f>
        <v>Марго</v>
      </c>
      <c r="L7" s="445">
        <f>IFERROR(__xludf.DUMMYFUNCTION("""COMPUTED_VALUE"""),1.0)</f>
        <v>1</v>
      </c>
      <c r="M7" s="422" t="str">
        <f>IFERROR(__xludf.DUMMYFUNCTION("""COMPUTED_VALUE"""),"Curly")</f>
        <v>Curly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IFERROR(__xludf.DUMMYFUNCTION("""COMPUTED_VALUE"""),"Артик")</f>
        <v>Артик</v>
      </c>
      <c r="B8" s="445">
        <f>IFERROR(__xludf.DUMMYFUNCTION("""COMPUTED_VALUE"""),0.65)</f>
        <v>0.65</v>
      </c>
      <c r="C8" s="422" t="str">
        <f>IFERROR(__xludf.DUMMYFUNCTION("""COMPUTED_VALUE"""),"Cristo")</f>
        <v>Cristo</v>
      </c>
      <c r="D8" s="445">
        <f>IFERROR(__xludf.DUMMYFUNCTION("""COMPUTED_VALUE"""),0.6666666666666666)</f>
        <v>0.6666666667</v>
      </c>
      <c r="E8" s="422" t="str">
        <f>IFERROR(__xludf.DUMMYFUNCTION("""COMPUTED_VALUE"""),"Шпиц")</f>
        <v>Шпиц</v>
      </c>
      <c r="F8" s="445">
        <f>IFERROR(__xludf.DUMMYFUNCTION("""COMPUTED_VALUE"""),1.0)</f>
        <v>1</v>
      </c>
      <c r="G8" s="422" t="str">
        <f>IFERROR(__xludf.DUMMYFUNCTION("""COMPUTED_VALUE"""),"Писатель ")</f>
        <v>Писатель </v>
      </c>
      <c r="H8" s="445">
        <f>IFERROR(__xludf.DUMMYFUNCTION("""COMPUTED_VALUE"""),1.0)</f>
        <v>1</v>
      </c>
      <c r="I8" s="422" t="str">
        <f>IFERROR(__xludf.DUMMYFUNCTION("""COMPUTED_VALUE"""),"Cristo")</f>
        <v>Cristo</v>
      </c>
      <c r="J8" s="445">
        <f>IFERROR(__xludf.DUMMYFUNCTION("""COMPUTED_VALUE"""),1.0)</f>
        <v>1</v>
      </c>
      <c r="K8" s="422" t="str">
        <f>IFERROR(__xludf.DUMMYFUNCTION("""COMPUTED_VALUE"""),"Старый")</f>
        <v>Старый</v>
      </c>
      <c r="L8" s="445">
        <f>IFERROR(__xludf.DUMMYFUNCTION("""COMPUTED_VALUE"""),1.0)</f>
        <v>1</v>
      </c>
      <c r="M8" s="422" t="str">
        <f>IFERROR(__xludf.DUMMYFUNCTION("""COMPUTED_VALUE"""),"Авраам")</f>
        <v>Авраам</v>
      </c>
      <c r="N8" s="445">
        <f>IFERROR(__xludf.DUMMYFUNCTION("""COMPUTED_VALUE"""),0.625)</f>
        <v>0.625</v>
      </c>
    </row>
    <row r="9">
      <c r="A9" s="450" t="str">
        <f>IFERROR(__xludf.DUMMYFUNCTION("""COMPUTED_VALUE"""),"Шпиц")</f>
        <v>Шпиц</v>
      </c>
      <c r="B9" s="445">
        <f>IFERROR(__xludf.DUMMYFUNCTION("""COMPUTED_VALUE"""),0.65)</f>
        <v>0.65</v>
      </c>
      <c r="C9" s="422" t="str">
        <f>IFERROR(__xludf.DUMMYFUNCTION("""COMPUTED_VALUE"""),"Артик")</f>
        <v>Артик</v>
      </c>
      <c r="D9" s="445">
        <f>IFERROR(__xludf.DUMMYFUNCTION("""COMPUTED_VALUE"""),0.6111111111111112)</f>
        <v>0.6111111111</v>
      </c>
      <c r="E9" s="422" t="str">
        <f>IFERROR(__xludf.DUMMYFUNCTION("""COMPUTED_VALUE"""),"Castor Troy ")</f>
        <v>Castor Troy </v>
      </c>
      <c r="F9" s="445">
        <f>IFERROR(__xludf.DUMMYFUNCTION("""COMPUTED_VALUE"""),1.0)</f>
        <v>1</v>
      </c>
      <c r="G9" s="422" t="str">
        <f>IFERROR(__xludf.DUMMYFUNCTION("""COMPUTED_VALUE"""),"Шпиц")</f>
        <v>Шпиц</v>
      </c>
      <c r="H9" s="445">
        <f>IFERROR(__xludf.DUMMYFUNCTION("""COMPUTED_VALUE"""),1.0)</f>
        <v>1</v>
      </c>
      <c r="I9" s="422" t="str">
        <f>IFERROR(__xludf.DUMMYFUNCTION("""COMPUTED_VALUE"""),"Curly")</f>
        <v>Curly</v>
      </c>
      <c r="J9" s="445">
        <f>IFERROR(__xludf.DUMMYFUNCTION("""COMPUTED_VALUE"""),1.0)</f>
        <v>1</v>
      </c>
      <c r="K9" s="422" t="str">
        <f>IFERROR(__xludf.DUMMYFUNCTION("""COMPUTED_VALUE"""),"Шпиц")</f>
        <v>Шпиц</v>
      </c>
      <c r="L9" s="445">
        <f>IFERROR(__xludf.DUMMYFUNCTION("""COMPUTED_VALUE"""),1.0)</f>
        <v>1</v>
      </c>
      <c r="M9" s="422" t="str">
        <f>IFERROR(__xludf.DUMMYFUNCTION("""COMPUTED_VALUE"""),"Infinity ")</f>
        <v>Infinity </v>
      </c>
      <c r="N9" s="445">
        <f>IFERROR(__xludf.DUMMYFUNCTION("""COMPUTED_VALUE"""),0.6)</f>
        <v>0.6</v>
      </c>
    </row>
    <row r="10">
      <c r="A10" s="450" t="str">
        <f>IFERROR(__xludf.DUMMYFUNCTION("""COMPUTED_VALUE"""),"Зверюга")</f>
        <v>Зверюга</v>
      </c>
      <c r="B10" s="445">
        <f>IFERROR(__xludf.DUMMYFUNCTION("""COMPUTED_VALUE"""),0.6)</f>
        <v>0.6</v>
      </c>
      <c r="C10" s="422" t="str">
        <f>IFERROR(__xludf.DUMMYFUNCTION("""COMPUTED_VALUE"""),"Зверюга")</f>
        <v>Зверюга</v>
      </c>
      <c r="D10" s="445">
        <f>IFERROR(__xludf.DUMMYFUNCTION("""COMPUTED_VALUE"""),0.5833333333333334)</f>
        <v>0.5833333333</v>
      </c>
      <c r="E10" s="422" t="str">
        <f>IFERROR(__xludf.DUMMYFUNCTION("""COMPUTED_VALUE"""),"SCHOKK ")</f>
        <v>SCHOKK </v>
      </c>
      <c r="F10" s="445">
        <f>IFERROR(__xludf.DUMMYFUNCTION("""COMPUTED_VALUE"""),1.0)</f>
        <v>1</v>
      </c>
      <c r="G10" s="422" t="str">
        <f>IFERROR(__xludf.DUMMYFUNCTION("""COMPUTED_VALUE"""),"Castor Troy ")</f>
        <v>Castor Troy </v>
      </c>
      <c r="H10" s="445">
        <f>IFERROR(__xludf.DUMMYFUNCTION("""COMPUTED_VALUE"""),1.0)</f>
        <v>1</v>
      </c>
      <c r="I10" s="422" t="str">
        <f>IFERROR(__xludf.DUMMYFUNCTION("""COMPUTED_VALUE"""),"Rocket woman ")</f>
        <v>Rocket woman </v>
      </c>
      <c r="J10" s="445">
        <f>IFERROR(__xludf.DUMMYFUNCTION("""COMPUTED_VALUE"""),1.0)</f>
        <v>1</v>
      </c>
      <c r="K10" s="422" t="str">
        <f>IFERROR(__xludf.DUMMYFUNCTION("""COMPUTED_VALUE"""),"Cristo")</f>
        <v>Cristo</v>
      </c>
      <c r="L10" s="445">
        <f>IFERROR(__xludf.DUMMYFUNCTION("""COMPUTED_VALUE"""),1.0)</f>
        <v>1</v>
      </c>
      <c r="M10" s="422" t="str">
        <f>IFERROR(__xludf.DUMMYFUNCTION("""COMPUTED_VALUE"""),"Cristo")</f>
        <v>Cristo</v>
      </c>
      <c r="N10" s="445">
        <f>IFERROR(__xludf.DUMMYFUNCTION("""COMPUTED_VALUE"""),0.5714285714285714)</f>
        <v>0.5714285714</v>
      </c>
    </row>
    <row r="11">
      <c r="A11" s="450" t="str">
        <f>IFERROR(__xludf.DUMMYFUNCTION("""COMPUTED_VALUE"""),"Красавчик")</f>
        <v>Красавчик</v>
      </c>
      <c r="B11" s="445">
        <f>IFERROR(__xludf.DUMMYFUNCTION("""COMPUTED_VALUE"""),0.6)</f>
        <v>0.6</v>
      </c>
      <c r="C11" s="422" t="str">
        <f>IFERROR(__xludf.DUMMYFUNCTION("""COMPUTED_VALUE"""),"Bublik")</f>
        <v>Bublik</v>
      </c>
      <c r="D11" s="445">
        <f>IFERROR(__xludf.DUMMYFUNCTION("""COMPUTED_VALUE"""),0.5714285714285714)</f>
        <v>0.5714285714</v>
      </c>
      <c r="E11" s="422" t="str">
        <f>IFERROR(__xludf.DUMMYFUNCTION("""COMPUTED_VALUE"""),"Stacy")</f>
        <v>Stacy</v>
      </c>
      <c r="F11" s="445">
        <f>IFERROR(__xludf.DUMMYFUNCTION("""COMPUTED_VALUE"""),1.0)</f>
        <v>1</v>
      </c>
      <c r="G11" s="422" t="str">
        <f>IFERROR(__xludf.DUMMYFUNCTION("""COMPUTED_VALUE"""),"SCHOKK ")</f>
        <v>SCHOKK </v>
      </c>
      <c r="H11" s="445">
        <f>IFERROR(__xludf.DUMMYFUNCTION("""COMPUTED_VALUE"""),1.0)</f>
        <v>1</v>
      </c>
      <c r="I11" s="422" t="str">
        <f>IFERROR(__xludf.DUMMYFUNCTION("""COMPUTED_VALUE"""),"Stacy")</f>
        <v>Stacy</v>
      </c>
      <c r="J11" s="445">
        <f>IFERROR(__xludf.DUMMYFUNCTION("""COMPUTED_VALUE"""),1.0)</f>
        <v>1</v>
      </c>
      <c r="K11" s="422" t="str">
        <f>IFERROR(__xludf.DUMMYFUNCTION("""COMPUTED_VALUE"""),"Curly")</f>
        <v>Curly</v>
      </c>
      <c r="L11" s="445">
        <f>IFERROR(__xludf.DUMMYFUNCTION("""COMPUTED_VALUE"""),1.0)</f>
        <v>1</v>
      </c>
      <c r="M11" s="422" t="str">
        <f>IFERROR(__xludf.DUMMYFUNCTION("""COMPUTED_VALUE"""),"Light")</f>
        <v>Light</v>
      </c>
      <c r="N11" s="445">
        <f>IFERROR(__xludf.DUMMYFUNCTION("""COMPUTED_VALUE"""),0.5714285714285714)</f>
        <v>0.5714285714</v>
      </c>
    </row>
    <row r="12">
      <c r="A12" s="450" t="str">
        <f>IFERROR(__xludf.DUMMYFUNCTION("""COMPUTED_VALUE"""),"Лисичка")</f>
        <v>Лисичка</v>
      </c>
      <c r="B12" s="445">
        <f>IFERROR(__xludf.DUMMYFUNCTION("""COMPUTED_VALUE"""),0.6)</f>
        <v>0.6</v>
      </c>
      <c r="C12" s="422" t="str">
        <f>IFERROR(__xludf.DUMMYFUNCTION("""COMPUTED_VALUE"""),"Infinity ")</f>
        <v>Infinity </v>
      </c>
      <c r="D12" s="445">
        <f>IFERROR(__xludf.DUMMYFUNCTION("""COMPUTED_VALUE"""),0.5714285714285714)</f>
        <v>0.5714285714</v>
      </c>
      <c r="E12" s="422" t="str">
        <f>IFERROR(__xludf.DUMMYFUNCTION("""COMPUTED_VALUE"""),"Волга")</f>
        <v>Волга</v>
      </c>
      <c r="F12" s="445">
        <f>IFERROR(__xludf.DUMMYFUNCTION("""COMPUTED_VALUE"""),0.8)</f>
        <v>0.8</v>
      </c>
      <c r="G12" s="422" t="str">
        <f>IFERROR(__xludf.DUMMYFUNCTION("""COMPUTED_VALUE"""),"Мишель ")</f>
        <v>Мишель </v>
      </c>
      <c r="H12" s="445">
        <f>IFERROR(__xludf.DUMMYFUNCTION("""COMPUTED_VALUE"""),0.8)</f>
        <v>0.8</v>
      </c>
      <c r="I12" s="422" t="str">
        <f>IFERROR(__xludf.DUMMYFUNCTION("""COMPUTED_VALUE"""),"Артик")</f>
        <v>Артик</v>
      </c>
      <c r="J12" s="445">
        <f>IFERROR(__xludf.DUMMYFUNCTION("""COMPUTED_VALUE"""),0.8)</f>
        <v>0.8</v>
      </c>
      <c r="K12" s="422" t="str">
        <f>IFERROR(__xludf.DUMMYFUNCTION("""COMPUTED_VALUE"""),"Stacy")</f>
        <v>Stacy</v>
      </c>
      <c r="L12" s="445">
        <f>IFERROR(__xludf.DUMMYFUNCTION("""COMPUTED_VALUE"""),1.0)</f>
        <v>1</v>
      </c>
      <c r="M12" s="422" t="str">
        <f>IFERROR(__xludf.DUMMYFUNCTION("""COMPUTED_VALUE"""),"SOVEST")</f>
        <v>SOVEST</v>
      </c>
      <c r="N12" s="445">
        <f>IFERROR(__xludf.DUMMYFUNCTION("""COMPUTED_VALUE"""),0.5714285714285714)</f>
        <v>0.5714285714</v>
      </c>
    </row>
    <row r="13">
      <c r="A13" s="450" t="str">
        <f>IFERROR(__xludf.DUMMYFUNCTION("""COMPUTED_VALUE"""),"Маваши")</f>
        <v>Маваши</v>
      </c>
      <c r="B13" s="445">
        <f>IFERROR(__xludf.DUMMYFUNCTION("""COMPUTED_VALUE"""),0.6)</f>
        <v>0.6</v>
      </c>
      <c r="C13" s="422" t="str">
        <f>IFERROR(__xludf.DUMMYFUNCTION("""COMPUTED_VALUE"""),"SOVEST")</f>
        <v>SOVEST</v>
      </c>
      <c r="D13" s="445">
        <f>IFERROR(__xludf.DUMMYFUNCTION("""COMPUTED_VALUE"""),0.5714285714285714)</f>
        <v>0.5714285714</v>
      </c>
      <c r="E13" s="422" t="str">
        <f>IFERROR(__xludf.DUMMYFUNCTION("""COMPUTED_VALUE"""),"Красавчик")</f>
        <v>Красавчик</v>
      </c>
      <c r="F13" s="445">
        <f>IFERROR(__xludf.DUMMYFUNCTION("""COMPUTED_VALUE"""),0.8)</f>
        <v>0.8</v>
      </c>
      <c r="G13" s="422" t="str">
        <f>IFERROR(__xludf.DUMMYFUNCTION("""COMPUTED_VALUE"""),"Helga")</f>
        <v>Helga</v>
      </c>
      <c r="H13" s="445">
        <f>IFERROR(__xludf.DUMMYFUNCTION("""COMPUTED_VALUE"""),0.75)</f>
        <v>0.75</v>
      </c>
      <c r="I13" s="422" t="str">
        <f>IFERROR(__xludf.DUMMYFUNCTION("""COMPUTED_VALUE"""),"Писатель ")</f>
        <v>Писатель </v>
      </c>
      <c r="J13" s="445">
        <f>IFERROR(__xludf.DUMMYFUNCTION("""COMPUTED_VALUE"""),0.75)</f>
        <v>0.75</v>
      </c>
      <c r="K13" s="422" t="str">
        <f>IFERROR(__xludf.DUMMYFUNCTION("""COMPUTED_VALUE"""),"Волга")</f>
        <v>Волга</v>
      </c>
      <c r="L13" s="445">
        <f>IFERROR(__xludf.DUMMYFUNCTION("""COMPUTED_VALUE"""),0.75)</f>
        <v>0.75</v>
      </c>
      <c r="M13" s="422" t="str">
        <f>IFERROR(__xludf.DUMMYFUNCTION("""COMPUTED_VALUE"""),"Панда из Руанды")</f>
        <v>Панда из Руанды</v>
      </c>
      <c r="N13" s="445">
        <f>IFERROR(__xludf.DUMMYFUNCTION("""COMPUTED_VALUE"""),0.5555555555555556)</f>
        <v>0.5555555556</v>
      </c>
    </row>
    <row r="14">
      <c r="A14" s="450" t="str">
        <f>IFERROR(__xludf.DUMMYFUNCTION("""COMPUTED_VALUE"""),"Stacy")</f>
        <v>Stacy</v>
      </c>
      <c r="B14" s="445">
        <f>IFERROR(__xludf.DUMMYFUNCTION("""COMPUTED_VALUE"""),0.6)</f>
        <v>0.6</v>
      </c>
      <c r="C14" s="422" t="str">
        <f>IFERROR(__xludf.DUMMYFUNCTION("""COMPUTED_VALUE"""),"Stacy")</f>
        <v>Stacy</v>
      </c>
      <c r="D14" s="445">
        <f>IFERROR(__xludf.DUMMYFUNCTION("""COMPUTED_VALUE"""),0.5714285714285714)</f>
        <v>0.5714285714</v>
      </c>
      <c r="E14" s="422" t="str">
        <f>IFERROR(__xludf.DUMMYFUNCTION("""COMPUTED_VALUE"""),"Curly")</f>
        <v>Curly</v>
      </c>
      <c r="F14" s="445">
        <f>IFERROR(__xludf.DUMMYFUNCTION("""COMPUTED_VALUE"""),0.8)</f>
        <v>0.8</v>
      </c>
      <c r="G14" s="422" t="str">
        <f>IFERROR(__xludf.DUMMYFUNCTION("""COMPUTED_VALUE"""),"Light")</f>
        <v>Light</v>
      </c>
      <c r="H14" s="445">
        <f>IFERROR(__xludf.DUMMYFUNCTION("""COMPUTED_VALUE"""),0.75)</f>
        <v>0.75</v>
      </c>
      <c r="I14" s="422" t="str">
        <f>IFERROR(__xludf.DUMMYFUNCTION("""COMPUTED_VALUE"""),"РФ")</f>
        <v>РФ</v>
      </c>
      <c r="J14" s="445">
        <f>IFERROR(__xludf.DUMMYFUNCTION("""COMPUTED_VALUE"""),0.75)</f>
        <v>0.75</v>
      </c>
      <c r="K14" s="422" t="str">
        <f>IFERROR(__xludf.DUMMYFUNCTION("""COMPUTED_VALUE"""),"Наполеон")</f>
        <v>Наполеон</v>
      </c>
      <c r="L14" s="445">
        <f>IFERROR(__xludf.DUMMYFUNCTION("""COMPUTED_VALUE"""),0.75)</f>
        <v>0.75</v>
      </c>
      <c r="M14" s="422" t="str">
        <f>IFERROR(__xludf.DUMMYFUNCTION("""COMPUTED_VALUE"""),"Coach")</f>
        <v>Coach</v>
      </c>
      <c r="N14" s="445">
        <f>IFERROR(__xludf.DUMMYFUNCTION("""COMPUTED_VALUE"""),0.5555555555555556)</f>
        <v>0.5555555556</v>
      </c>
    </row>
    <row r="15">
      <c r="A15" s="450" t="str">
        <f>IFERROR(__xludf.DUMMYFUNCTION("""COMPUTED_VALUE"""),"РФ")</f>
        <v>РФ</v>
      </c>
      <c r="B15" s="445">
        <f>IFERROR(__xludf.DUMMYFUNCTION("""COMPUTED_VALUE"""),0.5666666666666667)</f>
        <v>0.5666666667</v>
      </c>
      <c r="C15" s="422" t="str">
        <f>IFERROR(__xludf.DUMMYFUNCTION("""COMPUTED_VALUE"""),"Панда из Руанды")</f>
        <v>Панда из Руанды</v>
      </c>
      <c r="D15" s="445">
        <f>IFERROR(__xludf.DUMMYFUNCTION("""COMPUTED_VALUE"""),0.5454545454545454)</f>
        <v>0.5454545455</v>
      </c>
      <c r="E15" s="422" t="str">
        <f>IFERROR(__xludf.DUMMYFUNCTION("""COMPUTED_VALUE"""),"Маваши")</f>
        <v>Маваши</v>
      </c>
      <c r="F15" s="445">
        <f>IFERROR(__xludf.DUMMYFUNCTION("""COMPUTED_VALUE"""),0.75)</f>
        <v>0.75</v>
      </c>
      <c r="G15" s="422" t="str">
        <f>IFERROR(__xludf.DUMMYFUNCTION("""COMPUTED_VALUE"""),"Зверюга")</f>
        <v>Зверюга</v>
      </c>
      <c r="H15" s="445">
        <f>IFERROR(__xludf.DUMMYFUNCTION("""COMPUTED_VALUE"""),0.6666666666666666)</f>
        <v>0.6666666667</v>
      </c>
      <c r="I15" s="422" t="str">
        <f>IFERROR(__xludf.DUMMYFUNCTION("""COMPUTED_VALUE"""),"A1 ")</f>
        <v>A1 </v>
      </c>
      <c r="J15" s="445">
        <f>IFERROR(__xludf.DUMMYFUNCTION("""COMPUTED_VALUE"""),0.6666666666666666)</f>
        <v>0.6666666667</v>
      </c>
      <c r="K15" s="422" t="str">
        <f>IFERROR(__xludf.DUMMYFUNCTION("""COMPUTED_VALUE"""),"РФ")</f>
        <v>РФ</v>
      </c>
      <c r="L15" s="445">
        <f>IFERROR(__xludf.DUMMYFUNCTION("""COMPUTED_VALUE"""),0.75)</f>
        <v>0.75</v>
      </c>
      <c r="M15" s="422" t="str">
        <f>IFERROR(__xludf.DUMMYFUNCTION("""COMPUTED_VALUE"""),"Артик")</f>
        <v>Артик</v>
      </c>
      <c r="N15" s="445">
        <f>IFERROR(__xludf.DUMMYFUNCTION("""COMPUTED_VALUE"""),0.5384615384615384)</f>
        <v>0.5384615385</v>
      </c>
    </row>
    <row r="16">
      <c r="A16" s="450" t="str">
        <f>IFERROR(__xludf.DUMMYFUNCTION("""COMPUTED_VALUE"""),"Дровосек")</f>
        <v>Дровосек</v>
      </c>
      <c r="B16" s="445">
        <f>IFERROR(__xludf.DUMMYFUNCTION("""COMPUTED_VALUE"""),0.56)</f>
        <v>0.56</v>
      </c>
      <c r="C16" s="422" t="str">
        <f>IFERROR(__xludf.DUMMYFUNCTION("""COMPUTED_VALUE"""),"Coach")</f>
        <v>Coach</v>
      </c>
      <c r="D16" s="445">
        <f>IFERROR(__xludf.DUMMYFUNCTION("""COMPUTED_VALUE"""),0.5454545454545454)</f>
        <v>0.5454545455</v>
      </c>
      <c r="E16" s="422" t="str">
        <f>IFERROR(__xludf.DUMMYFUNCTION("""COMPUTED_VALUE"""),"Дровосек")</f>
        <v>Дровосек</v>
      </c>
      <c r="F16" s="445">
        <f>IFERROR(__xludf.DUMMYFUNCTION("""COMPUTED_VALUE"""),0.6666666666666666)</f>
        <v>0.6666666667</v>
      </c>
      <c r="G16" s="422" t="str">
        <f>IFERROR(__xludf.DUMMYFUNCTION("""COMPUTED_VALUE"""),"Физик")</f>
        <v>Физик</v>
      </c>
      <c r="H16" s="445">
        <f>IFERROR(__xludf.DUMMYFUNCTION("""COMPUTED_VALUE"""),0.6666666666666666)</f>
        <v>0.6666666667</v>
      </c>
      <c r="I16" s="422" t="str">
        <f>IFERROR(__xludf.DUMMYFUNCTION("""COMPUTED_VALUE"""),"Манекен")</f>
        <v>Манекен</v>
      </c>
      <c r="J16" s="445">
        <f>IFERROR(__xludf.DUMMYFUNCTION("""COMPUTED_VALUE"""),0.5)</f>
        <v>0.5</v>
      </c>
      <c r="K16" s="422" t="str">
        <f>IFERROR(__xludf.DUMMYFUNCTION("""COMPUTED_VALUE"""),"Андерсен")</f>
        <v>Андерсен</v>
      </c>
      <c r="L16" s="445">
        <f>IFERROR(__xludf.DUMMYFUNCTION("""COMPUTED_VALUE"""),0.6666666666666666)</f>
        <v>0.6666666667</v>
      </c>
      <c r="M16" s="422" t="str">
        <f>IFERROR(__xludf.DUMMYFUNCTION("""COMPUTED_VALUE"""),"Young")</f>
        <v>Young</v>
      </c>
      <c r="N16" s="445">
        <f>IFERROR(__xludf.DUMMYFUNCTION("""COMPUTED_VALUE"""),0.5384615384615384)</f>
        <v>0.5384615385</v>
      </c>
    </row>
    <row r="17">
      <c r="A17" s="450" t="str">
        <f>IFERROR(__xludf.DUMMYFUNCTION("""COMPUTED_VALUE"""),"Панда из Руанды")</f>
        <v>Панда из Руанды</v>
      </c>
      <c r="B17" s="445">
        <f>IFERROR(__xludf.DUMMYFUNCTION("""COMPUTED_VALUE"""),0.5333333333333333)</f>
        <v>0.5333333333</v>
      </c>
      <c r="C17" s="422" t="str">
        <f>IFERROR(__xludf.DUMMYFUNCTION("""COMPUTED_VALUE"""),"РФ")</f>
        <v>РФ</v>
      </c>
      <c r="D17" s="445">
        <f>IFERROR(__xludf.DUMMYFUNCTION("""COMPUTED_VALUE"""),0.5416666666666666)</f>
        <v>0.5416666667</v>
      </c>
      <c r="E17" s="422" t="str">
        <f>IFERROR(__xludf.DUMMYFUNCTION("""COMPUTED_VALUE"""),"Мишель ")</f>
        <v>Мишель </v>
      </c>
      <c r="F17" s="445">
        <f>IFERROR(__xludf.DUMMYFUNCTION("""COMPUTED_VALUE"""),0.6666666666666666)</f>
        <v>0.6666666667</v>
      </c>
      <c r="G17" s="422" t="str">
        <f>IFERROR(__xludf.DUMMYFUNCTION("""COMPUTED_VALUE"""),"MSR")</f>
        <v>MSR</v>
      </c>
      <c r="H17" s="445">
        <f>IFERROR(__xludf.DUMMYFUNCTION("""COMPUTED_VALUE"""),0.6666666666666666)</f>
        <v>0.6666666667</v>
      </c>
      <c r="I17" s="422" t="str">
        <f>IFERROR(__xludf.DUMMYFUNCTION("""COMPUTED_VALUE"""),"Панда из Руанды")</f>
        <v>Панда из Руанды</v>
      </c>
      <c r="J17" s="445">
        <f>IFERROR(__xludf.DUMMYFUNCTION("""COMPUTED_VALUE"""),0.5)</f>
        <v>0.5</v>
      </c>
      <c r="K17" s="422" t="str">
        <f>IFERROR(__xludf.DUMMYFUNCTION("""COMPUTED_VALUE"""),"Зверюга")</f>
        <v>Зверюга</v>
      </c>
      <c r="L17" s="445">
        <f>IFERROR(__xludf.DUMMYFUNCTION("""COMPUTED_VALUE"""),0.5)</f>
        <v>0.5</v>
      </c>
      <c r="M17" s="422" t="str">
        <f>IFERROR(__xludf.DUMMYFUNCTION("""COMPUTED_VALUE"""),"Дровосек")</f>
        <v>Дровосек</v>
      </c>
      <c r="N17" s="445">
        <f>IFERROR(__xludf.DUMMYFUNCTION("""COMPUTED_VALUE"""),0.5333333333333333)</f>
        <v>0.5333333333</v>
      </c>
    </row>
    <row r="18">
      <c r="A18" s="450" t="str">
        <f>IFERROR(__xludf.DUMMYFUNCTION("""COMPUTED_VALUE"""),"Писатель ")</f>
        <v>Писатель </v>
      </c>
      <c r="B18" s="445">
        <f>IFERROR(__xludf.DUMMYFUNCTION("""COMPUTED_VALUE"""),0.5333333333333333)</f>
        <v>0.5333333333</v>
      </c>
      <c r="C18" s="422" t="str">
        <f>IFERROR(__xludf.DUMMYFUNCTION("""COMPUTED_VALUE"""),"Лисичка")</f>
        <v>Лисичка</v>
      </c>
      <c r="D18" s="445">
        <f>IFERROR(__xludf.DUMMYFUNCTION("""COMPUTED_VALUE"""),0.5384615384615384)</f>
        <v>0.5384615385</v>
      </c>
      <c r="E18" s="422" t="str">
        <f>IFERROR(__xludf.DUMMYFUNCTION("""COMPUTED_VALUE"""),"Писатель ")</f>
        <v>Писатель </v>
      </c>
      <c r="F18" s="445">
        <f>IFERROR(__xludf.DUMMYFUNCTION("""COMPUTED_VALUE"""),0.6666666666666666)</f>
        <v>0.6666666667</v>
      </c>
      <c r="G18" s="422" t="str">
        <f>IFERROR(__xludf.DUMMYFUNCTION("""COMPUTED_VALUE"""),"NLIP")</f>
        <v>NLIP</v>
      </c>
      <c r="H18" s="445">
        <f>IFERROR(__xludf.DUMMYFUNCTION("""COMPUTED_VALUE"""),0.6666666666666666)</f>
        <v>0.6666666667</v>
      </c>
      <c r="I18" s="422" t="str">
        <f>IFERROR(__xludf.DUMMYFUNCTION("""COMPUTED_VALUE"""),"Coach")</f>
        <v>Coach</v>
      </c>
      <c r="J18" s="445">
        <f>IFERROR(__xludf.DUMMYFUNCTION("""COMPUTED_VALUE"""),0.5)</f>
        <v>0.5</v>
      </c>
      <c r="K18" s="422" t="str">
        <f>IFERROR(__xludf.DUMMYFUNCTION("""COMPUTED_VALUE"""),"Красавчик")</f>
        <v>Красавчик</v>
      </c>
      <c r="L18" s="445">
        <f>IFERROR(__xludf.DUMMYFUNCTION("""COMPUTED_VALUE"""),0.5)</f>
        <v>0.5</v>
      </c>
      <c r="M18" s="422" t="str">
        <f>IFERROR(__xludf.DUMMYFUNCTION("""COMPUTED_VALUE"""),"Градиент")</f>
        <v>Градиент</v>
      </c>
      <c r="N18" s="445">
        <f>IFERROR(__xludf.DUMMYFUNCTION("""COMPUTED_VALUE"""),0.5)</f>
        <v>0.5</v>
      </c>
    </row>
    <row r="19">
      <c r="A19" s="450" t="str">
        <f>IFERROR(__xludf.DUMMYFUNCTION("""COMPUTED_VALUE"""),"Coach")</f>
        <v>Coach</v>
      </c>
      <c r="B19" s="445">
        <f>IFERROR(__xludf.DUMMYFUNCTION("""COMPUTED_VALUE"""),0.5333333333333333)</f>
        <v>0.5333333333</v>
      </c>
      <c r="C19" s="422" t="str">
        <f>IFERROR(__xludf.DUMMYFUNCTION("""COMPUTED_VALUE"""),"Young")</f>
        <v>Young</v>
      </c>
      <c r="D19" s="445">
        <f>IFERROR(__xludf.DUMMYFUNCTION("""COMPUTED_VALUE"""),0.5384615384615384)</f>
        <v>0.5384615385</v>
      </c>
      <c r="E19" s="422" t="str">
        <f>IFERROR(__xludf.DUMMYFUNCTION("""COMPUTED_VALUE"""),"РФ")</f>
        <v>РФ</v>
      </c>
      <c r="F19" s="445">
        <f>IFERROR(__xludf.DUMMYFUNCTION("""COMPUTED_VALUE"""),0.6666666666666666)</f>
        <v>0.6666666667</v>
      </c>
      <c r="G19" s="422" t="str">
        <f>IFERROR(__xludf.DUMMYFUNCTION("""COMPUTED_VALUE"""),"Alice ")</f>
        <v>Alice </v>
      </c>
      <c r="H19" s="445">
        <f>IFERROR(__xludf.DUMMYFUNCTION("""COMPUTED_VALUE"""),0.6)</f>
        <v>0.6</v>
      </c>
      <c r="I19" s="422" t="str">
        <f>IFERROR(__xludf.DUMMYFUNCTION("""COMPUTED_VALUE"""),"GALAY")</f>
        <v>GALAY</v>
      </c>
      <c r="J19" s="445">
        <f>IFERROR(__xludf.DUMMYFUNCTION("""COMPUTED_VALUE"""),0.5)</f>
        <v>0.5</v>
      </c>
      <c r="K19" s="422" t="str">
        <f>IFERROR(__xludf.DUMMYFUNCTION("""COMPUTED_VALUE"""),"Панда из Руанды")</f>
        <v>Панда из Руанды</v>
      </c>
      <c r="L19" s="445">
        <f>IFERROR(__xludf.DUMMYFUNCTION("""COMPUTED_VALUE"""),0.5)</f>
        <v>0.5</v>
      </c>
      <c r="M19" s="422" t="str">
        <f>IFERROR(__xludf.DUMMYFUNCTION("""COMPUTED_VALUE"""),"Красавчик")</f>
        <v>Красавчик</v>
      </c>
      <c r="N19" s="445">
        <f>IFERROR(__xludf.DUMMYFUNCTION("""COMPUTED_VALUE"""),0.5)</f>
        <v>0.5</v>
      </c>
    </row>
    <row r="20">
      <c r="A20" s="450" t="str">
        <f>IFERROR(__xludf.DUMMYFUNCTION("""COMPUTED_VALUE"""),"Ketamin")</f>
        <v>Ketamin</v>
      </c>
      <c r="B20" s="445">
        <f>IFERROR(__xludf.DUMMYFUNCTION("""COMPUTED_VALUE"""),0.5333333333333333)</f>
        <v>0.5333333333</v>
      </c>
      <c r="C20" s="422" t="str">
        <f>IFERROR(__xludf.DUMMYFUNCTION("""COMPUTED_VALUE"""),"Градиент")</f>
        <v>Градиент</v>
      </c>
      <c r="D20" s="445">
        <f>IFERROR(__xludf.DUMMYFUNCTION("""COMPUTED_VALUE"""),0.5263157894736842)</f>
        <v>0.5263157895</v>
      </c>
      <c r="E20" s="422" t="str">
        <f>IFERROR(__xludf.DUMMYFUNCTION("""COMPUTED_VALUE"""),"Cristo")</f>
        <v>Cristo</v>
      </c>
      <c r="F20" s="445">
        <f>IFERROR(__xludf.DUMMYFUNCTION("""COMPUTED_VALUE"""),0.6666666666666666)</f>
        <v>0.6666666667</v>
      </c>
      <c r="G20" s="422" t="str">
        <f>IFERROR(__xludf.DUMMYFUNCTION("""COMPUTED_VALUE"""),"Дровосек")</f>
        <v>Дровосек</v>
      </c>
      <c r="H20" s="445">
        <f>IFERROR(__xludf.DUMMYFUNCTION("""COMPUTED_VALUE"""),0.5)</f>
        <v>0.5</v>
      </c>
      <c r="I20" s="422" t="str">
        <f>IFERROR(__xludf.DUMMYFUNCTION("""COMPUTED_VALUE"""),"Infinity ")</f>
        <v>Infinity </v>
      </c>
      <c r="J20" s="445">
        <f>IFERROR(__xludf.DUMMYFUNCTION("""COMPUTED_VALUE"""),0.5)</f>
        <v>0.5</v>
      </c>
      <c r="K20" s="422" t="str">
        <f>IFERROR(__xludf.DUMMYFUNCTION("""COMPUTED_VALUE"""),"A1 ")</f>
        <v>A1 </v>
      </c>
      <c r="L20" s="445">
        <f>IFERROR(__xludf.DUMMYFUNCTION("""COMPUTED_VALUE"""),0.5)</f>
        <v>0.5</v>
      </c>
      <c r="M20" s="422" t="str">
        <f>IFERROR(__xludf.DUMMYFUNCTION("""COMPUTED_VALUE"""),"Лисичка")</f>
        <v>Лисичка</v>
      </c>
      <c r="N20" s="445">
        <f>IFERROR(__xludf.DUMMYFUNCTION("""COMPUTED_VALUE"""),0.5)</f>
        <v>0.5</v>
      </c>
    </row>
    <row r="21">
      <c r="A21" s="450" t="str">
        <f>IFERROR(__xludf.DUMMYFUNCTION("""COMPUTED_VALUE"""),"Градиент")</f>
        <v>Градиент</v>
      </c>
      <c r="B21" s="445">
        <f>IFERROR(__xludf.DUMMYFUNCTION("""COMPUTED_VALUE"""),0.52)</f>
        <v>0.52</v>
      </c>
      <c r="C21" s="422" t="str">
        <f>IFERROR(__xludf.DUMMYFUNCTION("""COMPUTED_VALUE"""),"Дровосек")</f>
        <v>Дровосек</v>
      </c>
      <c r="D21" s="445">
        <f>IFERROR(__xludf.DUMMYFUNCTION("""COMPUTED_VALUE"""),0.5)</f>
        <v>0.5</v>
      </c>
      <c r="E21" s="422" t="str">
        <f>IFERROR(__xludf.DUMMYFUNCTION("""COMPUTED_VALUE"""),"Helga")</f>
        <v>Helga</v>
      </c>
      <c r="F21" s="445">
        <f>IFERROR(__xludf.DUMMYFUNCTION("""COMPUTED_VALUE"""),0.6666666666666666)</f>
        <v>0.6666666667</v>
      </c>
      <c r="G21" s="422" t="str">
        <f>IFERROR(__xludf.DUMMYFUNCTION("""COMPUTED_VALUE"""),"Инсомнич")</f>
        <v>Инсомнич</v>
      </c>
      <c r="H21" s="445">
        <f>IFERROR(__xludf.DUMMYFUNCTION("""COMPUTED_VALUE"""),0.5)</f>
        <v>0.5</v>
      </c>
      <c r="I21" s="422" t="str">
        <f>IFERROR(__xludf.DUMMYFUNCTION("""COMPUTED_VALUE"""),"Helga")</f>
        <v>Helga</v>
      </c>
      <c r="J21" s="445">
        <f>IFERROR(__xludf.DUMMYFUNCTION("""COMPUTED_VALUE"""),0.3333333333333333)</f>
        <v>0.3333333333</v>
      </c>
      <c r="K21" s="422" t="str">
        <f>IFERROR(__xludf.DUMMYFUNCTION("""COMPUTED_VALUE"""),"Helga")</f>
        <v>Helga</v>
      </c>
      <c r="L21" s="445">
        <f>IFERROR(__xludf.DUMMYFUNCTION("""COMPUTED_VALUE"""),0.5)</f>
        <v>0.5</v>
      </c>
      <c r="M21" s="422" t="str">
        <f>IFERROR(__xludf.DUMMYFUNCTION("""COMPUTED_VALUE"""),"Маваши")</f>
        <v>Маваши</v>
      </c>
      <c r="N21" s="445">
        <f>IFERROR(__xludf.DUMMYFUNCTION("""COMPUTED_VALUE"""),0.5)</f>
        <v>0.5</v>
      </c>
    </row>
    <row r="22">
      <c r="A22" s="450" t="str">
        <f>IFERROR(__xludf.DUMMYFUNCTION("""COMPUTED_VALUE"""),"Мишель ")</f>
        <v>Мишель </v>
      </c>
      <c r="B22" s="445">
        <f>IFERROR(__xludf.DUMMYFUNCTION("""COMPUTED_VALUE"""),0.5)</f>
        <v>0.5</v>
      </c>
      <c r="C22" s="422" t="str">
        <f>IFERROR(__xludf.DUMMYFUNCTION("""COMPUTED_VALUE"""),"Красавчик")</f>
        <v>Красавчик</v>
      </c>
      <c r="D22" s="445">
        <f>IFERROR(__xludf.DUMMYFUNCTION("""COMPUTED_VALUE"""),0.5)</f>
        <v>0.5</v>
      </c>
      <c r="E22" s="422" t="str">
        <f>IFERROR(__xludf.DUMMYFUNCTION("""COMPUTED_VALUE"""),"MSR")</f>
        <v>MSR</v>
      </c>
      <c r="F22" s="445">
        <f>IFERROR(__xludf.DUMMYFUNCTION("""COMPUTED_VALUE"""),0.6666666666666666)</f>
        <v>0.6666666667</v>
      </c>
      <c r="G22" s="422" t="str">
        <f>IFERROR(__xludf.DUMMYFUNCTION("""COMPUTED_VALUE"""),"Панда из Руанды")</f>
        <v>Панда из Руанды</v>
      </c>
      <c r="H22" s="445">
        <f>IFERROR(__xludf.DUMMYFUNCTION("""COMPUTED_VALUE"""),0.5)</f>
        <v>0.5</v>
      </c>
      <c r="I22" s="422" t="str">
        <f>IFERROR(__xludf.DUMMYFUNCTION("""COMPUTED_VALUE"""),"WhoIsWho")</f>
        <v>WhoIsWho</v>
      </c>
      <c r="J22" s="445">
        <f>IFERROR(__xludf.DUMMYFUNCTION("""COMPUTED_VALUE"""),0.3333333333333333)</f>
        <v>0.3333333333</v>
      </c>
      <c r="K22" s="422" t="str">
        <f>IFERROR(__xludf.DUMMYFUNCTION("""COMPUTED_VALUE"""),"NLIP")</f>
        <v>NLIP</v>
      </c>
      <c r="L22" s="445">
        <f>IFERROR(__xludf.DUMMYFUNCTION("""COMPUTED_VALUE"""),0.5)</f>
        <v>0.5</v>
      </c>
      <c r="M22" s="422" t="str">
        <f>IFERROR(__xludf.DUMMYFUNCTION("""COMPUTED_VALUE"""),"Марго")</f>
        <v>Марго</v>
      </c>
      <c r="N22" s="445">
        <f>IFERROR(__xludf.DUMMYFUNCTION("""COMPUTED_VALUE"""),0.5)</f>
        <v>0.5</v>
      </c>
    </row>
    <row r="23">
      <c r="A23" s="450" t="str">
        <f>IFERROR(__xludf.DUMMYFUNCTION("""COMPUTED_VALUE"""),"Infinity ")</f>
        <v>Infinity </v>
      </c>
      <c r="B23" s="445">
        <f>IFERROR(__xludf.DUMMYFUNCTION("""COMPUTED_VALUE"""),0.5)</f>
        <v>0.5</v>
      </c>
      <c r="C23" s="422" t="str">
        <f>IFERROR(__xludf.DUMMYFUNCTION("""COMPUTED_VALUE"""),"Маваши")</f>
        <v>Маваши</v>
      </c>
      <c r="D23" s="445">
        <f>IFERROR(__xludf.DUMMYFUNCTION("""COMPUTED_VALUE"""),0.5)</f>
        <v>0.5</v>
      </c>
      <c r="E23" s="422" t="str">
        <f>IFERROR(__xludf.DUMMYFUNCTION("""COMPUTED_VALUE"""),"Зверюга")</f>
        <v>Зверюга</v>
      </c>
      <c r="F23" s="445">
        <f>IFERROR(__xludf.DUMMYFUNCTION("""COMPUTED_VALUE"""),0.625)</f>
        <v>0.625</v>
      </c>
      <c r="G23" s="422" t="str">
        <f>IFERROR(__xludf.DUMMYFUNCTION("""COMPUTED_VALUE"""),"РФ")</f>
        <v>РФ</v>
      </c>
      <c r="H23" s="445">
        <f>IFERROR(__xludf.DUMMYFUNCTION("""COMPUTED_VALUE"""),0.5)</f>
        <v>0.5</v>
      </c>
      <c r="I23" s="422" t="str">
        <f>IFERROR(__xludf.DUMMYFUNCTION("""COMPUTED_VALUE"""),"Админ")</f>
        <v>Админ</v>
      </c>
      <c r="J23" s="445">
        <f>IFERROR(__xludf.DUMMYFUNCTION("""COMPUTED_VALUE"""),0.0)</f>
        <v>0</v>
      </c>
      <c r="K23" s="422" t="str">
        <f>IFERROR(__xludf.DUMMYFUNCTION("""COMPUTED_VALUE"""),"Тихий закат")</f>
        <v>Тихий закат</v>
      </c>
      <c r="L23" s="445">
        <f>IFERROR(__xludf.DUMMYFUNCTION("""COMPUTED_VALUE"""),0.4)</f>
        <v>0.4</v>
      </c>
      <c r="M23" s="422" t="str">
        <f>IFERROR(__xludf.DUMMYFUNCTION("""COMPUTED_VALUE"""),"РФ")</f>
        <v>РФ</v>
      </c>
      <c r="N23" s="445">
        <f>IFERROR(__xludf.DUMMYFUNCTION("""COMPUTED_VALUE"""),0.5)</f>
        <v>0.5</v>
      </c>
    </row>
    <row r="24">
      <c r="A24" s="450" t="str">
        <f>IFERROR(__xludf.DUMMYFUNCTION("""COMPUTED_VALUE"""),"SOVEST")</f>
        <v>SOVEST</v>
      </c>
      <c r="B24" s="445">
        <f>IFERROR(__xludf.DUMMYFUNCTION("""COMPUTED_VALUE"""),0.5)</f>
        <v>0.5</v>
      </c>
      <c r="C24" s="422" t="str">
        <f>IFERROR(__xludf.DUMMYFUNCTION("""COMPUTED_VALUE"""),"Писатель ")</f>
        <v>Писатель </v>
      </c>
      <c r="D24" s="445">
        <f>IFERROR(__xludf.DUMMYFUNCTION("""COMPUTED_VALUE"""),0.5)</f>
        <v>0.5</v>
      </c>
      <c r="E24" s="422" t="str">
        <f>IFERROR(__xludf.DUMMYFUNCTION("""COMPUTED_VALUE"""),"NLIP")</f>
        <v>NLIP</v>
      </c>
      <c r="F24" s="445">
        <f>IFERROR(__xludf.DUMMYFUNCTION("""COMPUTED_VALUE"""),0.6)</f>
        <v>0.6</v>
      </c>
      <c r="G24" s="422" t="str">
        <f>IFERROR(__xludf.DUMMYFUNCTION("""COMPUTED_VALUE"""),"Coach")</f>
        <v>Coach</v>
      </c>
      <c r="H24" s="445">
        <f>IFERROR(__xludf.DUMMYFUNCTION("""COMPUTED_VALUE"""),0.5)</f>
        <v>0.5</v>
      </c>
      <c r="I24" s="422" t="str">
        <f>IFERROR(__xludf.DUMMYFUNCTION("""COMPUTED_VALUE"""),"Андерсен")</f>
        <v>Андерсен</v>
      </c>
      <c r="J24" s="445">
        <f>IFERROR(__xludf.DUMMYFUNCTION("""COMPUTED_VALUE"""),0.0)</f>
        <v>0</v>
      </c>
      <c r="K24" s="422" t="str">
        <f>IFERROR(__xludf.DUMMYFUNCTION("""COMPUTED_VALUE"""),"Бамблби")</f>
        <v>Бамблби</v>
      </c>
      <c r="L24" s="445">
        <f>IFERROR(__xludf.DUMMYFUNCTION("""COMPUTED_VALUE"""),0.3333333333333333)</f>
        <v>0.3333333333</v>
      </c>
      <c r="M24" s="422" t="str">
        <f>IFERROR(__xludf.DUMMYFUNCTION("""COMPUTED_VALUE"""),"Тихий закат")</f>
        <v>Тихий закат</v>
      </c>
      <c r="N24" s="445">
        <f>IFERROR(__xludf.DUMMYFUNCTION("""COMPUTED_VALUE"""),0.5)</f>
        <v>0.5</v>
      </c>
    </row>
    <row r="25">
      <c r="A25" s="450" t="str">
        <f>IFERROR(__xludf.DUMMYFUNCTION("""COMPUTED_VALUE"""),"Young")</f>
        <v>Young</v>
      </c>
      <c r="B25" s="445">
        <f>IFERROR(__xludf.DUMMYFUNCTION("""COMPUTED_VALUE"""),0.5)</f>
        <v>0.5</v>
      </c>
      <c r="C25" s="422" t="str">
        <f>IFERROR(__xludf.DUMMYFUNCTION("""COMPUTED_VALUE"""),"Продюсер")</f>
        <v>Продюсер</v>
      </c>
      <c r="D25" s="445">
        <f>IFERROR(__xludf.DUMMYFUNCTION("""COMPUTED_VALUE"""),0.5)</f>
        <v>0.5</v>
      </c>
      <c r="E25" s="422" t="str">
        <f>IFERROR(__xludf.DUMMYFUNCTION("""COMPUTED_VALUE"""),"Андерсен")</f>
        <v>Андерсен</v>
      </c>
      <c r="F25" s="445">
        <f>IFERROR(__xludf.DUMMYFUNCTION("""COMPUTED_VALUE"""),0.5)</f>
        <v>0.5</v>
      </c>
      <c r="G25" s="422" t="str">
        <f>IFERROR(__xludf.DUMMYFUNCTION("""COMPUTED_VALUE"""),"Тихий закат")</f>
        <v>Тихий закат</v>
      </c>
      <c r="H25" s="445">
        <f>IFERROR(__xludf.DUMMYFUNCTION("""COMPUTED_VALUE"""),0.5)</f>
        <v>0.5</v>
      </c>
      <c r="I25" s="422" t="str">
        <f>IFERROR(__xludf.DUMMYFUNCTION("""COMPUTED_VALUE"""),"Астория")</f>
        <v>Астория</v>
      </c>
      <c r="J25" s="445">
        <f>IFERROR(__xludf.DUMMYFUNCTION("""COMPUTED_VALUE"""),0.0)</f>
        <v>0</v>
      </c>
      <c r="K25" s="422" t="str">
        <f>IFERROR(__xludf.DUMMYFUNCTION("""COMPUTED_VALUE"""),"Правда ")</f>
        <v>Правда </v>
      </c>
      <c r="L25" s="445">
        <f>IFERROR(__xludf.DUMMYFUNCTION("""COMPUTED_VALUE"""),0.3333333333333333)</f>
        <v>0.3333333333</v>
      </c>
      <c r="M25" s="422" t="str">
        <f>IFERROR(__xludf.DUMMYFUNCTION("""COMPUTED_VALUE"""),"Физик")</f>
        <v>Физик</v>
      </c>
      <c r="N25" s="445">
        <f>IFERROR(__xludf.DUMMYFUNCTION("""COMPUTED_VALUE"""),0.5)</f>
        <v>0.5</v>
      </c>
    </row>
    <row r="26">
      <c r="A26" s="450" t="str">
        <f>IFERROR(__xludf.DUMMYFUNCTION("""COMPUTED_VALUE"""),"Наполеон")</f>
        <v>Наполеон</v>
      </c>
      <c r="B26" s="445">
        <f>IFERROR(__xludf.DUMMYFUNCTION("""COMPUTED_VALUE"""),0.4666666666666667)</f>
        <v>0.4666666667</v>
      </c>
      <c r="C26" s="422" t="str">
        <f>IFERROR(__xludf.DUMMYFUNCTION("""COMPUTED_VALUE"""),"Тихий закат")</f>
        <v>Тихий закат</v>
      </c>
      <c r="D26" s="445">
        <f>IFERROR(__xludf.DUMMYFUNCTION("""COMPUTED_VALUE"""),0.5)</f>
        <v>0.5</v>
      </c>
      <c r="E26" s="422" t="str">
        <f>IFERROR(__xludf.DUMMYFUNCTION("""COMPUTED_VALUE"""),"Градиент")</f>
        <v>Градиент</v>
      </c>
      <c r="F26" s="445">
        <f>IFERROR(__xludf.DUMMYFUNCTION("""COMPUTED_VALUE"""),0.5)</f>
        <v>0.5</v>
      </c>
      <c r="G26" s="422" t="str">
        <f>IFERROR(__xludf.DUMMYFUNCTION("""COMPUTED_VALUE"""),"Cristo")</f>
        <v>Cristo</v>
      </c>
      <c r="H26" s="445">
        <f>IFERROR(__xludf.DUMMYFUNCTION("""COMPUTED_VALUE"""),0.5)</f>
        <v>0.5</v>
      </c>
      <c r="I26" s="422" t="str">
        <f>IFERROR(__xludf.DUMMYFUNCTION("""COMPUTED_VALUE"""),"Аш")</f>
        <v>Аш</v>
      </c>
      <c r="J26" s="445">
        <f>IFERROR(__xludf.DUMMYFUNCTION("""COMPUTED_VALUE"""),0.0)</f>
        <v>0</v>
      </c>
      <c r="K26" s="422" t="str">
        <f>IFERROR(__xludf.DUMMYFUNCTION("""COMPUTED_VALUE"""),"Левша")</f>
        <v>Левша</v>
      </c>
      <c r="L26" s="445">
        <f>IFERROR(__xludf.DUMMYFUNCTION("""COMPUTED_VALUE"""),0.25)</f>
        <v>0.25</v>
      </c>
      <c r="M26" s="422" t="str">
        <f>IFERROR(__xludf.DUMMYFUNCTION("""COMPUTED_VALUE"""),"A1 ")</f>
        <v>A1 </v>
      </c>
      <c r="N26" s="445">
        <f>IFERROR(__xludf.DUMMYFUNCTION("""COMPUTED_VALUE"""),0.4666666666666667)</f>
        <v>0.4666666667</v>
      </c>
    </row>
    <row r="27">
      <c r="A27" s="450" t="str">
        <f>IFERROR(__xludf.DUMMYFUNCTION("""COMPUTED_VALUE"""),"Продюсер")</f>
        <v>Продюсер</v>
      </c>
      <c r="B27" s="445">
        <f>IFERROR(__xludf.DUMMYFUNCTION("""COMPUTED_VALUE"""),0.4666666666666667)</f>
        <v>0.4666666667</v>
      </c>
      <c r="C27" s="422" t="str">
        <f>IFERROR(__xludf.DUMMYFUNCTION("""COMPUTED_VALUE"""),"A1 ")</f>
        <v>A1 </v>
      </c>
      <c r="D27" s="445">
        <f>IFERROR(__xludf.DUMMYFUNCTION("""COMPUTED_VALUE"""),0.5)</f>
        <v>0.5</v>
      </c>
      <c r="E27" s="422" t="str">
        <f>IFERROR(__xludf.DUMMYFUNCTION("""COMPUTED_VALUE"""),"Инсомнич")</f>
        <v>Инсомнич</v>
      </c>
      <c r="F27" s="445">
        <f>IFERROR(__xludf.DUMMYFUNCTION("""COMPUTED_VALUE"""),0.5)</f>
        <v>0.5</v>
      </c>
      <c r="G27" s="422" t="str">
        <f>IFERROR(__xludf.DUMMYFUNCTION("""COMPUTED_VALUE"""),"Curly")</f>
        <v>Curly</v>
      </c>
      <c r="H27" s="445">
        <f>IFERROR(__xludf.DUMMYFUNCTION("""COMPUTED_VALUE"""),0.5)</f>
        <v>0.5</v>
      </c>
      <c r="I27" s="422" t="str">
        <f>IFERROR(__xludf.DUMMYFUNCTION("""COMPUTED_VALUE"""),"Волга")</f>
        <v>Волга</v>
      </c>
      <c r="J27" s="445">
        <f>IFERROR(__xludf.DUMMYFUNCTION("""COMPUTED_VALUE"""),0.0)</f>
        <v>0</v>
      </c>
      <c r="K27" s="422" t="str">
        <f>IFERROR(__xludf.DUMMYFUNCTION("""COMPUTED_VALUE"""),"Админ")</f>
        <v>Админ</v>
      </c>
      <c r="L27" s="445">
        <f>IFERROR(__xludf.DUMMYFUNCTION("""COMPUTED_VALUE"""),0.0)</f>
        <v>0</v>
      </c>
      <c r="M27" s="422" t="str">
        <f>IFERROR(__xludf.DUMMYFUNCTION("""COMPUTED_VALUE"""),"Мишель ")</f>
        <v>Мишель </v>
      </c>
      <c r="N27" s="445">
        <f>IFERROR(__xludf.DUMMYFUNCTION("""COMPUTED_VALUE"""),0.46153846153846156)</f>
        <v>0.4615384615</v>
      </c>
    </row>
    <row r="28">
      <c r="A28" s="450" t="str">
        <f>IFERROR(__xludf.DUMMYFUNCTION("""COMPUTED_VALUE"""),"Тихий закат")</f>
        <v>Тихий закат</v>
      </c>
      <c r="B28" s="445">
        <f>IFERROR(__xludf.DUMMYFUNCTION("""COMPUTED_VALUE"""),0.4666666666666667)</f>
        <v>0.4666666667</v>
      </c>
      <c r="C28" s="422" t="str">
        <f>IFERROR(__xludf.DUMMYFUNCTION("""COMPUTED_VALUE"""),"Наполеон")</f>
        <v>Наполеон</v>
      </c>
      <c r="D28" s="445">
        <f>IFERROR(__xludf.DUMMYFUNCTION("""COMPUTED_VALUE"""),0.4444444444444444)</f>
        <v>0.4444444444</v>
      </c>
      <c r="E28" s="422" t="str">
        <f>IFERROR(__xludf.DUMMYFUNCTION("""COMPUTED_VALUE"""),"Марго")</f>
        <v>Марго</v>
      </c>
      <c r="F28" s="445">
        <f>IFERROR(__xludf.DUMMYFUNCTION("""COMPUTED_VALUE"""),0.5)</f>
        <v>0.5</v>
      </c>
      <c r="G28" s="422" t="str">
        <f>IFERROR(__xludf.DUMMYFUNCTION("""COMPUTED_VALUE"""),"Infinity ")</f>
        <v>Infinity </v>
      </c>
      <c r="H28" s="445">
        <f>IFERROR(__xludf.DUMMYFUNCTION("""COMPUTED_VALUE"""),0.5)</f>
        <v>0.5</v>
      </c>
      <c r="I28" s="422" t="str">
        <f>IFERROR(__xludf.DUMMYFUNCTION("""COMPUTED_VALUE"""),"Дровосек")</f>
        <v>Дровосек</v>
      </c>
      <c r="J28" s="445">
        <f>IFERROR(__xludf.DUMMYFUNCTION("""COMPUTED_VALUE"""),0.0)</f>
        <v>0</v>
      </c>
      <c r="K28" s="422" t="str">
        <f>IFERROR(__xludf.DUMMYFUNCTION("""COMPUTED_VALUE"""),"Артик")</f>
        <v>Артик</v>
      </c>
      <c r="L28" s="445">
        <f>IFERROR(__xludf.DUMMYFUNCTION("""COMPUTED_VALUE"""),0.0)</f>
        <v>0</v>
      </c>
      <c r="M28" s="422" t="str">
        <f>IFERROR(__xludf.DUMMYFUNCTION("""COMPUTED_VALUE"""),"Шпиц")</f>
        <v>Шпиц</v>
      </c>
      <c r="N28" s="445">
        <f>IFERROR(__xludf.DUMMYFUNCTION("""COMPUTED_VALUE"""),0.45454545454545453)</f>
        <v>0.4545454545</v>
      </c>
    </row>
    <row r="29">
      <c r="A29" s="450" t="str">
        <f>IFERROR(__xludf.DUMMYFUNCTION("""COMPUTED_VALUE"""),"A1 ")</f>
        <v>A1 </v>
      </c>
      <c r="B29" s="445">
        <f>IFERROR(__xludf.DUMMYFUNCTION("""COMPUTED_VALUE"""),0.4666666666666667)</f>
        <v>0.4666666667</v>
      </c>
      <c r="C29" s="422" t="str">
        <f>IFERROR(__xludf.DUMMYFUNCTION("""COMPUTED_VALUE"""),"Light")</f>
        <v>Light</v>
      </c>
      <c r="D29" s="445">
        <f>IFERROR(__xludf.DUMMYFUNCTION("""COMPUTED_VALUE"""),0.4444444444444444)</f>
        <v>0.4444444444</v>
      </c>
      <c r="E29" s="422" t="str">
        <f>IFERROR(__xludf.DUMMYFUNCTION("""COMPUTED_VALUE"""),"Наполеон")</f>
        <v>Наполеон</v>
      </c>
      <c r="F29" s="445">
        <f>IFERROR(__xludf.DUMMYFUNCTION("""COMPUTED_VALUE"""),0.5)</f>
        <v>0.5</v>
      </c>
      <c r="G29" s="422" t="str">
        <f>IFERROR(__xludf.DUMMYFUNCTION("""COMPUTED_VALUE"""),"Продюсер")</f>
        <v>Продюсер</v>
      </c>
      <c r="H29" s="445">
        <f>IFERROR(__xludf.DUMMYFUNCTION("""COMPUTED_VALUE"""),0.42857142857142855)</f>
        <v>0.4285714286</v>
      </c>
      <c r="I29" s="422" t="str">
        <f>IFERROR(__xludf.DUMMYFUNCTION("""COMPUTED_VALUE"""),"Зверюга")</f>
        <v>Зверюга</v>
      </c>
      <c r="J29" s="445">
        <f>IFERROR(__xludf.DUMMYFUNCTION("""COMPUTED_VALUE"""),0.0)</f>
        <v>0</v>
      </c>
      <c r="K29" s="422" t="str">
        <f>IFERROR(__xludf.DUMMYFUNCTION("""COMPUTED_VALUE"""),"Астория")</f>
        <v>Астория</v>
      </c>
      <c r="L29" s="445">
        <f>IFERROR(__xludf.DUMMYFUNCTION("""COMPUTED_VALUE"""),0.0)</f>
        <v>0</v>
      </c>
      <c r="M29" s="422" t="str">
        <f>IFERROR(__xludf.DUMMYFUNCTION("""COMPUTED_VALUE"""),"Stacy")</f>
        <v>Stacy</v>
      </c>
      <c r="N29" s="445">
        <f>IFERROR(__xludf.DUMMYFUNCTION("""COMPUTED_VALUE"""),0.45454545454545453)</f>
        <v>0.4545454545</v>
      </c>
    </row>
    <row r="30">
      <c r="A30" s="450" t="str">
        <f>IFERROR(__xludf.DUMMYFUNCTION("""COMPUTED_VALUE"""),"Helga")</f>
        <v>Helga</v>
      </c>
      <c r="B30" s="445">
        <f>IFERROR(__xludf.DUMMYFUNCTION("""COMPUTED_VALUE"""),0.4666666666666667)</f>
        <v>0.4666666667</v>
      </c>
      <c r="C30" s="422" t="str">
        <f>IFERROR(__xludf.DUMMYFUNCTION("""COMPUTED_VALUE"""),"Мишель ")</f>
        <v>Мишель </v>
      </c>
      <c r="D30" s="445">
        <f>IFERROR(__xludf.DUMMYFUNCTION("""COMPUTED_VALUE"""),0.42857142857142855)</f>
        <v>0.4285714286</v>
      </c>
      <c r="E30" s="422" t="str">
        <f>IFERROR(__xludf.DUMMYFUNCTION("""COMPUTED_VALUE"""),"Панда из Руанды")</f>
        <v>Панда из Руанды</v>
      </c>
      <c r="F30" s="445">
        <f>IFERROR(__xludf.DUMMYFUNCTION("""COMPUTED_VALUE"""),0.5)</f>
        <v>0.5</v>
      </c>
      <c r="G30" s="422" t="str">
        <f>IFERROR(__xludf.DUMMYFUNCTION("""COMPUTED_VALUE"""),"Young")</f>
        <v>Young</v>
      </c>
      <c r="H30" s="445">
        <f>IFERROR(__xludf.DUMMYFUNCTION("""COMPUTED_VALUE"""),0.42857142857142855)</f>
        <v>0.4285714286</v>
      </c>
      <c r="I30" s="422" t="str">
        <f>IFERROR(__xludf.DUMMYFUNCTION("""COMPUTED_VALUE"""),"Инсомнич")</f>
        <v>Инсомнич</v>
      </c>
      <c r="J30" s="445">
        <f>IFERROR(__xludf.DUMMYFUNCTION("""COMPUTED_VALUE"""),0.0)</f>
        <v>0</v>
      </c>
      <c r="K30" s="422" t="str">
        <f>IFERROR(__xludf.DUMMYFUNCTION("""COMPUTED_VALUE"""),"Аш")</f>
        <v>Аш</v>
      </c>
      <c r="L30" s="445">
        <f>IFERROR(__xludf.DUMMYFUNCTION("""COMPUTED_VALUE"""),0.0)</f>
        <v>0</v>
      </c>
      <c r="M30" s="422" t="str">
        <f>IFERROR(__xludf.DUMMYFUNCTION("""COMPUTED_VALUE"""),"Наполеон")</f>
        <v>Наполеон</v>
      </c>
      <c r="N30" s="445">
        <f>IFERROR(__xludf.DUMMYFUNCTION("""COMPUTED_VALUE"""),0.4444444444444444)</f>
        <v>0.4444444444</v>
      </c>
    </row>
    <row r="31">
      <c r="A31" s="450" t="str">
        <f>IFERROR(__xludf.DUMMYFUNCTION("""COMPUTED_VALUE"""),"Light")</f>
        <v>Light</v>
      </c>
      <c r="B31" s="445">
        <f>IFERROR(__xludf.DUMMYFUNCTION("""COMPUTED_VALUE"""),0.4666666666666667)</f>
        <v>0.4666666667</v>
      </c>
      <c r="C31" s="422" t="str">
        <f>IFERROR(__xludf.DUMMYFUNCTION("""COMPUTED_VALUE"""),"Шпиц")</f>
        <v>Шпиц</v>
      </c>
      <c r="D31" s="445">
        <f>IFERROR(__xludf.DUMMYFUNCTION("""COMPUTED_VALUE"""),0.4166666666666667)</f>
        <v>0.4166666667</v>
      </c>
      <c r="E31" s="422" t="str">
        <f>IFERROR(__xludf.DUMMYFUNCTION("""COMPUTED_VALUE"""),"Coach")</f>
        <v>Coach</v>
      </c>
      <c r="F31" s="445">
        <f>IFERROR(__xludf.DUMMYFUNCTION("""COMPUTED_VALUE"""),0.5)</f>
        <v>0.5</v>
      </c>
      <c r="G31" s="422" t="str">
        <f>IFERROR(__xludf.DUMMYFUNCTION("""COMPUTED_VALUE"""),"Градиент")</f>
        <v>Градиент</v>
      </c>
      <c r="H31" s="445">
        <f>IFERROR(__xludf.DUMMYFUNCTION("""COMPUTED_VALUE"""),0.4)</f>
        <v>0.4</v>
      </c>
      <c r="I31" s="422" t="str">
        <f>IFERROR(__xludf.DUMMYFUNCTION("""COMPUTED_VALUE"""),"Красавчик")</f>
        <v>Красавчик</v>
      </c>
      <c r="J31" s="445">
        <f>IFERROR(__xludf.DUMMYFUNCTION("""COMPUTED_VALUE"""),0.0)</f>
        <v>0</v>
      </c>
      <c r="K31" s="422" t="str">
        <f>IFERROR(__xludf.DUMMYFUNCTION("""COMPUTED_VALUE"""),"Инсомнич")</f>
        <v>Инсомнич</v>
      </c>
      <c r="L31" s="445">
        <f>IFERROR(__xludf.DUMMYFUNCTION("""COMPUTED_VALUE"""),0.0)</f>
        <v>0</v>
      </c>
      <c r="M31" s="422" t="str">
        <f>IFERROR(__xludf.DUMMYFUNCTION("""COMPUTED_VALUE"""),"Правда ")</f>
        <v>Правда </v>
      </c>
      <c r="N31" s="445">
        <f>IFERROR(__xludf.DUMMYFUNCTION("""COMPUTED_VALUE"""),0.42857142857142855)</f>
        <v>0.4285714286</v>
      </c>
    </row>
    <row r="32">
      <c r="A32" s="450" t="str">
        <f>IFERROR(__xludf.DUMMYFUNCTION("""COMPUTED_VALUE"""),"Волга")</f>
        <v>Волга</v>
      </c>
      <c r="B32" s="445">
        <f>IFERROR(__xludf.DUMMYFUNCTION("""COMPUTED_VALUE"""),0.4)</f>
        <v>0.4</v>
      </c>
      <c r="C32" s="422" t="str">
        <f>IFERROR(__xludf.DUMMYFUNCTION("""COMPUTED_VALUE"""),"Юрия")</f>
        <v>Юрия</v>
      </c>
      <c r="D32" s="445">
        <f>IFERROR(__xludf.DUMMYFUNCTION("""COMPUTED_VALUE"""),0.4)</f>
        <v>0.4</v>
      </c>
      <c r="E32" s="422" t="str">
        <f>IFERROR(__xludf.DUMMYFUNCTION("""COMPUTED_VALUE"""),"Физик")</f>
        <v>Физик</v>
      </c>
      <c r="F32" s="445">
        <f>IFERROR(__xludf.DUMMYFUNCTION("""COMPUTED_VALUE"""),0.5)</f>
        <v>0.5</v>
      </c>
      <c r="G32" s="422" t="str">
        <f>IFERROR(__xludf.DUMMYFUNCTION("""COMPUTED_VALUE"""),"A1 ")</f>
        <v>A1 </v>
      </c>
      <c r="H32" s="445">
        <f>IFERROR(__xludf.DUMMYFUNCTION("""COMPUTED_VALUE"""),0.4)</f>
        <v>0.4</v>
      </c>
      <c r="I32" s="422" t="str">
        <f>IFERROR(__xludf.DUMMYFUNCTION("""COMPUTED_VALUE"""),"Крестный отец (BLR)")</f>
        <v>Крестный отец (BLR)</v>
      </c>
      <c r="J32" s="445">
        <f>IFERROR(__xludf.DUMMYFUNCTION("""COMPUTED_VALUE"""),0.0)</f>
        <v>0</v>
      </c>
      <c r="K32" s="422" t="str">
        <f>IFERROR(__xludf.DUMMYFUNCTION("""COMPUTED_VALUE"""),"Крёстный Отец (RU)")</f>
        <v>Крёстный Отец (RU)</v>
      </c>
      <c r="L32" s="445">
        <f>IFERROR(__xludf.DUMMYFUNCTION("""COMPUTED_VALUE"""),0.0)</f>
        <v>0</v>
      </c>
      <c r="M32" s="422" t="str">
        <f>IFERROR(__xludf.DUMMYFUNCTION("""COMPUTED_VALUE"""),"Крот")</f>
        <v>Крот</v>
      </c>
      <c r="N32" s="445">
        <f>IFERROR(__xludf.DUMMYFUNCTION("""COMPUTED_VALUE"""),0.4)</f>
        <v>0.4</v>
      </c>
    </row>
    <row r="33">
      <c r="A33" s="450" t="str">
        <f>IFERROR(__xludf.DUMMYFUNCTION("""COMPUTED_VALUE"""),"Манекен")</f>
        <v>Манекен</v>
      </c>
      <c r="B33" s="445">
        <f>IFERROR(__xludf.DUMMYFUNCTION("""COMPUTED_VALUE"""),0.4)</f>
        <v>0.4</v>
      </c>
      <c r="C33" s="422" t="str">
        <f>IFERROR(__xludf.DUMMYFUNCTION("""COMPUTED_VALUE"""),"GALAY")</f>
        <v>GALAY</v>
      </c>
      <c r="D33" s="445">
        <f>IFERROR(__xludf.DUMMYFUNCTION("""COMPUTED_VALUE"""),0.4)</f>
        <v>0.4</v>
      </c>
      <c r="E33" s="422" t="str">
        <f>IFERROR(__xludf.DUMMYFUNCTION("""COMPUTED_VALUE"""),"Alice ")</f>
        <v>Alice </v>
      </c>
      <c r="F33" s="445">
        <f>IFERROR(__xludf.DUMMYFUNCTION("""COMPUTED_VALUE"""),0.5)</f>
        <v>0.5</v>
      </c>
      <c r="G33" s="422" t="str">
        <f>IFERROR(__xludf.DUMMYFUNCTION("""COMPUTED_VALUE"""),"Крот")</f>
        <v>Крот</v>
      </c>
      <c r="H33" s="445">
        <f>IFERROR(__xludf.DUMMYFUNCTION("""COMPUTED_VALUE"""),0.375)</f>
        <v>0.375</v>
      </c>
      <c r="I33" s="422" t="str">
        <f>IFERROR(__xludf.DUMMYFUNCTION("""COMPUTED_VALUE"""),"Крёстный Отец (RU)")</f>
        <v>Крёстный Отец (RU)</v>
      </c>
      <c r="J33" s="445">
        <f>IFERROR(__xludf.DUMMYFUNCTION("""COMPUTED_VALUE"""),0.0)</f>
        <v>0</v>
      </c>
      <c r="K33" s="422" t="str">
        <f>IFERROR(__xludf.DUMMYFUNCTION("""COMPUTED_VALUE"""),"Крот")</f>
        <v>Крот</v>
      </c>
      <c r="L33" s="445">
        <f>IFERROR(__xludf.DUMMYFUNCTION("""COMPUTED_VALUE"""),0.0)</f>
        <v>0</v>
      </c>
      <c r="M33" s="422" t="str">
        <f>IFERROR(__xludf.DUMMYFUNCTION("""COMPUTED_VALUE"""),"Юрия")</f>
        <v>Юрия</v>
      </c>
      <c r="N33" s="445">
        <f>IFERROR(__xludf.DUMMYFUNCTION("""COMPUTED_VALUE"""),0.4)</f>
        <v>0.4</v>
      </c>
    </row>
    <row r="34">
      <c r="A34" s="450" t="str">
        <f>IFERROR(__xludf.DUMMYFUNCTION("""COMPUTED_VALUE"""),"Марго")</f>
        <v>Марго</v>
      </c>
      <c r="B34" s="445">
        <f>IFERROR(__xludf.DUMMYFUNCTION("""COMPUTED_VALUE"""),0.4)</f>
        <v>0.4</v>
      </c>
      <c r="C34" s="422" t="str">
        <f>IFERROR(__xludf.DUMMYFUNCTION("""COMPUTED_VALUE"""),"Марго")</f>
        <v>Марго</v>
      </c>
      <c r="D34" s="445">
        <f>IFERROR(__xludf.DUMMYFUNCTION("""COMPUTED_VALUE"""),0.375)</f>
        <v>0.375</v>
      </c>
      <c r="E34" s="422" t="str">
        <f>IFERROR(__xludf.DUMMYFUNCTION("""COMPUTED_VALUE"""),"Light")</f>
        <v>Light</v>
      </c>
      <c r="F34" s="445">
        <f>IFERROR(__xludf.DUMMYFUNCTION("""COMPUTED_VALUE"""),0.5)</f>
        <v>0.5</v>
      </c>
      <c r="G34" s="422" t="str">
        <f>IFERROR(__xludf.DUMMYFUNCTION("""COMPUTED_VALUE"""),"Левша")</f>
        <v>Левша</v>
      </c>
      <c r="H34" s="445">
        <f>IFERROR(__xludf.DUMMYFUNCTION("""COMPUTED_VALUE"""),0.3333333333333333)</f>
        <v>0.3333333333</v>
      </c>
      <c r="I34" s="422" t="str">
        <f>IFERROR(__xludf.DUMMYFUNCTION("""COMPUTED_VALUE"""),"Крот")</f>
        <v>Крот</v>
      </c>
      <c r="J34" s="445">
        <f>IFERROR(__xludf.DUMMYFUNCTION("""COMPUTED_VALUE"""),0.0)</f>
        <v>0</v>
      </c>
      <c r="K34" s="422" t="str">
        <f>IFERROR(__xludf.DUMMYFUNCTION("""COMPUTED_VALUE"""),"Лисичка")</f>
        <v>Лисичка</v>
      </c>
      <c r="L34" s="445">
        <f>IFERROR(__xludf.DUMMYFUNCTION("""COMPUTED_VALUE"""),0.0)</f>
        <v>0</v>
      </c>
      <c r="M34" s="422" t="str">
        <f>IFERROR(__xludf.DUMMYFUNCTION("""COMPUTED_VALUE"""),"Bublik")</f>
        <v>Bublik</v>
      </c>
      <c r="N34" s="445">
        <f>IFERROR(__xludf.DUMMYFUNCTION("""COMPUTED_VALUE"""),0.4)</f>
        <v>0.4</v>
      </c>
    </row>
    <row r="35">
      <c r="A35" s="450" t="str">
        <f>IFERROR(__xludf.DUMMYFUNCTION("""COMPUTED_VALUE"""),"Физик")</f>
        <v>Физик</v>
      </c>
      <c r="B35" s="445">
        <f>IFERROR(__xludf.DUMMYFUNCTION("""COMPUTED_VALUE"""),0.4)</f>
        <v>0.4</v>
      </c>
      <c r="C35" s="422" t="str">
        <f>IFERROR(__xludf.DUMMYFUNCTION("""COMPUTED_VALUE"""),"Alice ")</f>
        <v>Alice </v>
      </c>
      <c r="D35" s="445">
        <f>IFERROR(__xludf.DUMMYFUNCTION("""COMPUTED_VALUE"""),0.35714285714285715)</f>
        <v>0.3571428571</v>
      </c>
      <c r="E35" s="422" t="str">
        <f>IFERROR(__xludf.DUMMYFUNCTION("""COMPUTED_VALUE"""),"Продюсер")</f>
        <v>Продюсер</v>
      </c>
      <c r="F35" s="445">
        <f>IFERROR(__xludf.DUMMYFUNCTION("""COMPUTED_VALUE"""),0.42857142857142855)</f>
        <v>0.4285714286</v>
      </c>
      <c r="G35" s="422" t="str">
        <f>IFERROR(__xludf.DUMMYFUNCTION("""COMPUTED_VALUE"""),"Правда ")</f>
        <v>Правда </v>
      </c>
      <c r="H35" s="445">
        <f>IFERROR(__xludf.DUMMYFUNCTION("""COMPUTED_VALUE"""),0.3333333333333333)</f>
        <v>0.3333333333</v>
      </c>
      <c r="I35" s="422" t="str">
        <f>IFERROR(__xludf.DUMMYFUNCTION("""COMPUTED_VALUE"""),"Левша")</f>
        <v>Левша</v>
      </c>
      <c r="J35" s="445">
        <f>IFERROR(__xludf.DUMMYFUNCTION("""COMPUTED_VALUE"""),0.0)</f>
        <v>0</v>
      </c>
      <c r="K35" s="422" t="str">
        <f>IFERROR(__xludf.DUMMYFUNCTION("""COMPUTED_VALUE"""),"Маваши")</f>
        <v>Маваши</v>
      </c>
      <c r="L35" s="445">
        <f>IFERROR(__xludf.DUMMYFUNCTION("""COMPUTED_VALUE"""),0.0)</f>
        <v>0</v>
      </c>
      <c r="M35" s="422" t="str">
        <f>IFERROR(__xludf.DUMMYFUNCTION("""COMPUTED_VALUE"""),"GALAY")</f>
        <v>GALAY</v>
      </c>
      <c r="N35" s="445">
        <f>IFERROR(__xludf.DUMMYFUNCTION("""COMPUTED_VALUE"""),0.3888888888888889)</f>
        <v>0.3888888889</v>
      </c>
    </row>
    <row r="36">
      <c r="A36" s="450" t="str">
        <f>IFERROR(__xludf.DUMMYFUNCTION("""COMPUTED_VALUE"""),"Юрия")</f>
        <v>Юрия</v>
      </c>
      <c r="B36" s="445">
        <f>IFERROR(__xludf.DUMMYFUNCTION("""COMPUTED_VALUE"""),0.4)</f>
        <v>0.4</v>
      </c>
      <c r="C36" s="422" t="str">
        <f>IFERROR(__xludf.DUMMYFUNCTION("""COMPUTED_VALUE"""),"Правда ")</f>
        <v>Правда </v>
      </c>
      <c r="D36" s="445">
        <f>IFERROR(__xludf.DUMMYFUNCTION("""COMPUTED_VALUE"""),0.3333333333333333)</f>
        <v>0.3333333333</v>
      </c>
      <c r="E36" s="422" t="str">
        <f>IFERROR(__xludf.DUMMYFUNCTION("""COMPUTED_VALUE"""),"Тихий закат")</f>
        <v>Тихий закат</v>
      </c>
      <c r="F36" s="445">
        <f>IFERROR(__xludf.DUMMYFUNCTION("""COMPUTED_VALUE"""),0.42857142857142855)</f>
        <v>0.4285714286</v>
      </c>
      <c r="G36" s="422" t="str">
        <f>IFERROR(__xludf.DUMMYFUNCTION("""COMPUTED_VALUE"""),"GALAY")</f>
        <v>GALAY</v>
      </c>
      <c r="H36" s="445">
        <f>IFERROR(__xludf.DUMMYFUNCTION("""COMPUTED_VALUE"""),0.3333333333333333)</f>
        <v>0.3333333333</v>
      </c>
      <c r="I36" s="422" t="str">
        <f>IFERROR(__xludf.DUMMYFUNCTION("""COMPUTED_VALUE"""),"Маваши")</f>
        <v>Маваши</v>
      </c>
      <c r="J36" s="445">
        <f>IFERROR(__xludf.DUMMYFUNCTION("""COMPUTED_VALUE"""),0.0)</f>
        <v>0</v>
      </c>
      <c r="K36" s="422" t="str">
        <f>IFERROR(__xludf.DUMMYFUNCTION("""COMPUTED_VALUE"""),"Ментик")</f>
        <v>Ментик</v>
      </c>
      <c r="L36" s="445">
        <f>IFERROR(__xludf.DUMMYFUNCTION("""COMPUTED_VALUE"""),0.0)</f>
        <v>0</v>
      </c>
      <c r="M36" s="422" t="str">
        <f>IFERROR(__xludf.DUMMYFUNCTION("""COMPUTED_VALUE"""),"Писатель ")</f>
        <v>Писатель </v>
      </c>
      <c r="N36" s="445">
        <f>IFERROR(__xludf.DUMMYFUNCTION("""COMPUTED_VALUE"""),0.375)</f>
        <v>0.375</v>
      </c>
    </row>
    <row r="37">
      <c r="A37" s="450" t="str">
        <f>IFERROR(__xludf.DUMMYFUNCTION("""COMPUTED_VALUE"""),"Alice ")</f>
        <v>Alice </v>
      </c>
      <c r="B37" s="445">
        <f>IFERROR(__xludf.DUMMYFUNCTION("""COMPUTED_VALUE"""),0.4)</f>
        <v>0.4</v>
      </c>
      <c r="C37" s="422" t="str">
        <f>IFERROR(__xludf.DUMMYFUNCTION("""COMPUTED_VALUE"""),"Физик")</f>
        <v>Физик</v>
      </c>
      <c r="D37" s="445">
        <f>IFERROR(__xludf.DUMMYFUNCTION("""COMPUTED_VALUE"""),0.3333333333333333)</f>
        <v>0.3333333333</v>
      </c>
      <c r="E37" s="422" t="str">
        <f>IFERROR(__xludf.DUMMYFUNCTION("""COMPUTED_VALUE"""),"Young")</f>
        <v>Young</v>
      </c>
      <c r="F37" s="445">
        <f>IFERROR(__xludf.DUMMYFUNCTION("""COMPUTED_VALUE"""),0.42857142857142855)</f>
        <v>0.4285714286</v>
      </c>
      <c r="G37" s="422" t="str">
        <f>IFERROR(__xludf.DUMMYFUNCTION("""COMPUTED_VALUE"""),"Ketamin")</f>
        <v>Ketamin</v>
      </c>
      <c r="H37" s="445">
        <f>IFERROR(__xludf.DUMMYFUNCTION("""COMPUTED_VALUE"""),0.3333333333333333)</f>
        <v>0.3333333333</v>
      </c>
      <c r="I37" s="422" t="str">
        <f>IFERROR(__xludf.DUMMYFUNCTION("""COMPUTED_VALUE"""),"Марго")</f>
        <v>Марго</v>
      </c>
      <c r="J37" s="445">
        <f>IFERROR(__xludf.DUMMYFUNCTION("""COMPUTED_VALUE"""),0.0)</f>
        <v>0</v>
      </c>
      <c r="K37" s="422" t="str">
        <f>IFERROR(__xludf.DUMMYFUNCTION("""COMPUTED_VALUE"""),"Мишель ")</f>
        <v>Мишель </v>
      </c>
      <c r="L37" s="445">
        <f>IFERROR(__xludf.DUMMYFUNCTION("""COMPUTED_VALUE"""),0.0)</f>
        <v>0</v>
      </c>
      <c r="M37" s="422" t="str">
        <f>IFERROR(__xludf.DUMMYFUNCTION("""COMPUTED_VALUE"""),"Castor Troy ")</f>
        <v>Castor Troy </v>
      </c>
      <c r="N37" s="445">
        <f>IFERROR(__xludf.DUMMYFUNCTION("""COMPUTED_VALUE"""),0.375)</f>
        <v>0.375</v>
      </c>
    </row>
    <row r="38">
      <c r="A38" s="450" t="str">
        <f>IFERROR(__xludf.DUMMYFUNCTION("""COMPUTED_VALUE"""),"Bublik")</f>
        <v>Bublik</v>
      </c>
      <c r="B38" s="445">
        <f>IFERROR(__xludf.DUMMYFUNCTION("""COMPUTED_VALUE"""),0.4)</f>
        <v>0.4</v>
      </c>
      <c r="C38" s="422" t="str">
        <f>IFERROR(__xludf.DUMMYFUNCTION("""COMPUTED_VALUE"""),"Castor Troy ")</f>
        <v>Castor Troy </v>
      </c>
      <c r="D38" s="445">
        <f>IFERROR(__xludf.DUMMYFUNCTION("""COMPUTED_VALUE"""),0.3333333333333333)</f>
        <v>0.3333333333</v>
      </c>
      <c r="E38" s="422" t="str">
        <f>IFERROR(__xludf.DUMMYFUNCTION("""COMPUTED_VALUE"""),"A1 ")</f>
        <v>A1 </v>
      </c>
      <c r="F38" s="445">
        <f>IFERROR(__xludf.DUMMYFUNCTION("""COMPUTED_VALUE"""),0.4166666666666667)</f>
        <v>0.4166666667</v>
      </c>
      <c r="G38" s="422" t="str">
        <f>IFERROR(__xludf.DUMMYFUNCTION("""COMPUTED_VALUE"""),"Rocket woman ")</f>
        <v>Rocket woman </v>
      </c>
      <c r="H38" s="445">
        <f>IFERROR(__xludf.DUMMYFUNCTION("""COMPUTED_VALUE"""),0.3333333333333333)</f>
        <v>0.3333333333</v>
      </c>
      <c r="I38" s="422" t="str">
        <f>IFERROR(__xludf.DUMMYFUNCTION("""COMPUTED_VALUE"""),"Ментик")</f>
        <v>Ментик</v>
      </c>
      <c r="J38" s="445">
        <f>IFERROR(__xludf.DUMMYFUNCTION("""COMPUTED_VALUE"""),0.0)</f>
        <v>0</v>
      </c>
      <c r="K38" s="422" t="str">
        <f>IFERROR(__xludf.DUMMYFUNCTION("""COMPUTED_VALUE"""),"Писатель ")</f>
        <v>Писатель </v>
      </c>
      <c r="L38" s="445">
        <f>IFERROR(__xludf.DUMMYFUNCTION("""COMPUTED_VALUE"""),0.0)</f>
        <v>0</v>
      </c>
      <c r="M38" s="422" t="str">
        <f>IFERROR(__xludf.DUMMYFUNCTION("""COMPUTED_VALUE"""),"Alice ")</f>
        <v>Alice </v>
      </c>
      <c r="N38" s="445">
        <f>IFERROR(__xludf.DUMMYFUNCTION("""COMPUTED_VALUE"""),0.35714285714285715)</f>
        <v>0.3571428571</v>
      </c>
    </row>
    <row r="39">
      <c r="A39" s="450" t="str">
        <f>IFERROR(__xludf.DUMMYFUNCTION("""COMPUTED_VALUE"""),"Castor Troy ")</f>
        <v>Castor Troy </v>
      </c>
      <c r="B39" s="445">
        <f>IFERROR(__xludf.DUMMYFUNCTION("""COMPUTED_VALUE"""),0.4)</f>
        <v>0.4</v>
      </c>
      <c r="C39" s="422" t="str">
        <f>IFERROR(__xludf.DUMMYFUNCTION("""COMPUTED_VALUE"""),"Helga")</f>
        <v>Helga</v>
      </c>
      <c r="D39" s="445">
        <f>IFERROR(__xludf.DUMMYFUNCTION("""COMPUTED_VALUE"""),0.3333333333333333)</f>
        <v>0.3333333333</v>
      </c>
      <c r="E39" s="422" t="str">
        <f>IFERROR(__xludf.DUMMYFUNCTION("""COMPUTED_VALUE"""),"Крот")</f>
        <v>Крот</v>
      </c>
      <c r="F39" s="445">
        <f>IFERROR(__xludf.DUMMYFUNCTION("""COMPUTED_VALUE"""),0.375)</f>
        <v>0.375</v>
      </c>
      <c r="G39" s="422" t="str">
        <f>IFERROR(__xludf.DUMMYFUNCTION("""COMPUTED_VALUE"""),"SOVEST")</f>
        <v>SOVEST</v>
      </c>
      <c r="H39" s="445">
        <f>IFERROR(__xludf.DUMMYFUNCTION("""COMPUTED_VALUE"""),0.3333333333333333)</f>
        <v>0.3333333333</v>
      </c>
      <c r="I39" s="422" t="str">
        <f>IFERROR(__xludf.DUMMYFUNCTION("""COMPUTED_VALUE"""),"Мишель ")</f>
        <v>Мишель </v>
      </c>
      <c r="J39" s="445">
        <f>IFERROR(__xludf.DUMMYFUNCTION("""COMPUTED_VALUE"""),0.0)</f>
        <v>0</v>
      </c>
      <c r="K39" s="422" t="str">
        <f>IFERROR(__xludf.DUMMYFUNCTION("""COMPUTED_VALUE"""),"Продюсер")</f>
        <v>Продюсер</v>
      </c>
      <c r="L39" s="445">
        <f>IFERROR(__xludf.DUMMYFUNCTION("""COMPUTED_VALUE"""),0.0)</f>
        <v>0</v>
      </c>
      <c r="M39" s="422" t="str">
        <f>IFERROR(__xludf.DUMMYFUNCTION("""COMPUTED_VALUE"""),"Продюсер")</f>
        <v>Продюсер</v>
      </c>
      <c r="N39" s="445">
        <f>IFERROR(__xludf.DUMMYFUNCTION("""COMPUTED_VALUE"""),0.3333333333333333)</f>
        <v>0.3333333333</v>
      </c>
    </row>
    <row r="40">
      <c r="A40" s="450" t="str">
        <f>IFERROR(__xludf.DUMMYFUNCTION("""COMPUTED_VALUE"""),"NLIP")</f>
        <v>NLIP</v>
      </c>
      <c r="B40" s="445">
        <f>IFERROR(__xludf.DUMMYFUNCTION("""COMPUTED_VALUE"""),0.4)</f>
        <v>0.4</v>
      </c>
      <c r="C40" s="422" t="str">
        <f>IFERROR(__xludf.DUMMYFUNCTION("""COMPUTED_VALUE"""),"Бамблби")</f>
        <v>Бамблби</v>
      </c>
      <c r="D40" s="445">
        <f>IFERROR(__xludf.DUMMYFUNCTION("""COMPUTED_VALUE"""),0.3076923076923077)</f>
        <v>0.3076923077</v>
      </c>
      <c r="E40" s="422" t="str">
        <f>IFERROR(__xludf.DUMMYFUNCTION("""COMPUTED_VALUE"""),"Правда ")</f>
        <v>Правда </v>
      </c>
      <c r="F40" s="445">
        <f>IFERROR(__xludf.DUMMYFUNCTION("""COMPUTED_VALUE"""),0.3333333333333333)</f>
        <v>0.3333333333</v>
      </c>
      <c r="G40" s="422" t="str">
        <f>IFERROR(__xludf.DUMMYFUNCTION("""COMPUTED_VALUE"""),"WhoIsWho")</f>
        <v>WhoIsWho</v>
      </c>
      <c r="H40" s="445">
        <f>IFERROR(__xludf.DUMMYFUNCTION("""COMPUTED_VALUE"""),0.3333333333333333)</f>
        <v>0.3333333333</v>
      </c>
      <c r="I40" s="422" t="str">
        <f>IFERROR(__xludf.DUMMYFUNCTION("""COMPUTED_VALUE"""),"Наполеон")</f>
        <v>Наполеон</v>
      </c>
      <c r="J40" s="445">
        <f>IFERROR(__xludf.DUMMYFUNCTION("""COMPUTED_VALUE"""),0.0)</f>
        <v>0</v>
      </c>
      <c r="K40" s="422" t="str">
        <f>IFERROR(__xludf.DUMMYFUNCTION("""COMPUTED_VALUE"""),"СЭНСЭЙ")</f>
        <v>СЭНСЭЙ</v>
      </c>
      <c r="L40" s="445">
        <f>IFERROR(__xludf.DUMMYFUNCTION("""COMPUTED_VALUE"""),0.0)</f>
        <v>0</v>
      </c>
      <c r="M40" s="422" t="str">
        <f>IFERROR(__xludf.DUMMYFUNCTION("""COMPUTED_VALUE"""),"Старый")</f>
        <v>Старый</v>
      </c>
      <c r="N40" s="445">
        <f>IFERROR(__xludf.DUMMYFUNCTION("""COMPUTED_VALUE"""),0.3333333333333333)</f>
        <v>0.3333333333</v>
      </c>
    </row>
    <row r="41">
      <c r="A41" s="450" t="str">
        <f>IFERROR(__xludf.DUMMYFUNCTION("""COMPUTED_VALUE"""),"SCHOKK ")</f>
        <v>SCHOKK </v>
      </c>
      <c r="B41" s="445">
        <f>IFERROR(__xludf.DUMMYFUNCTION("""COMPUTED_VALUE"""),0.4)</f>
        <v>0.4</v>
      </c>
      <c r="C41" s="422" t="str">
        <f>IFERROR(__xludf.DUMMYFUNCTION("""COMPUTED_VALUE"""),"Манекен")</f>
        <v>Манекен</v>
      </c>
      <c r="D41" s="445">
        <f>IFERROR(__xludf.DUMMYFUNCTION("""COMPUTED_VALUE"""),0.3076923076923077)</f>
        <v>0.3076923077</v>
      </c>
      <c r="E41" s="422" t="str">
        <f>IFERROR(__xludf.DUMMYFUNCTION("""COMPUTED_VALUE"""),"Infinity ")</f>
        <v>Infinity </v>
      </c>
      <c r="F41" s="445">
        <f>IFERROR(__xludf.DUMMYFUNCTION("""COMPUTED_VALUE"""),0.3333333333333333)</f>
        <v>0.3333333333</v>
      </c>
      <c r="G41" s="422" t="str">
        <f>IFERROR(__xludf.DUMMYFUNCTION("""COMPUTED_VALUE"""),"Авраам")</f>
        <v>Авраам</v>
      </c>
      <c r="H41" s="445">
        <f>IFERROR(__xludf.DUMMYFUNCTION("""COMPUTED_VALUE"""),0.0)</f>
        <v>0</v>
      </c>
      <c r="I41" s="422" t="str">
        <f>IFERROR(__xludf.DUMMYFUNCTION("""COMPUTED_VALUE"""),"Правда ")</f>
        <v>Правда </v>
      </c>
      <c r="J41" s="445">
        <f>IFERROR(__xludf.DUMMYFUNCTION("""COMPUTED_VALUE"""),0.0)</f>
        <v>0</v>
      </c>
      <c r="K41" s="422" t="str">
        <f>IFERROR(__xludf.DUMMYFUNCTION("""COMPUTED_VALUE"""),"Coach")</f>
        <v>Coach</v>
      </c>
      <c r="L41" s="445">
        <f>IFERROR(__xludf.DUMMYFUNCTION("""COMPUTED_VALUE"""),0.0)</f>
        <v>0</v>
      </c>
      <c r="M41" s="422" t="str">
        <f>IFERROR(__xludf.DUMMYFUNCTION("""COMPUTED_VALUE"""),"Helga")</f>
        <v>Helga</v>
      </c>
      <c r="N41" s="445">
        <f>IFERROR(__xludf.DUMMYFUNCTION("""COMPUTED_VALUE"""),0.3333333333333333)</f>
        <v>0.3333333333</v>
      </c>
    </row>
    <row r="42">
      <c r="A42" s="450" t="str">
        <f>IFERROR(__xludf.DUMMYFUNCTION("""COMPUTED_VALUE"""),"GALAY")</f>
        <v>GALAY</v>
      </c>
      <c r="B42" s="445">
        <f>IFERROR(__xludf.DUMMYFUNCTION("""COMPUTED_VALUE"""),0.36)</f>
        <v>0.36</v>
      </c>
      <c r="C42" s="422" t="str">
        <f>IFERROR(__xludf.DUMMYFUNCTION("""COMPUTED_VALUE"""),"NLIP")</f>
        <v>NLIP</v>
      </c>
      <c r="D42" s="445">
        <f>IFERROR(__xludf.DUMMYFUNCTION("""COMPUTED_VALUE"""),0.3)</f>
        <v>0.3</v>
      </c>
      <c r="E42" s="422" t="str">
        <f>IFERROR(__xludf.DUMMYFUNCTION("""COMPUTED_VALUE"""),"SOVEST")</f>
        <v>SOVEST</v>
      </c>
      <c r="F42" s="445">
        <f>IFERROR(__xludf.DUMMYFUNCTION("""COMPUTED_VALUE"""),0.3333333333333333)</f>
        <v>0.3333333333</v>
      </c>
      <c r="G42" s="422" t="str">
        <f>IFERROR(__xludf.DUMMYFUNCTION("""COMPUTED_VALUE"""),"Админ")</f>
        <v>Админ</v>
      </c>
      <c r="H42" s="445">
        <f>IFERROR(__xludf.DUMMYFUNCTION("""COMPUTED_VALUE"""),0.0)</f>
        <v>0</v>
      </c>
      <c r="I42" s="422" t="str">
        <f>IFERROR(__xludf.DUMMYFUNCTION("""COMPUTED_VALUE"""),"Старый")</f>
        <v>Старый</v>
      </c>
      <c r="J42" s="445">
        <f>IFERROR(__xludf.DUMMYFUNCTION("""COMPUTED_VALUE"""),0.0)</f>
        <v>0</v>
      </c>
      <c r="K42" s="422" t="str">
        <f>IFERROR(__xludf.DUMMYFUNCTION("""COMPUTED_VALUE"""),"Физик")</f>
        <v>Физик</v>
      </c>
      <c r="L42" s="445">
        <f>IFERROR(__xludf.DUMMYFUNCTION("""COMPUTED_VALUE"""),0.0)</f>
        <v>0</v>
      </c>
      <c r="M42" s="422" t="str">
        <f>IFERROR(__xludf.DUMMYFUNCTION("""COMPUTED_VALUE"""),"NLIP")</f>
        <v>NLIP</v>
      </c>
      <c r="N42" s="445">
        <f>IFERROR(__xludf.DUMMYFUNCTION("""COMPUTED_VALUE"""),0.3333333333333333)</f>
        <v>0.3333333333</v>
      </c>
    </row>
    <row r="43">
      <c r="A43" s="450" t="str">
        <f>IFERROR(__xludf.DUMMYFUNCTION("""COMPUTED_VALUE"""),"MSR")</f>
        <v>MSR</v>
      </c>
      <c r="B43" s="445">
        <f>IFERROR(__xludf.DUMMYFUNCTION("""COMPUTED_VALUE"""),0.35)</f>
        <v>0.35</v>
      </c>
      <c r="C43" s="422" t="str">
        <f>IFERROR(__xludf.DUMMYFUNCTION("""COMPUTED_VALUE"""),"MSR")</f>
        <v>MSR</v>
      </c>
      <c r="D43" s="445">
        <f>IFERROR(__xludf.DUMMYFUNCTION("""COMPUTED_VALUE"""),0.29411764705882354)</f>
        <v>0.2941176471</v>
      </c>
      <c r="E43" s="422" t="str">
        <f>IFERROR(__xludf.DUMMYFUNCTION("""COMPUTED_VALUE"""),"WhoIsWho")</f>
        <v>WhoIsWho</v>
      </c>
      <c r="F43" s="445">
        <f>IFERROR(__xludf.DUMMYFUNCTION("""COMPUTED_VALUE"""),0.3333333333333333)</f>
        <v>0.3333333333</v>
      </c>
      <c r="G43" s="422" t="str">
        <f>IFERROR(__xludf.DUMMYFUNCTION("""COMPUTED_VALUE"""),"Андерсен")</f>
        <v>Андерсен</v>
      </c>
      <c r="H43" s="445">
        <f>IFERROR(__xludf.DUMMYFUNCTION("""COMPUTED_VALUE"""),0.0)</f>
        <v>0</v>
      </c>
      <c r="I43" s="422" t="str">
        <f>IFERROR(__xludf.DUMMYFUNCTION("""COMPUTED_VALUE"""),"СЭНСЭЙ")</f>
        <v>СЭНСЭЙ</v>
      </c>
      <c r="J43" s="445">
        <f>IFERROR(__xludf.DUMMYFUNCTION("""COMPUTED_VALUE"""),0.0)</f>
        <v>0</v>
      </c>
      <c r="K43" s="422" t="str">
        <f>IFERROR(__xludf.DUMMYFUNCTION("""COMPUTED_VALUE"""),"Флэш")</f>
        <v>Флэш</v>
      </c>
      <c r="L43" s="445">
        <f>IFERROR(__xludf.DUMMYFUNCTION("""COMPUTED_VALUE"""),0.0)</f>
        <v>0</v>
      </c>
      <c r="M43" s="422" t="str">
        <f>IFERROR(__xludf.DUMMYFUNCTION("""COMPUTED_VALUE"""),"SCHOKK ")</f>
        <v>SCHOKK </v>
      </c>
      <c r="N43" s="445">
        <f>IFERROR(__xludf.DUMMYFUNCTION("""COMPUTED_VALUE"""),0.3333333333333333)</f>
        <v>0.3333333333</v>
      </c>
    </row>
    <row r="44">
      <c r="A44" s="450" t="str">
        <f>IFERROR(__xludf.DUMMYFUNCTION("""COMPUTED_VALUE"""),"Крот")</f>
        <v>Крот</v>
      </c>
      <c r="B44" s="445">
        <f>IFERROR(__xludf.DUMMYFUNCTION("""COMPUTED_VALUE"""),0.3333333333333333)</f>
        <v>0.3333333333</v>
      </c>
      <c r="C44" s="422" t="str">
        <f>IFERROR(__xludf.DUMMYFUNCTION("""COMPUTED_VALUE"""),"Крот")</f>
        <v>Крот</v>
      </c>
      <c r="D44" s="445">
        <f>IFERROR(__xludf.DUMMYFUNCTION("""COMPUTED_VALUE"""),0.2857142857142857)</f>
        <v>0.2857142857</v>
      </c>
      <c r="E44" s="422" t="str">
        <f>IFERROR(__xludf.DUMMYFUNCTION("""COMPUTED_VALUE"""),"Левша")</f>
        <v>Левша</v>
      </c>
      <c r="F44" s="445">
        <f>IFERROR(__xludf.DUMMYFUNCTION("""COMPUTED_VALUE"""),0.2857142857142857)</f>
        <v>0.2857142857</v>
      </c>
      <c r="G44" s="422" t="str">
        <f>IFERROR(__xludf.DUMMYFUNCTION("""COMPUTED_VALUE"""),"Астория")</f>
        <v>Астория</v>
      </c>
      <c r="H44" s="445">
        <f>IFERROR(__xludf.DUMMYFUNCTION("""COMPUTED_VALUE"""),0.0)</f>
        <v>0</v>
      </c>
      <c r="I44" s="422" t="str">
        <f>IFERROR(__xludf.DUMMYFUNCTION("""COMPUTED_VALUE"""),"Тихий закат")</f>
        <v>Тихий закат</v>
      </c>
      <c r="J44" s="445">
        <f>IFERROR(__xludf.DUMMYFUNCTION("""COMPUTED_VALUE"""),0.0)</f>
        <v>0</v>
      </c>
      <c r="K44" s="422" t="str">
        <f>IFERROR(__xludf.DUMMYFUNCTION("""COMPUTED_VALUE"""),"Фокс")</f>
        <v>Фокс</v>
      </c>
      <c r="L44" s="445">
        <f>IFERROR(__xludf.DUMMYFUNCTION("""COMPUTED_VALUE"""),0.0)</f>
        <v>0</v>
      </c>
      <c r="M44" s="422" t="str">
        <f>IFERROR(__xludf.DUMMYFUNCTION("""COMPUTED_VALUE"""),"MSR")</f>
        <v>MSR</v>
      </c>
      <c r="N44" s="445">
        <f>IFERROR(__xludf.DUMMYFUNCTION("""COMPUTED_VALUE"""),0.3125)</f>
        <v>0.3125</v>
      </c>
    </row>
    <row r="45">
      <c r="A45" s="450" t="str">
        <f>IFERROR(__xludf.DUMMYFUNCTION("""COMPUTED_VALUE"""),"Правда ")</f>
        <v>Правда </v>
      </c>
      <c r="B45" s="445">
        <f>IFERROR(__xludf.DUMMYFUNCTION("""COMPUTED_VALUE"""),0.3333333333333333)</f>
        <v>0.3333333333</v>
      </c>
      <c r="C45" s="422" t="str">
        <f>IFERROR(__xludf.DUMMYFUNCTION("""COMPUTED_VALUE"""),"WhoIsWho")</f>
        <v>WhoIsWho</v>
      </c>
      <c r="D45" s="445">
        <f>IFERROR(__xludf.DUMMYFUNCTION("""COMPUTED_VALUE"""),0.2857142857142857)</f>
        <v>0.2857142857</v>
      </c>
      <c r="E45" s="422" t="str">
        <f>IFERROR(__xludf.DUMMYFUNCTION("""COMPUTED_VALUE"""),"Rocket woman ")</f>
        <v>Rocket woman </v>
      </c>
      <c r="F45" s="445">
        <f>IFERROR(__xludf.DUMMYFUNCTION("""COMPUTED_VALUE"""),0.25)</f>
        <v>0.25</v>
      </c>
      <c r="G45" s="422" t="str">
        <f>IFERROR(__xludf.DUMMYFUNCTION("""COMPUTED_VALUE"""),"Аш")</f>
        <v>Аш</v>
      </c>
      <c r="H45" s="445">
        <f>IFERROR(__xludf.DUMMYFUNCTION("""COMPUTED_VALUE"""),0.0)</f>
        <v>0</v>
      </c>
      <c r="I45" s="422" t="str">
        <f>IFERROR(__xludf.DUMMYFUNCTION("""COMPUTED_VALUE"""),"Физик")</f>
        <v>Физик</v>
      </c>
      <c r="J45" s="445">
        <f>IFERROR(__xludf.DUMMYFUNCTION("""COMPUTED_VALUE"""),0.0)</f>
        <v>0</v>
      </c>
      <c r="K45" s="422" t="str">
        <f>IFERROR(__xludf.DUMMYFUNCTION("""COMPUTED_VALUE"""),"Шоу Бой")</f>
        <v>Шоу Бой</v>
      </c>
      <c r="L45" s="445">
        <f>IFERROR(__xludf.DUMMYFUNCTION("""COMPUTED_VALUE"""),0.0)</f>
        <v>0</v>
      </c>
      <c r="M45" s="422" t="str">
        <f>IFERROR(__xludf.DUMMYFUNCTION("""COMPUTED_VALUE"""),"Бамблби")</f>
        <v>Бамблби</v>
      </c>
      <c r="N45" s="445">
        <f>IFERROR(__xludf.DUMMYFUNCTION("""COMPUTED_VALUE"""),0.25)</f>
        <v>0.25</v>
      </c>
    </row>
    <row r="46">
      <c r="A46" s="450" t="str">
        <f>IFERROR(__xludf.DUMMYFUNCTION("""COMPUTED_VALUE"""),"Старый")</f>
        <v>Старый</v>
      </c>
      <c r="B46" s="445">
        <f>IFERROR(__xludf.DUMMYFUNCTION("""COMPUTED_VALUE"""),0.3)</f>
        <v>0.3</v>
      </c>
      <c r="C46" s="422" t="str">
        <f>IFERROR(__xludf.DUMMYFUNCTION("""COMPUTED_VALUE"""),"SCHOKK ")</f>
        <v>SCHOKK </v>
      </c>
      <c r="D46" s="445">
        <f>IFERROR(__xludf.DUMMYFUNCTION("""COMPUTED_VALUE"""),0.25)</f>
        <v>0.25</v>
      </c>
      <c r="E46" s="422" t="str">
        <f>IFERROR(__xludf.DUMMYFUNCTION("""COMPUTED_VALUE"""),"GALAY")</f>
        <v>GALAY</v>
      </c>
      <c r="F46" s="445">
        <f>IFERROR(__xludf.DUMMYFUNCTION("""COMPUTED_VALUE"""),0.2)</f>
        <v>0.2</v>
      </c>
      <c r="G46" s="422" t="str">
        <f>IFERROR(__xludf.DUMMYFUNCTION("""COMPUTED_VALUE"""),"Бамблби")</f>
        <v>Бамблби</v>
      </c>
      <c r="H46" s="445">
        <f>IFERROR(__xludf.DUMMYFUNCTION("""COMPUTED_VALUE"""),0.0)</f>
        <v>0</v>
      </c>
      <c r="I46" s="422" t="str">
        <f>IFERROR(__xludf.DUMMYFUNCTION("""COMPUTED_VALUE"""),"Флэш")</f>
        <v>Флэш</v>
      </c>
      <c r="J46" s="445">
        <f>IFERROR(__xludf.DUMMYFUNCTION("""COMPUTED_VALUE"""),0.0)</f>
        <v>0</v>
      </c>
      <c r="K46" s="422" t="str">
        <f>IFERROR(__xludf.DUMMYFUNCTION("""COMPUTED_VALUE"""),"Юрия")</f>
        <v>Юрия</v>
      </c>
      <c r="L46" s="445">
        <f>IFERROR(__xludf.DUMMYFUNCTION("""COMPUTED_VALUE"""),0.0)</f>
        <v>0</v>
      </c>
      <c r="M46" s="422" t="str">
        <f>IFERROR(__xludf.DUMMYFUNCTION("""COMPUTED_VALUE"""),"WhoIsWho")</f>
        <v>WhoIsWho</v>
      </c>
      <c r="N46" s="445">
        <f>IFERROR(__xludf.DUMMYFUNCTION("""COMPUTED_VALUE"""),0.25)</f>
        <v>0.25</v>
      </c>
    </row>
    <row r="47">
      <c r="A47" s="450" t="str">
        <f>IFERROR(__xludf.DUMMYFUNCTION("""COMPUTED_VALUE"""),"WhoIsWho")</f>
        <v>WhoIsWho</v>
      </c>
      <c r="B47" s="445">
        <f>IFERROR(__xludf.DUMMYFUNCTION("""COMPUTED_VALUE"""),0.3)</f>
        <v>0.3</v>
      </c>
      <c r="C47" s="422" t="str">
        <f>IFERROR(__xludf.DUMMYFUNCTION("""COMPUTED_VALUE"""),"Старый")</f>
        <v>Старый</v>
      </c>
      <c r="D47" s="445">
        <f>IFERROR(__xludf.DUMMYFUNCTION("""COMPUTED_VALUE"""),0.2222222222222222)</f>
        <v>0.2222222222</v>
      </c>
      <c r="E47" s="422" t="str">
        <f>IFERROR(__xludf.DUMMYFUNCTION("""COMPUTED_VALUE"""),"Ketamin")</f>
        <v>Ketamin</v>
      </c>
      <c r="F47" s="445">
        <f>IFERROR(__xludf.DUMMYFUNCTION("""COMPUTED_VALUE"""),0.16666666666666666)</f>
        <v>0.1666666667</v>
      </c>
      <c r="G47" s="422" t="str">
        <f>IFERROR(__xludf.DUMMYFUNCTION("""COMPUTED_VALUE"""),"Крестный отец (BLR)")</f>
        <v>Крестный отец (BLR)</v>
      </c>
      <c r="H47" s="445">
        <f>IFERROR(__xludf.DUMMYFUNCTION("""COMPUTED_VALUE"""),0.0)</f>
        <v>0</v>
      </c>
      <c r="I47" s="422" t="str">
        <f>IFERROR(__xludf.DUMMYFUNCTION("""COMPUTED_VALUE"""),"Фокс")</f>
        <v>Фокс</v>
      </c>
      <c r="J47" s="445">
        <f>IFERROR(__xludf.DUMMYFUNCTION("""COMPUTED_VALUE"""),0.0)</f>
        <v>0</v>
      </c>
      <c r="K47" s="422" t="str">
        <f>IFERROR(__xludf.DUMMYFUNCTION("""COMPUTED_VALUE"""),"Alice ")</f>
        <v>Alice </v>
      </c>
      <c r="L47" s="445">
        <f>IFERROR(__xludf.DUMMYFUNCTION("""COMPUTED_VALUE"""),0.0)</f>
        <v>0</v>
      </c>
      <c r="M47" s="422" t="str">
        <f>IFERROR(__xludf.DUMMYFUNCTION("""COMPUTED_VALUE"""),"Волга")</f>
        <v>Волга</v>
      </c>
      <c r="N47" s="445">
        <f>IFERROR(__xludf.DUMMYFUNCTION("""COMPUTED_VALUE"""),0.2222222222222222)</f>
        <v>0.2222222222</v>
      </c>
    </row>
    <row r="48">
      <c r="A48" s="450" t="str">
        <f>IFERROR(__xludf.DUMMYFUNCTION("""COMPUTED_VALUE"""),"Бамблби")</f>
        <v>Бамблби</v>
      </c>
      <c r="B48" s="445">
        <f>IFERROR(__xludf.DUMMYFUNCTION("""COMPUTED_VALUE"""),0.25)</f>
        <v>0.25</v>
      </c>
      <c r="C48" s="422" t="str">
        <f>IFERROR(__xludf.DUMMYFUNCTION("""COMPUTED_VALUE"""),"Волга")</f>
        <v>Волга</v>
      </c>
      <c r="D48" s="445">
        <f>IFERROR(__xludf.DUMMYFUNCTION("""COMPUTED_VALUE"""),0.2)</f>
        <v>0.2</v>
      </c>
      <c r="E48" s="422" t="str">
        <f>IFERROR(__xludf.DUMMYFUNCTION("""COMPUTED_VALUE"""),"Бамблби")</f>
        <v>Бамблби</v>
      </c>
      <c r="F48" s="445">
        <f>IFERROR(__xludf.DUMMYFUNCTION("""COMPUTED_VALUE"""),0.14285714285714285)</f>
        <v>0.1428571429</v>
      </c>
      <c r="G48" s="422" t="str">
        <f>IFERROR(__xludf.DUMMYFUNCTION("""COMPUTED_VALUE"""),"Крёстный Отец (RU)")</f>
        <v>Крёстный Отец (RU)</v>
      </c>
      <c r="H48" s="445">
        <f>IFERROR(__xludf.DUMMYFUNCTION("""COMPUTED_VALUE"""),0.0)</f>
        <v>0</v>
      </c>
      <c r="I48" s="422" t="str">
        <f>IFERROR(__xludf.DUMMYFUNCTION("""COMPUTED_VALUE"""),"Шоу Бой")</f>
        <v>Шоу Бой</v>
      </c>
      <c r="J48" s="445">
        <f>IFERROR(__xludf.DUMMYFUNCTION("""COMPUTED_VALUE"""),0.0)</f>
        <v>0</v>
      </c>
      <c r="K48" s="422" t="str">
        <f>IFERROR(__xludf.DUMMYFUNCTION("""COMPUTED_VALUE"""),"Bublik")</f>
        <v>Bublik</v>
      </c>
      <c r="L48" s="445">
        <f>IFERROR(__xludf.DUMMYFUNCTION("""COMPUTED_VALUE"""),0.0)</f>
        <v>0</v>
      </c>
      <c r="M48" s="422" t="str">
        <f>IFERROR(__xludf.DUMMYFUNCTION("""COMPUTED_VALUE"""),"Манекен")</f>
        <v>Манекен</v>
      </c>
      <c r="N48" s="445">
        <f>IFERROR(__xludf.DUMMYFUNCTION("""COMPUTED_VALUE"""),0.2222222222222222)</f>
        <v>0.2222222222</v>
      </c>
    </row>
    <row r="49">
      <c r="A49" s="450" t="str">
        <f>IFERROR(__xludf.DUMMYFUNCTION("""COMPUTED_VALUE"""),"Левша")</f>
        <v>Левша</v>
      </c>
      <c r="B49" s="445">
        <f>IFERROR(__xludf.DUMMYFUNCTION("""COMPUTED_VALUE"""),0.2)</f>
        <v>0.2</v>
      </c>
      <c r="C49" s="422" t="str">
        <f>IFERROR(__xludf.DUMMYFUNCTION("""COMPUTED_VALUE"""),"Rocket woman ")</f>
        <v>Rocket woman </v>
      </c>
      <c r="D49" s="445">
        <f>IFERROR(__xludf.DUMMYFUNCTION("""COMPUTED_VALUE"""),0.16666666666666666)</f>
        <v>0.1666666667</v>
      </c>
      <c r="E49" s="422" t="str">
        <f>IFERROR(__xludf.DUMMYFUNCTION("""COMPUTED_VALUE"""),"Админ")</f>
        <v>Админ</v>
      </c>
      <c r="F49" s="445">
        <f>IFERROR(__xludf.DUMMYFUNCTION("""COMPUTED_VALUE"""),0.0)</f>
        <v>0</v>
      </c>
      <c r="G49" s="422" t="str">
        <f>IFERROR(__xludf.DUMMYFUNCTION("""COMPUTED_VALUE"""),"Марго")</f>
        <v>Марго</v>
      </c>
      <c r="H49" s="445">
        <f>IFERROR(__xludf.DUMMYFUNCTION("""COMPUTED_VALUE"""),0.0)</f>
        <v>0</v>
      </c>
      <c r="I49" s="422" t="str">
        <f>IFERROR(__xludf.DUMMYFUNCTION("""COMPUTED_VALUE"""),"Шпиц")</f>
        <v>Шпиц</v>
      </c>
      <c r="J49" s="445">
        <f>IFERROR(__xludf.DUMMYFUNCTION("""COMPUTED_VALUE"""),0.0)</f>
        <v>0</v>
      </c>
      <c r="K49" s="422" t="str">
        <f>IFERROR(__xludf.DUMMYFUNCTION("""COMPUTED_VALUE"""),"BWDMoscow")</f>
        <v>BWDMoscow</v>
      </c>
      <c r="L49" s="445">
        <f>IFERROR(__xludf.DUMMYFUNCTION("""COMPUTED_VALUE"""),0.0)</f>
        <v>0</v>
      </c>
      <c r="M49" s="422" t="str">
        <f>IFERROR(__xludf.DUMMYFUNCTION("""COMPUTED_VALUE"""),"Левша")</f>
        <v>Левша</v>
      </c>
      <c r="N49" s="445">
        <f>IFERROR(__xludf.DUMMYFUNCTION("""COMPUTED_VALUE"""),0.2)</f>
        <v>0.2</v>
      </c>
    </row>
    <row r="50">
      <c r="A50" s="450" t="str">
        <f>IFERROR(__xludf.DUMMYFUNCTION("""COMPUTED_VALUE"""),"Rocket woman ")</f>
        <v>Rocket woman </v>
      </c>
      <c r="B50" s="445">
        <f>IFERROR(__xludf.DUMMYFUNCTION("""COMPUTED_VALUE"""),0.2)</f>
        <v>0.2</v>
      </c>
      <c r="C50" s="422" t="str">
        <f>IFERROR(__xludf.DUMMYFUNCTION("""COMPUTED_VALUE"""),"Левша")</f>
        <v>Левша</v>
      </c>
      <c r="D50" s="445">
        <f>IFERROR(__xludf.DUMMYFUNCTION("""COMPUTED_VALUE"""),0.125)</f>
        <v>0.125</v>
      </c>
      <c r="E50" s="422" t="str">
        <f>IFERROR(__xludf.DUMMYFUNCTION("""COMPUTED_VALUE"""),"Астория")</f>
        <v>Астория</v>
      </c>
      <c r="F50" s="445">
        <f>IFERROR(__xludf.DUMMYFUNCTION("""COMPUTED_VALUE"""),0.0)</f>
        <v>0</v>
      </c>
      <c r="G50" s="422" t="str">
        <f>IFERROR(__xludf.DUMMYFUNCTION("""COMPUTED_VALUE"""),"Ментик")</f>
        <v>Ментик</v>
      </c>
      <c r="H50" s="445">
        <f>IFERROR(__xludf.DUMMYFUNCTION("""COMPUTED_VALUE"""),0.0)</f>
        <v>0</v>
      </c>
      <c r="I50" s="422" t="str">
        <f>IFERROR(__xludf.DUMMYFUNCTION("""COMPUTED_VALUE"""),"Юрия")</f>
        <v>Юрия</v>
      </c>
      <c r="J50" s="445">
        <f>IFERROR(__xludf.DUMMYFUNCTION("""COMPUTED_VALUE"""),0.0)</f>
        <v>0</v>
      </c>
      <c r="K50" s="422" t="str">
        <f>IFERROR(__xludf.DUMMYFUNCTION("""COMPUTED_VALUE"""),"Castor Troy ")</f>
        <v>Castor Troy </v>
      </c>
      <c r="L50" s="445">
        <f>IFERROR(__xludf.DUMMYFUNCTION("""COMPUTED_VALUE"""),0.0)</f>
        <v>0</v>
      </c>
      <c r="M50" s="422" t="str">
        <f>IFERROR(__xludf.DUMMYFUNCTION("""COMPUTED_VALUE"""),"Админ")</f>
        <v>Админ</v>
      </c>
      <c r="N50" s="445">
        <f>IFERROR(__xludf.DUMMYFUNCTION("""COMPUTED_VALUE"""),0.0)</f>
        <v>0</v>
      </c>
    </row>
    <row r="51">
      <c r="A51" s="450" t="str">
        <f>IFERROR(__xludf.DUMMYFUNCTION("""COMPUTED_VALUE"""),"Админ")</f>
        <v>Админ</v>
      </c>
      <c r="B51" s="445">
        <f>IFERROR(__xludf.DUMMYFUNCTION("""COMPUTED_VALUE"""),0.0)</f>
        <v>0</v>
      </c>
      <c r="C51" s="422" t="str">
        <f>IFERROR(__xludf.DUMMYFUNCTION("""COMPUTED_VALUE"""),"Админ")</f>
        <v>Админ</v>
      </c>
      <c r="D51" s="445">
        <f>IFERROR(__xludf.DUMMYFUNCTION("""COMPUTED_VALUE"""),0.0)</f>
        <v>0</v>
      </c>
      <c r="E51" s="422" t="str">
        <f>IFERROR(__xludf.DUMMYFUNCTION("""COMPUTED_VALUE"""),"Аш")</f>
        <v>Аш</v>
      </c>
      <c r="F51" s="445">
        <f>IFERROR(__xludf.DUMMYFUNCTION("""COMPUTED_VALUE"""),0.0)</f>
        <v>0</v>
      </c>
      <c r="G51" s="422" t="str">
        <f>IFERROR(__xludf.DUMMYFUNCTION("""COMPUTED_VALUE"""),"Наполеон")</f>
        <v>Наполеон</v>
      </c>
      <c r="H51" s="445">
        <f>IFERROR(__xludf.DUMMYFUNCTION("""COMPUTED_VALUE"""),0.0)</f>
        <v>0</v>
      </c>
      <c r="I51" s="422" t="str">
        <f>IFERROR(__xludf.DUMMYFUNCTION("""COMPUTED_VALUE"""),"Alice ")</f>
        <v>Alice </v>
      </c>
      <c r="J51" s="445">
        <f>IFERROR(__xludf.DUMMYFUNCTION("""COMPUTED_VALUE"""),0.0)</f>
        <v>0</v>
      </c>
      <c r="K51" s="422" t="str">
        <f>IFERROR(__xludf.DUMMYFUNCTION("""COMPUTED_VALUE"""),"GALAY")</f>
        <v>GALAY</v>
      </c>
      <c r="L51" s="445">
        <f>IFERROR(__xludf.DUMMYFUNCTION("""COMPUTED_VALUE"""),0.0)</f>
        <v>0</v>
      </c>
      <c r="M51" s="422" t="str">
        <f>IFERROR(__xludf.DUMMYFUNCTION("""COMPUTED_VALUE"""),"Астория")</f>
        <v>Астория</v>
      </c>
      <c r="N51" s="445">
        <f>IFERROR(__xludf.DUMMYFUNCTION("""COMPUTED_VALUE"""),0.0)</f>
        <v>0</v>
      </c>
    </row>
    <row r="52">
      <c r="A52" s="422" t="str">
        <f>IFERROR(__xludf.DUMMYFUNCTION("""COMPUTED_VALUE"""),"Астория")</f>
        <v>Астория</v>
      </c>
      <c r="B52" s="445">
        <f>IFERROR(__xludf.DUMMYFUNCTION("""COMPUTED_VALUE"""),0.0)</f>
        <v>0</v>
      </c>
      <c r="C52" s="422" t="str">
        <f>IFERROR(__xludf.DUMMYFUNCTION("""COMPUTED_VALUE"""),"Астория")</f>
        <v>Астория</v>
      </c>
      <c r="D52" s="445">
        <f>IFERROR(__xludf.DUMMYFUNCTION("""COMPUTED_VALUE"""),0.0)</f>
        <v>0</v>
      </c>
      <c r="E52" s="422" t="str">
        <f>IFERROR(__xludf.DUMMYFUNCTION("""COMPUTED_VALUE"""),"Крёстный Отец (RU)")</f>
        <v>Крёстный Отец (RU)</v>
      </c>
      <c r="F52" s="445">
        <f>IFERROR(__xludf.DUMMYFUNCTION("""COMPUTED_VALUE"""),0.0)</f>
        <v>0</v>
      </c>
      <c r="G52" s="422" t="str">
        <f>IFERROR(__xludf.DUMMYFUNCTION("""COMPUTED_VALUE"""),"Старый")</f>
        <v>Старый</v>
      </c>
      <c r="H52" s="445">
        <f>IFERROR(__xludf.DUMMYFUNCTION("""COMPUTED_VALUE"""),0.0)</f>
        <v>0</v>
      </c>
      <c r="I52" s="422" t="str">
        <f>IFERROR(__xludf.DUMMYFUNCTION("""COMPUTED_VALUE"""),"BWDMoscow")</f>
        <v>BWDMoscow</v>
      </c>
      <c r="J52" s="445">
        <f>IFERROR(__xludf.DUMMYFUNCTION("""COMPUTED_VALUE"""),0.0)</f>
        <v>0</v>
      </c>
      <c r="K52" s="422" t="str">
        <f>IFERROR(__xludf.DUMMYFUNCTION("""COMPUTED_VALUE"""),"Infinity ")</f>
        <v>Infinity </v>
      </c>
      <c r="L52" s="445">
        <f>IFERROR(__xludf.DUMMYFUNCTION("""COMPUTED_VALUE"""),0.0)</f>
        <v>0</v>
      </c>
      <c r="M52" s="422" t="str">
        <f>IFERROR(__xludf.DUMMYFUNCTION("""COMPUTED_VALUE"""),"Аш")</f>
        <v>Аш</v>
      </c>
      <c r="N52" s="445">
        <f>IFERROR(__xludf.DUMMYFUNCTION("""COMPUTED_VALUE"""),0.0)</f>
        <v>0</v>
      </c>
    </row>
    <row r="53">
      <c r="A53" s="422" t="str">
        <f>IFERROR(__xludf.DUMMYFUNCTION("""COMPUTED_VALUE"""),"Аш")</f>
        <v>Аш</v>
      </c>
      <c r="B53" s="445">
        <f>IFERROR(__xludf.DUMMYFUNCTION("""COMPUTED_VALUE"""),0.0)</f>
        <v>0</v>
      </c>
      <c r="C53" s="422" t="str">
        <f>IFERROR(__xludf.DUMMYFUNCTION("""COMPUTED_VALUE"""),"Аш")</f>
        <v>Аш</v>
      </c>
      <c r="D53" s="445">
        <f>IFERROR(__xludf.DUMMYFUNCTION("""COMPUTED_VALUE"""),0.0)</f>
        <v>0</v>
      </c>
      <c r="E53" s="422" t="str">
        <f>IFERROR(__xludf.DUMMYFUNCTION("""COMPUTED_VALUE"""),"Ментик")</f>
        <v>Ментик</v>
      </c>
      <c r="F53" s="445">
        <f>IFERROR(__xludf.DUMMYFUNCTION("""COMPUTED_VALUE"""),0.0)</f>
        <v>0</v>
      </c>
      <c r="G53" s="422" t="str">
        <f>IFERROR(__xludf.DUMMYFUNCTION("""COMPUTED_VALUE"""),"СЭНСЭЙ")</f>
        <v>СЭНСЭЙ</v>
      </c>
      <c r="H53" s="445">
        <f>IFERROR(__xludf.DUMMYFUNCTION("""COMPUTED_VALUE"""),0.0)</f>
        <v>0</v>
      </c>
      <c r="I53" s="422" t="str">
        <f>IFERROR(__xludf.DUMMYFUNCTION("""COMPUTED_VALUE"""),"Castor Troy ")</f>
        <v>Castor Troy </v>
      </c>
      <c r="J53" s="445">
        <f>IFERROR(__xludf.DUMMYFUNCTION("""COMPUTED_VALUE"""),0.0)</f>
        <v>0</v>
      </c>
      <c r="K53" s="422" t="str">
        <f>IFERROR(__xludf.DUMMYFUNCTION("""COMPUTED_VALUE"""),"Ketamin")</f>
        <v>Ketamin</v>
      </c>
      <c r="L53" s="445">
        <f>IFERROR(__xludf.DUMMYFUNCTION("""COMPUTED_VALUE"""),0.0)</f>
        <v>0</v>
      </c>
      <c r="M53" s="422" t="str">
        <f>IFERROR(__xludf.DUMMYFUNCTION("""COMPUTED_VALUE"""),"Крёстный Отец (RU)")</f>
        <v>Крёстный Отец (RU)</v>
      </c>
      <c r="N53" s="445">
        <f>IFERROR(__xludf.DUMMYFUNCTION("""COMPUTED_VALUE"""),0.0)</f>
        <v>0</v>
      </c>
    </row>
    <row r="54">
      <c r="A54" s="422" t="str">
        <f>IFERROR(__xludf.DUMMYFUNCTION("""COMPUTED_VALUE"""),"Крёстный Отец (RU)")</f>
        <v>Крёстный Отец (RU)</v>
      </c>
      <c r="B54" s="445">
        <f>IFERROR(__xludf.DUMMYFUNCTION("""COMPUTED_VALUE"""),0.0)</f>
        <v>0</v>
      </c>
      <c r="C54" s="422" t="str">
        <f>IFERROR(__xludf.DUMMYFUNCTION("""COMPUTED_VALUE"""),"Крёстный Отец (RU)")</f>
        <v>Крёстный Отец (RU)</v>
      </c>
      <c r="D54" s="445">
        <f>IFERROR(__xludf.DUMMYFUNCTION("""COMPUTED_VALUE"""),0.0)</f>
        <v>0</v>
      </c>
      <c r="E54" s="422" t="str">
        <f>IFERROR(__xludf.DUMMYFUNCTION("""COMPUTED_VALUE"""),"СЭНСЭЙ")</f>
        <v>СЭНСЭЙ</v>
      </c>
      <c r="F54" s="445">
        <f>IFERROR(__xludf.DUMMYFUNCTION("""COMPUTED_VALUE"""),0.0)</f>
        <v>0</v>
      </c>
      <c r="G54" s="422" t="str">
        <f>IFERROR(__xludf.DUMMYFUNCTION("""COMPUTED_VALUE"""),"Флэш")</f>
        <v>Флэш</v>
      </c>
      <c r="H54" s="445">
        <f>IFERROR(__xludf.DUMMYFUNCTION("""COMPUTED_VALUE"""),0.0)</f>
        <v>0</v>
      </c>
      <c r="I54" s="422" t="str">
        <f>IFERROR(__xludf.DUMMYFUNCTION("""COMPUTED_VALUE"""),"Ketamin")</f>
        <v>Ketamin</v>
      </c>
      <c r="J54" s="445">
        <f>IFERROR(__xludf.DUMMYFUNCTION("""COMPUTED_VALUE"""),0.0)</f>
        <v>0</v>
      </c>
      <c r="K54" s="422" t="str">
        <f>IFERROR(__xludf.DUMMYFUNCTION("""COMPUTED_VALUE"""),"Light")</f>
        <v>Light</v>
      </c>
      <c r="L54" s="445">
        <f>IFERROR(__xludf.DUMMYFUNCTION("""COMPUTED_VALUE"""),0.0)</f>
        <v>0</v>
      </c>
      <c r="M54" s="422" t="str">
        <f>IFERROR(__xludf.DUMMYFUNCTION("""COMPUTED_VALUE"""),"Ментик")</f>
        <v>Ментик</v>
      </c>
      <c r="N54" s="445">
        <f>IFERROR(__xludf.DUMMYFUNCTION("""COMPUTED_VALUE"""),0.0)</f>
        <v>0</v>
      </c>
    </row>
    <row r="55">
      <c r="A55" s="422" t="str">
        <f>IFERROR(__xludf.DUMMYFUNCTION("""COMPUTED_VALUE"""),"Ментик")</f>
        <v>Ментик</v>
      </c>
      <c r="B55" s="445">
        <f>IFERROR(__xludf.DUMMYFUNCTION("""COMPUTED_VALUE"""),0.0)</f>
        <v>0</v>
      </c>
      <c r="C55" s="422" t="str">
        <f>IFERROR(__xludf.DUMMYFUNCTION("""COMPUTED_VALUE"""),"Ментик")</f>
        <v>Ментик</v>
      </c>
      <c r="D55" s="445">
        <f>IFERROR(__xludf.DUMMYFUNCTION("""COMPUTED_VALUE"""),0.0)</f>
        <v>0</v>
      </c>
      <c r="E55" s="422" t="str">
        <f>IFERROR(__xludf.DUMMYFUNCTION("""COMPUTED_VALUE"""),"Флэш")</f>
        <v>Флэш</v>
      </c>
      <c r="F55" s="445">
        <f>IFERROR(__xludf.DUMMYFUNCTION("""COMPUTED_VALUE"""),0.0)</f>
        <v>0</v>
      </c>
      <c r="G55" s="422" t="str">
        <f>IFERROR(__xludf.DUMMYFUNCTION("""COMPUTED_VALUE"""),"Фокс")</f>
        <v>Фокс</v>
      </c>
      <c r="H55" s="445">
        <f>IFERROR(__xludf.DUMMYFUNCTION("""COMPUTED_VALUE"""),0.0)</f>
        <v>0</v>
      </c>
      <c r="I55" s="422" t="str">
        <f>IFERROR(__xludf.DUMMYFUNCTION("""COMPUTED_VALUE"""),"Light")</f>
        <v>Light</v>
      </c>
      <c r="J55" s="445">
        <f>IFERROR(__xludf.DUMMYFUNCTION("""COMPUTED_VALUE"""),0.0)</f>
        <v>0</v>
      </c>
      <c r="K55" s="422" t="str">
        <f>IFERROR(__xludf.DUMMYFUNCTION("""COMPUTED_VALUE"""),"Morti")</f>
        <v>Morti</v>
      </c>
      <c r="L55" s="445">
        <f>IFERROR(__xludf.DUMMYFUNCTION("""COMPUTED_VALUE"""),0.0)</f>
        <v>0</v>
      </c>
      <c r="M55" s="422" t="str">
        <f>IFERROR(__xludf.DUMMYFUNCTION("""COMPUTED_VALUE"""),"СЭНСЭЙ")</f>
        <v>СЭНСЭЙ</v>
      </c>
      <c r="N55" s="445">
        <f>IFERROR(__xludf.DUMMYFUNCTION("""COMPUTED_VALUE"""),0.0)</f>
        <v>0</v>
      </c>
    </row>
    <row r="56">
      <c r="A56" s="422" t="str">
        <f>IFERROR(__xludf.DUMMYFUNCTION("""COMPUTED_VALUE"""),"СЭНСЭЙ")</f>
        <v>СЭНСЭЙ</v>
      </c>
      <c r="B56" s="445">
        <f>IFERROR(__xludf.DUMMYFUNCTION("""COMPUTED_VALUE"""),0.0)</f>
        <v>0</v>
      </c>
      <c r="C56" s="422" t="str">
        <f>IFERROR(__xludf.DUMMYFUNCTION("""COMPUTED_VALUE"""),"СЭНСЭЙ")</f>
        <v>СЭНСЭЙ</v>
      </c>
      <c r="D56" s="445">
        <f>IFERROR(__xludf.DUMMYFUNCTION("""COMPUTED_VALUE"""),0.0)</f>
        <v>0</v>
      </c>
      <c r="E56" s="422" t="str">
        <f>IFERROR(__xludf.DUMMYFUNCTION("""COMPUTED_VALUE"""),"Фокс")</f>
        <v>Фокс</v>
      </c>
      <c r="F56" s="445">
        <f>IFERROR(__xludf.DUMMYFUNCTION("""COMPUTED_VALUE"""),0.0)</f>
        <v>0</v>
      </c>
      <c r="G56" s="422" t="str">
        <f>IFERROR(__xludf.DUMMYFUNCTION("""COMPUTED_VALUE"""),"Шоу Бой")</f>
        <v>Шоу Бой</v>
      </c>
      <c r="H56" s="445">
        <f>IFERROR(__xludf.DUMMYFUNCTION("""COMPUTED_VALUE"""),0.0)</f>
        <v>0</v>
      </c>
      <c r="I56" s="422" t="str">
        <f>IFERROR(__xludf.DUMMYFUNCTION("""COMPUTED_VALUE"""),"Morti")</f>
        <v>Morti</v>
      </c>
      <c r="J56" s="445">
        <f>IFERROR(__xludf.DUMMYFUNCTION("""COMPUTED_VALUE"""),0.0)</f>
        <v>0</v>
      </c>
      <c r="K56" s="422" t="str">
        <f>IFERROR(__xludf.DUMMYFUNCTION("""COMPUTED_VALUE"""),"MSR")</f>
        <v>MSR</v>
      </c>
      <c r="L56" s="445">
        <f>IFERROR(__xludf.DUMMYFUNCTION("""COMPUTED_VALUE"""),0.0)</f>
        <v>0</v>
      </c>
      <c r="M56" s="422" t="str">
        <f>IFERROR(__xludf.DUMMYFUNCTION("""COMPUTED_VALUE"""),"Флэш")</f>
        <v>Флэш</v>
      </c>
      <c r="N56" s="445">
        <f>IFERROR(__xludf.DUMMYFUNCTION("""COMPUTED_VALUE"""),0.0)</f>
        <v>0</v>
      </c>
    </row>
    <row r="57">
      <c r="A57" s="422" t="str">
        <f>IFERROR(__xludf.DUMMYFUNCTION("""COMPUTED_VALUE"""),"Флэш")</f>
        <v>Флэш</v>
      </c>
      <c r="B57" s="445">
        <f>IFERROR(__xludf.DUMMYFUNCTION("""COMPUTED_VALUE"""),0.0)</f>
        <v>0</v>
      </c>
      <c r="C57" s="422" t="str">
        <f>IFERROR(__xludf.DUMMYFUNCTION("""COMPUTED_VALUE"""),"Флэш")</f>
        <v>Флэш</v>
      </c>
      <c r="D57" s="445">
        <f>IFERROR(__xludf.DUMMYFUNCTION("""COMPUTED_VALUE"""),0.0)</f>
        <v>0</v>
      </c>
      <c r="E57" s="422" t="str">
        <f>IFERROR(__xludf.DUMMYFUNCTION("""COMPUTED_VALUE"""),"Шоу Бой")</f>
        <v>Шоу Бой</v>
      </c>
      <c r="F57" s="445">
        <f>IFERROR(__xludf.DUMMYFUNCTION("""COMPUTED_VALUE"""),0.0)</f>
        <v>0</v>
      </c>
      <c r="G57" s="422" t="str">
        <f>IFERROR(__xludf.DUMMYFUNCTION("""COMPUTED_VALUE"""),"Юрия")</f>
        <v>Юрия</v>
      </c>
      <c r="H57" s="445">
        <f>IFERROR(__xludf.DUMMYFUNCTION("""COMPUTED_VALUE"""),0.0)</f>
        <v>0</v>
      </c>
      <c r="I57" s="422" t="str">
        <f>IFERROR(__xludf.DUMMYFUNCTION("""COMPUTED_VALUE"""),"MSR")</f>
        <v>MSR</v>
      </c>
      <c r="J57" s="445">
        <f>IFERROR(__xludf.DUMMYFUNCTION("""COMPUTED_VALUE"""),0.0)</f>
        <v>0</v>
      </c>
      <c r="K57" s="422" t="str">
        <f>IFERROR(__xludf.DUMMYFUNCTION("""COMPUTED_VALUE"""),"Rocket woman ")</f>
        <v>Rocket woman </v>
      </c>
      <c r="L57" s="445">
        <f>IFERROR(__xludf.DUMMYFUNCTION("""COMPUTED_VALUE"""),0.0)</f>
        <v>0</v>
      </c>
      <c r="M57" s="422" t="str">
        <f>IFERROR(__xludf.DUMMYFUNCTION("""COMPUTED_VALUE"""),"Фокс")</f>
        <v>Фокс</v>
      </c>
      <c r="N57" s="445">
        <f>IFERROR(__xludf.DUMMYFUNCTION("""COMPUTED_VALUE"""),0.0)</f>
        <v>0</v>
      </c>
    </row>
    <row r="58">
      <c r="A58" s="422" t="str">
        <f>IFERROR(__xludf.DUMMYFUNCTION("""COMPUTED_VALUE"""),"Фокс")</f>
        <v>Фокс</v>
      </c>
      <c r="B58" s="445">
        <f>IFERROR(__xludf.DUMMYFUNCTION("""COMPUTED_VALUE"""),0.0)</f>
        <v>0</v>
      </c>
      <c r="C58" s="422" t="str">
        <f>IFERROR(__xludf.DUMMYFUNCTION("""COMPUTED_VALUE"""),"Фокс")</f>
        <v>Фокс</v>
      </c>
      <c r="D58" s="445">
        <f>IFERROR(__xludf.DUMMYFUNCTION("""COMPUTED_VALUE"""),0.0)</f>
        <v>0</v>
      </c>
      <c r="E58" s="422" t="str">
        <f>IFERROR(__xludf.DUMMYFUNCTION("""COMPUTED_VALUE"""),"Юрия")</f>
        <v>Юрия</v>
      </c>
      <c r="F58" s="445">
        <f>IFERROR(__xludf.DUMMYFUNCTION("""COMPUTED_VALUE"""),0.0)</f>
        <v>0</v>
      </c>
      <c r="G58" s="422" t="str">
        <f>IFERROR(__xludf.DUMMYFUNCTION("""COMPUTED_VALUE"""),"Bublik")</f>
        <v>Bublik</v>
      </c>
      <c r="H58" s="445">
        <f>IFERROR(__xludf.DUMMYFUNCTION("""COMPUTED_VALUE"""),0.0)</f>
        <v>0</v>
      </c>
      <c r="I58" s="422" t="str">
        <f>IFERROR(__xludf.DUMMYFUNCTION("""COMPUTED_VALUE"""),"NLIP")</f>
        <v>NLIP</v>
      </c>
      <c r="J58" s="445">
        <f>IFERROR(__xludf.DUMMYFUNCTION("""COMPUTED_VALUE"""),0.0)</f>
        <v>0</v>
      </c>
      <c r="K58" s="422" t="str">
        <f>IFERROR(__xludf.DUMMYFUNCTION("""COMPUTED_VALUE"""),"SCHOKK ")</f>
        <v>SCHOKK </v>
      </c>
      <c r="L58" s="445">
        <f>IFERROR(__xludf.DUMMYFUNCTION("""COMPUTED_VALUE"""),0.0)</f>
        <v>0</v>
      </c>
      <c r="M58" s="422" t="str">
        <f>IFERROR(__xludf.DUMMYFUNCTION("""COMPUTED_VALUE"""),"Шоу Бой")</f>
        <v>Шоу Бой</v>
      </c>
      <c r="N58" s="445">
        <f>IFERROR(__xludf.DUMMYFUNCTION("""COMPUTED_VALUE"""),0.0)</f>
        <v>0</v>
      </c>
    </row>
    <row r="59">
      <c r="A59" s="422" t="str">
        <f>IFERROR(__xludf.DUMMYFUNCTION("""COMPUTED_VALUE"""),"Шоу Бой")</f>
        <v>Шоу Бой</v>
      </c>
      <c r="B59" s="445">
        <f>IFERROR(__xludf.DUMMYFUNCTION("""COMPUTED_VALUE"""),0.0)</f>
        <v>0</v>
      </c>
      <c r="C59" s="422" t="str">
        <f>IFERROR(__xludf.DUMMYFUNCTION("""COMPUTED_VALUE"""),"Шоу Бой")</f>
        <v>Шоу Бой</v>
      </c>
      <c r="D59" s="445">
        <f>IFERROR(__xludf.DUMMYFUNCTION("""COMPUTED_VALUE"""),0.0)</f>
        <v>0</v>
      </c>
      <c r="E59" s="422" t="str">
        <f>IFERROR(__xludf.DUMMYFUNCTION("""COMPUTED_VALUE"""),"Bublik")</f>
        <v>Bublik</v>
      </c>
      <c r="F59" s="445">
        <f>IFERROR(__xludf.DUMMYFUNCTION("""COMPUTED_VALUE"""),0.0)</f>
        <v>0</v>
      </c>
      <c r="G59" s="422" t="str">
        <f>IFERROR(__xludf.DUMMYFUNCTION("""COMPUTED_VALUE"""),"BWDMoscow")</f>
        <v>BWDMoscow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IFERROR(__xludf.DUMMYFUNCTION("""COMPUTED_VALUE"""),"SOVEST")</f>
        <v>SOVEST</v>
      </c>
      <c r="L59" s="445">
        <f>IFERROR(__xludf.DUMMYFUNCTION("""COMPUTED_VALUE"""),0.0)</f>
        <v>0</v>
      </c>
      <c r="M59" s="422" t="str">
        <f>IFERROR(__xludf.DUMMYFUNCTION("""COMPUTED_VALUE"""),"BWDMoscow")</f>
        <v>BWDMoscow</v>
      </c>
      <c r="N59" s="445">
        <f>IFERROR(__xludf.DUMMYFUNCTION("""COMPUTED_VALUE"""),0.0)</f>
        <v>0</v>
      </c>
    </row>
    <row r="60">
      <c r="A60" s="422" t="str">
        <f>IFERROR(__xludf.DUMMYFUNCTION("""COMPUTED_VALUE"""),"BWDMoscow")</f>
        <v>BWDMoscow</v>
      </c>
      <c r="B60" s="445">
        <f>IFERROR(__xludf.DUMMYFUNCTION("""COMPUTED_VALUE"""),0.0)</f>
        <v>0</v>
      </c>
      <c r="C60" s="422" t="str">
        <f>IFERROR(__xludf.DUMMYFUNCTION("""COMPUTED_VALUE"""),"BWDMoscow")</f>
        <v>BWDMoscow</v>
      </c>
      <c r="D60" s="445">
        <f>IFERROR(__xludf.DUMMYFUNCTION("""COMPUTED_VALUE"""),0.0)</f>
        <v>0</v>
      </c>
      <c r="E60" s="422" t="str">
        <f>IFERROR(__xludf.DUMMYFUNCTION("""COMPUTED_VALUE"""),"BWDMoscow")</f>
        <v>BWDMoscow</v>
      </c>
      <c r="F60" s="445">
        <f>IFERROR(__xludf.DUMMYFUNCTION("""COMPUTED_VALUE"""),0.0)</f>
        <v>0</v>
      </c>
      <c r="G60" s="422" t="str">
        <f>IFERROR(__xludf.DUMMYFUNCTION("""COMPUTED_VALUE"""),"Morti")</f>
        <v>Morti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IFERROR(__xludf.DUMMYFUNCTION("""COMPUTED_VALUE"""),"Morti")</f>
        <v>Morti</v>
      </c>
      <c r="N60" s="445">
        <f>IFERROR(__xludf.DUMMYFUNCTION("""COMPUTED_VALUE"""),0.0)</f>
        <v>0</v>
      </c>
    </row>
    <row r="61">
      <c r="A61" s="422" t="str">
        <f>IFERROR(__xludf.DUMMYFUNCTION("""COMPUTED_VALUE"""),"Morti")</f>
        <v>Morti</v>
      </c>
      <c r="B61" s="445">
        <f>IFERROR(__xludf.DUMMYFUNCTION("""COMPUTED_VALUE"""),0.0)</f>
        <v>0</v>
      </c>
      <c r="C61" s="422" t="str">
        <f>IFERROR(__xludf.DUMMYFUNCTION("""COMPUTED_VALUE"""),"Morti")</f>
        <v>Morti</v>
      </c>
      <c r="D61" s="445">
        <f>IFERROR(__xludf.DUMMYFUNCTION("""COMPUTED_VALUE"""),0.0)</f>
        <v>0</v>
      </c>
      <c r="E61" s="422" t="str">
        <f>IFERROR(__xludf.DUMMYFUNCTION("""COMPUTED_VALUE"""),"Morti")</f>
        <v>Morti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IFERROR(__xludf.DUMMYFUNCTION("""COMPUTED_VALUE"""),"Rocket woman ")</f>
        <v>Rocket woman 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101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105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346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349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2.75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350</v>
      </c>
      <c r="L16" s="551"/>
      <c r="M16" s="624" t="s">
        <v>347</v>
      </c>
      <c r="R16" s="551"/>
      <c r="S16" s="624" t="s">
        <v>351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95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261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261</v>
      </c>
      <c r="N7" s="605">
        <v>2.5</v>
      </c>
      <c r="O7" s="593">
        <v>4.25</v>
      </c>
      <c r="P7" s="597"/>
      <c r="Q7" s="598"/>
      <c r="R7" s="596"/>
      <c r="S7" s="594" t="s">
        <v>261</v>
      </c>
      <c r="T7" s="605">
        <v>2.5</v>
      </c>
      <c r="U7" s="593">
        <v>2.5</v>
      </c>
      <c r="V7" s="594"/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265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5.0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2.75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271</v>
      </c>
      <c r="N9" s="593">
        <v>2.5</v>
      </c>
      <c r="O9" s="593">
        <v>4.0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265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269</v>
      </c>
      <c r="N10" s="598"/>
      <c r="O10" s="593">
        <v>2.5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271</v>
      </c>
      <c r="Z10" s="598"/>
      <c r="AA10" s="599">
        <v>3.25</v>
      </c>
      <c r="AB10" s="594"/>
      <c r="AC10" s="598"/>
      <c r="AD10" s="595"/>
      <c r="AE10" s="594" t="s">
        <v>269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269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4.5</v>
      </c>
      <c r="P11" s="594"/>
      <c r="Q11" s="593"/>
      <c r="R11" s="595"/>
      <c r="S11" s="594" t="s">
        <v>269</v>
      </c>
      <c r="T11" s="598"/>
      <c r="U11" s="593">
        <v>2.5</v>
      </c>
      <c r="V11" s="597"/>
      <c r="W11" s="598"/>
      <c r="X11" s="596"/>
      <c r="Y11" s="594" t="s">
        <v>265</v>
      </c>
      <c r="Z11" s="593">
        <v>2.5</v>
      </c>
      <c r="AA11" s="599">
        <v>3.25</v>
      </c>
      <c r="AB11" s="597"/>
      <c r="AC11" s="598"/>
      <c r="AD11" s="596"/>
      <c r="AE11" s="594" t="s">
        <v>271</v>
      </c>
      <c r="AF11" s="593">
        <v>2.5</v>
      </c>
      <c r="AG11" s="608">
        <v>2.5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261</v>
      </c>
      <c r="H12" s="598"/>
      <c r="I12" s="608">
        <v>2.5</v>
      </c>
      <c r="J12" s="594"/>
      <c r="K12" s="598"/>
      <c r="L12" s="596"/>
      <c r="M12" s="592" t="s">
        <v>261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271</v>
      </c>
      <c r="T12" s="593">
        <v>2.5</v>
      </c>
      <c r="U12" s="593">
        <v>3.25</v>
      </c>
      <c r="V12" s="594"/>
      <c r="W12" s="598"/>
      <c r="X12" s="595"/>
      <c r="Y12" s="594" t="s">
        <v>269</v>
      </c>
      <c r="Z12" s="593">
        <v>2.5</v>
      </c>
      <c r="AA12" s="593">
        <v>2.25</v>
      </c>
      <c r="AB12" s="597"/>
      <c r="AC12" s="598"/>
      <c r="AD12" s="596"/>
      <c r="AE12" s="594" t="s">
        <v>261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269</v>
      </c>
      <c r="N13" s="606"/>
      <c r="O13" s="593">
        <v>1.75</v>
      </c>
      <c r="P13" s="597"/>
      <c r="Q13" s="598"/>
      <c r="R13" s="596"/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269</v>
      </c>
      <c r="Z13" s="605">
        <v>2.5</v>
      </c>
      <c r="AA13" s="642">
        <v>3.5</v>
      </c>
      <c r="AB13" s="594" t="s">
        <v>260</v>
      </c>
      <c r="AC13" s="598"/>
      <c r="AD13" s="596"/>
      <c r="AE13" s="594" t="s">
        <v>261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261</v>
      </c>
      <c r="Z14" s="598"/>
      <c r="AA14" s="599">
        <v>2.0</v>
      </c>
      <c r="AB14" s="594" t="s">
        <v>263</v>
      </c>
      <c r="AC14" s="598"/>
      <c r="AD14" s="596"/>
      <c r="AE14" s="594" t="s">
        <v>261</v>
      </c>
      <c r="AF14" s="593">
        <v>2.5</v>
      </c>
      <c r="AG14" s="593">
        <v>4.5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6"/>
      <c r="Q15" s="617"/>
      <c r="R15" s="618"/>
      <c r="S15" s="619" t="s">
        <v>265</v>
      </c>
      <c r="T15" s="617"/>
      <c r="U15" s="615">
        <v>1.5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96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4.0</v>
      </c>
      <c r="B27" s="639" t="s">
        <v>135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123</v>
      </c>
      <c r="C28" s="639" t="s">
        <v>16</v>
      </c>
      <c r="D28" s="639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2.5</v>
      </c>
      <c r="P6" s="597"/>
      <c r="Q6" s="598"/>
      <c r="R6" s="596"/>
      <c r="S6" s="594" t="s">
        <v>261</v>
      </c>
      <c r="T6" s="606"/>
      <c r="U6" s="593">
        <v>2.25</v>
      </c>
      <c r="V6" s="594" t="s">
        <v>263</v>
      </c>
      <c r="W6" s="598"/>
      <c r="X6" s="596"/>
      <c r="Y6" s="594" t="s">
        <v>261</v>
      </c>
      <c r="Z6" s="606"/>
      <c r="AA6" s="599">
        <v>1.5</v>
      </c>
      <c r="AB6" s="597"/>
      <c r="AC6" s="598"/>
      <c r="AD6" s="596"/>
      <c r="AE6" s="594" t="s">
        <v>261</v>
      </c>
      <c r="AF6" s="605">
        <v>2.5</v>
      </c>
      <c r="AG6" s="593">
        <v>4.0</v>
      </c>
      <c r="AH6" s="594" t="s">
        <v>260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261</v>
      </c>
      <c r="H7" s="606"/>
      <c r="I7" s="593">
        <v>2.75</v>
      </c>
      <c r="J7" s="594"/>
      <c r="K7" s="598"/>
      <c r="L7" s="596"/>
      <c r="M7" s="592" t="s">
        <v>261</v>
      </c>
      <c r="N7" s="606"/>
      <c r="O7" s="593">
        <v>3.25</v>
      </c>
      <c r="P7" s="597"/>
      <c r="Q7" s="598"/>
      <c r="R7" s="596"/>
      <c r="S7" s="594" t="s">
        <v>269</v>
      </c>
      <c r="T7" s="605">
        <v>2.5</v>
      </c>
      <c r="U7" s="593">
        <v>2.5</v>
      </c>
      <c r="V7" s="594"/>
      <c r="W7" s="598"/>
      <c r="X7" s="596"/>
      <c r="Y7" s="594" t="s">
        <v>265</v>
      </c>
      <c r="Z7" s="605">
        <v>2.5</v>
      </c>
      <c r="AA7" s="599">
        <v>4.0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265</v>
      </c>
      <c r="H8" s="593">
        <v>2.5</v>
      </c>
      <c r="I8" s="593">
        <v>3.0</v>
      </c>
      <c r="J8" s="597"/>
      <c r="K8" s="598"/>
      <c r="L8" s="596"/>
      <c r="M8" s="592" t="s">
        <v>261</v>
      </c>
      <c r="N8" s="598"/>
      <c r="O8" s="608">
        <v>0.0</v>
      </c>
      <c r="P8" s="597"/>
      <c r="Q8" s="598"/>
      <c r="R8" s="596"/>
      <c r="S8" s="594" t="s">
        <v>261</v>
      </c>
      <c r="T8" s="598"/>
      <c r="U8" s="608">
        <v>1.0</v>
      </c>
      <c r="V8" s="594"/>
      <c r="W8" s="598"/>
      <c r="X8" s="595"/>
      <c r="Y8" s="594" t="s">
        <v>261</v>
      </c>
      <c r="Z8" s="598"/>
      <c r="AA8" s="593">
        <v>2.25</v>
      </c>
      <c r="AB8" s="597"/>
      <c r="AC8" s="598"/>
      <c r="AD8" s="596"/>
      <c r="AE8" s="594" t="s">
        <v>271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269</v>
      </c>
      <c r="H9" s="593">
        <v>2.5</v>
      </c>
      <c r="I9" s="643">
        <v>3.5</v>
      </c>
      <c r="J9" s="594"/>
      <c r="K9" s="598"/>
      <c r="L9" s="596"/>
      <c r="M9" s="592" t="s">
        <v>261</v>
      </c>
      <c r="N9" s="598"/>
      <c r="O9" s="593">
        <v>3.5</v>
      </c>
      <c r="P9" s="594"/>
      <c r="Q9" s="598"/>
      <c r="R9" s="596"/>
      <c r="S9" s="594" t="s">
        <v>269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8"/>
      <c r="AA9" s="599">
        <v>1.75</v>
      </c>
      <c r="AB9" s="597"/>
      <c r="AC9" s="598"/>
      <c r="AD9" s="596"/>
      <c r="AE9" s="594" t="s">
        <v>269</v>
      </c>
      <c r="AF9" s="598"/>
      <c r="AG9" s="593">
        <v>2.5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2.0</v>
      </c>
      <c r="P10" s="594"/>
      <c r="Q10" s="598"/>
      <c r="R10" s="595"/>
      <c r="S10" s="594" t="s">
        <v>261</v>
      </c>
      <c r="T10" s="598"/>
      <c r="U10" s="593">
        <v>3.0</v>
      </c>
      <c r="V10" s="594"/>
      <c r="W10" s="598"/>
      <c r="X10" s="596"/>
      <c r="Y10" s="594" t="s">
        <v>271</v>
      </c>
      <c r="Z10" s="598"/>
      <c r="AA10" s="599">
        <v>2.25</v>
      </c>
      <c r="AB10" s="594"/>
      <c r="AC10" s="598"/>
      <c r="AD10" s="595"/>
      <c r="AE10" s="594" t="s">
        <v>261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271</v>
      </c>
      <c r="T11" s="598"/>
      <c r="U11" s="593">
        <v>2.0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5">
        <v>0.5</v>
      </c>
      <c r="AE11" s="594" t="s">
        <v>261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265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271</v>
      </c>
      <c r="N13" s="606"/>
      <c r="O13" s="593">
        <v>3.0</v>
      </c>
      <c r="P13" s="597"/>
      <c r="Q13" s="598"/>
      <c r="R13" s="596"/>
      <c r="S13" s="594" t="s">
        <v>261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269</v>
      </c>
      <c r="H14" s="593">
        <v>2.5</v>
      </c>
      <c r="I14" s="593">
        <v>3.5</v>
      </c>
      <c r="J14" s="594"/>
      <c r="K14" s="593"/>
      <c r="L14" s="595"/>
      <c r="M14" s="592" t="s">
        <v>265</v>
      </c>
      <c r="N14" s="593">
        <v>2.5</v>
      </c>
      <c r="O14" s="593">
        <v>2.5</v>
      </c>
      <c r="P14" s="594"/>
      <c r="Q14" s="593"/>
      <c r="R14" s="596"/>
      <c r="S14" s="594" t="s">
        <v>261</v>
      </c>
      <c r="T14" s="598"/>
      <c r="U14" s="593">
        <v>2.75</v>
      </c>
      <c r="V14" s="597"/>
      <c r="W14" s="598"/>
      <c r="X14" s="596"/>
      <c r="Y14" s="594" t="s">
        <v>261</v>
      </c>
      <c r="Z14" s="598"/>
      <c r="AA14" s="642">
        <v>1.5</v>
      </c>
      <c r="AB14" s="597"/>
      <c r="AC14" s="598"/>
      <c r="AD14" s="596"/>
      <c r="AE14" s="594" t="s">
        <v>261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261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261</v>
      </c>
      <c r="N15" s="617"/>
      <c r="O15" s="615">
        <v>3.25</v>
      </c>
      <c r="P15" s="616"/>
      <c r="Q15" s="617"/>
      <c r="R15" s="618"/>
      <c r="S15" s="619" t="s">
        <v>261</v>
      </c>
      <c r="T15" s="617"/>
      <c r="U15" s="615">
        <v>1.75</v>
      </c>
      <c r="V15" s="619" t="s">
        <v>263</v>
      </c>
      <c r="W15" s="617"/>
      <c r="X15" s="618"/>
      <c r="Y15" s="619" t="s">
        <v>261</v>
      </c>
      <c r="Z15" s="617"/>
      <c r="AA15" s="641">
        <v>2.75</v>
      </c>
      <c r="AB15" s="616"/>
      <c r="AC15" s="617"/>
      <c r="AD15" s="618"/>
      <c r="AE15" s="619" t="s">
        <v>269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103</v>
      </c>
      <c r="C26" s="639" t="s">
        <v>289</v>
      </c>
      <c r="D26" s="638">
        <v>-1.0</v>
      </c>
      <c r="E26" s="640"/>
      <c r="F26" s="640"/>
      <c r="AK26" s="59"/>
    </row>
    <row r="27">
      <c r="A27" s="639">
        <v>3.0</v>
      </c>
      <c r="B27" s="639" t="s">
        <v>103</v>
      </c>
      <c r="C27" s="639" t="s">
        <v>16</v>
      </c>
      <c r="D27" s="639">
        <v>0.5</v>
      </c>
      <c r="E27" s="59"/>
      <c r="F27" s="59"/>
      <c r="AK27" s="59"/>
    </row>
    <row r="28">
      <c r="A28" s="639">
        <v>4.0</v>
      </c>
      <c r="B28" s="639" t="s">
        <v>91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63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269</v>
      </c>
      <c r="H6" s="606"/>
      <c r="I6" s="593">
        <v>2.5</v>
      </c>
      <c r="J6" s="594"/>
      <c r="K6" s="598"/>
      <c r="L6" s="596"/>
      <c r="M6" s="592" t="s">
        <v>261</v>
      </c>
      <c r="N6" s="606"/>
      <c r="O6" s="593">
        <v>3.0</v>
      </c>
      <c r="P6" s="594" t="s">
        <v>263</v>
      </c>
      <c r="Q6" s="598"/>
      <c r="R6" s="596"/>
      <c r="S6" s="594" t="s">
        <v>261</v>
      </c>
      <c r="T6" s="606"/>
      <c r="U6" s="593">
        <v>2.25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269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261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261</v>
      </c>
      <c r="N7" s="606"/>
      <c r="O7" s="593">
        <v>2.25</v>
      </c>
      <c r="P7" s="597"/>
      <c r="Q7" s="598"/>
      <c r="R7" s="596"/>
      <c r="S7" s="594" t="s">
        <v>261</v>
      </c>
      <c r="T7" s="606"/>
      <c r="U7" s="593">
        <v>1.75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269</v>
      </c>
      <c r="H8" s="598"/>
      <c r="I8" s="593">
        <v>2.0</v>
      </c>
      <c r="J8" s="597"/>
      <c r="K8" s="598"/>
      <c r="L8" s="596"/>
      <c r="M8" s="592" t="s">
        <v>261</v>
      </c>
      <c r="N8" s="598"/>
      <c r="O8" s="593">
        <v>3.0</v>
      </c>
      <c r="P8" s="597"/>
      <c r="Q8" s="598"/>
      <c r="R8" s="596"/>
      <c r="S8" s="594" t="s">
        <v>271</v>
      </c>
      <c r="T8" s="598"/>
      <c r="U8" s="593">
        <v>2.0</v>
      </c>
      <c r="V8" s="594"/>
      <c r="W8" s="598"/>
      <c r="X8" s="595"/>
      <c r="Y8" s="594" t="s">
        <v>269</v>
      </c>
      <c r="Z8" s="593">
        <v>2.5</v>
      </c>
      <c r="AA8" s="593">
        <v>3.75</v>
      </c>
      <c r="AB8" s="597"/>
      <c r="AC8" s="598"/>
      <c r="AD8" s="596"/>
      <c r="AE8" s="594" t="s">
        <v>261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269</v>
      </c>
      <c r="N9" s="593">
        <v>2.5</v>
      </c>
      <c r="O9" s="593">
        <v>2.5</v>
      </c>
      <c r="P9" s="594"/>
      <c r="Q9" s="598"/>
      <c r="R9" s="596"/>
      <c r="S9" s="594" t="s">
        <v>269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269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261</v>
      </c>
      <c r="H10" s="593">
        <v>2.5</v>
      </c>
      <c r="I10" s="593">
        <v>4.25</v>
      </c>
      <c r="J10" s="597"/>
      <c r="K10" s="598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261</v>
      </c>
      <c r="Z10" s="598"/>
      <c r="AA10" s="599">
        <v>1.75</v>
      </c>
      <c r="AB10" s="594"/>
      <c r="AC10" s="598"/>
      <c r="AD10" s="595"/>
      <c r="AE10" s="594" t="s">
        <v>261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265</v>
      </c>
      <c r="H11" s="598"/>
      <c r="I11" s="593">
        <v>1.75</v>
      </c>
      <c r="J11" s="594"/>
      <c r="K11" s="598"/>
      <c r="L11" s="596"/>
      <c r="M11" s="592" t="s">
        <v>265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1.75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271</v>
      </c>
      <c r="H12" s="593">
        <v>2.5</v>
      </c>
      <c r="I12" s="593">
        <v>4.0</v>
      </c>
      <c r="J12" s="594"/>
      <c r="K12" s="598"/>
      <c r="L12" s="596"/>
      <c r="M12" s="592" t="s">
        <v>261</v>
      </c>
      <c r="N12" s="598"/>
      <c r="O12" s="593">
        <v>1.5</v>
      </c>
      <c r="P12" s="597"/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265</v>
      </c>
      <c r="Z12" s="593">
        <v>2.5</v>
      </c>
      <c r="AA12" s="593">
        <v>2.0</v>
      </c>
      <c r="AB12" s="597"/>
      <c r="AC12" s="598"/>
      <c r="AD12" s="596"/>
      <c r="AE12" s="594" t="s">
        <v>261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261</v>
      </c>
      <c r="H13" s="605">
        <v>2.5</v>
      </c>
      <c r="I13" s="593">
        <v>3.75</v>
      </c>
      <c r="J13" s="594"/>
      <c r="K13" s="593"/>
      <c r="L13" s="596"/>
      <c r="M13" s="592" t="s">
        <v>261</v>
      </c>
      <c r="N13" s="606"/>
      <c r="O13" s="593">
        <v>2.0</v>
      </c>
      <c r="P13" s="594" t="s">
        <v>263</v>
      </c>
      <c r="Q13" s="598"/>
      <c r="R13" s="596"/>
      <c r="S13" s="594" t="s">
        <v>269</v>
      </c>
      <c r="T13" s="605">
        <v>2.5</v>
      </c>
      <c r="U13" s="593">
        <v>3.75</v>
      </c>
      <c r="V13" s="594"/>
      <c r="W13" s="598"/>
      <c r="X13" s="596"/>
      <c r="Y13" s="594" t="s">
        <v>261</v>
      </c>
      <c r="Z13" s="606"/>
      <c r="AA13" s="599">
        <v>2.0</v>
      </c>
      <c r="AB13" s="597"/>
      <c r="AC13" s="598"/>
      <c r="AD13" s="596"/>
      <c r="AE13" s="594" t="s">
        <v>261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271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265</v>
      </c>
      <c r="T14" s="593">
        <v>2.5</v>
      </c>
      <c r="U14" s="593">
        <v>3.75</v>
      </c>
      <c r="V14" s="597"/>
      <c r="W14" s="598"/>
      <c r="X14" s="596"/>
      <c r="Y14" s="594" t="s">
        <v>271</v>
      </c>
      <c r="Z14" s="598"/>
      <c r="AA14" s="599">
        <v>1.75</v>
      </c>
      <c r="AB14" s="597"/>
      <c r="AC14" s="598"/>
      <c r="AD14" s="596"/>
      <c r="AE14" s="594" t="s">
        <v>261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261</v>
      </c>
      <c r="H15" s="615">
        <v>2.5</v>
      </c>
      <c r="I15" s="615">
        <v>3.5</v>
      </c>
      <c r="J15" s="616"/>
      <c r="K15" s="617"/>
      <c r="L15" s="618"/>
      <c r="M15" s="614" t="s">
        <v>269</v>
      </c>
      <c r="N15" s="615">
        <v>2.5</v>
      </c>
      <c r="O15" s="615">
        <v>2.25</v>
      </c>
      <c r="P15" s="616"/>
      <c r="Q15" s="617"/>
      <c r="R15" s="618"/>
      <c r="S15" s="619" t="s">
        <v>261</v>
      </c>
      <c r="T15" s="617"/>
      <c r="U15" s="615">
        <v>2.25</v>
      </c>
      <c r="V15" s="619"/>
      <c r="W15" s="617"/>
      <c r="X15" s="618"/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271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359</v>
      </c>
      <c r="L16" s="551"/>
      <c r="M16" s="624" t="s">
        <v>360</v>
      </c>
      <c r="R16" s="551"/>
      <c r="S16" s="624" t="s">
        <v>361</v>
      </c>
      <c r="X16" s="551"/>
      <c r="Y16" s="624" t="s">
        <v>362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5.0</v>
      </c>
      <c r="B26" s="639" t="s">
        <v>101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12.25</v>
      </c>
      <c r="G6" s="592" t="s">
        <v>261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5">
        <v>2.5</v>
      </c>
      <c r="O6" s="593">
        <v>2.5</v>
      </c>
      <c r="P6" s="597"/>
      <c r="Q6" s="598"/>
      <c r="R6" s="596"/>
      <c r="S6" s="594" t="s">
        <v>269</v>
      </c>
      <c r="T6" s="605">
        <v>2.5</v>
      </c>
      <c r="U6" s="593">
        <v>2.5</v>
      </c>
      <c r="V6" s="594"/>
      <c r="W6" s="598"/>
      <c r="X6" s="596"/>
      <c r="Y6" s="594" t="s">
        <v>269</v>
      </c>
      <c r="Z6" s="606"/>
      <c r="AA6" s="599">
        <v>2.25</v>
      </c>
      <c r="AB6" s="597"/>
      <c r="AC6" s="598"/>
      <c r="AD6" s="596"/>
      <c r="AE6" s="594" t="s">
        <v>269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22</v>
      </c>
      <c r="D7" s="602">
        <f t="shared" si="2"/>
        <v>3</v>
      </c>
      <c r="E7" s="603">
        <f t="shared" si="3"/>
        <v>7.5</v>
      </c>
      <c r="F7" s="604">
        <f t="shared" si="4"/>
        <v>14.5</v>
      </c>
      <c r="G7" s="592" t="s">
        <v>261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1.75</v>
      </c>
      <c r="P7" s="597"/>
      <c r="Q7" s="598"/>
      <c r="R7" s="596"/>
      <c r="S7" s="594" t="s">
        <v>261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3.25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19.5</v>
      </c>
      <c r="D8" s="602">
        <f t="shared" si="2"/>
        <v>3</v>
      </c>
      <c r="E8" s="603">
        <f t="shared" si="3"/>
        <v>7.5</v>
      </c>
      <c r="F8" s="604">
        <f t="shared" si="4"/>
        <v>12</v>
      </c>
      <c r="G8" s="592" t="s">
        <v>265</v>
      </c>
      <c r="H8" s="593"/>
      <c r="I8" s="593">
        <v>2.75</v>
      </c>
      <c r="J8" s="594" t="s">
        <v>263</v>
      </c>
      <c r="K8" s="598"/>
      <c r="L8" s="596"/>
      <c r="M8" s="592" t="s">
        <v>261</v>
      </c>
      <c r="N8" s="593">
        <v>2.5</v>
      </c>
      <c r="O8" s="593">
        <v>2.25</v>
      </c>
      <c r="P8" s="597"/>
      <c r="Q8" s="598"/>
      <c r="R8" s="596"/>
      <c r="S8" s="594" t="s">
        <v>271</v>
      </c>
      <c r="T8" s="598"/>
      <c r="U8" s="593">
        <v>0.5</v>
      </c>
      <c r="V8" s="594"/>
      <c r="W8" s="598"/>
      <c r="X8" s="595"/>
      <c r="Y8" s="594" t="s">
        <v>261</v>
      </c>
      <c r="Z8" s="593">
        <v>2.5</v>
      </c>
      <c r="AA8" s="593">
        <v>2.75</v>
      </c>
      <c r="AB8" s="594" t="s">
        <v>260</v>
      </c>
      <c r="AC8" s="598"/>
      <c r="AD8" s="596"/>
      <c r="AE8" s="594" t="s">
        <v>261</v>
      </c>
      <c r="AF8" s="593">
        <v>2.5</v>
      </c>
      <c r="AG8" s="593">
        <v>3.75</v>
      </c>
      <c r="AH8" s="594" t="s">
        <v>260</v>
      </c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25</v>
      </c>
      <c r="D9" s="602">
        <f t="shared" si="2"/>
        <v>4</v>
      </c>
      <c r="E9" s="603">
        <f t="shared" si="3"/>
        <v>10</v>
      </c>
      <c r="F9" s="604">
        <f t="shared" si="4"/>
        <v>15</v>
      </c>
      <c r="G9" s="592" t="s">
        <v>261</v>
      </c>
      <c r="H9" s="593">
        <v>2.5</v>
      </c>
      <c r="I9" s="593">
        <v>4.25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 t="s">
        <v>11</v>
      </c>
      <c r="Q9" s="598"/>
      <c r="R9" s="595">
        <v>0.5</v>
      </c>
      <c r="S9" s="594" t="s">
        <v>269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599">
        <v>2.75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30.75</v>
      </c>
      <c r="D10" s="602">
        <f t="shared" si="2"/>
        <v>5</v>
      </c>
      <c r="E10" s="603">
        <f t="shared" si="3"/>
        <v>12.5</v>
      </c>
      <c r="F10" s="604">
        <f t="shared" si="4"/>
        <v>18.25</v>
      </c>
      <c r="G10" s="592" t="s">
        <v>261</v>
      </c>
      <c r="H10" s="593">
        <v>2.5</v>
      </c>
      <c r="I10" s="593">
        <v>4.0</v>
      </c>
      <c r="J10" s="594" t="s">
        <v>260</v>
      </c>
      <c r="K10" s="598"/>
      <c r="L10" s="596"/>
      <c r="M10" s="592" t="s">
        <v>271</v>
      </c>
      <c r="N10" s="593">
        <v>2.5</v>
      </c>
      <c r="O10" s="593">
        <v>5.0</v>
      </c>
      <c r="P10" s="594"/>
      <c r="Q10" s="598"/>
      <c r="R10" s="595"/>
      <c r="S10" s="594" t="s">
        <v>265</v>
      </c>
      <c r="T10" s="593">
        <v>2.5</v>
      </c>
      <c r="U10" s="593">
        <v>3.0</v>
      </c>
      <c r="V10" s="594"/>
      <c r="W10" s="598"/>
      <c r="X10" s="596"/>
      <c r="Y10" s="594" t="s">
        <v>261</v>
      </c>
      <c r="Z10" s="593">
        <v>2.5</v>
      </c>
      <c r="AA10" s="642">
        <v>3.5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2.75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20.75</v>
      </c>
      <c r="D11" s="602">
        <f t="shared" si="2"/>
        <v>3</v>
      </c>
      <c r="E11" s="603">
        <f t="shared" si="3"/>
        <v>7.5</v>
      </c>
      <c r="F11" s="604">
        <f t="shared" si="4"/>
        <v>13.25</v>
      </c>
      <c r="G11" s="592" t="s">
        <v>261</v>
      </c>
      <c r="H11" s="593">
        <v>2.5</v>
      </c>
      <c r="I11" s="593">
        <v>2.75</v>
      </c>
      <c r="J11" s="594" t="s">
        <v>260</v>
      </c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3">
        <v>2.5</v>
      </c>
      <c r="AA11" s="599">
        <v>3.25</v>
      </c>
      <c r="AB11" s="597"/>
      <c r="AC11" s="598"/>
      <c r="AD11" s="596"/>
      <c r="AE11" s="594" t="s">
        <v>265</v>
      </c>
      <c r="AF11" s="598"/>
      <c r="AG11" s="593">
        <v>1.25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24</v>
      </c>
      <c r="D12" s="602">
        <f t="shared" si="2"/>
        <v>4</v>
      </c>
      <c r="E12" s="603">
        <f t="shared" si="3"/>
        <v>10</v>
      </c>
      <c r="F12" s="604">
        <f t="shared" si="4"/>
        <v>14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261</v>
      </c>
      <c r="N12" s="593">
        <v>2.5</v>
      </c>
      <c r="O12" s="643">
        <v>3.75</v>
      </c>
      <c r="P12" s="597"/>
      <c r="Q12" s="598"/>
      <c r="R12" s="596"/>
      <c r="S12" s="594" t="s">
        <v>261</v>
      </c>
      <c r="T12" s="598"/>
      <c r="U12" s="593">
        <v>2.5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120</v>
      </c>
      <c r="C13" s="588">
        <f t="shared" si="1"/>
        <v>13.5</v>
      </c>
      <c r="D13" s="602">
        <f t="shared" si="2"/>
        <v>1</v>
      </c>
      <c r="E13" s="603">
        <f t="shared" si="3"/>
        <v>2.5</v>
      </c>
      <c r="F13" s="604">
        <f t="shared" si="4"/>
        <v>11</v>
      </c>
      <c r="G13" s="592" t="s">
        <v>269</v>
      </c>
      <c r="H13" s="605"/>
      <c r="I13" s="593">
        <v>1.75</v>
      </c>
      <c r="J13" s="594"/>
      <c r="K13" s="593"/>
      <c r="L13" s="596"/>
      <c r="M13" s="592" t="s">
        <v>269</v>
      </c>
      <c r="N13" s="606"/>
      <c r="O13" s="593">
        <v>1.5</v>
      </c>
      <c r="P13" s="597"/>
      <c r="Q13" s="598"/>
      <c r="R13" s="596"/>
      <c r="S13" s="594" t="s">
        <v>261</v>
      </c>
      <c r="T13" s="606"/>
      <c r="U13" s="593">
        <v>2.75</v>
      </c>
      <c r="V13" s="594"/>
      <c r="W13" s="598"/>
      <c r="X13" s="596"/>
      <c r="Y13" s="594" t="s">
        <v>265</v>
      </c>
      <c r="Z13" s="606"/>
      <c r="AA13" s="599">
        <v>2.0</v>
      </c>
      <c r="AB13" s="594" t="s">
        <v>263</v>
      </c>
      <c r="AC13" s="598"/>
      <c r="AD13" s="596"/>
      <c r="AE13" s="594" t="s">
        <v>271</v>
      </c>
      <c r="AF13" s="605">
        <v>2.5</v>
      </c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18.75</v>
      </c>
      <c r="D14" s="602">
        <f t="shared" si="2"/>
        <v>2</v>
      </c>
      <c r="E14" s="603">
        <f t="shared" si="3"/>
        <v>5</v>
      </c>
      <c r="F14" s="604">
        <f t="shared" si="4"/>
        <v>13.75</v>
      </c>
      <c r="G14" s="592" t="s">
        <v>269</v>
      </c>
      <c r="H14" s="593"/>
      <c r="I14" s="593">
        <v>1.75</v>
      </c>
      <c r="J14" s="594"/>
      <c r="K14" s="593"/>
      <c r="L14" s="595"/>
      <c r="M14" s="592" t="s">
        <v>269</v>
      </c>
      <c r="N14" s="598"/>
      <c r="O14" s="593">
        <v>2.0</v>
      </c>
      <c r="P14" s="594"/>
      <c r="Q14" s="593"/>
      <c r="R14" s="596"/>
      <c r="S14" s="594" t="s">
        <v>261</v>
      </c>
      <c r="T14" s="598"/>
      <c r="U14" s="593">
        <v>2.5</v>
      </c>
      <c r="V14" s="594" t="s">
        <v>11</v>
      </c>
      <c r="W14" s="598"/>
      <c r="X14" s="595">
        <v>0.5</v>
      </c>
      <c r="Y14" s="594" t="s">
        <v>271</v>
      </c>
      <c r="Z14" s="593">
        <v>2.5</v>
      </c>
      <c r="AA14" s="599">
        <v>3.25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3">
        <v>2.5</v>
      </c>
      <c r="AG14" s="593">
        <v>2.25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23.75</v>
      </c>
      <c r="D15" s="611">
        <f t="shared" si="2"/>
        <v>3</v>
      </c>
      <c r="E15" s="612">
        <f t="shared" si="3"/>
        <v>7.5</v>
      </c>
      <c r="F15" s="613">
        <f t="shared" si="4"/>
        <v>16.25</v>
      </c>
      <c r="G15" s="614" t="s">
        <v>271</v>
      </c>
      <c r="H15" s="615">
        <v>2.5</v>
      </c>
      <c r="I15" s="615">
        <v>2.5</v>
      </c>
      <c r="J15" s="619" t="s">
        <v>11</v>
      </c>
      <c r="K15" s="617"/>
      <c r="L15" s="620">
        <v>0.5</v>
      </c>
      <c r="M15" s="614" t="s">
        <v>261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269</v>
      </c>
      <c r="Z15" s="617"/>
      <c r="AA15" s="641">
        <v>2.5</v>
      </c>
      <c r="AB15" s="616"/>
      <c r="AC15" s="617"/>
      <c r="AD15" s="618"/>
      <c r="AE15" s="619" t="s">
        <v>261</v>
      </c>
      <c r="AF15" s="615">
        <v>2.5</v>
      </c>
      <c r="AG15" s="615">
        <v>4.5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267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264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/>
      <c r="B26" s="639"/>
      <c r="C26" s="639"/>
      <c r="D26" s="638"/>
      <c r="E26" s="640"/>
      <c r="F26" s="640"/>
      <c r="AK26" s="59"/>
    </row>
    <row r="27">
      <c r="A27" s="639">
        <v>4.0</v>
      </c>
      <c r="B27" s="639" t="s">
        <v>107</v>
      </c>
      <c r="C27" s="639" t="s">
        <v>16</v>
      </c>
      <c r="D27" s="639">
        <v>-0.5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644" t="s">
        <v>365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15.75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13.25</v>
      </c>
      <c r="G6" s="592" t="s">
        <v>261</v>
      </c>
      <c r="H6" s="606"/>
      <c r="I6" s="593">
        <v>2.5</v>
      </c>
      <c r="J6" s="594"/>
      <c r="K6" s="593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6"/>
      <c r="U6" s="593">
        <v>2.5</v>
      </c>
      <c r="V6" s="594" t="s">
        <v>11</v>
      </c>
      <c r="W6" s="598"/>
      <c r="X6" s="595">
        <v>0.5</v>
      </c>
      <c r="Y6" s="594" t="s">
        <v>261</v>
      </c>
      <c r="Z6" s="606"/>
      <c r="AA6" s="599">
        <v>2.0</v>
      </c>
      <c r="AB6" s="597"/>
      <c r="AC6" s="598"/>
      <c r="AD6" s="596"/>
      <c r="AE6" s="594" t="s">
        <v>261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12</v>
      </c>
      <c r="D7" s="602">
        <f t="shared" si="2"/>
        <v>0</v>
      </c>
      <c r="E7" s="603">
        <f t="shared" si="3"/>
        <v>0</v>
      </c>
      <c r="F7" s="604">
        <f t="shared" si="4"/>
        <v>12</v>
      </c>
      <c r="G7" s="592" t="s">
        <v>261</v>
      </c>
      <c r="H7" s="606"/>
      <c r="I7" s="593">
        <v>2.75</v>
      </c>
      <c r="J7" s="594"/>
      <c r="K7" s="593"/>
      <c r="L7" s="596"/>
      <c r="M7" s="592" t="s">
        <v>261</v>
      </c>
      <c r="N7" s="606"/>
      <c r="O7" s="593">
        <v>2.0</v>
      </c>
      <c r="P7" s="597"/>
      <c r="Q7" s="598"/>
      <c r="R7" s="596"/>
      <c r="S7" s="594" t="s">
        <v>261</v>
      </c>
      <c r="T7" s="606"/>
      <c r="U7" s="593">
        <v>3.75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6"/>
      <c r="AG7" s="608">
        <v>1.0</v>
      </c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25.25</v>
      </c>
      <c r="D8" s="602">
        <f t="shared" si="2"/>
        <v>4</v>
      </c>
      <c r="E8" s="603">
        <f t="shared" si="3"/>
        <v>10</v>
      </c>
      <c r="F8" s="604">
        <f t="shared" si="4"/>
        <v>15.25</v>
      </c>
      <c r="G8" s="592" t="s">
        <v>269</v>
      </c>
      <c r="H8" s="593">
        <v>2.5</v>
      </c>
      <c r="I8" s="593">
        <v>3.25</v>
      </c>
      <c r="J8" s="597"/>
      <c r="K8" s="593"/>
      <c r="L8" s="596"/>
      <c r="M8" s="592" t="s">
        <v>265</v>
      </c>
      <c r="N8" s="593">
        <v>2.5</v>
      </c>
      <c r="O8" s="593">
        <v>2.25</v>
      </c>
      <c r="P8" s="597"/>
      <c r="Q8" s="598"/>
      <c r="R8" s="596"/>
      <c r="S8" s="594" t="s">
        <v>265</v>
      </c>
      <c r="T8" s="593">
        <v>2.5</v>
      </c>
      <c r="U8" s="593">
        <v>3.75</v>
      </c>
      <c r="V8" s="594"/>
      <c r="W8" s="598"/>
      <c r="X8" s="595"/>
      <c r="Y8" s="594" t="s">
        <v>269</v>
      </c>
      <c r="Z8" s="593">
        <v>2.5</v>
      </c>
      <c r="AA8" s="593">
        <v>3.5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15.25</v>
      </c>
      <c r="D9" s="602">
        <f t="shared" si="2"/>
        <v>1</v>
      </c>
      <c r="E9" s="603">
        <f t="shared" si="3"/>
        <v>2.5</v>
      </c>
      <c r="F9" s="604">
        <f t="shared" si="4"/>
        <v>12.75</v>
      </c>
      <c r="G9" s="592" t="s">
        <v>261</v>
      </c>
      <c r="H9" s="598"/>
      <c r="I9" s="593">
        <v>3.75</v>
      </c>
      <c r="J9" s="594"/>
      <c r="K9" s="593"/>
      <c r="L9" s="596"/>
      <c r="M9" s="592" t="s">
        <v>271</v>
      </c>
      <c r="N9" s="598"/>
      <c r="O9" s="593">
        <v>2.0</v>
      </c>
      <c r="P9" s="594"/>
      <c r="Q9" s="598"/>
      <c r="R9" s="596"/>
      <c r="S9" s="594" t="s">
        <v>269</v>
      </c>
      <c r="T9" s="593">
        <v>2.5</v>
      </c>
      <c r="U9" s="593">
        <v>2.5</v>
      </c>
      <c r="V9" s="594"/>
      <c r="W9" s="598"/>
      <c r="X9" s="596"/>
      <c r="Y9" s="594" t="s">
        <v>261</v>
      </c>
      <c r="Z9" s="598"/>
      <c r="AA9" s="599">
        <v>2.5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13.25</v>
      </c>
      <c r="D10" s="602">
        <f t="shared" si="2"/>
        <v>1</v>
      </c>
      <c r="E10" s="603">
        <f t="shared" si="3"/>
        <v>2.5</v>
      </c>
      <c r="F10" s="604">
        <f t="shared" si="4"/>
        <v>10.75</v>
      </c>
      <c r="G10" s="592" t="s">
        <v>261</v>
      </c>
      <c r="H10" s="598"/>
      <c r="I10" s="593">
        <v>1.5</v>
      </c>
      <c r="J10" s="597"/>
      <c r="K10" s="593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8"/>
      <c r="AA10" s="599">
        <v>2.0</v>
      </c>
      <c r="AB10" s="594"/>
      <c r="AC10" s="598"/>
      <c r="AD10" s="595"/>
      <c r="AE10" s="594" t="s">
        <v>269</v>
      </c>
      <c r="AF10" s="593">
        <v>2.5</v>
      </c>
      <c r="AG10" s="608">
        <v>3.0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261</v>
      </c>
      <c r="H11" s="598"/>
      <c r="I11" s="593">
        <v>1.5</v>
      </c>
      <c r="J11" s="594"/>
      <c r="K11" s="593"/>
      <c r="L11" s="596"/>
      <c r="M11" s="592" t="s">
        <v>269</v>
      </c>
      <c r="N11" s="593">
        <v>2.5</v>
      </c>
      <c r="O11" s="593">
        <v>3.75</v>
      </c>
      <c r="P11" s="594"/>
      <c r="Q11" s="593"/>
      <c r="R11" s="595"/>
      <c r="S11" s="594" t="s">
        <v>261</v>
      </c>
      <c r="T11" s="598"/>
      <c r="U11" s="593">
        <v>2.75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2.5</v>
      </c>
      <c r="AH11" s="594" t="s">
        <v>263</v>
      </c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15.25</v>
      </c>
      <c r="D12" s="602">
        <f t="shared" si="2"/>
        <v>1</v>
      </c>
      <c r="E12" s="603">
        <f t="shared" si="3"/>
        <v>2.5</v>
      </c>
      <c r="F12" s="604">
        <f t="shared" si="4"/>
        <v>12.75</v>
      </c>
      <c r="G12" s="592" t="s">
        <v>271</v>
      </c>
      <c r="H12" s="598"/>
      <c r="I12" s="593">
        <v>2.5</v>
      </c>
      <c r="J12" s="594"/>
      <c r="K12" s="593"/>
      <c r="L12" s="596"/>
      <c r="M12" s="592" t="s">
        <v>261</v>
      </c>
      <c r="N12" s="598"/>
      <c r="O12" s="593">
        <v>2.0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271</v>
      </c>
      <c r="Z12" s="598"/>
      <c r="AA12" s="593">
        <v>3.0</v>
      </c>
      <c r="AB12" s="597"/>
      <c r="AC12" s="598"/>
      <c r="AD12" s="596"/>
      <c r="AE12" s="594" t="s">
        <v>265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608">
        <v>1.5</v>
      </c>
      <c r="P13" s="597"/>
      <c r="Q13" s="598"/>
      <c r="R13" s="596"/>
      <c r="S13" s="594" t="s">
        <v>271</v>
      </c>
      <c r="T13" s="606"/>
      <c r="U13" s="593">
        <v>3.25</v>
      </c>
      <c r="V13" s="594"/>
      <c r="W13" s="598"/>
      <c r="X13" s="596"/>
      <c r="Y13" s="594" t="s">
        <v>265</v>
      </c>
      <c r="Z13" s="605">
        <v>2.5</v>
      </c>
      <c r="AA13" s="599">
        <v>4.0</v>
      </c>
      <c r="AB13" s="597"/>
      <c r="AC13" s="598"/>
      <c r="AD13" s="596"/>
      <c r="AE13" s="594" t="s">
        <v>269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20.5</v>
      </c>
      <c r="D14" s="602">
        <f t="shared" si="2"/>
        <v>1</v>
      </c>
      <c r="E14" s="603">
        <f t="shared" si="3"/>
        <v>2.5</v>
      </c>
      <c r="F14" s="604">
        <f t="shared" si="4"/>
        <v>18</v>
      </c>
      <c r="G14" s="592" t="s">
        <v>265</v>
      </c>
      <c r="H14" s="593">
        <v>2.5</v>
      </c>
      <c r="I14" s="593">
        <v>4.0</v>
      </c>
      <c r="J14" s="594"/>
      <c r="K14" s="593"/>
      <c r="L14" s="595"/>
      <c r="M14" s="592" t="s">
        <v>261</v>
      </c>
      <c r="N14" s="598"/>
      <c r="O14" s="593">
        <v>4.0</v>
      </c>
      <c r="P14" s="594" t="s">
        <v>11</v>
      </c>
      <c r="Q14" s="593">
        <v>0.5</v>
      </c>
      <c r="R14" s="595">
        <v>0.5</v>
      </c>
      <c r="S14" s="594" t="s">
        <v>261</v>
      </c>
      <c r="T14" s="598"/>
      <c r="U14" s="593">
        <v>3.0</v>
      </c>
      <c r="V14" s="597"/>
      <c r="W14" s="598"/>
      <c r="X14" s="596"/>
      <c r="Y14" s="594" t="s">
        <v>261</v>
      </c>
      <c r="Z14" s="598"/>
      <c r="AA14" s="599">
        <v>1.25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8"/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13.75</v>
      </c>
      <c r="D15" s="611">
        <f t="shared" si="2"/>
        <v>1</v>
      </c>
      <c r="E15" s="612">
        <f t="shared" si="3"/>
        <v>2.5</v>
      </c>
      <c r="F15" s="613">
        <f t="shared" si="4"/>
        <v>11.25</v>
      </c>
      <c r="G15" s="614" t="s">
        <v>261</v>
      </c>
      <c r="H15" s="617"/>
      <c r="I15" s="615">
        <v>1.75</v>
      </c>
      <c r="J15" s="616"/>
      <c r="K15" s="615"/>
      <c r="L15" s="620">
        <v>0.5</v>
      </c>
      <c r="M15" s="614" t="s">
        <v>261</v>
      </c>
      <c r="N15" s="617"/>
      <c r="O15" s="615">
        <v>2.75</v>
      </c>
      <c r="P15" s="616"/>
      <c r="Q15" s="617"/>
      <c r="R15" s="618"/>
      <c r="S15" s="619" t="s">
        <v>269</v>
      </c>
      <c r="T15" s="615">
        <v>2.5</v>
      </c>
      <c r="U15" s="621">
        <v>2.75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366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98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88</v>
      </c>
      <c r="C28" s="639" t="s">
        <v>16</v>
      </c>
      <c r="D28" s="639">
        <v>-0.5</v>
      </c>
      <c r="E28" s="59"/>
      <c r="F28" s="59"/>
      <c r="AK28" s="59"/>
    </row>
    <row r="29">
      <c r="A29" s="639">
        <v>5.0</v>
      </c>
      <c r="B29" s="639" t="s">
        <v>96</v>
      </c>
      <c r="C29" s="639" t="s">
        <v>16</v>
      </c>
      <c r="D29" s="639">
        <v>-0.5</v>
      </c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G32" s="422" t="str">
        <v/>
      </c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452"/>
      <c r="B3" s="452"/>
      <c r="C3" s="452"/>
      <c r="D3" s="452"/>
      <c r="E3" s="452"/>
      <c r="F3" s="452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645" t="s">
        <v>368</v>
      </c>
      <c r="AK3" s="635"/>
      <c r="AL3" s="455"/>
    </row>
    <row r="4">
      <c r="A4" s="506"/>
      <c r="B4" s="506"/>
      <c r="C4" s="506"/>
      <c r="D4" s="506"/>
      <c r="E4" s="506"/>
      <c r="F4" s="506"/>
      <c r="G4" s="507"/>
      <c r="H4" s="507"/>
      <c r="I4" s="507"/>
      <c r="J4" s="507"/>
      <c r="K4" s="507"/>
      <c r="L4" s="507"/>
      <c r="M4" s="507"/>
      <c r="N4" s="507"/>
      <c r="O4" s="507"/>
      <c r="P4" s="507"/>
      <c r="Q4" s="507"/>
      <c r="R4" s="507"/>
      <c r="S4" s="507"/>
      <c r="T4" s="507"/>
      <c r="U4" s="507"/>
      <c r="V4" s="507"/>
      <c r="W4" s="507"/>
      <c r="X4" s="507"/>
      <c r="Y4" s="507"/>
      <c r="Z4" s="507"/>
      <c r="AA4" s="507"/>
      <c r="AB4" s="507"/>
      <c r="AC4" s="507"/>
      <c r="AD4" s="507"/>
      <c r="AE4" s="507"/>
      <c r="AF4" s="507"/>
      <c r="AG4" s="507"/>
      <c r="AH4" s="507"/>
      <c r="AI4" s="507"/>
      <c r="AJ4" s="507"/>
      <c r="AK4" s="572"/>
      <c r="AL4" s="455"/>
    </row>
    <row r="5">
      <c r="A5" s="573" t="s">
        <v>1</v>
      </c>
      <c r="B5" s="574" t="s">
        <v>288</v>
      </c>
      <c r="C5" s="575" t="s">
        <v>295</v>
      </c>
      <c r="D5" s="576" t="s">
        <v>12</v>
      </c>
      <c r="E5" s="577" t="s">
        <v>7</v>
      </c>
      <c r="F5" s="578" t="s">
        <v>333</v>
      </c>
      <c r="G5" s="579" t="s">
        <v>250</v>
      </c>
      <c r="H5" s="185"/>
      <c r="I5" s="185"/>
      <c r="J5" s="185"/>
      <c r="K5" s="185"/>
      <c r="L5" s="515"/>
      <c r="M5" s="579" t="s">
        <v>297</v>
      </c>
      <c r="N5" s="185"/>
      <c r="O5" s="185"/>
      <c r="P5" s="185"/>
      <c r="Q5" s="185"/>
      <c r="R5" s="515"/>
      <c r="S5" s="579" t="s">
        <v>298</v>
      </c>
      <c r="T5" s="185"/>
      <c r="U5" s="185"/>
      <c r="V5" s="185"/>
      <c r="W5" s="185"/>
      <c r="X5" s="515"/>
      <c r="Y5" s="579" t="s">
        <v>299</v>
      </c>
      <c r="Z5" s="185"/>
      <c r="AA5" s="185"/>
      <c r="AB5" s="185"/>
      <c r="AC5" s="185"/>
      <c r="AD5" s="515"/>
      <c r="AE5" s="579" t="s">
        <v>300</v>
      </c>
      <c r="AF5" s="185"/>
      <c r="AG5" s="185"/>
      <c r="AH5" s="185"/>
      <c r="AI5" s="185"/>
      <c r="AJ5" s="515"/>
      <c r="AK5" s="580" t="s">
        <v>334</v>
      </c>
      <c r="AL5" s="581"/>
    </row>
    <row r="6">
      <c r="A6" s="419"/>
      <c r="B6" s="515"/>
      <c r="C6" s="515"/>
      <c r="D6" s="419"/>
      <c r="E6" s="582"/>
      <c r="F6" s="185"/>
      <c r="G6" s="583" t="s">
        <v>255</v>
      </c>
      <c r="H6" s="583" t="s">
        <v>7</v>
      </c>
      <c r="I6" s="583" t="s">
        <v>8</v>
      </c>
      <c r="J6" s="583" t="s">
        <v>256</v>
      </c>
      <c r="K6" s="583" t="s">
        <v>9</v>
      </c>
      <c r="L6" s="584" t="s">
        <v>10</v>
      </c>
      <c r="M6" s="583" t="s">
        <v>255</v>
      </c>
      <c r="N6" s="583" t="s">
        <v>7</v>
      </c>
      <c r="O6" s="583" t="s">
        <v>8</v>
      </c>
      <c r="P6" s="583" t="s">
        <v>256</v>
      </c>
      <c r="Q6" s="583" t="s">
        <v>9</v>
      </c>
      <c r="R6" s="584" t="s">
        <v>10</v>
      </c>
      <c r="S6" s="583" t="s">
        <v>255</v>
      </c>
      <c r="T6" s="583" t="s">
        <v>7</v>
      </c>
      <c r="U6" s="583" t="s">
        <v>8</v>
      </c>
      <c r="V6" s="583" t="s">
        <v>256</v>
      </c>
      <c r="W6" s="583" t="s">
        <v>9</v>
      </c>
      <c r="X6" s="584" t="s">
        <v>10</v>
      </c>
      <c r="Y6" s="583" t="s">
        <v>255</v>
      </c>
      <c r="Z6" s="583" t="s">
        <v>7</v>
      </c>
      <c r="AA6" s="583" t="s">
        <v>8</v>
      </c>
      <c r="AB6" s="583" t="s">
        <v>306</v>
      </c>
      <c r="AC6" s="583" t="s">
        <v>9</v>
      </c>
      <c r="AD6" s="584" t="s">
        <v>10</v>
      </c>
      <c r="AE6" s="583" t="s">
        <v>255</v>
      </c>
      <c r="AF6" s="583" t="s">
        <v>7</v>
      </c>
      <c r="AG6" s="583" t="s">
        <v>8</v>
      </c>
      <c r="AH6" s="583" t="s">
        <v>256</v>
      </c>
      <c r="AI6" s="583" t="s">
        <v>9</v>
      </c>
      <c r="AJ6" s="584" t="s">
        <v>10</v>
      </c>
      <c r="AK6" s="185"/>
      <c r="AL6" s="585"/>
    </row>
    <row r="7">
      <c r="A7" s="586">
        <v>1.0</v>
      </c>
      <c r="B7" s="587" t="s">
        <v>79</v>
      </c>
      <c r="C7" s="588">
        <f t="shared" ref="C7:C16" si="1">SUM(H7:AK7)</f>
        <v>27</v>
      </c>
      <c r="D7" s="589">
        <f t="shared" ref="D7:D16" si="2">E7/2.5</f>
        <v>4</v>
      </c>
      <c r="E7" s="590">
        <f t="shared" ref="E7:E16" si="3">SUM(H7+N7+T7+Z7+AF7+AL7+AR7)</f>
        <v>10</v>
      </c>
      <c r="F7" s="591">
        <f t="shared" ref="F7:F16" si="4">C7-E7</f>
        <v>17</v>
      </c>
      <c r="G7" s="592" t="s">
        <v>271</v>
      </c>
      <c r="H7" s="605">
        <v>2.5</v>
      </c>
      <c r="I7" s="593">
        <v>3.75</v>
      </c>
      <c r="J7" s="594"/>
      <c r="K7" s="598"/>
      <c r="L7" s="596"/>
      <c r="M7" s="592" t="s">
        <v>261</v>
      </c>
      <c r="N7" s="606"/>
      <c r="O7" s="593">
        <v>4.25</v>
      </c>
      <c r="P7" s="597"/>
      <c r="Q7" s="598"/>
      <c r="R7" s="596"/>
      <c r="S7" s="594" t="s">
        <v>265</v>
      </c>
      <c r="T7" s="605">
        <v>2.5</v>
      </c>
      <c r="U7" s="593">
        <v>2.0</v>
      </c>
      <c r="V7" s="594"/>
      <c r="W7" s="598"/>
      <c r="X7" s="596"/>
      <c r="Y7" s="594" t="s">
        <v>261</v>
      </c>
      <c r="Z7" s="605">
        <v>2.5</v>
      </c>
      <c r="AA7" s="599">
        <v>3.0</v>
      </c>
      <c r="AB7" s="597"/>
      <c r="AC7" s="598"/>
      <c r="AD7" s="596"/>
      <c r="AE7" s="594" t="s">
        <v>261</v>
      </c>
      <c r="AF7" s="605">
        <v>2.5</v>
      </c>
      <c r="AG7" s="593">
        <v>3.0</v>
      </c>
      <c r="AH7" s="594" t="s">
        <v>11</v>
      </c>
      <c r="AI7" s="593">
        <v>0.5</v>
      </c>
      <c r="AJ7" s="595">
        <v>0.5</v>
      </c>
      <c r="AK7" s="600"/>
      <c r="AL7" s="601"/>
    </row>
    <row r="8" ht="23.25" customHeight="1">
      <c r="A8" s="586">
        <v>2.0</v>
      </c>
      <c r="B8" s="587" t="s">
        <v>107</v>
      </c>
      <c r="C8" s="588">
        <f t="shared" si="1"/>
        <v>24.75</v>
      </c>
      <c r="D8" s="602">
        <f t="shared" si="2"/>
        <v>3</v>
      </c>
      <c r="E8" s="603">
        <f t="shared" si="3"/>
        <v>7.5</v>
      </c>
      <c r="F8" s="604">
        <f t="shared" si="4"/>
        <v>17.25</v>
      </c>
      <c r="G8" s="592" t="s">
        <v>261</v>
      </c>
      <c r="H8" s="605">
        <v>2.5</v>
      </c>
      <c r="I8" s="593">
        <v>3.75</v>
      </c>
      <c r="J8" s="594"/>
      <c r="K8" s="598"/>
      <c r="L8" s="596"/>
      <c r="M8" s="592" t="s">
        <v>261</v>
      </c>
      <c r="N8" s="606"/>
      <c r="O8" s="593">
        <v>2.75</v>
      </c>
      <c r="P8" s="597"/>
      <c r="Q8" s="598"/>
      <c r="R8" s="596"/>
      <c r="S8" s="594" t="s">
        <v>271</v>
      </c>
      <c r="T8" s="606"/>
      <c r="U8" s="593">
        <v>2.0</v>
      </c>
      <c r="V8" s="594" t="s">
        <v>11</v>
      </c>
      <c r="W8" s="598"/>
      <c r="X8" s="595">
        <v>0.5</v>
      </c>
      <c r="Y8" s="594" t="s">
        <v>261</v>
      </c>
      <c r="Z8" s="605">
        <v>2.5</v>
      </c>
      <c r="AA8" s="599">
        <v>2.75</v>
      </c>
      <c r="AB8" s="594" t="s">
        <v>11</v>
      </c>
      <c r="AC8" s="593"/>
      <c r="AD8" s="595">
        <v>1.0</v>
      </c>
      <c r="AE8" s="594" t="s">
        <v>261</v>
      </c>
      <c r="AF8" s="605">
        <v>2.5</v>
      </c>
      <c r="AG8" s="593">
        <v>4.5</v>
      </c>
      <c r="AH8" s="594"/>
      <c r="AI8" s="598"/>
      <c r="AJ8" s="595"/>
      <c r="AK8" s="596"/>
      <c r="AL8" s="601"/>
    </row>
    <row r="9">
      <c r="A9" s="586">
        <v>3.0</v>
      </c>
      <c r="B9" s="587" t="s">
        <v>117</v>
      </c>
      <c r="C9" s="588">
        <f t="shared" si="1"/>
        <v>20.5</v>
      </c>
      <c r="D9" s="602">
        <f t="shared" si="2"/>
        <v>3</v>
      </c>
      <c r="E9" s="603">
        <f t="shared" si="3"/>
        <v>7.5</v>
      </c>
      <c r="F9" s="604">
        <f t="shared" si="4"/>
        <v>13</v>
      </c>
      <c r="G9" s="592" t="s">
        <v>261</v>
      </c>
      <c r="H9" s="593">
        <v>2.5</v>
      </c>
      <c r="I9" s="593">
        <v>3.0</v>
      </c>
      <c r="J9" s="597"/>
      <c r="K9" s="598"/>
      <c r="L9" s="596"/>
      <c r="M9" s="592" t="s">
        <v>261</v>
      </c>
      <c r="N9" s="598"/>
      <c r="O9" s="593">
        <v>1.75</v>
      </c>
      <c r="P9" s="594" t="s">
        <v>263</v>
      </c>
      <c r="Q9" s="598"/>
      <c r="R9" s="596"/>
      <c r="S9" s="594" t="s">
        <v>261</v>
      </c>
      <c r="T9" s="598"/>
      <c r="U9" s="593">
        <v>2.25</v>
      </c>
      <c r="V9" s="594"/>
      <c r="W9" s="598"/>
      <c r="X9" s="595"/>
      <c r="Y9" s="594" t="s">
        <v>261</v>
      </c>
      <c r="Z9" s="593">
        <v>2.5</v>
      </c>
      <c r="AA9" s="593">
        <v>2.5</v>
      </c>
      <c r="AB9" s="597"/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596"/>
      <c r="AL9" s="601"/>
    </row>
    <row r="10">
      <c r="A10" s="586">
        <v>4.0</v>
      </c>
      <c r="B10" s="587" t="s">
        <v>126</v>
      </c>
      <c r="C10" s="588">
        <f t="shared" si="1"/>
        <v>20.5</v>
      </c>
      <c r="D10" s="602">
        <f t="shared" si="2"/>
        <v>3</v>
      </c>
      <c r="E10" s="603">
        <f t="shared" si="3"/>
        <v>7.5</v>
      </c>
      <c r="F10" s="604">
        <f t="shared" si="4"/>
        <v>13</v>
      </c>
      <c r="G10" s="592" t="s">
        <v>261</v>
      </c>
      <c r="H10" s="593">
        <v>2.5</v>
      </c>
      <c r="I10" s="593">
        <v>3.75</v>
      </c>
      <c r="J10" s="594"/>
      <c r="K10" s="598"/>
      <c r="L10" s="596"/>
      <c r="M10" s="592" t="s">
        <v>261</v>
      </c>
      <c r="N10" s="598"/>
      <c r="O10" s="593">
        <v>2.0</v>
      </c>
      <c r="P10" s="594"/>
      <c r="Q10" s="598"/>
      <c r="R10" s="596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3">
        <v>2.5</v>
      </c>
      <c r="AA10" s="599">
        <v>2.5</v>
      </c>
      <c r="AB10" s="597"/>
      <c r="AC10" s="598"/>
      <c r="AD10" s="596"/>
      <c r="AE10" s="594" t="s">
        <v>271</v>
      </c>
      <c r="AF10" s="593">
        <v>2.5</v>
      </c>
      <c r="AG10" s="593">
        <v>2.75</v>
      </c>
      <c r="AH10" s="597"/>
      <c r="AI10" s="598"/>
      <c r="AJ10" s="596"/>
      <c r="AK10" s="607"/>
      <c r="AL10" s="601"/>
    </row>
    <row r="11">
      <c r="A11" s="586">
        <v>5.0</v>
      </c>
      <c r="B11" s="587" t="s">
        <v>89</v>
      </c>
      <c r="C11" s="588">
        <f t="shared" si="1"/>
        <v>17.75</v>
      </c>
      <c r="D11" s="602">
        <f t="shared" si="2"/>
        <v>2</v>
      </c>
      <c r="E11" s="603">
        <f t="shared" si="3"/>
        <v>5</v>
      </c>
      <c r="F11" s="604">
        <f t="shared" si="4"/>
        <v>12.75</v>
      </c>
      <c r="G11" s="592" t="s">
        <v>269</v>
      </c>
      <c r="H11" s="598"/>
      <c r="I11" s="593">
        <v>2.25</v>
      </c>
      <c r="J11" s="597"/>
      <c r="K11" s="598"/>
      <c r="L11" s="596"/>
      <c r="M11" s="592" t="s">
        <v>269</v>
      </c>
      <c r="N11" s="593">
        <v>2.5</v>
      </c>
      <c r="O11" s="593">
        <v>3.0</v>
      </c>
      <c r="P11" s="594"/>
      <c r="Q11" s="598"/>
      <c r="R11" s="595"/>
      <c r="S11" s="594" t="s">
        <v>269</v>
      </c>
      <c r="T11" s="593">
        <v>2.5</v>
      </c>
      <c r="U11" s="593">
        <v>4.5</v>
      </c>
      <c r="V11" s="594"/>
      <c r="W11" s="598"/>
      <c r="X11" s="596"/>
      <c r="Y11" s="594" t="s">
        <v>265</v>
      </c>
      <c r="Z11" s="598"/>
      <c r="AA11" s="642">
        <v>1.0</v>
      </c>
      <c r="AB11" s="594"/>
      <c r="AC11" s="598"/>
      <c r="AD11" s="595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6.0</v>
      </c>
      <c r="B12" s="587" t="s">
        <v>88</v>
      </c>
      <c r="C12" s="588">
        <f t="shared" si="1"/>
        <v>25</v>
      </c>
      <c r="D12" s="602">
        <f t="shared" si="2"/>
        <v>4</v>
      </c>
      <c r="E12" s="603">
        <f t="shared" si="3"/>
        <v>10</v>
      </c>
      <c r="F12" s="604">
        <f t="shared" si="4"/>
        <v>15</v>
      </c>
      <c r="G12" s="592" t="s">
        <v>269</v>
      </c>
      <c r="H12" s="598"/>
      <c r="I12" s="593">
        <v>2.0</v>
      </c>
      <c r="J12" s="594"/>
      <c r="K12" s="598"/>
      <c r="L12" s="596"/>
      <c r="M12" s="592" t="s">
        <v>265</v>
      </c>
      <c r="N12" s="593">
        <v>2.5</v>
      </c>
      <c r="O12" s="593">
        <v>2.75</v>
      </c>
      <c r="P12" s="594"/>
      <c r="Q12" s="593"/>
      <c r="R12" s="595"/>
      <c r="S12" s="594" t="s">
        <v>269</v>
      </c>
      <c r="T12" s="593">
        <v>2.5</v>
      </c>
      <c r="U12" s="593">
        <v>2.75</v>
      </c>
      <c r="V12" s="597"/>
      <c r="W12" s="598"/>
      <c r="X12" s="596"/>
      <c r="Y12" s="594" t="s">
        <v>261</v>
      </c>
      <c r="Z12" s="593">
        <v>2.5</v>
      </c>
      <c r="AA12" s="599">
        <v>3.25</v>
      </c>
      <c r="AB12" s="597"/>
      <c r="AC12" s="598"/>
      <c r="AD12" s="596"/>
      <c r="AE12" s="594" t="s">
        <v>261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7.0</v>
      </c>
      <c r="B13" s="587" t="s">
        <v>132</v>
      </c>
      <c r="C13" s="588">
        <f t="shared" si="1"/>
        <v>16</v>
      </c>
      <c r="D13" s="602">
        <f t="shared" si="2"/>
        <v>1</v>
      </c>
      <c r="E13" s="603">
        <f t="shared" si="3"/>
        <v>2.5</v>
      </c>
      <c r="F13" s="604">
        <f t="shared" si="4"/>
        <v>13.5</v>
      </c>
      <c r="G13" s="592" t="s">
        <v>261</v>
      </c>
      <c r="H13" s="593">
        <v>2.5</v>
      </c>
      <c r="I13" s="593">
        <v>3.25</v>
      </c>
      <c r="J13" s="594"/>
      <c r="K13" s="598"/>
      <c r="L13" s="596"/>
      <c r="M13" s="592" t="s">
        <v>261</v>
      </c>
      <c r="N13" s="598"/>
      <c r="O13" s="593">
        <v>2.75</v>
      </c>
      <c r="P13" s="594" t="s">
        <v>263</v>
      </c>
      <c r="Q13" s="598"/>
      <c r="R13" s="596"/>
      <c r="S13" s="594" t="s">
        <v>261</v>
      </c>
      <c r="T13" s="598"/>
      <c r="U13" s="593">
        <v>2.5</v>
      </c>
      <c r="V13" s="594"/>
      <c r="W13" s="598"/>
      <c r="X13" s="595"/>
      <c r="Y13" s="594" t="s">
        <v>269</v>
      </c>
      <c r="Z13" s="598"/>
      <c r="AA13" s="593">
        <v>3.0</v>
      </c>
      <c r="AB13" s="597"/>
      <c r="AC13" s="598"/>
      <c r="AD13" s="596"/>
      <c r="AE13" s="594" t="s">
        <v>265</v>
      </c>
      <c r="AF13" s="598"/>
      <c r="AG13" s="593">
        <v>2.0</v>
      </c>
      <c r="AH13" s="597"/>
      <c r="AI13" s="598"/>
      <c r="AJ13" s="596"/>
      <c r="AK13" s="596"/>
      <c r="AL13" s="601"/>
    </row>
    <row r="14">
      <c r="A14" s="586">
        <v>8.0</v>
      </c>
      <c r="B14" s="587" t="s">
        <v>119</v>
      </c>
      <c r="C14" s="588">
        <f t="shared" si="1"/>
        <v>12</v>
      </c>
      <c r="D14" s="602">
        <f t="shared" si="2"/>
        <v>1</v>
      </c>
      <c r="E14" s="603">
        <f t="shared" si="3"/>
        <v>2.5</v>
      </c>
      <c r="F14" s="604">
        <f t="shared" si="4"/>
        <v>9.5</v>
      </c>
      <c r="G14" s="592" t="s">
        <v>265</v>
      </c>
      <c r="H14" s="606"/>
      <c r="I14" s="593">
        <v>2.0</v>
      </c>
      <c r="J14" s="594"/>
      <c r="K14" s="593"/>
      <c r="L14" s="596"/>
      <c r="M14" s="592" t="s">
        <v>261</v>
      </c>
      <c r="N14" s="606"/>
      <c r="O14" s="593">
        <v>1.75</v>
      </c>
      <c r="P14" s="597"/>
      <c r="Q14" s="598"/>
      <c r="R14" s="596"/>
      <c r="S14" s="594" t="s">
        <v>261</v>
      </c>
      <c r="T14" s="606"/>
      <c r="U14" s="593">
        <v>2.25</v>
      </c>
      <c r="V14" s="594"/>
      <c r="W14" s="598"/>
      <c r="X14" s="596"/>
      <c r="Y14" s="594" t="s">
        <v>269</v>
      </c>
      <c r="Z14" s="606"/>
      <c r="AA14" s="642">
        <v>0.0</v>
      </c>
      <c r="AB14" s="597"/>
      <c r="AC14" s="598"/>
      <c r="AD14" s="596"/>
      <c r="AE14" s="594" t="s">
        <v>261</v>
      </c>
      <c r="AF14" s="605">
        <v>2.5</v>
      </c>
      <c r="AG14" s="593">
        <v>3.5</v>
      </c>
      <c r="AH14" s="597"/>
      <c r="AI14" s="598"/>
      <c r="AJ14" s="596"/>
      <c r="AK14" s="596"/>
      <c r="AL14" s="601"/>
    </row>
    <row r="15">
      <c r="A15" s="586">
        <v>9.0</v>
      </c>
      <c r="B15" s="587" t="s">
        <v>127</v>
      </c>
      <c r="C15" s="588">
        <f t="shared" si="1"/>
        <v>18.75</v>
      </c>
      <c r="D15" s="602">
        <f t="shared" si="2"/>
        <v>2</v>
      </c>
      <c r="E15" s="603">
        <f t="shared" si="3"/>
        <v>5</v>
      </c>
      <c r="F15" s="604">
        <f t="shared" si="4"/>
        <v>13.75</v>
      </c>
      <c r="G15" s="592" t="s">
        <v>261</v>
      </c>
      <c r="H15" s="593">
        <v>2.5</v>
      </c>
      <c r="I15" s="593">
        <v>2.75</v>
      </c>
      <c r="J15" s="594" t="s">
        <v>11</v>
      </c>
      <c r="K15" s="593">
        <v>0.5</v>
      </c>
      <c r="L15" s="595">
        <v>0.5</v>
      </c>
      <c r="M15" s="592" t="s">
        <v>271</v>
      </c>
      <c r="N15" s="598"/>
      <c r="O15" s="593">
        <v>2.25</v>
      </c>
      <c r="P15" s="594" t="s">
        <v>11</v>
      </c>
      <c r="Q15" s="593"/>
      <c r="R15" s="595">
        <v>1.0</v>
      </c>
      <c r="S15" s="594" t="s">
        <v>261</v>
      </c>
      <c r="T15" s="598"/>
      <c r="U15" s="593">
        <v>1.5</v>
      </c>
      <c r="V15" s="597"/>
      <c r="W15" s="598"/>
      <c r="X15" s="596"/>
      <c r="Y15" s="594" t="s">
        <v>271</v>
      </c>
      <c r="Z15" s="593">
        <v>2.5</v>
      </c>
      <c r="AA15" s="599">
        <v>3.25</v>
      </c>
      <c r="AB15" s="597"/>
      <c r="AC15" s="598"/>
      <c r="AD15" s="596"/>
      <c r="AE15" s="594" t="s">
        <v>269</v>
      </c>
      <c r="AF15" s="598"/>
      <c r="AG15" s="593">
        <v>2.0</v>
      </c>
      <c r="AH15" s="597"/>
      <c r="AI15" s="598"/>
      <c r="AJ15" s="596"/>
      <c r="AK15" s="596"/>
      <c r="AL15" s="601"/>
    </row>
    <row r="16">
      <c r="A16" s="609">
        <v>10.0</v>
      </c>
      <c r="B16" s="610" t="s">
        <v>129</v>
      </c>
      <c r="C16" s="588">
        <f t="shared" si="1"/>
        <v>25.25</v>
      </c>
      <c r="D16" s="611">
        <f t="shared" si="2"/>
        <v>4</v>
      </c>
      <c r="E16" s="612">
        <f t="shared" si="3"/>
        <v>10</v>
      </c>
      <c r="F16" s="613">
        <f t="shared" si="4"/>
        <v>15.25</v>
      </c>
      <c r="G16" s="614" t="s">
        <v>261</v>
      </c>
      <c r="H16" s="615">
        <v>2.5</v>
      </c>
      <c r="I16" s="615">
        <v>2.5</v>
      </c>
      <c r="J16" s="616"/>
      <c r="K16" s="617"/>
      <c r="L16" s="618"/>
      <c r="M16" s="614" t="s">
        <v>269</v>
      </c>
      <c r="N16" s="615">
        <v>2.5</v>
      </c>
      <c r="O16" s="615">
        <v>4.25</v>
      </c>
      <c r="P16" s="619" t="s">
        <v>260</v>
      </c>
      <c r="Q16" s="617"/>
      <c r="R16" s="618"/>
      <c r="S16" s="619" t="s">
        <v>261</v>
      </c>
      <c r="T16" s="617"/>
      <c r="U16" s="615">
        <v>1.25</v>
      </c>
      <c r="V16" s="619"/>
      <c r="W16" s="617"/>
      <c r="X16" s="618"/>
      <c r="Y16" s="619" t="s">
        <v>261</v>
      </c>
      <c r="Z16" s="615">
        <v>2.5</v>
      </c>
      <c r="AA16" s="641">
        <v>3.25</v>
      </c>
      <c r="AB16" s="616"/>
      <c r="AC16" s="617"/>
      <c r="AD16" s="618"/>
      <c r="AE16" s="619" t="s">
        <v>261</v>
      </c>
      <c r="AF16" s="615">
        <v>2.5</v>
      </c>
      <c r="AG16" s="615">
        <v>4.0</v>
      </c>
      <c r="AH16" s="616"/>
      <c r="AI16" s="617"/>
      <c r="AJ16" s="618"/>
      <c r="AK16" s="618"/>
      <c r="AL16" s="601"/>
    </row>
    <row r="17">
      <c r="A17" s="622" t="s">
        <v>307</v>
      </c>
      <c r="B17" s="623"/>
      <c r="C17" s="623"/>
      <c r="D17" s="623"/>
      <c r="E17" s="623"/>
      <c r="F17" s="623"/>
      <c r="G17" s="624" t="s">
        <v>369</v>
      </c>
      <c r="L17" s="551"/>
      <c r="M17" s="624" t="s">
        <v>370</v>
      </c>
      <c r="R17" s="551"/>
      <c r="S17" s="624" t="s">
        <v>339</v>
      </c>
      <c r="X17" s="551"/>
      <c r="Y17" s="624" t="s">
        <v>336</v>
      </c>
      <c r="AD17" s="551"/>
      <c r="AE17" s="624" t="s">
        <v>371</v>
      </c>
      <c r="AJ17" s="551"/>
      <c r="AK17" s="625"/>
      <c r="AL17" s="585"/>
    </row>
    <row r="18">
      <c r="A18" s="626" t="s">
        <v>269</v>
      </c>
      <c r="B18" s="623"/>
      <c r="C18" s="623"/>
      <c r="D18" s="623"/>
      <c r="E18" s="623"/>
      <c r="F18" s="623"/>
      <c r="G18" s="185"/>
      <c r="H18" s="185"/>
      <c r="I18" s="185"/>
      <c r="J18" s="185"/>
      <c r="K18" s="185"/>
      <c r="L18" s="515"/>
      <c r="M18" s="185"/>
      <c r="N18" s="185"/>
      <c r="O18" s="185"/>
      <c r="P18" s="185"/>
      <c r="Q18" s="185"/>
      <c r="R18" s="515"/>
      <c r="S18" s="185"/>
      <c r="T18" s="185"/>
      <c r="U18" s="185"/>
      <c r="V18" s="185"/>
      <c r="W18" s="185"/>
      <c r="X18" s="515"/>
      <c r="Y18" s="185"/>
      <c r="Z18" s="185"/>
      <c r="AA18" s="185"/>
      <c r="AB18" s="185"/>
      <c r="AC18" s="185"/>
      <c r="AD18" s="515"/>
      <c r="AE18" s="185"/>
      <c r="AF18" s="185"/>
      <c r="AG18" s="185"/>
      <c r="AH18" s="185"/>
      <c r="AI18" s="185"/>
      <c r="AJ18" s="515"/>
      <c r="AK18" s="625"/>
      <c r="AL18" s="585"/>
    </row>
    <row r="19">
      <c r="A19" s="627" t="s">
        <v>271</v>
      </c>
      <c r="B19" s="623"/>
      <c r="C19" s="623"/>
      <c r="D19" s="623"/>
      <c r="E19" s="623"/>
      <c r="F19" s="623"/>
      <c r="G19" s="628" t="s">
        <v>257</v>
      </c>
      <c r="H19" s="556"/>
      <c r="I19" s="556"/>
      <c r="J19" s="556"/>
      <c r="K19" s="556"/>
      <c r="L19" s="557"/>
      <c r="M19" s="629" t="s">
        <v>272</v>
      </c>
      <c r="N19" s="556"/>
      <c r="O19" s="556"/>
      <c r="P19" s="556"/>
      <c r="Q19" s="556"/>
      <c r="R19" s="557"/>
      <c r="S19" s="629" t="s">
        <v>259</v>
      </c>
      <c r="T19" s="556"/>
      <c r="U19" s="556"/>
      <c r="V19" s="556"/>
      <c r="W19" s="556"/>
      <c r="X19" s="557"/>
      <c r="Y19" s="629" t="s">
        <v>264</v>
      </c>
      <c r="Z19" s="556"/>
      <c r="AA19" s="556"/>
      <c r="AB19" s="556"/>
      <c r="AC19" s="556"/>
      <c r="AD19" s="557"/>
      <c r="AE19" s="629" t="s">
        <v>262</v>
      </c>
      <c r="AF19" s="556"/>
      <c r="AG19" s="556"/>
      <c r="AH19" s="556"/>
      <c r="AI19" s="556"/>
      <c r="AJ19" s="557"/>
      <c r="AK19" s="625"/>
      <c r="AL19" s="581"/>
    </row>
    <row r="20">
      <c r="A20" s="630" t="s">
        <v>265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25"/>
      <c r="AL20" s="581"/>
    </row>
    <row r="21">
      <c r="A21" s="631" t="s">
        <v>11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23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3"/>
      <c r="AG21" s="623"/>
      <c r="AH21" s="623"/>
      <c r="AI21" s="623"/>
      <c r="AJ21" s="623"/>
      <c r="AK21" s="632"/>
      <c r="AL21" s="581"/>
    </row>
    <row r="22">
      <c r="A22" s="633" t="s">
        <v>340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23" s="633" t="s">
        <v>342</v>
      </c>
      <c r="B23" s="634" t="s">
        <v>343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1"/>
      <c r="AL23" s="1"/>
    </row>
    <row r="24">
      <c r="AK24" s="635"/>
    </row>
    <row r="25">
      <c r="A25" s="636" t="s">
        <v>287</v>
      </c>
      <c r="B25" s="636" t="s">
        <v>144</v>
      </c>
      <c r="C25" s="636" t="s">
        <v>320</v>
      </c>
      <c r="D25" s="636" t="s">
        <v>344</v>
      </c>
      <c r="AK25" s="59"/>
    </row>
    <row r="26">
      <c r="A26" s="637"/>
      <c r="B26" s="637"/>
      <c r="C26" s="637"/>
      <c r="D26" s="637"/>
      <c r="AK26" s="59"/>
    </row>
    <row r="27">
      <c r="A27" s="638">
        <v>4.0</v>
      </c>
      <c r="B27" s="639" t="s">
        <v>89</v>
      </c>
      <c r="C27" s="639" t="s">
        <v>289</v>
      </c>
      <c r="D27" s="638">
        <v>1.0</v>
      </c>
      <c r="E27" s="640"/>
      <c r="F27" s="640"/>
      <c r="AK27" s="59"/>
    </row>
    <row r="28">
      <c r="A28" s="639">
        <v>4.0</v>
      </c>
      <c r="B28" s="639" t="s">
        <v>119</v>
      </c>
      <c r="C28" s="639" t="s">
        <v>289</v>
      </c>
      <c r="D28" s="639">
        <v>1.0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41" s="59"/>
      <c r="B41" s="59"/>
      <c r="C41" s="59"/>
      <c r="D41" s="59"/>
      <c r="E41" s="59"/>
      <c r="F41" s="59"/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  <row r="1004">
      <c r="AK1004" s="59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23.5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13.5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2.5</v>
      </c>
      <c r="V6" s="594"/>
      <c r="W6" s="598"/>
      <c r="X6" s="596"/>
      <c r="Y6" s="594" t="s">
        <v>265</v>
      </c>
      <c r="Z6" s="606"/>
      <c r="AA6" s="599">
        <v>2.75</v>
      </c>
      <c r="AB6" s="594" t="s">
        <v>263</v>
      </c>
      <c r="AC6" s="598"/>
      <c r="AD6" s="596"/>
      <c r="AE6" s="594" t="s">
        <v>271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15.75</v>
      </c>
      <c r="D7" s="602">
        <f t="shared" si="2"/>
        <v>1</v>
      </c>
      <c r="E7" s="603">
        <f t="shared" si="3"/>
        <v>2.5</v>
      </c>
      <c r="F7" s="604">
        <f t="shared" si="4"/>
        <v>13.25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3.0</v>
      </c>
      <c r="P7" s="597"/>
      <c r="Q7" s="598"/>
      <c r="R7" s="596"/>
      <c r="S7" s="594" t="s">
        <v>269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269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17.25</v>
      </c>
      <c r="D8" s="602">
        <f t="shared" si="2"/>
        <v>2</v>
      </c>
      <c r="E8" s="603">
        <f t="shared" si="3"/>
        <v>5</v>
      </c>
      <c r="F8" s="604">
        <f t="shared" si="4"/>
        <v>12.25</v>
      </c>
      <c r="G8" s="592" t="s">
        <v>271</v>
      </c>
      <c r="H8" s="598"/>
      <c r="I8" s="593">
        <v>1.75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2.25</v>
      </c>
      <c r="V8" s="594" t="s">
        <v>11</v>
      </c>
      <c r="W8" s="598"/>
      <c r="X8" s="595">
        <v>0.5</v>
      </c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21.5</v>
      </c>
      <c r="D9" s="602">
        <f t="shared" si="2"/>
        <v>3</v>
      </c>
      <c r="E9" s="603">
        <f t="shared" si="3"/>
        <v>7.5</v>
      </c>
      <c r="F9" s="604">
        <f t="shared" si="4"/>
        <v>14</v>
      </c>
      <c r="G9" s="592" t="s">
        <v>261</v>
      </c>
      <c r="H9" s="598"/>
      <c r="I9" s="593">
        <v>2.75</v>
      </c>
      <c r="J9" s="594"/>
      <c r="K9" s="598"/>
      <c r="L9" s="596"/>
      <c r="M9" s="592" t="s">
        <v>271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642">
        <v>3.0</v>
      </c>
      <c r="AB9" s="594" t="s">
        <v>260</v>
      </c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81</v>
      </c>
      <c r="C10" s="588">
        <f t="shared" si="1"/>
        <v>22</v>
      </c>
      <c r="D10" s="602">
        <f t="shared" si="2"/>
        <v>3</v>
      </c>
      <c r="E10" s="603">
        <f t="shared" si="3"/>
        <v>7.5</v>
      </c>
      <c r="F10" s="604">
        <f t="shared" si="4"/>
        <v>14.5</v>
      </c>
      <c r="G10" s="592" t="s">
        <v>261</v>
      </c>
      <c r="H10" s="598"/>
      <c r="I10" s="593">
        <v>2.75</v>
      </c>
      <c r="J10" s="594" t="s">
        <v>263</v>
      </c>
      <c r="K10" s="598"/>
      <c r="L10" s="596"/>
      <c r="M10" s="592" t="s">
        <v>265</v>
      </c>
      <c r="N10" s="593">
        <v>2.5</v>
      </c>
      <c r="O10" s="593">
        <v>4.0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8"/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22.5</v>
      </c>
      <c r="D11" s="602">
        <f t="shared" si="2"/>
        <v>3</v>
      </c>
      <c r="E11" s="603">
        <f t="shared" si="3"/>
        <v>7.5</v>
      </c>
      <c r="F11" s="604">
        <f t="shared" si="4"/>
        <v>15</v>
      </c>
      <c r="G11" s="592" t="s">
        <v>261</v>
      </c>
      <c r="H11" s="598"/>
      <c r="I11" s="593">
        <v>2.0</v>
      </c>
      <c r="J11" s="594" t="s">
        <v>263</v>
      </c>
      <c r="K11" s="598"/>
      <c r="L11" s="596"/>
      <c r="M11" s="592" t="s">
        <v>269</v>
      </c>
      <c r="N11" s="593">
        <v>2.5</v>
      </c>
      <c r="O11" s="593">
        <v>3.25</v>
      </c>
      <c r="P11" s="594"/>
      <c r="Q11" s="593"/>
      <c r="R11" s="595"/>
      <c r="S11" s="594" t="s">
        <v>269</v>
      </c>
      <c r="T11" s="598"/>
      <c r="U11" s="593">
        <v>1.25</v>
      </c>
      <c r="V11" s="594" t="s">
        <v>263</v>
      </c>
      <c r="W11" s="598"/>
      <c r="X11" s="596"/>
      <c r="Y11" s="594" t="s">
        <v>261</v>
      </c>
      <c r="Z11" s="593">
        <v>2.5</v>
      </c>
      <c r="AA11" s="599">
        <v>4.0</v>
      </c>
      <c r="AB11" s="597"/>
      <c r="AC11" s="598"/>
      <c r="AD11" s="596"/>
      <c r="AE11" s="594" t="s">
        <v>261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23.25</v>
      </c>
      <c r="D12" s="602">
        <f t="shared" si="2"/>
        <v>4</v>
      </c>
      <c r="E12" s="603">
        <f t="shared" si="3"/>
        <v>10</v>
      </c>
      <c r="F12" s="604">
        <f t="shared" si="4"/>
        <v>13.25</v>
      </c>
      <c r="G12" s="592" t="s">
        <v>265</v>
      </c>
      <c r="H12" s="593">
        <v>2.5</v>
      </c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271</v>
      </c>
      <c r="Z12" s="593">
        <v>2.5</v>
      </c>
      <c r="AA12" s="593">
        <v>2.5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269</v>
      </c>
      <c r="H13" s="605">
        <v>2.5</v>
      </c>
      <c r="I13" s="593">
        <v>3.75</v>
      </c>
      <c r="J13" s="594" t="s">
        <v>260</v>
      </c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265</v>
      </c>
      <c r="T13" s="606"/>
      <c r="U13" s="593">
        <v>1.75</v>
      </c>
      <c r="V13" s="594"/>
      <c r="W13" s="598"/>
      <c r="X13" s="596"/>
      <c r="Y13" s="594" t="s">
        <v>261</v>
      </c>
      <c r="Z13" s="605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125</v>
      </c>
      <c r="C14" s="588">
        <f t="shared" si="1"/>
        <v>20.75</v>
      </c>
      <c r="D14" s="602">
        <f t="shared" si="2"/>
        <v>3</v>
      </c>
      <c r="E14" s="603">
        <f t="shared" si="3"/>
        <v>7.5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2.5</v>
      </c>
      <c r="P14" s="594"/>
      <c r="Q14" s="593"/>
      <c r="R14" s="596"/>
      <c r="S14" s="594" t="s">
        <v>271</v>
      </c>
      <c r="T14" s="593">
        <v>2.5</v>
      </c>
      <c r="U14" s="593">
        <v>2.5</v>
      </c>
      <c r="V14" s="597"/>
      <c r="W14" s="598"/>
      <c r="X14" s="596"/>
      <c r="Y14" s="594" t="s">
        <v>261</v>
      </c>
      <c r="Z14" s="593">
        <v>2.5</v>
      </c>
      <c r="AA14" s="599">
        <v>2.25</v>
      </c>
      <c r="AB14" s="594" t="s">
        <v>260</v>
      </c>
      <c r="AC14" s="598"/>
      <c r="AD14" s="596"/>
      <c r="AE14" s="594" t="s">
        <v>261</v>
      </c>
      <c r="AF14" s="593">
        <v>2.5</v>
      </c>
      <c r="AG14" s="593">
        <v>3.5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107</v>
      </c>
      <c r="C15" s="588">
        <f t="shared" si="1"/>
        <v>18.5</v>
      </c>
      <c r="D15" s="611">
        <f t="shared" si="2"/>
        <v>2</v>
      </c>
      <c r="E15" s="612">
        <f t="shared" si="3"/>
        <v>5</v>
      </c>
      <c r="F15" s="613">
        <f t="shared" si="4"/>
        <v>13.5</v>
      </c>
      <c r="G15" s="614" t="s">
        <v>261</v>
      </c>
      <c r="H15" s="617"/>
      <c r="I15" s="615">
        <v>2.0</v>
      </c>
      <c r="J15" s="619" t="s">
        <v>11</v>
      </c>
      <c r="K15" s="617"/>
      <c r="L15" s="620">
        <v>0.5</v>
      </c>
      <c r="M15" s="614" t="s">
        <v>261</v>
      </c>
      <c r="N15" s="617"/>
      <c r="O15" s="615">
        <v>1.5</v>
      </c>
      <c r="P15" s="616"/>
      <c r="Q15" s="617"/>
      <c r="R15" s="618"/>
      <c r="S15" s="619" t="s">
        <v>261</v>
      </c>
      <c r="T15" s="615">
        <v>2.5</v>
      </c>
      <c r="U15" s="615">
        <v>3.5</v>
      </c>
      <c r="V15" s="619" t="s">
        <v>260</v>
      </c>
      <c r="W15" s="617"/>
      <c r="X15" s="618"/>
      <c r="Y15" s="619" t="s">
        <v>269</v>
      </c>
      <c r="Z15" s="617"/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261</v>
      </c>
      <c r="H6" s="606"/>
      <c r="I6" s="593">
        <v>2.75</v>
      </c>
      <c r="J6" s="594" t="s">
        <v>263</v>
      </c>
      <c r="K6" s="598"/>
      <c r="L6" s="596"/>
      <c r="M6" s="592" t="s">
        <v>269</v>
      </c>
      <c r="N6" s="606"/>
      <c r="O6" s="593">
        <v>2.25</v>
      </c>
      <c r="P6" s="597"/>
      <c r="Q6" s="598"/>
      <c r="R6" s="596"/>
      <c r="S6" s="594" t="s">
        <v>265</v>
      </c>
      <c r="T6" s="606"/>
      <c r="U6" s="593">
        <v>2.0</v>
      </c>
      <c r="V6" s="594" t="s">
        <v>263</v>
      </c>
      <c r="W6" s="598"/>
      <c r="X6" s="596"/>
      <c r="Y6" s="594" t="s">
        <v>261</v>
      </c>
      <c r="Z6" s="605">
        <v>2.5</v>
      </c>
      <c r="AA6" s="599">
        <v>2.5</v>
      </c>
      <c r="AB6" s="597"/>
      <c r="AC6" s="598"/>
      <c r="AD6" s="596"/>
      <c r="AE6" s="594" t="s">
        <v>261</v>
      </c>
      <c r="AF6" s="605">
        <v>2.5</v>
      </c>
      <c r="AG6" s="593">
        <v>3.0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29</v>
      </c>
      <c r="D7" s="602">
        <f t="shared" si="2"/>
        <v>5</v>
      </c>
      <c r="E7" s="603">
        <f t="shared" si="3"/>
        <v>12.5</v>
      </c>
      <c r="F7" s="604">
        <f t="shared" si="4"/>
        <v>16.5</v>
      </c>
      <c r="G7" s="592" t="s">
        <v>269</v>
      </c>
      <c r="H7" s="605">
        <v>2.5</v>
      </c>
      <c r="I7" s="593">
        <v>2.0</v>
      </c>
      <c r="J7" s="594"/>
      <c r="K7" s="598"/>
      <c r="L7" s="596"/>
      <c r="M7" s="592" t="s">
        <v>271</v>
      </c>
      <c r="N7" s="605">
        <v>2.5</v>
      </c>
      <c r="O7" s="593">
        <v>3.5</v>
      </c>
      <c r="P7" s="594" t="s">
        <v>11</v>
      </c>
      <c r="Q7" s="593">
        <v>1.0</v>
      </c>
      <c r="R7" s="595">
        <v>0.5</v>
      </c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271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138</v>
      </c>
      <c r="C8" s="588">
        <f t="shared" si="1"/>
        <v>17.75</v>
      </c>
      <c r="D8" s="602">
        <f t="shared" si="2"/>
        <v>2</v>
      </c>
      <c r="E8" s="603">
        <f t="shared" si="3"/>
        <v>5</v>
      </c>
      <c r="F8" s="604">
        <f t="shared" si="4"/>
        <v>12.75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261</v>
      </c>
      <c r="N8" s="593">
        <v>2.5</v>
      </c>
      <c r="O8" s="593">
        <v>3.25</v>
      </c>
      <c r="P8" s="597"/>
      <c r="Q8" s="598"/>
      <c r="R8" s="596"/>
      <c r="S8" s="594" t="s">
        <v>269</v>
      </c>
      <c r="T8" s="598"/>
      <c r="U8" s="593">
        <v>2.75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4" t="s">
        <v>260</v>
      </c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1.75</v>
      </c>
      <c r="J9" s="594" t="s">
        <v>263</v>
      </c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261</v>
      </c>
      <c r="T9" s="593">
        <v>2.5</v>
      </c>
      <c r="U9" s="593">
        <v>2.0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2.75</v>
      </c>
      <c r="AB9" s="594" t="s">
        <v>260</v>
      </c>
      <c r="AC9" s="598"/>
      <c r="AD9" s="596"/>
      <c r="AE9" s="594" t="s">
        <v>269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26.75</v>
      </c>
      <c r="D10" s="602">
        <f t="shared" si="2"/>
        <v>4</v>
      </c>
      <c r="E10" s="603">
        <f t="shared" si="3"/>
        <v>10</v>
      </c>
      <c r="F10" s="604">
        <f t="shared" si="4"/>
        <v>16.75</v>
      </c>
      <c r="G10" s="592" t="s">
        <v>269</v>
      </c>
      <c r="H10" s="593">
        <v>2.5</v>
      </c>
      <c r="I10" s="608">
        <v>3.25</v>
      </c>
      <c r="J10" s="594" t="s">
        <v>260</v>
      </c>
      <c r="K10" s="598"/>
      <c r="L10" s="596"/>
      <c r="M10" s="592" t="s">
        <v>265</v>
      </c>
      <c r="N10" s="598"/>
      <c r="O10" s="593">
        <v>2.75</v>
      </c>
      <c r="P10" s="594"/>
      <c r="Q10" s="598"/>
      <c r="R10" s="595"/>
      <c r="S10" s="594" t="s">
        <v>261</v>
      </c>
      <c r="T10" s="593">
        <v>2.5</v>
      </c>
      <c r="U10" s="593">
        <v>3.75</v>
      </c>
      <c r="V10" s="594"/>
      <c r="W10" s="598"/>
      <c r="X10" s="596"/>
      <c r="Y10" s="594" t="s">
        <v>261</v>
      </c>
      <c r="Z10" s="593">
        <v>2.5</v>
      </c>
      <c r="AA10" s="599">
        <v>2.75</v>
      </c>
      <c r="AB10" s="594"/>
      <c r="AC10" s="598"/>
      <c r="AD10" s="595"/>
      <c r="AE10" s="594" t="s">
        <v>261</v>
      </c>
      <c r="AF10" s="593">
        <v>2.5</v>
      </c>
      <c r="AG10" s="593">
        <v>4.25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22.5</v>
      </c>
      <c r="D11" s="602">
        <f t="shared" si="2"/>
        <v>4</v>
      </c>
      <c r="E11" s="603">
        <f t="shared" si="3"/>
        <v>10</v>
      </c>
      <c r="F11" s="604">
        <f t="shared" si="4"/>
        <v>12.5</v>
      </c>
      <c r="G11" s="592" t="s">
        <v>261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3">
        <v>2.5</v>
      </c>
      <c r="AA11" s="599">
        <v>2.75</v>
      </c>
      <c r="AB11" s="594" t="s">
        <v>260</v>
      </c>
      <c r="AC11" s="598"/>
      <c r="AD11" s="596"/>
      <c r="AE11" s="594" t="s">
        <v>261</v>
      </c>
      <c r="AF11" s="593">
        <v>2.5</v>
      </c>
      <c r="AG11" s="593">
        <v>2.5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23</v>
      </c>
      <c r="D12" s="602">
        <f t="shared" si="2"/>
        <v>3</v>
      </c>
      <c r="E12" s="603">
        <f t="shared" si="3"/>
        <v>7.5</v>
      </c>
      <c r="F12" s="604">
        <f t="shared" si="4"/>
        <v>15.5</v>
      </c>
      <c r="G12" s="592" t="s">
        <v>261</v>
      </c>
      <c r="H12" s="598"/>
      <c r="I12" s="593">
        <v>2.5</v>
      </c>
      <c r="J12" s="594" t="s">
        <v>263</v>
      </c>
      <c r="K12" s="598"/>
      <c r="L12" s="596"/>
      <c r="M12" s="592" t="s">
        <v>261</v>
      </c>
      <c r="N12" s="593">
        <v>2.5</v>
      </c>
      <c r="O12" s="593">
        <v>4.5</v>
      </c>
      <c r="P12" s="597"/>
      <c r="Q12" s="598"/>
      <c r="R12" s="596"/>
      <c r="S12" s="594" t="s">
        <v>261</v>
      </c>
      <c r="T12" s="593">
        <v>2.5</v>
      </c>
      <c r="U12" s="593">
        <v>2.0</v>
      </c>
      <c r="V12" s="594" t="s">
        <v>11</v>
      </c>
      <c r="W12" s="598"/>
      <c r="X12" s="595">
        <v>0.5</v>
      </c>
      <c r="Y12" s="594" t="s">
        <v>269</v>
      </c>
      <c r="Z12" s="598"/>
      <c r="AA12" s="593">
        <v>1.75</v>
      </c>
      <c r="AB12" s="594" t="s">
        <v>263</v>
      </c>
      <c r="AC12" s="598"/>
      <c r="AD12" s="596"/>
      <c r="AE12" s="594" t="s">
        <v>271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6"/>
      <c r="O13" s="593">
        <v>1.75</v>
      </c>
      <c r="P13" s="597"/>
      <c r="Q13" s="598"/>
      <c r="R13" s="596"/>
      <c r="S13" s="594" t="s">
        <v>271</v>
      </c>
      <c r="T13" s="605">
        <v>2.5</v>
      </c>
      <c r="U13" s="593">
        <v>4.5</v>
      </c>
      <c r="V13" s="594"/>
      <c r="W13" s="598"/>
      <c r="X13" s="596"/>
      <c r="Y13" s="594" t="s">
        <v>269</v>
      </c>
      <c r="Z13" s="606"/>
      <c r="AA13" s="599">
        <v>1.25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14</v>
      </c>
      <c r="D14" s="602">
        <f t="shared" si="2"/>
        <v>1</v>
      </c>
      <c r="E14" s="603">
        <f t="shared" si="3"/>
        <v>2.5</v>
      </c>
      <c r="F14" s="604">
        <f t="shared" si="4"/>
        <v>11.5</v>
      </c>
      <c r="G14" s="592" t="s">
        <v>271</v>
      </c>
      <c r="H14" s="598"/>
      <c r="I14" s="593">
        <v>2.5</v>
      </c>
      <c r="J14" s="594"/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8"/>
      <c r="AA14" s="599">
        <v>2.0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25</v>
      </c>
      <c r="D15" s="611">
        <f t="shared" si="2"/>
        <v>5</v>
      </c>
      <c r="E15" s="612">
        <f t="shared" si="3"/>
        <v>12.5</v>
      </c>
      <c r="F15" s="613">
        <f t="shared" si="4"/>
        <v>12.5</v>
      </c>
      <c r="G15" s="614" t="s">
        <v>265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5">
        <v>2.5</v>
      </c>
      <c r="O15" s="615">
        <v>2.0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 t="s">
        <v>260</v>
      </c>
      <c r="W15" s="617"/>
      <c r="X15" s="618"/>
      <c r="Y15" s="619" t="s">
        <v>261</v>
      </c>
      <c r="Z15" s="615">
        <v>2.5</v>
      </c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97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14.25</v>
      </c>
      <c r="G6" s="592" t="s">
        <v>265</v>
      </c>
      <c r="H6" s="605">
        <v>2.5</v>
      </c>
      <c r="I6" s="593">
        <v>1.75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271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1.75</v>
      </c>
      <c r="AB6" s="594" t="s">
        <v>263</v>
      </c>
      <c r="AC6" s="598"/>
      <c r="AD6" s="596"/>
      <c r="AE6" s="594" t="s">
        <v>261</v>
      </c>
      <c r="AF6" s="606"/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11</v>
      </c>
      <c r="D7" s="602">
        <f t="shared" si="2"/>
        <v>0</v>
      </c>
      <c r="E7" s="603">
        <f t="shared" si="3"/>
        <v>0</v>
      </c>
      <c r="F7" s="604">
        <f t="shared" si="4"/>
        <v>11</v>
      </c>
      <c r="G7" s="592" t="s">
        <v>261</v>
      </c>
      <c r="H7" s="606"/>
      <c r="I7" s="593">
        <v>2.0</v>
      </c>
      <c r="J7" s="594" t="s">
        <v>263</v>
      </c>
      <c r="K7" s="598"/>
      <c r="L7" s="596"/>
      <c r="M7" s="592" t="s">
        <v>261</v>
      </c>
      <c r="N7" s="606"/>
      <c r="O7" s="593">
        <v>1.75</v>
      </c>
      <c r="P7" s="597"/>
      <c r="Q7" s="598"/>
      <c r="R7" s="596"/>
      <c r="S7" s="594" t="s">
        <v>269</v>
      </c>
      <c r="T7" s="606"/>
      <c r="U7" s="593">
        <v>2.25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608">
        <v>3.25</v>
      </c>
      <c r="AH7" s="594" t="s">
        <v>263</v>
      </c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18.75</v>
      </c>
      <c r="D8" s="602">
        <f t="shared" si="2"/>
        <v>2</v>
      </c>
      <c r="E8" s="603">
        <f t="shared" si="3"/>
        <v>5</v>
      </c>
      <c r="F8" s="604">
        <f t="shared" si="4"/>
        <v>13.75</v>
      </c>
      <c r="G8" s="592" t="s">
        <v>269</v>
      </c>
      <c r="H8" s="593">
        <v>2.5</v>
      </c>
      <c r="I8" s="593">
        <v>4.0</v>
      </c>
      <c r="J8" s="594" t="s">
        <v>260</v>
      </c>
      <c r="K8" s="598"/>
      <c r="L8" s="596"/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16.25</v>
      </c>
      <c r="D9" s="602">
        <f t="shared" si="2"/>
        <v>1</v>
      </c>
      <c r="E9" s="603">
        <f t="shared" si="3"/>
        <v>2.5</v>
      </c>
      <c r="F9" s="604">
        <f t="shared" si="4"/>
        <v>13.75</v>
      </c>
      <c r="G9" s="592" t="s">
        <v>261</v>
      </c>
      <c r="H9" s="598"/>
      <c r="I9" s="593">
        <v>3.0</v>
      </c>
      <c r="J9" s="594"/>
      <c r="K9" s="598"/>
      <c r="L9" s="596"/>
      <c r="M9" s="592" t="s">
        <v>265</v>
      </c>
      <c r="N9" s="593">
        <v>2.5</v>
      </c>
      <c r="O9" s="593">
        <v>3.75</v>
      </c>
      <c r="P9" s="594"/>
      <c r="Q9" s="598"/>
      <c r="R9" s="596"/>
      <c r="S9" s="594" t="s">
        <v>265</v>
      </c>
      <c r="T9" s="598"/>
      <c r="U9" s="593">
        <v>2.25</v>
      </c>
      <c r="V9" s="594"/>
      <c r="W9" s="598"/>
      <c r="X9" s="596"/>
      <c r="Y9" s="594" t="s">
        <v>261</v>
      </c>
      <c r="Z9" s="598"/>
      <c r="AA9" s="599">
        <v>2.25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119</v>
      </c>
      <c r="C10" s="588">
        <f t="shared" si="1"/>
        <v>21</v>
      </c>
      <c r="D10" s="602">
        <f t="shared" si="2"/>
        <v>4</v>
      </c>
      <c r="E10" s="603">
        <f t="shared" si="3"/>
        <v>10</v>
      </c>
      <c r="F10" s="604">
        <f t="shared" si="4"/>
        <v>11</v>
      </c>
      <c r="G10" s="592" t="s">
        <v>261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3.25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3">
        <v>2.5</v>
      </c>
      <c r="AA10" s="642">
        <v>0.5</v>
      </c>
      <c r="AB10" s="594"/>
      <c r="AC10" s="598"/>
      <c r="AD10" s="595"/>
      <c r="AE10" s="594" t="s">
        <v>269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27.75</v>
      </c>
      <c r="D11" s="602">
        <f t="shared" si="2"/>
        <v>5</v>
      </c>
      <c r="E11" s="603">
        <f t="shared" si="3"/>
        <v>12.5</v>
      </c>
      <c r="F11" s="604">
        <f t="shared" si="4"/>
        <v>15.25</v>
      </c>
      <c r="G11" s="592" t="s">
        <v>269</v>
      </c>
      <c r="H11" s="593">
        <v>2.5</v>
      </c>
      <c r="I11" s="593">
        <v>2.0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4"/>
      <c r="Q11" s="593"/>
      <c r="R11" s="595"/>
      <c r="S11" s="594" t="s">
        <v>261</v>
      </c>
      <c r="T11" s="593">
        <v>2.5</v>
      </c>
      <c r="U11" s="593">
        <v>4.5</v>
      </c>
      <c r="V11" s="594" t="s">
        <v>260</v>
      </c>
      <c r="W11" s="598"/>
      <c r="X11" s="596"/>
      <c r="Y11" s="594" t="s">
        <v>265</v>
      </c>
      <c r="Z11" s="593">
        <v>2.5</v>
      </c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3.5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12</v>
      </c>
      <c r="D12" s="602">
        <f t="shared" si="2"/>
        <v>1</v>
      </c>
      <c r="E12" s="603">
        <f t="shared" si="3"/>
        <v>2.5</v>
      </c>
      <c r="F12" s="604">
        <f t="shared" si="4"/>
        <v>9.5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261</v>
      </c>
      <c r="N12" s="598"/>
      <c r="O12" s="593">
        <v>2.25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271</v>
      </c>
      <c r="Z12" s="598"/>
      <c r="AA12" s="593">
        <v>2.0</v>
      </c>
      <c r="AB12" s="597"/>
      <c r="AC12" s="598"/>
      <c r="AD12" s="596"/>
      <c r="AE12" s="594" t="s">
        <v>261</v>
      </c>
      <c r="AF12" s="598"/>
      <c r="AG12" s="593">
        <v>1.25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18.25</v>
      </c>
      <c r="D13" s="602">
        <f t="shared" si="2"/>
        <v>1</v>
      </c>
      <c r="E13" s="603">
        <f t="shared" si="3"/>
        <v>2.5</v>
      </c>
      <c r="F13" s="604">
        <f t="shared" si="4"/>
        <v>15.75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2.5</v>
      </c>
      <c r="P13" s="594" t="s">
        <v>11</v>
      </c>
      <c r="Q13" s="598"/>
      <c r="R13" s="595">
        <v>0.5</v>
      </c>
      <c r="S13" s="594" t="s">
        <v>261</v>
      </c>
      <c r="T13" s="605">
        <v>2.5</v>
      </c>
      <c r="U13" s="593">
        <v>2.75</v>
      </c>
      <c r="V13" s="594"/>
      <c r="W13" s="598"/>
      <c r="X13" s="596"/>
      <c r="Y13" s="594" t="s">
        <v>261</v>
      </c>
      <c r="Z13" s="606"/>
      <c r="AA13" s="599">
        <v>2.75</v>
      </c>
      <c r="AB13" s="594" t="s">
        <v>11</v>
      </c>
      <c r="AC13" s="598"/>
      <c r="AD13" s="595">
        <v>1.0</v>
      </c>
      <c r="AE13" s="594" t="s">
        <v>261</v>
      </c>
      <c r="AF13" s="606"/>
      <c r="AG13" s="593">
        <v>4.25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18</v>
      </c>
      <c r="D14" s="602">
        <f t="shared" si="2"/>
        <v>2</v>
      </c>
      <c r="E14" s="603">
        <f t="shared" si="3"/>
        <v>5</v>
      </c>
      <c r="F14" s="604">
        <f t="shared" si="4"/>
        <v>13</v>
      </c>
      <c r="G14" s="592" t="s">
        <v>271</v>
      </c>
      <c r="H14" s="598"/>
      <c r="I14" s="593">
        <v>2.75</v>
      </c>
      <c r="J14" s="594"/>
      <c r="K14" s="593"/>
      <c r="L14" s="595"/>
      <c r="M14" s="592" t="s">
        <v>271</v>
      </c>
      <c r="N14" s="598"/>
      <c r="O14" s="593">
        <v>2.0</v>
      </c>
      <c r="P14" s="594"/>
      <c r="Q14" s="593"/>
      <c r="R14" s="596"/>
      <c r="S14" s="594" t="s">
        <v>269</v>
      </c>
      <c r="T14" s="598"/>
      <c r="U14" s="593">
        <v>2.0</v>
      </c>
      <c r="V14" s="594" t="s">
        <v>263</v>
      </c>
      <c r="W14" s="598"/>
      <c r="X14" s="596"/>
      <c r="Y14" s="594" t="s">
        <v>269</v>
      </c>
      <c r="Z14" s="593">
        <v>2.5</v>
      </c>
      <c r="AA14" s="599">
        <v>4.0</v>
      </c>
      <c r="AB14" s="594" t="s">
        <v>260</v>
      </c>
      <c r="AC14" s="598"/>
      <c r="AD14" s="596"/>
      <c r="AE14" s="594" t="s">
        <v>269</v>
      </c>
      <c r="AF14" s="593">
        <v>2.5</v>
      </c>
      <c r="AG14" s="608">
        <v>2.25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15.5</v>
      </c>
      <c r="D15" s="611">
        <f t="shared" si="2"/>
        <v>1</v>
      </c>
      <c r="E15" s="612">
        <f t="shared" si="3"/>
        <v>2.5</v>
      </c>
      <c r="F15" s="613">
        <f t="shared" si="4"/>
        <v>13</v>
      </c>
      <c r="G15" s="614" t="s">
        <v>261</v>
      </c>
      <c r="H15" s="617"/>
      <c r="I15" s="615">
        <v>2.0</v>
      </c>
      <c r="J15" s="619" t="s">
        <v>263</v>
      </c>
      <c r="K15" s="617"/>
      <c r="L15" s="618"/>
      <c r="M15" s="614" t="s">
        <v>261</v>
      </c>
      <c r="N15" s="617"/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119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168</v>
      </c>
      <c r="C27" s="639" t="s">
        <v>16</v>
      </c>
      <c r="D27" s="639">
        <v>0.5</v>
      </c>
      <c r="E27" s="59"/>
      <c r="F27" s="59"/>
      <c r="AK27" s="59"/>
    </row>
    <row r="28">
      <c r="A28" s="639">
        <v>5.0</v>
      </c>
      <c r="B28" s="639" t="s">
        <v>126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13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10.5</v>
      </c>
      <c r="G6" s="592" t="s">
        <v>261</v>
      </c>
      <c r="H6" s="606"/>
      <c r="I6" s="593">
        <v>2.75</v>
      </c>
      <c r="J6" s="594"/>
      <c r="K6" s="598"/>
      <c r="L6" s="596"/>
      <c r="M6" s="592" t="s">
        <v>265</v>
      </c>
      <c r="N6" s="605">
        <v>2.5</v>
      </c>
      <c r="O6" s="593">
        <v>1.25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265</v>
      </c>
      <c r="AF6" s="606"/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20.5</v>
      </c>
      <c r="D7" s="602">
        <f t="shared" si="2"/>
        <v>3</v>
      </c>
      <c r="E7" s="603">
        <f t="shared" si="3"/>
        <v>7.5</v>
      </c>
      <c r="F7" s="604">
        <f t="shared" si="4"/>
        <v>13</v>
      </c>
      <c r="G7" s="592" t="s">
        <v>269</v>
      </c>
      <c r="H7" s="605">
        <v>2.5</v>
      </c>
      <c r="I7" s="593">
        <v>3.0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269</v>
      </c>
      <c r="T7" s="605">
        <v>2.5</v>
      </c>
      <c r="U7" s="593">
        <v>3.0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5">
        <v>2.5</v>
      </c>
      <c r="AG7" s="593">
        <v>2.75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14</v>
      </c>
      <c r="D8" s="602">
        <f t="shared" si="2"/>
        <v>1</v>
      </c>
      <c r="E8" s="603">
        <f t="shared" si="3"/>
        <v>2.5</v>
      </c>
      <c r="F8" s="604">
        <f t="shared" si="4"/>
        <v>11.5</v>
      </c>
      <c r="G8" s="592" t="s">
        <v>269</v>
      </c>
      <c r="H8" s="593">
        <v>2.5</v>
      </c>
      <c r="I8" s="593">
        <v>2.75</v>
      </c>
      <c r="J8" s="597"/>
      <c r="K8" s="598"/>
      <c r="L8" s="596"/>
      <c r="M8" s="592" t="s">
        <v>261</v>
      </c>
      <c r="N8" s="598"/>
      <c r="O8" s="593">
        <v>1.75</v>
      </c>
      <c r="P8" s="597"/>
      <c r="Q8" s="598"/>
      <c r="R8" s="596"/>
      <c r="S8" s="594" t="s">
        <v>271</v>
      </c>
      <c r="T8" s="598"/>
      <c r="U8" s="593">
        <v>2.5</v>
      </c>
      <c r="V8" s="594"/>
      <c r="W8" s="598"/>
      <c r="X8" s="595"/>
      <c r="Y8" s="594" t="s">
        <v>271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19.25</v>
      </c>
      <c r="D9" s="602">
        <f t="shared" si="2"/>
        <v>1</v>
      </c>
      <c r="E9" s="603">
        <f t="shared" si="3"/>
        <v>2.5</v>
      </c>
      <c r="F9" s="604">
        <f t="shared" si="4"/>
        <v>16.75</v>
      </c>
      <c r="G9" s="592" t="s">
        <v>261</v>
      </c>
      <c r="H9" s="598"/>
      <c r="I9" s="593">
        <v>2.0</v>
      </c>
      <c r="J9" s="594" t="s">
        <v>11</v>
      </c>
      <c r="K9" s="593">
        <v>0.5</v>
      </c>
      <c r="L9" s="595">
        <v>0.5</v>
      </c>
      <c r="M9" s="592" t="s">
        <v>261</v>
      </c>
      <c r="N9" s="598"/>
      <c r="O9" s="593">
        <v>4.0</v>
      </c>
      <c r="P9" s="594"/>
      <c r="Q9" s="598"/>
      <c r="R9" s="596"/>
      <c r="S9" s="594" t="s">
        <v>265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3.25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20.5</v>
      </c>
      <c r="D10" s="602">
        <f t="shared" si="2"/>
        <v>2</v>
      </c>
      <c r="E10" s="603">
        <f t="shared" si="3"/>
        <v>5</v>
      </c>
      <c r="F10" s="604">
        <f t="shared" si="4"/>
        <v>15.5</v>
      </c>
      <c r="G10" s="592" t="s">
        <v>261</v>
      </c>
      <c r="H10" s="598"/>
      <c r="I10" s="593">
        <v>2.25</v>
      </c>
      <c r="J10" s="597"/>
      <c r="K10" s="598"/>
      <c r="L10" s="596"/>
      <c r="M10" s="592" t="s">
        <v>269</v>
      </c>
      <c r="N10" s="593">
        <v>2.5</v>
      </c>
      <c r="O10" s="593">
        <v>4.5</v>
      </c>
      <c r="P10" s="594" t="s">
        <v>260</v>
      </c>
      <c r="Q10" s="598"/>
      <c r="R10" s="595"/>
      <c r="S10" s="594" t="s">
        <v>261</v>
      </c>
      <c r="T10" s="598"/>
      <c r="U10" s="593">
        <v>2.75</v>
      </c>
      <c r="V10" s="594"/>
      <c r="W10" s="598"/>
      <c r="X10" s="595">
        <v>0.5</v>
      </c>
      <c r="Y10" s="594" t="s">
        <v>261</v>
      </c>
      <c r="Z10" s="598"/>
      <c r="AA10" s="599">
        <v>1.0</v>
      </c>
      <c r="AB10" s="594"/>
      <c r="AC10" s="598"/>
      <c r="AD10" s="595"/>
      <c r="AE10" s="594" t="s">
        <v>261</v>
      </c>
      <c r="AF10" s="593">
        <v>2.5</v>
      </c>
      <c r="AG10" s="593">
        <v>4.5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17</v>
      </c>
      <c r="D11" s="602">
        <f t="shared" si="2"/>
        <v>2</v>
      </c>
      <c r="E11" s="603">
        <f t="shared" si="3"/>
        <v>5</v>
      </c>
      <c r="F11" s="604">
        <f t="shared" si="4"/>
        <v>12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271</v>
      </c>
      <c r="N11" s="598"/>
      <c r="O11" s="593">
        <v>2.25</v>
      </c>
      <c r="P11" s="594"/>
      <c r="Q11" s="593"/>
      <c r="R11" s="595"/>
      <c r="S11" s="594" t="s">
        <v>269</v>
      </c>
      <c r="T11" s="593">
        <v>2.5</v>
      </c>
      <c r="U11" s="593">
        <v>4.5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261</v>
      </c>
      <c r="AF11" s="593">
        <v>2.5</v>
      </c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15</v>
      </c>
      <c r="D12" s="602">
        <f t="shared" si="2"/>
        <v>2</v>
      </c>
      <c r="E12" s="603">
        <f t="shared" si="3"/>
        <v>5</v>
      </c>
      <c r="F12" s="604">
        <f t="shared" si="4"/>
        <v>10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269</v>
      </c>
      <c r="N12" s="593">
        <v>2.5</v>
      </c>
      <c r="O12" s="593">
        <v>2.25</v>
      </c>
      <c r="P12" s="597"/>
      <c r="Q12" s="598"/>
      <c r="R12" s="596"/>
      <c r="S12" s="594" t="s">
        <v>261</v>
      </c>
      <c r="T12" s="598"/>
      <c r="U12" s="593">
        <v>2.0</v>
      </c>
      <c r="V12" s="594"/>
      <c r="W12" s="598"/>
      <c r="X12" s="595"/>
      <c r="Y12" s="594" t="s">
        <v>261</v>
      </c>
      <c r="Z12" s="598"/>
      <c r="AA12" s="593">
        <v>2.0</v>
      </c>
      <c r="AB12" s="597"/>
      <c r="AC12" s="598"/>
      <c r="AD12" s="596"/>
      <c r="AE12" s="594" t="s">
        <v>261</v>
      </c>
      <c r="AF12" s="593">
        <v>2.5</v>
      </c>
      <c r="AG12" s="593">
        <v>2.25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15.75</v>
      </c>
      <c r="D13" s="602">
        <f t="shared" si="2"/>
        <v>2</v>
      </c>
      <c r="E13" s="603">
        <f t="shared" si="3"/>
        <v>5</v>
      </c>
      <c r="F13" s="604">
        <f t="shared" si="4"/>
        <v>10.75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2.75</v>
      </c>
      <c r="P13" s="597"/>
      <c r="Q13" s="598"/>
      <c r="R13" s="596"/>
      <c r="S13" s="594" t="s">
        <v>261</v>
      </c>
      <c r="T13" s="606"/>
      <c r="U13" s="593">
        <v>1.75</v>
      </c>
      <c r="V13" s="594"/>
      <c r="W13" s="598"/>
      <c r="X13" s="596"/>
      <c r="Y13" s="594" t="s">
        <v>269</v>
      </c>
      <c r="Z13" s="605">
        <v>2.5</v>
      </c>
      <c r="AA13" s="599">
        <v>1.5</v>
      </c>
      <c r="AB13" s="597"/>
      <c r="AC13" s="598"/>
      <c r="AD13" s="596"/>
      <c r="AE13" s="594" t="s">
        <v>271</v>
      </c>
      <c r="AF13" s="605">
        <v>2.5</v>
      </c>
      <c r="AG13" s="593">
        <v>1.75</v>
      </c>
      <c r="AH13" s="594" t="s">
        <v>11</v>
      </c>
      <c r="AI13" s="593">
        <v>0.5</v>
      </c>
      <c r="AJ13" s="595">
        <v>0.5</v>
      </c>
      <c r="AK13" s="596"/>
      <c r="AL13" s="601"/>
    </row>
    <row r="14">
      <c r="A14" s="586">
        <v>9.0</v>
      </c>
      <c r="B14" s="587" t="s">
        <v>98</v>
      </c>
      <c r="C14" s="588">
        <f t="shared" si="1"/>
        <v>22.25</v>
      </c>
      <c r="D14" s="602">
        <f t="shared" si="2"/>
        <v>2</v>
      </c>
      <c r="E14" s="603">
        <f t="shared" si="3"/>
        <v>5</v>
      </c>
      <c r="F14" s="604">
        <f t="shared" si="4"/>
        <v>17.25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3.75</v>
      </c>
      <c r="P14" s="594" t="s">
        <v>263</v>
      </c>
      <c r="Q14" s="593"/>
      <c r="R14" s="596"/>
      <c r="S14" s="594" t="s">
        <v>261</v>
      </c>
      <c r="T14" s="598"/>
      <c r="U14" s="593">
        <v>4.0</v>
      </c>
      <c r="V14" s="597"/>
      <c r="W14" s="598"/>
      <c r="X14" s="596"/>
      <c r="Y14" s="594" t="s">
        <v>265</v>
      </c>
      <c r="Z14" s="593">
        <v>2.5</v>
      </c>
      <c r="AA14" s="599">
        <v>4.5</v>
      </c>
      <c r="AB14" s="597"/>
      <c r="AC14" s="598"/>
      <c r="AD14" s="596"/>
      <c r="AE14" s="594" t="s">
        <v>261</v>
      </c>
      <c r="AF14" s="593">
        <v>2.5</v>
      </c>
      <c r="AG14" s="593">
        <v>3.0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25.5</v>
      </c>
      <c r="D15" s="611">
        <f t="shared" si="2"/>
        <v>3</v>
      </c>
      <c r="E15" s="612">
        <f t="shared" si="3"/>
        <v>7.5</v>
      </c>
      <c r="F15" s="613">
        <f t="shared" si="4"/>
        <v>18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7"/>
      <c r="O15" s="615">
        <v>1.5</v>
      </c>
      <c r="P15" s="619" t="s">
        <v>263</v>
      </c>
      <c r="Q15" s="617"/>
      <c r="R15" s="618"/>
      <c r="S15" s="619" t="s">
        <v>261</v>
      </c>
      <c r="T15" s="617"/>
      <c r="U15" s="615">
        <v>3.25</v>
      </c>
      <c r="V15" s="619"/>
      <c r="W15" s="617"/>
      <c r="X15" s="618"/>
      <c r="Y15" s="619" t="s">
        <v>269</v>
      </c>
      <c r="Z15" s="615">
        <v>2.5</v>
      </c>
      <c r="AA15" s="641">
        <v>4.5</v>
      </c>
      <c r="AB15" s="616"/>
      <c r="AC15" s="617"/>
      <c r="AD15" s="618"/>
      <c r="AE15" s="619" t="s">
        <v>261</v>
      </c>
      <c r="AF15" s="615">
        <v>2.5</v>
      </c>
      <c r="AG15" s="615">
        <v>4.75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23.75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16.25</v>
      </c>
      <c r="G6" s="592" t="s">
        <v>261</v>
      </c>
      <c r="H6" s="606"/>
      <c r="I6" s="593">
        <v>1.5</v>
      </c>
      <c r="J6" s="594" t="s">
        <v>263</v>
      </c>
      <c r="K6" s="598"/>
      <c r="L6" s="596"/>
      <c r="M6" s="592" t="s">
        <v>269</v>
      </c>
      <c r="N6" s="606"/>
      <c r="O6" s="593">
        <v>2.0</v>
      </c>
      <c r="P6" s="597"/>
      <c r="Q6" s="598"/>
      <c r="R6" s="596"/>
      <c r="S6" s="594" t="s">
        <v>261</v>
      </c>
      <c r="T6" s="605">
        <v>2.5</v>
      </c>
      <c r="U6" s="593">
        <v>5.0</v>
      </c>
      <c r="V6" s="594"/>
      <c r="W6" s="598"/>
      <c r="X6" s="596"/>
      <c r="Y6" s="594" t="s">
        <v>261</v>
      </c>
      <c r="Z6" s="605">
        <v>2.5</v>
      </c>
      <c r="AA6" s="599">
        <v>4.0</v>
      </c>
      <c r="AB6" s="597"/>
      <c r="AC6" s="598"/>
      <c r="AD6" s="596"/>
      <c r="AE6" s="594" t="s">
        <v>261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28</v>
      </c>
      <c r="D7" s="602">
        <f t="shared" si="2"/>
        <v>4</v>
      </c>
      <c r="E7" s="603">
        <f t="shared" si="3"/>
        <v>10</v>
      </c>
      <c r="F7" s="604">
        <f t="shared" si="4"/>
        <v>18</v>
      </c>
      <c r="G7" s="592" t="s">
        <v>261</v>
      </c>
      <c r="H7" s="606"/>
      <c r="I7" s="593">
        <v>4.25</v>
      </c>
      <c r="J7" s="594" t="s">
        <v>263</v>
      </c>
      <c r="K7" s="598"/>
      <c r="L7" s="596"/>
      <c r="M7" s="592" t="s">
        <v>261</v>
      </c>
      <c r="N7" s="605">
        <v>2.5</v>
      </c>
      <c r="O7" s="593">
        <v>3.25</v>
      </c>
      <c r="P7" s="597"/>
      <c r="Q7" s="598"/>
      <c r="R7" s="596"/>
      <c r="S7" s="594" t="s">
        <v>261</v>
      </c>
      <c r="T7" s="605">
        <v>2.5</v>
      </c>
      <c r="U7" s="593">
        <v>2.75</v>
      </c>
      <c r="V7" s="594" t="s">
        <v>11</v>
      </c>
      <c r="W7" s="598"/>
      <c r="X7" s="595">
        <v>0.5</v>
      </c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3.75</v>
      </c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23</v>
      </c>
      <c r="D8" s="602">
        <f t="shared" si="2"/>
        <v>3</v>
      </c>
      <c r="E8" s="603">
        <f t="shared" si="3"/>
        <v>7.5</v>
      </c>
      <c r="F8" s="604">
        <f t="shared" si="4"/>
        <v>15.5</v>
      </c>
      <c r="G8" s="592" t="s">
        <v>261</v>
      </c>
      <c r="H8" s="598"/>
      <c r="I8" s="593">
        <v>3.0</v>
      </c>
      <c r="J8" s="597"/>
      <c r="K8" s="598"/>
      <c r="L8" s="596"/>
      <c r="M8" s="592" t="s">
        <v>261</v>
      </c>
      <c r="N8" s="593">
        <v>2.5</v>
      </c>
      <c r="O8" s="593">
        <v>2.75</v>
      </c>
      <c r="P8" s="597"/>
      <c r="Q8" s="598"/>
      <c r="R8" s="596"/>
      <c r="S8" s="594" t="s">
        <v>261</v>
      </c>
      <c r="T8" s="593">
        <v>2.5</v>
      </c>
      <c r="U8" s="593">
        <v>3.5</v>
      </c>
      <c r="V8" s="594"/>
      <c r="W8" s="598"/>
      <c r="X8" s="595"/>
      <c r="Y8" s="594" t="s">
        <v>269</v>
      </c>
      <c r="Z8" s="598"/>
      <c r="AA8" s="593">
        <v>2.5</v>
      </c>
      <c r="AB8" s="594" t="s">
        <v>263</v>
      </c>
      <c r="AC8" s="598"/>
      <c r="AD8" s="596"/>
      <c r="AE8" s="594" t="s">
        <v>261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19</v>
      </c>
      <c r="D9" s="602">
        <f t="shared" si="2"/>
        <v>2</v>
      </c>
      <c r="E9" s="603">
        <f t="shared" si="3"/>
        <v>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261</v>
      </c>
      <c r="N9" s="593">
        <v>2.5</v>
      </c>
      <c r="O9" s="593">
        <v>3.0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3">
        <v>2.5</v>
      </c>
      <c r="AA9" s="599">
        <v>3.75</v>
      </c>
      <c r="AB9" s="594" t="s">
        <v>260</v>
      </c>
      <c r="AC9" s="598"/>
      <c r="AD9" s="596"/>
      <c r="AE9" s="594" t="s">
        <v>269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27.75</v>
      </c>
      <c r="D10" s="602">
        <f t="shared" si="2"/>
        <v>4</v>
      </c>
      <c r="E10" s="603">
        <f t="shared" si="3"/>
        <v>10</v>
      </c>
      <c r="F10" s="604">
        <f t="shared" si="4"/>
        <v>17.75</v>
      </c>
      <c r="G10" s="592" t="s">
        <v>261</v>
      </c>
      <c r="H10" s="598"/>
      <c r="I10" s="593">
        <v>3.0</v>
      </c>
      <c r="J10" s="597"/>
      <c r="K10" s="598"/>
      <c r="L10" s="596"/>
      <c r="M10" s="592" t="s">
        <v>261</v>
      </c>
      <c r="N10" s="593">
        <v>2.5</v>
      </c>
      <c r="O10" s="593">
        <v>4.25</v>
      </c>
      <c r="P10" s="594"/>
      <c r="Q10" s="598"/>
      <c r="R10" s="595"/>
      <c r="S10" s="594" t="s">
        <v>261</v>
      </c>
      <c r="T10" s="593">
        <v>2.5</v>
      </c>
      <c r="U10" s="593">
        <v>3.25</v>
      </c>
      <c r="V10" s="594" t="s">
        <v>260</v>
      </c>
      <c r="W10" s="598"/>
      <c r="X10" s="596"/>
      <c r="Y10" s="594" t="s">
        <v>261</v>
      </c>
      <c r="Z10" s="593">
        <v>2.5</v>
      </c>
      <c r="AA10" s="599">
        <v>3.25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18.25</v>
      </c>
      <c r="D11" s="602">
        <f t="shared" si="2"/>
        <v>2</v>
      </c>
      <c r="E11" s="603">
        <f t="shared" si="3"/>
        <v>5</v>
      </c>
      <c r="F11" s="604">
        <f t="shared" si="4"/>
        <v>13.25</v>
      </c>
      <c r="G11" s="592" t="s">
        <v>271</v>
      </c>
      <c r="H11" s="598"/>
      <c r="I11" s="593">
        <v>2.5</v>
      </c>
      <c r="J11" s="594"/>
      <c r="K11" s="598"/>
      <c r="L11" s="596"/>
      <c r="M11" s="592" t="s">
        <v>265</v>
      </c>
      <c r="N11" s="598"/>
      <c r="O11" s="593">
        <v>2.25</v>
      </c>
      <c r="P11" s="594"/>
      <c r="Q11" s="593"/>
      <c r="R11" s="595"/>
      <c r="S11" s="594" t="s">
        <v>261</v>
      </c>
      <c r="T11" s="593">
        <v>2.5</v>
      </c>
      <c r="U11" s="593">
        <v>3.0</v>
      </c>
      <c r="V11" s="594" t="s">
        <v>260</v>
      </c>
      <c r="W11" s="598"/>
      <c r="X11" s="596"/>
      <c r="Y11" s="594" t="s">
        <v>269</v>
      </c>
      <c r="Z11" s="598"/>
      <c r="AA11" s="599">
        <v>2.5</v>
      </c>
      <c r="AB11" s="597"/>
      <c r="AC11" s="598"/>
      <c r="AD11" s="596"/>
      <c r="AE11" s="594" t="s">
        <v>261</v>
      </c>
      <c r="AF11" s="593">
        <v>2.5</v>
      </c>
      <c r="AG11" s="593">
        <v>3.0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25.25</v>
      </c>
      <c r="D12" s="602">
        <f t="shared" si="2"/>
        <v>4</v>
      </c>
      <c r="E12" s="603">
        <f t="shared" si="3"/>
        <v>10</v>
      </c>
      <c r="F12" s="604">
        <f t="shared" si="4"/>
        <v>15.25</v>
      </c>
      <c r="G12" s="592" t="s">
        <v>265</v>
      </c>
      <c r="H12" s="593">
        <v>2.5</v>
      </c>
      <c r="I12" s="593">
        <v>3.75</v>
      </c>
      <c r="J12" s="594"/>
      <c r="K12" s="598"/>
      <c r="L12" s="596"/>
      <c r="M12" s="592" t="s">
        <v>261</v>
      </c>
      <c r="N12" s="593">
        <v>2.5</v>
      </c>
      <c r="O12" s="593">
        <v>3.0</v>
      </c>
      <c r="P12" s="594" t="s">
        <v>11</v>
      </c>
      <c r="Q12" s="593">
        <v>0.5</v>
      </c>
      <c r="R12" s="595">
        <v>0.5</v>
      </c>
      <c r="S12" s="594" t="s">
        <v>261</v>
      </c>
      <c r="T12" s="593">
        <v>2.5</v>
      </c>
      <c r="U12" s="608">
        <v>3.0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269</v>
      </c>
      <c r="AF12" s="598"/>
      <c r="AG12" s="593">
        <v>1.75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18.75</v>
      </c>
      <c r="D13" s="602">
        <f t="shared" si="2"/>
        <v>2</v>
      </c>
      <c r="E13" s="603">
        <f t="shared" si="3"/>
        <v>5</v>
      </c>
      <c r="F13" s="604">
        <f t="shared" si="4"/>
        <v>13.75</v>
      </c>
      <c r="G13" s="592" t="s">
        <v>269</v>
      </c>
      <c r="H13" s="605">
        <v>2.5</v>
      </c>
      <c r="I13" s="593">
        <v>3.0</v>
      </c>
      <c r="J13" s="594"/>
      <c r="K13" s="593"/>
      <c r="L13" s="596"/>
      <c r="M13" s="592" t="s">
        <v>269</v>
      </c>
      <c r="N13" s="606"/>
      <c r="O13" s="593">
        <v>3.0</v>
      </c>
      <c r="P13" s="597"/>
      <c r="Q13" s="598"/>
      <c r="R13" s="596"/>
      <c r="S13" s="594" t="s">
        <v>265</v>
      </c>
      <c r="T13" s="606"/>
      <c r="U13" s="593">
        <v>2.25</v>
      </c>
      <c r="V13" s="594"/>
      <c r="W13" s="598"/>
      <c r="X13" s="596"/>
      <c r="Y13" s="594" t="s">
        <v>261</v>
      </c>
      <c r="Z13" s="605">
        <v>2.5</v>
      </c>
      <c r="AA13" s="599">
        <v>2.25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19.5</v>
      </c>
      <c r="D14" s="602">
        <f t="shared" si="2"/>
        <v>3</v>
      </c>
      <c r="E14" s="603">
        <f t="shared" si="3"/>
        <v>7.5</v>
      </c>
      <c r="F14" s="604">
        <f t="shared" si="4"/>
        <v>12</v>
      </c>
      <c r="G14" s="592" t="s">
        <v>269</v>
      </c>
      <c r="H14" s="593">
        <v>2.5</v>
      </c>
      <c r="I14" s="593">
        <v>3.5</v>
      </c>
      <c r="J14" s="594" t="s">
        <v>260</v>
      </c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1.75</v>
      </c>
      <c r="V14" s="594" t="s">
        <v>263</v>
      </c>
      <c r="W14" s="598"/>
      <c r="X14" s="596"/>
      <c r="Y14" s="594" t="s">
        <v>265</v>
      </c>
      <c r="Z14" s="598"/>
      <c r="AA14" s="642">
        <v>1.0</v>
      </c>
      <c r="AB14" s="597"/>
      <c r="AC14" s="598"/>
      <c r="AD14" s="596"/>
      <c r="AE14" s="594" t="s">
        <v>261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82</v>
      </c>
      <c r="C15" s="588">
        <f t="shared" si="1"/>
        <v>29.25</v>
      </c>
      <c r="D15" s="611">
        <f t="shared" si="2"/>
        <v>4</v>
      </c>
      <c r="E15" s="612">
        <f t="shared" si="3"/>
        <v>10</v>
      </c>
      <c r="F15" s="613">
        <f t="shared" si="4"/>
        <v>19.25</v>
      </c>
      <c r="G15" s="614" t="s">
        <v>261</v>
      </c>
      <c r="H15" s="617"/>
      <c r="I15" s="615">
        <v>2.75</v>
      </c>
      <c r="J15" s="619" t="s">
        <v>11</v>
      </c>
      <c r="K15" s="617"/>
      <c r="L15" s="620">
        <v>0.5</v>
      </c>
      <c r="M15" s="614" t="s">
        <v>271</v>
      </c>
      <c r="N15" s="615">
        <v>2.5</v>
      </c>
      <c r="O15" s="615">
        <v>4.0</v>
      </c>
      <c r="P15" s="616"/>
      <c r="Q15" s="617"/>
      <c r="R15" s="618"/>
      <c r="S15" s="619" t="s">
        <v>271</v>
      </c>
      <c r="T15" s="615">
        <v>2.5</v>
      </c>
      <c r="U15" s="615">
        <v>4.5</v>
      </c>
      <c r="V15" s="619"/>
      <c r="W15" s="617"/>
      <c r="X15" s="618"/>
      <c r="Y15" s="619" t="s">
        <v>271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124</v>
      </c>
      <c r="C26" s="639" t="s">
        <v>289</v>
      </c>
      <c r="D26" s="638">
        <v>-1.0</v>
      </c>
      <c r="E26" s="640"/>
      <c r="F26" s="640"/>
      <c r="AK26" s="59"/>
    </row>
    <row r="27">
      <c r="A27" s="59"/>
      <c r="B27" s="639" t="s">
        <v>128</v>
      </c>
      <c r="C27" s="639" t="s">
        <v>289</v>
      </c>
      <c r="D27" s="639">
        <v>-1.0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104</v>
      </c>
      <c r="C6" s="588">
        <f t="shared" ref="C6:C15" si="1">SUM(H6:AK6)</f>
        <v>24.75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14.75</v>
      </c>
      <c r="G6" s="592" t="s">
        <v>271</v>
      </c>
      <c r="H6" s="605">
        <v>2.5</v>
      </c>
      <c r="I6" s="593">
        <v>3.25</v>
      </c>
      <c r="J6" s="594"/>
      <c r="K6" s="598"/>
      <c r="L6" s="596"/>
      <c r="M6" s="592" t="s">
        <v>271</v>
      </c>
      <c r="N6" s="606"/>
      <c r="O6" s="593">
        <v>2.0</v>
      </c>
      <c r="P6" s="594" t="s">
        <v>263</v>
      </c>
      <c r="Q6" s="598"/>
      <c r="R6" s="596"/>
      <c r="S6" s="594" t="s">
        <v>261</v>
      </c>
      <c r="T6" s="605">
        <v>2.5</v>
      </c>
      <c r="U6" s="593">
        <v>2.75</v>
      </c>
      <c r="V6" s="594" t="s">
        <v>260</v>
      </c>
      <c r="W6" s="598"/>
      <c r="X6" s="596"/>
      <c r="Y6" s="594" t="s">
        <v>261</v>
      </c>
      <c r="Z6" s="605">
        <v>2.5</v>
      </c>
      <c r="AA6" s="599">
        <v>3.25</v>
      </c>
      <c r="AB6" s="597"/>
      <c r="AC6" s="598"/>
      <c r="AD6" s="596"/>
      <c r="AE6" s="594" t="s">
        <v>269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16.5</v>
      </c>
      <c r="D7" s="602">
        <f t="shared" si="2"/>
        <v>2</v>
      </c>
      <c r="E7" s="603">
        <f t="shared" si="3"/>
        <v>5</v>
      </c>
      <c r="F7" s="604">
        <f t="shared" si="4"/>
        <v>11.5</v>
      </c>
      <c r="G7" s="592" t="s">
        <v>269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2.5</v>
      </c>
      <c r="P7" s="597"/>
      <c r="Q7" s="598"/>
      <c r="R7" s="596"/>
      <c r="S7" s="594" t="s">
        <v>261</v>
      </c>
      <c r="T7" s="605">
        <v>2.5</v>
      </c>
      <c r="U7" s="608">
        <v>2.0</v>
      </c>
      <c r="V7" s="594"/>
      <c r="W7" s="598"/>
      <c r="X7" s="596"/>
      <c r="Y7" s="594" t="s">
        <v>269</v>
      </c>
      <c r="Z7" s="606"/>
      <c r="AA7" s="599">
        <v>2.25</v>
      </c>
      <c r="AB7" s="594"/>
      <c r="AC7" s="593"/>
      <c r="AD7" s="595"/>
      <c r="AE7" s="594" t="s">
        <v>261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125</v>
      </c>
      <c r="C8" s="588">
        <f t="shared" si="1"/>
        <v>17.5</v>
      </c>
      <c r="D8" s="602">
        <f t="shared" si="2"/>
        <v>2</v>
      </c>
      <c r="E8" s="603">
        <f t="shared" si="3"/>
        <v>5</v>
      </c>
      <c r="F8" s="604">
        <f t="shared" si="4"/>
        <v>12.5</v>
      </c>
      <c r="G8" s="592" t="s">
        <v>265</v>
      </c>
      <c r="H8" s="598"/>
      <c r="I8" s="593">
        <v>1.25</v>
      </c>
      <c r="J8" s="597"/>
      <c r="K8" s="598"/>
      <c r="L8" s="596"/>
      <c r="M8" s="592" t="s">
        <v>261</v>
      </c>
      <c r="N8" s="598"/>
      <c r="O8" s="593">
        <v>3.25</v>
      </c>
      <c r="P8" s="597"/>
      <c r="Q8" s="598"/>
      <c r="R8" s="596"/>
      <c r="S8" s="594" t="s">
        <v>261</v>
      </c>
      <c r="T8" s="593">
        <v>2.5</v>
      </c>
      <c r="U8" s="593">
        <v>3.25</v>
      </c>
      <c r="V8" s="594" t="s">
        <v>260</v>
      </c>
      <c r="W8" s="598"/>
      <c r="X8" s="595"/>
      <c r="Y8" s="594" t="s">
        <v>261</v>
      </c>
      <c r="Z8" s="593">
        <v>2.5</v>
      </c>
      <c r="AA8" s="593">
        <v>2.0</v>
      </c>
      <c r="AB8" s="597"/>
      <c r="AC8" s="598"/>
      <c r="AD8" s="596"/>
      <c r="AE8" s="594" t="s">
        <v>261</v>
      </c>
      <c r="AF8" s="598"/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25.5</v>
      </c>
      <c r="D9" s="602">
        <f t="shared" si="2"/>
        <v>4</v>
      </c>
      <c r="E9" s="603">
        <f t="shared" si="3"/>
        <v>10</v>
      </c>
      <c r="F9" s="604">
        <f t="shared" si="4"/>
        <v>15.5</v>
      </c>
      <c r="G9" s="592" t="s">
        <v>261</v>
      </c>
      <c r="H9" s="593">
        <v>2.5</v>
      </c>
      <c r="I9" s="593">
        <v>2.5</v>
      </c>
      <c r="J9" s="594"/>
      <c r="K9" s="598"/>
      <c r="L9" s="596"/>
      <c r="M9" s="592" t="s">
        <v>261</v>
      </c>
      <c r="N9" s="598"/>
      <c r="O9" s="593">
        <v>3.25</v>
      </c>
      <c r="P9" s="594"/>
      <c r="Q9" s="598"/>
      <c r="R9" s="596"/>
      <c r="S9" s="594" t="s">
        <v>261</v>
      </c>
      <c r="T9" s="593">
        <v>2.5</v>
      </c>
      <c r="U9" s="593">
        <v>3.0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3.25</v>
      </c>
      <c r="AB9" s="597"/>
      <c r="AC9" s="598"/>
      <c r="AD9" s="596"/>
      <c r="AE9" s="594" t="s">
        <v>265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16.75</v>
      </c>
      <c r="D10" s="602">
        <f t="shared" si="2"/>
        <v>2</v>
      </c>
      <c r="E10" s="603">
        <f t="shared" si="3"/>
        <v>5</v>
      </c>
      <c r="F10" s="604">
        <f t="shared" si="4"/>
        <v>11.75</v>
      </c>
      <c r="G10" s="592" t="s">
        <v>261</v>
      </c>
      <c r="H10" s="593">
        <v>2.5</v>
      </c>
      <c r="I10" s="593">
        <v>3.0</v>
      </c>
      <c r="J10" s="597"/>
      <c r="K10" s="598"/>
      <c r="L10" s="596"/>
      <c r="M10" s="592" t="s">
        <v>261</v>
      </c>
      <c r="N10" s="598"/>
      <c r="O10" s="593">
        <v>1.75</v>
      </c>
      <c r="P10" s="594" t="s">
        <v>263</v>
      </c>
      <c r="Q10" s="598"/>
      <c r="R10" s="595"/>
      <c r="S10" s="594" t="s">
        <v>265</v>
      </c>
      <c r="T10" s="598"/>
      <c r="U10" s="593">
        <v>2.5</v>
      </c>
      <c r="V10" s="594" t="s">
        <v>263</v>
      </c>
      <c r="W10" s="598"/>
      <c r="X10" s="596"/>
      <c r="Y10" s="594" t="s">
        <v>261</v>
      </c>
      <c r="Z10" s="593">
        <v>2.5</v>
      </c>
      <c r="AA10" s="599">
        <v>2.25</v>
      </c>
      <c r="AB10" s="594" t="s">
        <v>11</v>
      </c>
      <c r="AC10" s="598"/>
      <c r="AD10" s="595">
        <v>0.5</v>
      </c>
      <c r="AE10" s="594" t="s">
        <v>261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10.75</v>
      </c>
      <c r="D11" s="602">
        <f t="shared" si="2"/>
        <v>0</v>
      </c>
      <c r="E11" s="603">
        <f t="shared" si="3"/>
        <v>0</v>
      </c>
      <c r="F11" s="604">
        <f t="shared" si="4"/>
        <v>10.75</v>
      </c>
      <c r="G11" s="592" t="s">
        <v>269</v>
      </c>
      <c r="H11" s="598"/>
      <c r="I11" s="593">
        <v>1.5</v>
      </c>
      <c r="J11" s="594"/>
      <c r="K11" s="598"/>
      <c r="L11" s="596"/>
      <c r="M11" s="592" t="s">
        <v>261</v>
      </c>
      <c r="N11" s="598"/>
      <c r="O11" s="593">
        <v>3.0</v>
      </c>
      <c r="P11" s="594"/>
      <c r="Q11" s="593"/>
      <c r="R11" s="595"/>
      <c r="S11" s="594" t="s">
        <v>269</v>
      </c>
      <c r="T11" s="598"/>
      <c r="U11" s="593">
        <v>2.0</v>
      </c>
      <c r="V11" s="597"/>
      <c r="W11" s="598"/>
      <c r="X11" s="596"/>
      <c r="Y11" s="594" t="s">
        <v>265</v>
      </c>
      <c r="Z11" s="598"/>
      <c r="AA11" s="599">
        <v>2.0</v>
      </c>
      <c r="AB11" s="597"/>
      <c r="AC11" s="598"/>
      <c r="AD11" s="596"/>
      <c r="AE11" s="594" t="s">
        <v>271</v>
      </c>
      <c r="AF11" s="598"/>
      <c r="AG11" s="593">
        <v>2.25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19</v>
      </c>
      <c r="D12" s="602">
        <f t="shared" si="2"/>
        <v>2</v>
      </c>
      <c r="E12" s="603">
        <f t="shared" si="3"/>
        <v>5</v>
      </c>
      <c r="F12" s="604">
        <f t="shared" si="4"/>
        <v>14</v>
      </c>
      <c r="G12" s="592" t="s">
        <v>261</v>
      </c>
      <c r="H12" s="593">
        <v>2.5</v>
      </c>
      <c r="I12" s="593">
        <v>2.75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269</v>
      </c>
      <c r="T12" s="598"/>
      <c r="U12" s="593">
        <v>2.5</v>
      </c>
      <c r="V12" s="594"/>
      <c r="W12" s="598"/>
      <c r="X12" s="595"/>
      <c r="Y12" s="594" t="s">
        <v>269</v>
      </c>
      <c r="Z12" s="598"/>
      <c r="AA12" s="593">
        <v>2.0</v>
      </c>
      <c r="AB12" s="597"/>
      <c r="AC12" s="598"/>
      <c r="AD12" s="596"/>
      <c r="AE12" s="594" t="s">
        <v>269</v>
      </c>
      <c r="AF12" s="593">
        <v>2.5</v>
      </c>
      <c r="AG12" s="593">
        <v>4.0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82</v>
      </c>
      <c r="C13" s="588">
        <f t="shared" si="1"/>
        <v>27.5</v>
      </c>
      <c r="D13" s="602">
        <f t="shared" si="2"/>
        <v>4</v>
      </c>
      <c r="E13" s="603">
        <f t="shared" si="3"/>
        <v>10</v>
      </c>
      <c r="F13" s="604">
        <f t="shared" si="4"/>
        <v>17.5</v>
      </c>
      <c r="G13" s="592" t="s">
        <v>261</v>
      </c>
      <c r="H13" s="605">
        <v>2.5</v>
      </c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5">
        <v>2.5</v>
      </c>
      <c r="O13" s="593">
        <v>3.75</v>
      </c>
      <c r="P13" s="594" t="s">
        <v>260</v>
      </c>
      <c r="Q13" s="598"/>
      <c r="R13" s="596"/>
      <c r="S13" s="594" t="s">
        <v>271</v>
      </c>
      <c r="T13" s="605">
        <v>2.5</v>
      </c>
      <c r="U13" s="593">
        <v>2.75</v>
      </c>
      <c r="V13" s="594" t="s">
        <v>11</v>
      </c>
      <c r="W13" s="593">
        <v>0.5</v>
      </c>
      <c r="X13" s="595">
        <v>1.0</v>
      </c>
      <c r="Y13" s="594" t="s">
        <v>261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6"/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22.5</v>
      </c>
      <c r="D14" s="602">
        <f t="shared" si="2"/>
        <v>3</v>
      </c>
      <c r="E14" s="603">
        <f t="shared" si="3"/>
        <v>7.5</v>
      </c>
      <c r="F14" s="604">
        <f t="shared" si="4"/>
        <v>15</v>
      </c>
      <c r="G14" s="592" t="s">
        <v>261</v>
      </c>
      <c r="H14" s="593">
        <v>2.5</v>
      </c>
      <c r="I14" s="593">
        <v>4.25</v>
      </c>
      <c r="J14" s="594"/>
      <c r="K14" s="593"/>
      <c r="L14" s="595"/>
      <c r="M14" s="592" t="s">
        <v>261</v>
      </c>
      <c r="N14" s="598"/>
      <c r="O14" s="593">
        <v>1.75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/>
      <c r="W14" s="598"/>
      <c r="X14" s="595"/>
      <c r="Y14" s="594" t="s">
        <v>271</v>
      </c>
      <c r="Z14" s="593">
        <v>2.5</v>
      </c>
      <c r="AA14" s="599">
        <v>2.75</v>
      </c>
      <c r="AB14" s="597"/>
      <c r="AC14" s="598"/>
      <c r="AD14" s="596"/>
      <c r="AE14" s="594" t="s">
        <v>261</v>
      </c>
      <c r="AF14" s="598"/>
      <c r="AG14" s="593">
        <v>2.5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92</v>
      </c>
      <c r="C15" s="588">
        <f t="shared" si="1"/>
        <v>24.5</v>
      </c>
      <c r="D15" s="611">
        <f t="shared" si="2"/>
        <v>4</v>
      </c>
      <c r="E15" s="612">
        <f t="shared" si="3"/>
        <v>10</v>
      </c>
      <c r="F15" s="613">
        <f t="shared" si="4"/>
        <v>14.5</v>
      </c>
      <c r="G15" s="614" t="s">
        <v>261</v>
      </c>
      <c r="H15" s="615">
        <v>2.5</v>
      </c>
      <c r="I15" s="615">
        <v>3.75</v>
      </c>
      <c r="J15" s="616"/>
      <c r="K15" s="617"/>
      <c r="L15" s="618"/>
      <c r="M15" s="614" t="s">
        <v>265</v>
      </c>
      <c r="N15" s="615">
        <v>2.5</v>
      </c>
      <c r="O15" s="621">
        <v>3.0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/>
      <c r="W15" s="617"/>
      <c r="X15" s="618"/>
      <c r="Y15" s="619" t="s">
        <v>261</v>
      </c>
      <c r="Z15" s="615">
        <v>2.5</v>
      </c>
      <c r="AA15" s="641">
        <v>3.25</v>
      </c>
      <c r="AB15" s="616"/>
      <c r="AC15" s="617"/>
      <c r="AD15" s="618"/>
      <c r="AE15" s="619" t="s">
        <v>261</v>
      </c>
      <c r="AF15" s="617"/>
      <c r="AG15" s="615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264</v>
      </c>
      <c r="T18" s="556"/>
      <c r="U18" s="556"/>
      <c r="V18" s="556"/>
      <c r="W18" s="556"/>
      <c r="X18" s="557"/>
      <c r="Y18" s="629" t="s">
        <v>262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